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alanamc.sharepoint.cn/sites/tt01/Shared Documents/元康管理基金/30 元康基金/"/>
    </mc:Choice>
  </mc:AlternateContent>
  <xr:revisionPtr revIDLastSave="30858" documentId="8_{FF9B957B-8352-44FE-96C8-3A2FDC0B2E75}" xr6:coauthVersionLast="47" xr6:coauthVersionMax="47" xr10:uidLastSave="{5DA258E1-E4AD-41A1-B323-F3BEA406D2BE}"/>
  <bookViews>
    <workbookView xWindow="-120" yWindow="-120" windowWidth="29040" windowHeight="17520" tabRatio="898" firstSheet="12" activeTab="12" xr2:uid="{46750232-69DB-4714-9B03-4F09B6403FCE}"/>
  </bookViews>
  <sheets>
    <sheet name="申购数据-每日更新-0515" sheetId="26" r:id="rId1"/>
    <sheet name="汇总" sheetId="7" r:id="rId2"/>
    <sheet name="元康盛景20号" sheetId="1" r:id="rId3"/>
    <sheet name="元康盛景26号" sheetId="2" r:id="rId4"/>
    <sheet name="元康盛景28号" sheetId="3" r:id="rId5"/>
    <sheet name="元康盛景29号" sheetId="16" r:id="rId6"/>
    <sheet name="外贸信托_元康盛景1号" sheetId="6" r:id="rId7"/>
    <sheet name="西南证券-东方" sheetId="27" r:id="rId8"/>
    <sheet name="元康盛景30号" sheetId="23" r:id="rId9"/>
    <sheet name="慧聚领航1号" sheetId="25" r:id="rId10"/>
    <sheet name="苏信优先级Z2501" sheetId="4" r:id="rId11"/>
    <sheet name="苏信次级Z2502" sheetId="5" r:id="rId12"/>
    <sheet name="苏信混合Z2603" sheetId="28" r:id="rId13"/>
    <sheet name="元康1号" sheetId="10" r:id="rId14"/>
    <sheet name="元康9号" sheetId="11" r:id="rId15"/>
    <sheet name="元康17号" sheetId="12" r:id="rId16"/>
    <sheet name="朗瑞1_5" sheetId="13" r:id="rId17"/>
    <sheet name="朗瑞1_7" sheetId="19" r:id="rId18"/>
    <sheet name="朗瑞1_8" sheetId="14" r:id="rId19"/>
    <sheet name="鹏雅119" sheetId="21" r:id="rId20"/>
    <sheet name="鹏雅120" sheetId="22" r:id="rId21"/>
    <sheet name="元康12号" sheetId="17" r:id="rId22"/>
    <sheet name="中建投_臻泉2号" sheetId="20" r:id="rId23"/>
    <sheet name="券商代买入券-正常" sheetId="8" r:id="rId24"/>
    <sheet name="券商代买入券-不良" sheetId="9" r:id="rId25"/>
    <sheet name="新发行及二级待投" sheetId="15" r:id="rId26"/>
    <sheet name="集中度问题" sheetId="24" r:id="rId27"/>
  </sheets>
  <definedNames>
    <definedName name="_xlnm._FilterDatabase" localSheetId="24" hidden="1">'券商代买入券-不良'!$A$1:$T$171</definedName>
    <definedName name="_xlnm._FilterDatabase" localSheetId="23" hidden="1">'券商代买入券-正常'!$A$1:$X$1</definedName>
    <definedName name="OLE_LINK7" localSheetId="8">元康盛景30号!$N$14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0" i="10" l="1"/>
  <c r="E91" i="10"/>
  <c r="E92" i="10"/>
  <c r="E93" i="10"/>
  <c r="E94" i="10"/>
  <c r="E95" i="10"/>
  <c r="E96" i="10"/>
  <c r="E97" i="10"/>
  <c r="E98" i="10"/>
  <c r="E99" i="10"/>
  <c r="E100" i="10"/>
  <c r="D88" i="10"/>
  <c r="D269" i="3"/>
  <c r="D268" i="3"/>
  <c r="E261" i="3"/>
  <c r="E262" i="3" s="1"/>
  <c r="E260" i="3"/>
  <c r="E93" i="14"/>
  <c r="E94" i="14" s="1"/>
  <c r="E95" i="14" s="1"/>
  <c r="E96" i="14" s="1"/>
  <c r="E97" i="14" s="1"/>
  <c r="E98" i="14" s="1"/>
  <c r="E99" i="14" s="1"/>
  <c r="E100" i="14" s="1"/>
  <c r="E101" i="14" s="1"/>
  <c r="C144" i="6"/>
  <c r="C286" i="3"/>
  <c r="D288" i="3"/>
  <c r="E116" i="13"/>
  <c r="E98" i="12"/>
  <c r="E99" i="12" s="1"/>
  <c r="A153" i="7" l="1"/>
  <c r="A154" i="7"/>
  <c r="A155" i="7" s="1"/>
  <c r="A156" i="7" s="1"/>
  <c r="A157" i="7" s="1"/>
  <c r="A158" i="7" s="1"/>
  <c r="A159" i="7" s="1"/>
  <c r="A160" i="7" s="1"/>
  <c r="A161" i="7" s="1"/>
  <c r="A162" i="7" s="1"/>
  <c r="A163" i="7" s="1"/>
  <c r="A164" i="7" s="1"/>
  <c r="A165" i="7" s="1"/>
  <c r="A166" i="7" s="1"/>
  <c r="A167" i="7" s="1"/>
  <c r="A168" i="7" s="1"/>
  <c r="P32" i="24"/>
  <c r="P34" i="24"/>
  <c r="P35" i="24"/>
  <c r="H107" i="9"/>
  <c r="D116" i="16"/>
  <c r="T135" i="7" a="1"/>
  <c r="N156" i="7" a="1"/>
  <c r="N163" i="7" a="1"/>
  <c r="T98" i="7" a="1"/>
  <c r="N163" i="7" l="1"/>
  <c r="N156" i="7"/>
  <c r="T135" i="7"/>
  <c r="T98" i="7"/>
  <c r="D70" i="11"/>
  <c r="H27" i="24"/>
  <c r="E48" i="24"/>
  <c r="T136" i="7" a="1"/>
  <c r="N157" i="7" a="1"/>
  <c r="T99" i="7" a="1"/>
  <c r="N164" i="7" a="1"/>
  <c r="N157" i="7" l="1"/>
  <c r="N164" i="7"/>
  <c r="T99" i="7"/>
  <c r="T136" i="7"/>
  <c r="O35" i="24"/>
  <c r="T100" i="7" a="1"/>
  <c r="N165" i="7" a="1"/>
  <c r="N158" i="7" a="1"/>
  <c r="T137" i="7" a="1"/>
  <c r="N165" i="7" l="1"/>
  <c r="N158" i="7"/>
  <c r="T137" i="7"/>
  <c r="T100" i="7"/>
  <c r="C104" i="5"/>
  <c r="G112" i="5"/>
  <c r="D162" i="6"/>
  <c r="C143" i="6"/>
  <c r="D5" i="28"/>
  <c r="D6" i="28"/>
  <c r="N253" i="8"/>
  <c r="R14" i="28"/>
  <c r="S14" i="28" s="1"/>
  <c r="R13" i="28"/>
  <c r="S13" i="28" s="1"/>
  <c r="R12" i="28"/>
  <c r="S12" i="28" s="1"/>
  <c r="R11" i="28"/>
  <c r="S11" i="28" s="1"/>
  <c r="R10" i="28"/>
  <c r="S10" i="28" s="1"/>
  <c r="R9" i="28"/>
  <c r="R15" i="28" s="1"/>
  <c r="S15" i="28" s="1"/>
  <c r="T8" i="28"/>
  <c r="T138" i="7" a="1"/>
  <c r="T101" i="7" a="1"/>
  <c r="N166" i="7" a="1"/>
  <c r="N159" i="7" a="1"/>
  <c r="N166" i="7" l="1"/>
  <c r="N159" i="7"/>
  <c r="T101" i="7"/>
  <c r="T138" i="7"/>
  <c r="S9" i="28"/>
  <c r="S5" i="28" s="1"/>
  <c r="R5" i="28"/>
  <c r="T139" i="7" a="1"/>
  <c r="N167" i="7" a="1"/>
  <c r="N160" i="7" a="1"/>
  <c r="T102" i="7" a="1"/>
  <c r="N160" i="7" l="1"/>
  <c r="N167" i="7"/>
  <c r="T139" i="7"/>
  <c r="T102" i="7"/>
  <c r="L21" i="28"/>
  <c r="M21" i="28" s="1"/>
  <c r="D4" i="28"/>
  <c r="D105" i="5"/>
  <c r="D87" i="4"/>
  <c r="N168" i="7" a="1"/>
  <c r="T140" i="7" a="1"/>
  <c r="N161" i="7" a="1"/>
  <c r="T103" i="7" a="1"/>
  <c r="N161" i="7" l="1"/>
  <c r="N168" i="7"/>
  <c r="T103" i="7"/>
  <c r="T140" i="7"/>
  <c r="E4" i="28"/>
  <c r="K255" i="8"/>
  <c r="K253" i="8"/>
  <c r="W101" i="20"/>
  <c r="M100" i="20"/>
  <c r="W100" i="20" s="1"/>
  <c r="M98" i="20"/>
  <c r="W98" i="20" s="1"/>
  <c r="M99" i="20"/>
  <c r="W99" i="20" s="1"/>
  <c r="M97" i="20"/>
  <c r="W97" i="20" s="1"/>
  <c r="D74" i="22"/>
  <c r="D73" i="22"/>
  <c r="N162" i="7" a="1"/>
  <c r="T104" i="7" a="1"/>
  <c r="N162" i="7" l="1"/>
  <c r="T104" i="7"/>
  <c r="E5" i="28"/>
  <c r="E6" i="28" s="1"/>
  <c r="E7" i="28" s="1"/>
  <c r="E8" i="28" s="1"/>
  <c r="D274" i="3"/>
  <c r="D273" i="3"/>
  <c r="T105" i="7" a="1"/>
  <c r="E9" i="28" l="1"/>
  <c r="T105" i="7"/>
  <c r="P243" i="8"/>
  <c r="T141" i="7" a="1"/>
  <c r="T106" i="7" a="1"/>
  <c r="T141" i="7" l="1"/>
  <c r="E10" i="28"/>
  <c r="E11" i="28" s="1"/>
  <c r="E12" i="28" s="1"/>
  <c r="E13" i="28" s="1"/>
  <c r="E14" i="28" s="1"/>
  <c r="E15" i="28" s="1"/>
  <c r="E16" i="28" s="1"/>
  <c r="E17" i="28" s="1"/>
  <c r="T106" i="7"/>
  <c r="D148" i="6"/>
  <c r="O232" i="8"/>
  <c r="D278" i="3"/>
  <c r="D280" i="3"/>
  <c r="D281" i="3"/>
  <c r="D282" i="3"/>
  <c r="G94" i="4"/>
  <c r="D167" i="1"/>
  <c r="D175" i="1"/>
  <c r="M42" i="24"/>
  <c r="L110" i="20"/>
  <c r="J111" i="20"/>
  <c r="J110" i="20"/>
  <c r="K110" i="20" s="1"/>
  <c r="M106" i="20"/>
  <c r="P73" i="20"/>
  <c r="E122" i="2"/>
  <c r="E123" i="2" s="1"/>
  <c r="E124" i="2" s="1"/>
  <c r="E125" i="2" s="1"/>
  <c r="D140" i="6"/>
  <c r="C258" i="8"/>
  <c r="H256" i="8"/>
  <c r="H255" i="8"/>
  <c r="D255" i="8"/>
  <c r="H254" i="8"/>
  <c r="H258" i="8" s="1"/>
  <c r="G253" i="8"/>
  <c r="C253" i="8"/>
  <c r="F244" i="8"/>
  <c r="C244" i="8"/>
  <c r="L232" i="8"/>
  <c r="I232" i="8"/>
  <c r="F232" i="8"/>
  <c r="C232" i="8"/>
  <c r="I226" i="8"/>
  <c r="F226" i="8"/>
  <c r="I224" i="8"/>
  <c r="I225" i="8" s="1"/>
  <c r="M219" i="8"/>
  <c r="M218" i="8"/>
  <c r="N217" i="8"/>
  <c r="M217" i="8"/>
  <c r="G217" i="8"/>
  <c r="F217" i="8"/>
  <c r="G216" i="8" s="1"/>
  <c r="M216" i="8"/>
  <c r="F216" i="8"/>
  <c r="H214" i="8"/>
  <c r="P212" i="8"/>
  <c r="G212" i="8"/>
  <c r="F212" i="8"/>
  <c r="P211" i="8"/>
  <c r="F211" i="8"/>
  <c r="P210" i="8"/>
  <c r="N209" i="8"/>
  <c r="M209" i="8"/>
  <c r="P209" i="8" s="1"/>
  <c r="N208" i="8"/>
  <c r="M208" i="8"/>
  <c r="G208" i="8"/>
  <c r="F208" i="8"/>
  <c r="G207" i="8" s="1"/>
  <c r="F207" i="8"/>
  <c r="K204" i="8"/>
  <c r="G204" i="8"/>
  <c r="D204" i="8"/>
  <c r="P203" i="8"/>
  <c r="K203" i="8"/>
  <c r="H203" i="8"/>
  <c r="P202" i="8"/>
  <c r="O202" i="8"/>
  <c r="Q202" i="8" s="1"/>
  <c r="J202" i="8"/>
  <c r="I202" i="8"/>
  <c r="G202" i="8"/>
  <c r="H202" i="8" s="1"/>
  <c r="F202" i="8"/>
  <c r="G199" i="8" s="1"/>
  <c r="C202" i="8"/>
  <c r="B202" i="8"/>
  <c r="Q201" i="8"/>
  <c r="P201" i="8"/>
  <c r="O201" i="8"/>
  <c r="M201" i="8"/>
  <c r="J201" i="8"/>
  <c r="I201" i="8"/>
  <c r="C201" i="8"/>
  <c r="B201" i="8"/>
  <c r="N200" i="8"/>
  <c r="M200" i="8"/>
  <c r="J200" i="8"/>
  <c r="I200" i="8"/>
  <c r="C200" i="8"/>
  <c r="B200" i="8"/>
  <c r="M199" i="8"/>
  <c r="F199" i="8"/>
  <c r="M197" i="8"/>
  <c r="N195" i="8"/>
  <c r="M195" i="8"/>
  <c r="Q188" i="8"/>
  <c r="T154" i="8" s="1"/>
  <c r="L179" i="8" s="1"/>
  <c r="P188" i="8"/>
  <c r="L188" i="8"/>
  <c r="K188" i="8"/>
  <c r="Q187" i="8"/>
  <c r="T153" i="8" s="1"/>
  <c r="L178" i="8" s="1"/>
  <c r="P187" i="8"/>
  <c r="L187" i="8"/>
  <c r="K187" i="8"/>
  <c r="Q186" i="8"/>
  <c r="T152" i="8" s="1"/>
  <c r="L177" i="8" s="1"/>
  <c r="P186" i="8"/>
  <c r="L186" i="8"/>
  <c r="S186" i="8" s="1"/>
  <c r="K186" i="8"/>
  <c r="Q185" i="8"/>
  <c r="T151" i="8" s="1"/>
  <c r="L176" i="8" s="1"/>
  <c r="P185" i="8"/>
  <c r="L185" i="8"/>
  <c r="S185" i="8" s="1"/>
  <c r="K185" i="8"/>
  <c r="R182" i="8"/>
  <c r="Q182" i="8"/>
  <c r="N182" i="8"/>
  <c r="L182" i="8"/>
  <c r="K182" i="8"/>
  <c r="G182" i="8"/>
  <c r="F182" i="8"/>
  <c r="R181" i="8"/>
  <c r="Q181" i="8"/>
  <c r="N181" i="8"/>
  <c r="K181" i="8"/>
  <c r="H181" i="8"/>
  <c r="L181" i="8" s="1"/>
  <c r="G181" i="8"/>
  <c r="F181" i="8"/>
  <c r="R180" i="8"/>
  <c r="Q180" i="8"/>
  <c r="N180" i="8"/>
  <c r="L180" i="8"/>
  <c r="K180" i="8"/>
  <c r="H180" i="8"/>
  <c r="G180" i="8"/>
  <c r="F180" i="8"/>
  <c r="R179" i="8"/>
  <c r="Q179" i="8"/>
  <c r="M179" i="8"/>
  <c r="I179" i="8"/>
  <c r="H179" i="8"/>
  <c r="G179" i="8"/>
  <c r="F179" i="8"/>
  <c r="R178" i="8"/>
  <c r="Q178" i="8"/>
  <c r="M178" i="8"/>
  <c r="I178" i="8"/>
  <c r="H178" i="8"/>
  <c r="G178" i="8"/>
  <c r="F178" i="8"/>
  <c r="R177" i="8"/>
  <c r="Q177" i="8"/>
  <c r="M177" i="8"/>
  <c r="I177" i="8"/>
  <c r="H177" i="8"/>
  <c r="G177" i="8"/>
  <c r="F177" i="8"/>
  <c r="R176" i="8"/>
  <c r="Q176" i="8"/>
  <c r="M176" i="8"/>
  <c r="I176" i="8"/>
  <c r="H176" i="8"/>
  <c r="G176" i="8"/>
  <c r="F176" i="8"/>
  <c r="R175" i="8"/>
  <c r="Q175" i="8"/>
  <c r="N175" i="8"/>
  <c r="M175" i="8"/>
  <c r="J175" i="8"/>
  <c r="H175" i="8"/>
  <c r="G175" i="8"/>
  <c r="F175" i="8"/>
  <c r="R174" i="8"/>
  <c r="Q174" i="8"/>
  <c r="N174" i="8"/>
  <c r="M174" i="8"/>
  <c r="J174" i="8"/>
  <c r="H174" i="8"/>
  <c r="G174" i="8"/>
  <c r="F174" i="8"/>
  <c r="R173" i="8"/>
  <c r="Q173" i="8"/>
  <c r="N173" i="8"/>
  <c r="M173" i="8"/>
  <c r="J173" i="8"/>
  <c r="H173" i="8"/>
  <c r="G173" i="8"/>
  <c r="F173" i="8"/>
  <c r="R172" i="8"/>
  <c r="Q172" i="8"/>
  <c r="N172" i="8"/>
  <c r="M172" i="8"/>
  <c r="J172" i="8"/>
  <c r="I172" i="8"/>
  <c r="H172" i="8"/>
  <c r="G172" i="8"/>
  <c r="F172" i="8"/>
  <c r="R171" i="8"/>
  <c r="Q171" i="8"/>
  <c r="N171" i="8"/>
  <c r="M171" i="8"/>
  <c r="J171" i="8"/>
  <c r="H171" i="8"/>
  <c r="G171" i="8"/>
  <c r="F171" i="8"/>
  <c r="R170" i="8"/>
  <c r="Q170" i="8"/>
  <c r="N170" i="8"/>
  <c r="M170" i="8"/>
  <c r="J170" i="8"/>
  <c r="I170" i="8"/>
  <c r="H170" i="8"/>
  <c r="G170" i="8"/>
  <c r="F170" i="8"/>
  <c r="R169" i="8"/>
  <c r="Q169" i="8"/>
  <c r="N169" i="8"/>
  <c r="M169" i="8"/>
  <c r="J169" i="8"/>
  <c r="I169" i="8"/>
  <c r="H169" i="8"/>
  <c r="G169" i="8"/>
  <c r="F169" i="8"/>
  <c r="R168" i="8"/>
  <c r="Q168" i="8"/>
  <c r="N168" i="8"/>
  <c r="M168" i="8"/>
  <c r="J168" i="8"/>
  <c r="I168" i="8"/>
  <c r="H168" i="8"/>
  <c r="G168" i="8"/>
  <c r="F168" i="8"/>
  <c r="R167" i="8"/>
  <c r="Q167" i="8"/>
  <c r="N167" i="8"/>
  <c r="M167" i="8"/>
  <c r="J167" i="8"/>
  <c r="I167" i="8"/>
  <c r="H167" i="8"/>
  <c r="G167" i="8"/>
  <c r="F167" i="8"/>
  <c r="L166" i="8"/>
  <c r="K166" i="8"/>
  <c r="J166" i="8"/>
  <c r="I166" i="8"/>
  <c r="H166" i="8"/>
  <c r="G166" i="8"/>
  <c r="F166" i="8"/>
  <c r="L159" i="8"/>
  <c r="T158" i="8"/>
  <c r="T157" i="8"/>
  <c r="S154" i="8"/>
  <c r="K179" i="8" s="1"/>
  <c r="Q154" i="8"/>
  <c r="R154" i="8" s="1"/>
  <c r="J179" i="8" s="1"/>
  <c r="P154" i="8"/>
  <c r="N179" i="8" s="1"/>
  <c r="S153" i="8"/>
  <c r="K178" i="8" s="1"/>
  <c r="Q153" i="8"/>
  <c r="P153" i="8"/>
  <c r="N178" i="8" s="1"/>
  <c r="S152" i="8"/>
  <c r="K177" i="8" s="1"/>
  <c r="Q152" i="8"/>
  <c r="P152" i="8"/>
  <c r="N177" i="8" s="1"/>
  <c r="S151" i="8"/>
  <c r="Q151" i="8"/>
  <c r="P151" i="8"/>
  <c r="N176" i="8" s="1"/>
  <c r="Q143" i="8"/>
  <c r="I175" i="8" s="1"/>
  <c r="Q142" i="8"/>
  <c r="Q141" i="8"/>
  <c r="I173" i="8" s="1"/>
  <c r="V140" i="8"/>
  <c r="W140" i="8" s="1"/>
  <c r="S140" i="8"/>
  <c r="Q135" i="8"/>
  <c r="S134" i="8"/>
  <c r="V125" i="8"/>
  <c r="W125" i="8" s="1"/>
  <c r="S125" i="8"/>
  <c r="V124" i="8"/>
  <c r="W124" i="8" s="1"/>
  <c r="S124" i="8"/>
  <c r="V123" i="8"/>
  <c r="W123" i="8" s="1"/>
  <c r="S123" i="8"/>
  <c r="O99" i="8"/>
  <c r="O96" i="8"/>
  <c r="O95" i="8"/>
  <c r="O88" i="8"/>
  <c r="G88" i="8"/>
  <c r="O87" i="8"/>
  <c r="N86" i="8"/>
  <c r="O85" i="8"/>
  <c r="O86" i="8" s="1"/>
  <c r="L85" i="8"/>
  <c r="O84" i="8"/>
  <c r="M82" i="8"/>
  <c r="O82" i="8" s="1"/>
  <c r="N197" i="8" s="1"/>
  <c r="O76" i="8"/>
  <c r="M76" i="8"/>
  <c r="O75" i="8"/>
  <c r="O65" i="8"/>
  <c r="O64" i="8"/>
  <c r="N218" i="8" s="1"/>
  <c r="O59" i="8"/>
  <c r="O57" i="8"/>
  <c r="J57" i="8"/>
  <c r="J53" i="8"/>
  <c r="O51" i="8"/>
  <c r="J40" i="8"/>
  <c r="O33" i="8"/>
  <c r="O32" i="8"/>
  <c r="O31" i="8"/>
  <c r="O30" i="8"/>
  <c r="O29" i="8"/>
  <c r="O28" i="8"/>
  <c r="O27" i="8"/>
  <c r="O26" i="8"/>
  <c r="O20" i="8"/>
  <c r="Q19" i="8"/>
  <c r="J13" i="8"/>
  <c r="T12" i="8"/>
  <c r="Q12" i="8"/>
  <c r="T11" i="8"/>
  <c r="Q11" i="8"/>
  <c r="T6" i="8"/>
  <c r="Q6" i="8"/>
  <c r="J6" i="8"/>
  <c r="T5" i="8"/>
  <c r="Q5" i="8"/>
  <c r="T4" i="8"/>
  <c r="Q4" i="8"/>
  <c r="T3" i="8"/>
  <c r="Q3" i="8"/>
  <c r="G3" i="8"/>
  <c r="L181" i="9"/>
  <c r="K181" i="9"/>
  <c r="L179" i="9"/>
  <c r="K179" i="9"/>
  <c r="I169" i="9"/>
  <c r="J178" i="9"/>
  <c r="I159" i="6"/>
  <c r="J159" i="6" s="1"/>
  <c r="I158" i="6"/>
  <c r="J158" i="6" s="1"/>
  <c r="H156" i="6"/>
  <c r="I155" i="6"/>
  <c r="J155" i="6" s="1"/>
  <c r="I154" i="6"/>
  <c r="J154" i="6" s="1"/>
  <c r="I153" i="6"/>
  <c r="J153" i="6" s="1"/>
  <c r="K152" i="6"/>
  <c r="D145" i="6"/>
  <c r="D138" i="6"/>
  <c r="D137" i="6"/>
  <c r="D136" i="6"/>
  <c r="C135" i="6"/>
  <c r="J134" i="6"/>
  <c r="I131" i="6"/>
  <c r="I125" i="6"/>
  <c r="D124" i="6"/>
  <c r="E124" i="6" s="1"/>
  <c r="E125" i="6" s="1"/>
  <c r="E126" i="6" s="1"/>
  <c r="E127" i="6" s="1"/>
  <c r="E128" i="6" s="1"/>
  <c r="E129" i="6" s="1"/>
  <c r="E130" i="6" s="1"/>
  <c r="E131" i="6" s="1"/>
  <c r="E132" i="6" s="1"/>
  <c r="E133" i="6" s="1"/>
  <c r="E134" i="6" s="1"/>
  <c r="E135" i="6" s="1"/>
  <c r="E136" i="6" s="1"/>
  <c r="E137" i="6" s="1"/>
  <c r="E138" i="6" s="1"/>
  <c r="E139" i="6" s="1"/>
  <c r="M123" i="6"/>
  <c r="M125" i="6" s="1"/>
  <c r="K123" i="6"/>
  <c r="I116" i="6"/>
  <c r="K115" i="6"/>
  <c r="M115" i="6" s="1"/>
  <c r="N115" i="6" s="1"/>
  <c r="K114" i="6"/>
  <c r="M114" i="6" s="1"/>
  <c r="N114" i="6" s="1"/>
  <c r="N116" i="6" s="1"/>
  <c r="O116" i="6" s="1"/>
  <c r="J102" i="6" s="1"/>
  <c r="D112" i="6"/>
  <c r="C111" i="6"/>
  <c r="L110" i="6"/>
  <c r="M110" i="6" s="1"/>
  <c r="I110" i="6"/>
  <c r="J110" i="6" s="1"/>
  <c r="J105" i="6" s="1"/>
  <c r="M109" i="6"/>
  <c r="J109" i="6"/>
  <c r="J108" i="6"/>
  <c r="G102" i="6"/>
  <c r="C99" i="6"/>
  <c r="D98" i="6"/>
  <c r="D92" i="6"/>
  <c r="D91" i="6"/>
  <c r="D85" i="6"/>
  <c r="H83" i="6"/>
  <c r="C60" i="6"/>
  <c r="D57" i="6"/>
  <c r="L54" i="6"/>
  <c r="L53" i="6"/>
  <c r="L52" i="6"/>
  <c r="L51" i="6"/>
  <c r="L50" i="6"/>
  <c r="C49" i="6"/>
  <c r="K48" i="6"/>
  <c r="L46" i="6"/>
  <c r="K44" i="6"/>
  <c r="D38" i="6"/>
  <c r="D36" i="6"/>
  <c r="E34" i="6"/>
  <c r="E35" i="6" s="1"/>
  <c r="E36" i="6" s="1"/>
  <c r="E37" i="6" s="1"/>
  <c r="E38" i="6" s="1"/>
  <c r="E39" i="6" s="1"/>
  <c r="E40" i="6" s="1"/>
  <c r="E41" i="6" s="1"/>
  <c r="E42" i="6" s="1"/>
  <c r="E43" i="6" s="1"/>
  <c r="E44" i="6" s="1"/>
  <c r="E45" i="6" s="1"/>
  <c r="E46" i="6" s="1"/>
  <c r="E47" i="6" s="1"/>
  <c r="E48" i="6" s="1"/>
  <c r="E49" i="6" s="1"/>
  <c r="E50" i="6" s="1"/>
  <c r="E51" i="6" s="1"/>
  <c r="E52" i="6" s="1"/>
  <c r="E53" i="6" s="1"/>
  <c r="E54" i="6" s="1"/>
  <c r="E55" i="6" s="1"/>
  <c r="E56" i="6" s="1"/>
  <c r="E57" i="6" s="1"/>
  <c r="E29" i="6"/>
  <c r="E30" i="6" s="1"/>
  <c r="D25" i="6"/>
  <c r="B24" i="6"/>
  <c r="E12" i="6"/>
  <c r="E13" i="6" s="1"/>
  <c r="E14" i="6" s="1"/>
  <c r="E15" i="6" s="1"/>
  <c r="E16" i="6" s="1"/>
  <c r="E17" i="6" s="1"/>
  <c r="E18" i="6" s="1"/>
  <c r="E19" i="6" s="1"/>
  <c r="E20" i="6" s="1"/>
  <c r="E21" i="6" s="1"/>
  <c r="E22" i="6" s="1"/>
  <c r="E23" i="6" s="1"/>
  <c r="D9" i="6"/>
  <c r="D6" i="6"/>
  <c r="C24" i="6" s="1"/>
  <c r="E4" i="6"/>
  <c r="E5" i="6" s="1"/>
  <c r="O34" i="24"/>
  <c r="D101" i="12"/>
  <c r="T101" i="20"/>
  <c r="N101" i="20" s="1"/>
  <c r="O101" i="20" s="1"/>
  <c r="T100" i="20"/>
  <c r="N100" i="20" s="1"/>
  <c r="O100" i="20" s="1"/>
  <c r="T107" i="7" a="1"/>
  <c r="T160" i="7" a="1"/>
  <c r="T142" i="7" a="1"/>
  <c r="T142" i="7" l="1"/>
  <c r="T160" i="7"/>
  <c r="E18" i="28"/>
  <c r="E19" i="28" s="1"/>
  <c r="E20" i="28" s="1"/>
  <c r="E21" i="28" s="1"/>
  <c r="E22" i="28" s="1"/>
  <c r="E23" i="28" s="1"/>
  <c r="E24" i="28" s="1"/>
  <c r="E25" i="28" s="1"/>
  <c r="E26" i="28" s="1"/>
  <c r="R153" i="8"/>
  <c r="J178" i="8" s="1"/>
  <c r="N216" i="8"/>
  <c r="T107" i="7"/>
  <c r="S141" i="8"/>
  <c r="S143" i="8"/>
  <c r="K199" i="8"/>
  <c r="C199" i="8"/>
  <c r="L86" i="8"/>
  <c r="R152" i="8"/>
  <c r="J177" i="8" s="1"/>
  <c r="G214" i="8"/>
  <c r="G211" i="8" s="1"/>
  <c r="J199" i="8"/>
  <c r="N199" i="8"/>
  <c r="H199" i="8"/>
  <c r="E6" i="6"/>
  <c r="E7" i="6" s="1"/>
  <c r="E8" i="6" s="1"/>
  <c r="E9" i="6" s="1"/>
  <c r="S187" i="8"/>
  <c r="N196" i="8"/>
  <c r="N121" i="8" s="1"/>
  <c r="H253" i="8"/>
  <c r="L104" i="6"/>
  <c r="C205" i="8"/>
  <c r="D205" i="8" s="1"/>
  <c r="D199" i="8" s="1"/>
  <c r="N203" i="8"/>
  <c r="O203" i="8" s="1"/>
  <c r="Q203" i="8" s="1"/>
  <c r="Q199" i="8" s="1"/>
  <c r="M104" i="6"/>
  <c r="K111" i="20"/>
  <c r="J204" i="8"/>
  <c r="I105" i="6"/>
  <c r="S188" i="8"/>
  <c r="M110" i="20"/>
  <c r="E141" i="6"/>
  <c r="E142" i="6" s="1"/>
  <c r="E143" i="6" s="1"/>
  <c r="E144" i="6" s="1"/>
  <c r="E145" i="6" s="1"/>
  <c r="E146" i="6" s="1"/>
  <c r="E147" i="6" s="1"/>
  <c r="E148" i="6" s="1"/>
  <c r="E149" i="6" s="1"/>
  <c r="E150" i="6" s="1"/>
  <c r="E151" i="6" s="1"/>
  <c r="E152" i="6" s="1"/>
  <c r="E153" i="6" s="1"/>
  <c r="E154" i="6" s="1"/>
  <c r="E155" i="6" s="1"/>
  <c r="E156" i="6" s="1"/>
  <c r="E157" i="6" s="1"/>
  <c r="E158" i="6" s="1"/>
  <c r="E159" i="6" s="1"/>
  <c r="I227" i="8"/>
  <c r="G227" i="8"/>
  <c r="K176" i="8"/>
  <c r="R151" i="8"/>
  <c r="J176" i="8" s="1"/>
  <c r="T143" i="8"/>
  <c r="L175" i="8" s="1"/>
  <c r="K175" i="8"/>
  <c r="S142" i="8"/>
  <c r="I174" i="8"/>
  <c r="K173" i="8"/>
  <c r="T141" i="8"/>
  <c r="L173" i="8" s="1"/>
  <c r="K172" i="8"/>
  <c r="T140" i="8"/>
  <c r="L172" i="8" s="1"/>
  <c r="S135" i="8"/>
  <c r="I171" i="8"/>
  <c r="K170" i="8"/>
  <c r="T134" i="8"/>
  <c r="L170" i="8" s="1"/>
  <c r="K169" i="8"/>
  <c r="T125" i="8"/>
  <c r="L169" i="8" s="1"/>
  <c r="K168" i="8"/>
  <c r="T124" i="8"/>
  <c r="L168" i="8" s="1"/>
  <c r="T123" i="8"/>
  <c r="L167" i="8" s="1"/>
  <c r="K167" i="8"/>
  <c r="I157" i="6"/>
  <c r="J157" i="6" s="1"/>
  <c r="I156" i="6"/>
  <c r="E24" i="6"/>
  <c r="E25" i="6" s="1"/>
  <c r="E26" i="6" s="1"/>
  <c r="E27" i="6" s="1"/>
  <c r="M52" i="20"/>
  <c r="M48" i="20" s="1"/>
  <c r="N99" i="20"/>
  <c r="O99" i="20" s="1"/>
  <c r="M69" i="20" s="1" a="1"/>
  <c r="M69" i="20" s="1"/>
  <c r="M68" i="20" a="1"/>
  <c r="M68" i="20" s="1"/>
  <c r="N98" i="20"/>
  <c r="O98" i="20" s="1"/>
  <c r="N97" i="20"/>
  <c r="O97" i="20" s="1"/>
  <c r="M67" i="20" a="1"/>
  <c r="M67" i="20" s="1"/>
  <c r="M63" i="20" a="1"/>
  <c r="M63" i="20" s="1"/>
  <c r="M62" i="20" a="1"/>
  <c r="M62" i="20" s="1"/>
  <c r="M61" i="20" a="1"/>
  <c r="M61" i="20" s="1"/>
  <c r="M60" i="20" a="1"/>
  <c r="M60" i="20" s="1"/>
  <c r="M59" i="20" a="1"/>
  <c r="M59" i="20" s="1"/>
  <c r="M58" i="20" a="1"/>
  <c r="M58" i="20" s="1"/>
  <c r="E161" i="7" a="1"/>
  <c r="T143" i="7" a="1"/>
  <c r="T161" i="7" a="1"/>
  <c r="T108" i="7" a="1"/>
  <c r="E161" i="7" l="1"/>
  <c r="E160" i="6"/>
  <c r="E161" i="6" s="1"/>
  <c r="T161" i="7"/>
  <c r="T143" i="7"/>
  <c r="I214" i="8"/>
  <c r="S189" i="8"/>
  <c r="S194" i="8" s="1"/>
  <c r="T108" i="7"/>
  <c r="O199" i="8"/>
  <c r="O102" i="20"/>
  <c r="G228" i="8"/>
  <c r="I228" i="8"/>
  <c r="T142" i="8"/>
  <c r="L174" i="8" s="1"/>
  <c r="K174" i="8"/>
  <c r="T135" i="8"/>
  <c r="L171" i="8" s="1"/>
  <c r="K171" i="8"/>
  <c r="J156" i="6"/>
  <c r="J145" i="6" s="1"/>
  <c r="I145" i="6"/>
  <c r="M64" i="20" a="1"/>
  <c r="M64" i="20" s="1"/>
  <c r="E162" i="7" a="1"/>
  <c r="E164" i="7" a="1"/>
  <c r="T162" i="7" a="1"/>
  <c r="T144" i="7" a="1"/>
  <c r="T109" i="7" a="1"/>
  <c r="E164" i="7" l="1"/>
  <c r="E162" i="7"/>
  <c r="E162" i="6"/>
  <c r="T144" i="7"/>
  <c r="T162" i="7"/>
  <c r="T109" i="7"/>
  <c r="H229" i="8"/>
  <c r="G229" i="8" s="1"/>
  <c r="G225" i="8" s="1"/>
  <c r="I71" i="20"/>
  <c r="M65" i="20" a="1"/>
  <c r="M65" i="20" s="1"/>
  <c r="E165" i="7" a="1"/>
  <c r="E163" i="7" a="1"/>
  <c r="E168" i="7" a="1"/>
  <c r="T145" i="7" a="1"/>
  <c r="T110" i="7" a="1"/>
  <c r="T163" i="7" a="1"/>
  <c r="E168" i="7" l="1"/>
  <c r="E163" i="7"/>
  <c r="E165" i="7"/>
  <c r="E163" i="6"/>
  <c r="E164" i="6" s="1"/>
  <c r="E165" i="6" s="1"/>
  <c r="T163" i="7"/>
  <c r="T145" i="7"/>
  <c r="T110" i="7"/>
  <c r="D57" i="11"/>
  <c r="E166" i="7" a="1"/>
  <c r="T164" i="7" a="1"/>
  <c r="T146" i="7" a="1"/>
  <c r="T111" i="7" a="1"/>
  <c r="E166" i="7" l="1"/>
  <c r="T146" i="7"/>
  <c r="T164" i="7"/>
  <c r="T111" i="7"/>
  <c r="N49" i="24"/>
  <c r="M49" i="24"/>
  <c r="P9" i="24"/>
  <c r="R9" i="24"/>
  <c r="M9" i="24"/>
  <c r="L9" i="24"/>
  <c r="H9" i="24"/>
  <c r="G9" i="24"/>
  <c r="F9" i="24"/>
  <c r="E9" i="24"/>
  <c r="F48" i="24"/>
  <c r="K99" i="4"/>
  <c r="L99" i="4" s="1"/>
  <c r="D106" i="16"/>
  <c r="D71" i="22"/>
  <c r="D70" i="22"/>
  <c r="D72" i="10"/>
  <c r="C57" i="20"/>
  <c r="AH82" i="20"/>
  <c r="AH83" i="20" s="1"/>
  <c r="AH84" i="20" s="1"/>
  <c r="AI84" i="20" s="1"/>
  <c r="AJ84" i="20" s="1"/>
  <c r="C33" i="25"/>
  <c r="M49" i="20"/>
  <c r="D78" i="12"/>
  <c r="M32" i="24"/>
  <c r="D103" i="12"/>
  <c r="C245" i="3"/>
  <c r="E59" i="24"/>
  <c r="G57" i="24"/>
  <c r="H57" i="24" s="1"/>
  <c r="E57" i="24"/>
  <c r="D113" i="16"/>
  <c r="D96" i="10"/>
  <c r="T147" i="7" a="1"/>
  <c r="E167" i="7" a="1"/>
  <c r="T165" i="7" a="1"/>
  <c r="T112" i="7" a="1"/>
  <c r="T147" i="7" l="1"/>
  <c r="E167" i="7"/>
  <c r="T165" i="7"/>
  <c r="T112" i="7"/>
  <c r="O49" i="24"/>
  <c r="D141" i="1"/>
  <c r="T148" i="7" a="1"/>
  <c r="T166" i="7" a="1"/>
  <c r="T113" i="7" a="1"/>
  <c r="T148" i="7" l="1"/>
  <c r="T166" i="7"/>
  <c r="T113" i="7"/>
  <c r="H35" i="9"/>
  <c r="T149" i="7" a="1"/>
  <c r="T167" i="7" a="1"/>
  <c r="T114" i="7" a="1"/>
  <c r="T149" i="7" l="1"/>
  <c r="T167" i="7"/>
  <c r="T114" i="7"/>
  <c r="T27" i="25"/>
  <c r="U27" i="25" s="1"/>
  <c r="S16" i="25"/>
  <c r="D13" i="20"/>
  <c r="E83" i="24"/>
  <c r="I9" i="24" s="1"/>
  <c r="E84" i="24"/>
  <c r="N9" i="24" s="1"/>
  <c r="E85" i="24"/>
  <c r="E86" i="24"/>
  <c r="O9" i="24" s="1"/>
  <c r="E87" i="24"/>
  <c r="Q9" i="24" s="1"/>
  <c r="E82" i="24"/>
  <c r="E74" i="24"/>
  <c r="D74" i="24"/>
  <c r="E27" i="24"/>
  <c r="F6" i="24" s="1"/>
  <c r="E28" i="24"/>
  <c r="E29" i="24"/>
  <c r="E30" i="24"/>
  <c r="D110" i="16"/>
  <c r="D91" i="5"/>
  <c r="D90" i="5"/>
  <c r="M93" i="20"/>
  <c r="N93" i="20" s="1"/>
  <c r="O93" i="20" s="1"/>
  <c r="M92" i="20"/>
  <c r="W92" i="20"/>
  <c r="T92" i="20"/>
  <c r="O300" i="3"/>
  <c r="T150" i="7" a="1"/>
  <c r="T115" i="7" a="1"/>
  <c r="T168" i="7" a="1"/>
  <c r="T150" i="7" l="1"/>
  <c r="T168" i="7"/>
  <c r="T115" i="7"/>
  <c r="N92" i="20"/>
  <c r="O92" i="20" s="1"/>
  <c r="O94" i="20" s="1"/>
  <c r="W93" i="20"/>
  <c r="T151" i="7" a="1"/>
  <c r="T116" i="7" a="1"/>
  <c r="T151" i="7" l="1"/>
  <c r="T116" i="7"/>
  <c r="N295" i="3"/>
  <c r="K303" i="3"/>
  <c r="T152" i="7" a="1"/>
  <c r="T117" i="7" a="1"/>
  <c r="T152" i="7" l="1"/>
  <c r="T117" i="7"/>
  <c r="I39" i="20"/>
  <c r="O45" i="20"/>
  <c r="D97" i="10"/>
  <c r="T153" i="7" a="1"/>
  <c r="T118" i="7" a="1"/>
  <c r="T153" i="7" l="1"/>
  <c r="T118" i="7"/>
  <c r="M53" i="20"/>
  <c r="M66" i="20" a="1"/>
  <c r="M66" i="20" s="1"/>
  <c r="M71" i="20" s="1"/>
  <c r="M82" i="22"/>
  <c r="Q79" i="22"/>
  <c r="Q80" i="22" s="1"/>
  <c r="I106" i="13"/>
  <c r="I105" i="13"/>
  <c r="M99" i="13"/>
  <c r="M98" i="13"/>
  <c r="W90" i="20"/>
  <c r="W87" i="20"/>
  <c r="W86" i="20"/>
  <c r="K99" i="13"/>
  <c r="N99" i="13" s="1"/>
  <c r="O99" i="13" s="1"/>
  <c r="K98" i="13"/>
  <c r="N98" i="13" s="1"/>
  <c r="O98" i="13" s="1"/>
  <c r="D65" i="22"/>
  <c r="M89" i="20"/>
  <c r="W89" i="20" s="1"/>
  <c r="T154" i="7" a="1"/>
  <c r="T119" i="7" a="1"/>
  <c r="T154" i="7" l="1"/>
  <c r="T119" i="7"/>
  <c r="D83" i="5"/>
  <c r="C74" i="4"/>
  <c r="T155" i="7" a="1"/>
  <c r="T120" i="7" a="1"/>
  <c r="T155" i="7" l="1"/>
  <c r="T120" i="7"/>
  <c r="N80" i="22"/>
  <c r="M77" i="22"/>
  <c r="D64" i="22"/>
  <c r="J77" i="22"/>
  <c r="I93" i="9"/>
  <c r="H93" i="9"/>
  <c r="D211" i="3"/>
  <c r="D210" i="3"/>
  <c r="D209" i="3"/>
  <c r="D207" i="3"/>
  <c r="D94" i="13"/>
  <c r="M84" i="20"/>
  <c r="W84" i="20" s="1"/>
  <c r="W83" i="20"/>
  <c r="T156" i="7" a="1"/>
  <c r="T121" i="7" a="1"/>
  <c r="T156" i="7" l="1"/>
  <c r="T121" i="7"/>
  <c r="M82" i="20"/>
  <c r="W82" i="20" s="1"/>
  <c r="C90" i="13"/>
  <c r="T157" i="7" a="1"/>
  <c r="T122" i="7" a="1"/>
  <c r="T157" i="7" l="1"/>
  <c r="T122" i="7"/>
  <c r="AB89" i="20"/>
  <c r="AB90" i="20" s="1"/>
  <c r="AA93" i="20"/>
  <c r="AA92" i="20" s="1"/>
  <c r="T158" i="7" a="1"/>
  <c r="T123" i="7" a="1"/>
  <c r="T158" i="7" l="1"/>
  <c r="T123" i="7"/>
  <c r="M88" i="20"/>
  <c r="AE82" i="20" s="1"/>
  <c r="AE81" i="20" s="1"/>
  <c r="N82" i="20"/>
  <c r="O82" i="20" s="1"/>
  <c r="T89" i="20"/>
  <c r="N89" i="20" s="1"/>
  <c r="O89" i="20" s="1"/>
  <c r="N86" i="20"/>
  <c r="O86" i="20" s="1"/>
  <c r="N87" i="20"/>
  <c r="O87" i="20" s="1"/>
  <c r="N90" i="20"/>
  <c r="O90" i="20" s="1"/>
  <c r="T84" i="20"/>
  <c r="N84" i="20" s="1"/>
  <c r="O84" i="20" s="1"/>
  <c r="T83" i="20"/>
  <c r="N83" i="20" s="1"/>
  <c r="O83" i="20" s="1"/>
  <c r="B49" i="20"/>
  <c r="S22" i="25"/>
  <c r="T159" i="7" a="1"/>
  <c r="T124" i="7" a="1"/>
  <c r="T159" i="7" l="1"/>
  <c r="T124" i="7"/>
  <c r="N88" i="20"/>
  <c r="O88" i="20" s="1"/>
  <c r="O91" i="20" s="1"/>
  <c r="W88" i="20"/>
  <c r="O85" i="20"/>
  <c r="I69" i="9"/>
  <c r="F93" i="24"/>
  <c r="G92" i="24"/>
  <c r="H92" i="24" s="1"/>
  <c r="G91" i="24"/>
  <c r="H91" i="24" s="1"/>
  <c r="G90" i="24"/>
  <c r="H90" i="24" s="1"/>
  <c r="G89" i="24"/>
  <c r="H89" i="24" s="1"/>
  <c r="G88" i="24"/>
  <c r="H88" i="24" s="1"/>
  <c r="G87" i="24"/>
  <c r="H87" i="24" s="1"/>
  <c r="G86" i="24"/>
  <c r="H86" i="24" s="1"/>
  <c r="G85" i="24"/>
  <c r="H85" i="24" s="1"/>
  <c r="G84" i="24"/>
  <c r="H84" i="24" s="1"/>
  <c r="G83" i="24"/>
  <c r="H83" i="24" s="1"/>
  <c r="G82" i="24"/>
  <c r="H82" i="24" s="1"/>
  <c r="T125" i="7" a="1"/>
  <c r="T125" i="7" l="1"/>
  <c r="G36" i="24"/>
  <c r="H36" i="24" s="1"/>
  <c r="T126" i="7" a="1"/>
  <c r="T126" i="7" l="1"/>
  <c r="H88" i="9"/>
  <c r="H80" i="9"/>
  <c r="I80" i="9" s="1"/>
  <c r="H91" i="9"/>
  <c r="I91" i="9" s="1"/>
  <c r="H90" i="9"/>
  <c r="I90" i="9" s="1"/>
  <c r="T127" i="7" a="1"/>
  <c r="T127" i="7" l="1"/>
  <c r="E67" i="14"/>
  <c r="E68" i="14" s="1"/>
  <c r="T128" i="7" a="1"/>
  <c r="T128" i="7" l="1"/>
  <c r="J73" i="22"/>
  <c r="K73" i="22" s="1"/>
  <c r="T129" i="7" a="1"/>
  <c r="T129" i="7" l="1"/>
  <c r="M69" i="22"/>
  <c r="K69" i="22"/>
  <c r="T130" i="7" a="1"/>
  <c r="T130" i="7" l="1"/>
  <c r="K67" i="22"/>
  <c r="L67" i="22" s="1"/>
  <c r="K66" i="22"/>
  <c r="L66" i="22" s="1"/>
  <c r="J69" i="22"/>
  <c r="T131" i="7" a="1"/>
  <c r="T131" i="7" l="1"/>
  <c r="L68" i="22"/>
  <c r="D31" i="20"/>
  <c r="O46" i="20" s="1"/>
  <c r="T132" i="7" a="1"/>
  <c r="T132" i="7" l="1"/>
  <c r="N63" i="22"/>
  <c r="N58" i="22"/>
  <c r="N57" i="22"/>
  <c r="M59" i="22"/>
  <c r="N59" i="22" s="1"/>
  <c r="T133" i="7" a="1"/>
  <c r="T133" i="7" l="1"/>
  <c r="N60" i="22"/>
  <c r="T134" i="7" a="1"/>
  <c r="T134" i="7" l="1"/>
  <c r="G91" i="13"/>
  <c r="L58" i="22" l="1"/>
  <c r="K58" i="22" s="1"/>
  <c r="M202" i="3" l="1"/>
  <c r="O202" i="3" s="1"/>
  <c r="P202" i="3" s="1"/>
  <c r="S284" i="3"/>
  <c r="H293" i="3"/>
  <c r="H304" i="3" s="1"/>
  <c r="H286" i="3"/>
  <c r="H297" i="3" s="1"/>
  <c r="I286" i="3"/>
  <c r="H287" i="3"/>
  <c r="H298" i="3" s="1"/>
  <c r="I287" i="3"/>
  <c r="H288" i="3"/>
  <c r="H299" i="3" s="1"/>
  <c r="I288" i="3"/>
  <c r="H289" i="3"/>
  <c r="H300" i="3" s="1"/>
  <c r="I289" i="3"/>
  <c r="H290" i="3"/>
  <c r="H301" i="3" s="1"/>
  <c r="I290" i="3"/>
  <c r="H291" i="3"/>
  <c r="H302" i="3" s="1"/>
  <c r="I291" i="3"/>
  <c r="I302" i="3" s="1"/>
  <c r="J302" i="3" s="1"/>
  <c r="I292" i="3"/>
  <c r="I303" i="3" s="1"/>
  <c r="I285" i="3"/>
  <c r="H285" i="3"/>
  <c r="H296" i="3" s="1"/>
  <c r="M203" i="3"/>
  <c r="O203" i="3" s="1"/>
  <c r="P81" i="14"/>
  <c r="R81" i="14" s="1"/>
  <c r="L63" i="22"/>
  <c r="K63" i="22" s="1"/>
  <c r="L57" i="22"/>
  <c r="K57" i="22" s="1"/>
  <c r="J287" i="3" l="1"/>
  <c r="I298" i="3"/>
  <c r="J298" i="3" s="1"/>
  <c r="J289" i="3"/>
  <c r="I300" i="3"/>
  <c r="J300" i="3" s="1"/>
  <c r="J288" i="3"/>
  <c r="I299" i="3"/>
  <c r="J299" i="3" s="1"/>
  <c r="J285" i="3"/>
  <c r="I296" i="3"/>
  <c r="J296" i="3" s="1"/>
  <c r="J286" i="3"/>
  <c r="I297" i="3"/>
  <c r="J297" i="3" s="1"/>
  <c r="J290" i="3"/>
  <c r="I301" i="3"/>
  <c r="J301" i="3" s="1"/>
  <c r="Q81" i="14"/>
  <c r="K292" i="3"/>
  <c r="J292" i="3" s="1"/>
  <c r="P203" i="3"/>
  <c r="J295" i="3" l="1"/>
  <c r="J284" i="3"/>
  <c r="K238" i="3" l="1"/>
  <c r="K235" i="3" s="1"/>
  <c r="I242" i="3"/>
  <c r="I235" i="3" s="1"/>
  <c r="O237" i="3"/>
  <c r="O238" i="3"/>
  <c r="M242" i="3"/>
  <c r="M235" i="3" s="1"/>
  <c r="N292" i="3"/>
  <c r="P292" i="3" s="1"/>
  <c r="O287" i="3"/>
  <c r="O288" i="3"/>
  <c r="O289" i="3"/>
  <c r="O286" i="3"/>
  <c r="O285" i="3"/>
  <c r="M204" i="3" l="1"/>
  <c r="O239" i="3"/>
  <c r="O235" i="3" s="1"/>
  <c r="N284" i="3"/>
  <c r="O290" i="3"/>
  <c r="K61" i="22"/>
  <c r="O204" i="3" l="1"/>
  <c r="P204" i="3" s="1"/>
  <c r="P205" i="3" s="1"/>
  <c r="P290" i="3"/>
  <c r="P284" i="3" s="1"/>
  <c r="O284" i="3"/>
  <c r="M283" i="3"/>
  <c r="K82" i="14"/>
  <c r="D80" i="5" l="1"/>
  <c r="D187" i="3"/>
  <c r="D186" i="3"/>
  <c r="AA89" i="20"/>
  <c r="AA90" i="20" s="1"/>
  <c r="AA91" i="20" s="1"/>
  <c r="AB91" i="20" s="1"/>
  <c r="AB92" i="20" s="1"/>
  <c r="AB93" i="20" s="1"/>
  <c r="AB95" i="20" s="1"/>
  <c r="D79" i="5"/>
  <c r="K189" i="3"/>
  <c r="L189" i="3" s="1"/>
  <c r="N189" i="3" s="1"/>
  <c r="L190" i="3"/>
  <c r="N190" i="3" s="1"/>
  <c r="F5" i="27"/>
  <c r="F6" i="27"/>
  <c r="F9" i="27"/>
  <c r="F4" i="27"/>
  <c r="N225" i="3"/>
  <c r="O225" i="3" s="1"/>
  <c r="N227" i="3"/>
  <c r="O227" i="3" s="1"/>
  <c r="D71" i="14"/>
  <c r="F8" i="27"/>
  <c r="F7" i="27"/>
  <c r="H171" i="9"/>
  <c r="H105" i="9"/>
  <c r="P83" i="14"/>
  <c r="M83" i="14"/>
  <c r="N75" i="14"/>
  <c r="N80" i="14" s="1"/>
  <c r="L80" i="14"/>
  <c r="M80" i="14" s="1"/>
  <c r="Q86" i="14"/>
  <c r="L79" i="14"/>
  <c r="M79" i="14" s="1"/>
  <c r="O86" i="14"/>
  <c r="L78" i="14"/>
  <c r="M78" i="14" s="1"/>
  <c r="M86" i="14"/>
  <c r="L77" i="14"/>
  <c r="M77" i="14" s="1"/>
  <c r="K86" i="14"/>
  <c r="J74" i="15"/>
  <c r="I78" i="9"/>
  <c r="S99" i="5"/>
  <c r="T99" i="5" s="1"/>
  <c r="S98" i="5"/>
  <c r="AA92" i="5"/>
  <c r="AC92" i="5" s="1"/>
  <c r="AB92" i="5" l="1"/>
  <c r="AA100" i="5" s="1"/>
  <c r="X100" i="5" s="1"/>
  <c r="Y100" i="5" s="1"/>
  <c r="AA95" i="20"/>
  <c r="I4" i="27"/>
  <c r="N226" i="3"/>
  <c r="O226" i="3" s="1"/>
  <c r="N191" i="3"/>
  <c r="N228" i="3"/>
  <c r="Q83" i="14"/>
  <c r="R83" i="14"/>
  <c r="O78" i="14"/>
  <c r="P78" i="14" s="1"/>
  <c r="Q78" i="14" s="1"/>
  <c r="O79" i="14"/>
  <c r="P79" i="14" s="1"/>
  <c r="O80" i="14"/>
  <c r="P80" i="14" s="1"/>
  <c r="R80" i="14" s="1"/>
  <c r="O77" i="14"/>
  <c r="P77" i="14" s="1"/>
  <c r="M82" i="14"/>
  <c r="S100" i="5"/>
  <c r="T98" i="5"/>
  <c r="AA104" i="5"/>
  <c r="AA102" i="5"/>
  <c r="X102" i="5" s="1"/>
  <c r="Y102" i="5" s="1"/>
  <c r="AA101" i="5"/>
  <c r="X101" i="5" s="1"/>
  <c r="Y101" i="5" s="1"/>
  <c r="AA99" i="5"/>
  <c r="X99" i="5" s="1"/>
  <c r="Y99" i="5" s="1"/>
  <c r="AA97" i="5" l="1"/>
  <c r="X97" i="5" s="1"/>
  <c r="AA103" i="5"/>
  <c r="X103" i="5" s="1"/>
  <c r="Y103" i="5" s="1"/>
  <c r="Y107" i="5" s="1"/>
  <c r="O228" i="3"/>
  <c r="O230" i="3" s="1"/>
  <c r="R78" i="14"/>
  <c r="Q77" i="14"/>
  <c r="R77" i="14"/>
  <c r="Q79" i="14"/>
  <c r="R79" i="14"/>
  <c r="Q80" i="14"/>
  <c r="T100" i="5"/>
  <c r="T95" i="5" s="1"/>
  <c r="S95" i="5"/>
  <c r="U100" i="5"/>
  <c r="Z97" i="5" l="1"/>
  <c r="Q82" i="14"/>
  <c r="X104" i="5"/>
  <c r="Y104" i="5" s="1"/>
  <c r="Y95" i="5" s="1"/>
  <c r="X95" i="5" l="1"/>
  <c r="O48" i="20" l="1"/>
  <c r="D65" i="11" l="1"/>
  <c r="G8" i="24" l="1"/>
  <c r="H8" i="24"/>
  <c r="K8" i="24"/>
  <c r="L8" i="24"/>
  <c r="M8" i="24"/>
  <c r="N8" i="24"/>
  <c r="O8" i="24"/>
  <c r="P8" i="24"/>
  <c r="Q8" i="24"/>
  <c r="E8" i="24"/>
  <c r="N74" i="5"/>
  <c r="G48" i="24" l="1"/>
  <c r="N73" i="5"/>
  <c r="N72" i="5"/>
  <c r="P76" i="5" l="1"/>
  <c r="M75" i="5"/>
  <c r="P75" i="5" s="1"/>
  <c r="S53" i="5"/>
  <c r="P53" i="5"/>
  <c r="O64" i="5"/>
  <c r="P64" i="5" s="1"/>
  <c r="F74" i="24" l="1"/>
  <c r="G59" i="24"/>
  <c r="H59" i="24" s="1"/>
  <c r="G60" i="24"/>
  <c r="G61" i="24"/>
  <c r="G62" i="24"/>
  <c r="G63" i="24"/>
  <c r="H63" i="24" s="1"/>
  <c r="V21" i="25"/>
  <c r="T26" i="25"/>
  <c r="U26" i="25" s="1"/>
  <c r="U28" i="25"/>
  <c r="T21" i="25"/>
  <c r="U21" i="25" s="1"/>
  <c r="O85" i="24"/>
  <c r="P85" i="24" s="1"/>
  <c r="O86" i="24"/>
  <c r="P86" i="24" s="1"/>
  <c r="O87" i="24"/>
  <c r="P87" i="24" s="1"/>
  <c r="N37" i="24"/>
  <c r="G37" i="24"/>
  <c r="H37" i="24" s="1"/>
  <c r="G33" i="24"/>
  <c r="H33" i="24" s="1"/>
  <c r="G34" i="24"/>
  <c r="H34" i="24" s="1"/>
  <c r="G35" i="24"/>
  <c r="H35" i="24" s="1"/>
  <c r="N69" i="5"/>
  <c r="D165" i="3" l="1"/>
  <c r="M28" i="20"/>
  <c r="N28" i="20" s="1"/>
  <c r="M46" i="20"/>
  <c r="O67" i="5"/>
  <c r="L68" i="4"/>
  <c r="AE68" i="4" s="1"/>
  <c r="P68" i="4"/>
  <c r="X68" i="4"/>
  <c r="M68" i="4" s="1"/>
  <c r="N68" i="4" s="1"/>
  <c r="O84" i="24"/>
  <c r="P84" i="24" s="1"/>
  <c r="M84" i="24"/>
  <c r="F8" i="24" s="1"/>
  <c r="O83" i="24"/>
  <c r="P83" i="24" s="1"/>
  <c r="O82" i="24"/>
  <c r="P82" i="24" s="1"/>
  <c r="M83" i="24"/>
  <c r="J8" i="24" s="1"/>
  <c r="M82" i="24"/>
  <c r="I8" i="24" s="1"/>
  <c r="G7" i="24"/>
  <c r="H7" i="24"/>
  <c r="L7" i="24"/>
  <c r="M7" i="24"/>
  <c r="N7" i="24"/>
  <c r="O7" i="24"/>
  <c r="P7" i="24"/>
  <c r="Q7" i="24"/>
  <c r="R7" i="24"/>
  <c r="G6" i="24"/>
  <c r="H6" i="24"/>
  <c r="L6" i="24"/>
  <c r="M6" i="24"/>
  <c r="N6" i="24"/>
  <c r="O6" i="24"/>
  <c r="P6" i="24"/>
  <c r="Q6" i="24"/>
  <c r="R6" i="24"/>
  <c r="G5" i="24"/>
  <c r="H5" i="24"/>
  <c r="K5" i="24"/>
  <c r="L5" i="24"/>
  <c r="M5" i="24"/>
  <c r="N5" i="24"/>
  <c r="O5" i="24"/>
  <c r="Q5" i="24"/>
  <c r="R5" i="24"/>
  <c r="E5" i="24"/>
  <c r="M28" i="24"/>
  <c r="I7" i="24" s="1"/>
  <c r="M29" i="24"/>
  <c r="J7" i="24" s="1"/>
  <c r="M30" i="24"/>
  <c r="K7" i="24" s="1"/>
  <c r="M31" i="24"/>
  <c r="E7" i="24" s="1"/>
  <c r="M27" i="24"/>
  <c r="F7" i="24" s="1"/>
  <c r="G54" i="24"/>
  <c r="H54" i="24" s="1"/>
  <c r="G55" i="24"/>
  <c r="H55" i="24" s="1"/>
  <c r="G56" i="24"/>
  <c r="H56" i="24" s="1"/>
  <c r="G58" i="24"/>
  <c r="H58" i="24" s="1"/>
  <c r="G53" i="24"/>
  <c r="H53" i="24" s="1"/>
  <c r="E54" i="24"/>
  <c r="I5" i="24" s="1"/>
  <c r="E55" i="24"/>
  <c r="J5" i="24" s="1"/>
  <c r="E56" i="24"/>
  <c r="E58" i="24"/>
  <c r="P5" i="24" s="1"/>
  <c r="E53" i="24"/>
  <c r="F5" i="24" s="1"/>
  <c r="AC72" i="5"/>
  <c r="AC73" i="5"/>
  <c r="O72" i="5"/>
  <c r="P72" i="5" s="1"/>
  <c r="O73" i="5"/>
  <c r="P73" i="5" s="1"/>
  <c r="T62" i="5"/>
  <c r="N62" i="5" s="1"/>
  <c r="V283" i="3"/>
  <c r="U281" i="3"/>
  <c r="T280" i="3"/>
  <c r="U280" i="3" s="1"/>
  <c r="S279" i="3"/>
  <c r="O277" i="3"/>
  <c r="R69" i="5"/>
  <c r="X69" i="5"/>
  <c r="N270" i="3"/>
  <c r="N278" i="3"/>
  <c r="E121" i="1"/>
  <c r="X63" i="4"/>
  <c r="M63" i="4" s="1"/>
  <c r="N63" i="4" s="1"/>
  <c r="AE63" i="4"/>
  <c r="D57" i="12"/>
  <c r="N28" i="25"/>
  <c r="O28" i="25" s="1"/>
  <c r="O25" i="25"/>
  <c r="T25" i="25" s="1"/>
  <c r="U25" i="25" s="1"/>
  <c r="O17" i="25"/>
  <c r="T17" i="25" s="1"/>
  <c r="U17" i="25" s="1"/>
  <c r="O24" i="25"/>
  <c r="T24" i="25" s="1"/>
  <c r="U24" i="25" s="1"/>
  <c r="O23" i="25"/>
  <c r="T23" i="25" s="1"/>
  <c r="U23" i="25" s="1"/>
  <c r="D122" i="1"/>
  <c r="J121" i="1"/>
  <c r="I55" i="24" l="1"/>
  <c r="U276" i="3"/>
  <c r="AC69" i="5"/>
  <c r="M45" i="20"/>
  <c r="M47" i="20"/>
  <c r="S276" i="3"/>
  <c r="T279" i="3"/>
  <c r="T276" i="3" s="1"/>
  <c r="AC74" i="5"/>
  <c r="O74" i="5"/>
  <c r="P74" i="5" s="1"/>
  <c r="O69" i="5"/>
  <c r="P69" i="5" s="1"/>
  <c r="P85" i="5" l="1"/>
  <c r="D75" i="16" l="1"/>
  <c r="D38" i="11"/>
  <c r="C66" i="14"/>
  <c r="D160" i="3"/>
  <c r="D83" i="13"/>
  <c r="D15" i="21"/>
  <c r="D82" i="13"/>
  <c r="D33" i="11"/>
  <c r="E59" i="5"/>
  <c r="E60" i="5" s="1"/>
  <c r="E61" i="5" s="1"/>
  <c r="E62" i="5" s="1"/>
  <c r="E63" i="5" s="1"/>
  <c r="E64" i="5" s="1"/>
  <c r="E65" i="5" s="1"/>
  <c r="S2" i="7" a="1"/>
  <c r="R2" i="7" a="1"/>
  <c r="E66" i="5" l="1"/>
  <c r="E67" i="5" s="1"/>
  <c r="E68" i="5" s="1"/>
  <c r="E69" i="5" s="1"/>
  <c r="R2" i="7"/>
  <c r="S2" i="7"/>
  <c r="J78" i="13"/>
  <c r="R37" i="22"/>
  <c r="D84" i="2"/>
  <c r="E70" i="5" l="1"/>
  <c r="E71" i="5" s="1"/>
  <c r="E72" i="5" s="1"/>
  <c r="R34" i="22"/>
  <c r="R35" i="22"/>
  <c r="R36" i="22"/>
  <c r="R41" i="22"/>
  <c r="R39" i="22"/>
  <c r="R38" i="22"/>
  <c r="R42" i="22"/>
  <c r="R43" i="22"/>
  <c r="R33" i="22"/>
  <c r="Q40" i="22"/>
  <c r="R40" i="22" s="1"/>
  <c r="AC41" i="22"/>
  <c r="AD40" i="22"/>
  <c r="AC40" i="22"/>
  <c r="D153" i="3"/>
  <c r="D24" i="19"/>
  <c r="D45" i="10"/>
  <c r="AD39" i="22" l="1"/>
  <c r="E73" i="5"/>
  <c r="E74" i="5" s="1"/>
  <c r="E75" i="5" s="1"/>
  <c r="E76" i="5" s="1"/>
  <c r="E77" i="5" s="1"/>
  <c r="E78" i="5" s="1"/>
  <c r="E79" i="5" s="1"/>
  <c r="E80" i="5" s="1"/>
  <c r="E81" i="5" s="1"/>
  <c r="E82" i="5" s="1"/>
  <c r="E83" i="5" s="1"/>
  <c r="E84" i="5" s="1"/>
  <c r="E85" i="5" s="1"/>
  <c r="E86" i="5" s="1"/>
  <c r="E87" i="5" s="1"/>
  <c r="E88" i="5" s="1"/>
  <c r="E89" i="5" s="1"/>
  <c r="E90" i="5" s="1"/>
  <c r="E91" i="5" s="1"/>
  <c r="E92" i="5" s="1"/>
  <c r="E93" i="5" s="1"/>
  <c r="E94" i="5" s="1"/>
  <c r="P148" i="3"/>
  <c r="P149" i="3"/>
  <c r="P147" i="3"/>
  <c r="N149" i="3"/>
  <c r="N148" i="3"/>
  <c r="N147" i="3"/>
  <c r="J151" i="3"/>
  <c r="P151" i="3" s="1"/>
  <c r="J152" i="3"/>
  <c r="M152" i="3" s="1"/>
  <c r="M149" i="3"/>
  <c r="L148" i="3"/>
  <c r="L151" i="3" s="1"/>
  <c r="M147" i="3"/>
  <c r="J22" i="19"/>
  <c r="M28" i="19"/>
  <c r="N269" i="3"/>
  <c r="J269" i="3"/>
  <c r="P152" i="3" l="1"/>
  <c r="M148" i="3"/>
  <c r="M150" i="3" s="1"/>
  <c r="M151" i="3"/>
  <c r="M153" i="3" s="1"/>
  <c r="N151" i="3"/>
  <c r="D78" i="6" s="1"/>
  <c r="E78" i="6" s="1"/>
  <c r="N150" i="3"/>
  <c r="N152" i="3"/>
  <c r="D79" i="6" s="1"/>
  <c r="E79" i="6" l="1"/>
  <c r="E80" i="6" s="1"/>
  <c r="E81" i="6" s="1"/>
  <c r="E82" i="6" s="1"/>
  <c r="E83" i="6" s="1"/>
  <c r="E84" i="6" s="1"/>
  <c r="E85" i="6" s="1"/>
  <c r="E86" i="6" s="1"/>
  <c r="E87" i="6" s="1"/>
  <c r="E88" i="6" s="1"/>
  <c r="E89" i="6" s="1"/>
  <c r="E90" i="6" s="1"/>
  <c r="E91" i="6" s="1"/>
  <c r="E92" i="6" s="1"/>
  <c r="E93" i="6" s="1"/>
  <c r="E94" i="6" s="1"/>
  <c r="E95" i="6" s="1"/>
  <c r="E96" i="6" s="1"/>
  <c r="E97" i="6" s="1"/>
  <c r="E98" i="6" s="1"/>
  <c r="E99" i="6" s="1"/>
  <c r="E100" i="6" s="1"/>
  <c r="E101" i="6" s="1"/>
  <c r="E102" i="6" s="1"/>
  <c r="E103" i="6" s="1"/>
  <c r="E104" i="6" s="1"/>
  <c r="E105" i="6" s="1"/>
  <c r="E106" i="6" s="1"/>
  <c r="E107" i="6" s="1"/>
  <c r="E108" i="6" s="1"/>
  <c r="E109" i="6" s="1"/>
  <c r="E110" i="6" s="1"/>
  <c r="E111" i="6" s="1"/>
  <c r="E112" i="6" s="1"/>
  <c r="E113" i="6" s="1"/>
  <c r="E114" i="6" s="1"/>
  <c r="E115" i="6" s="1"/>
  <c r="E116" i="6" s="1"/>
  <c r="E117" i="6" s="1"/>
  <c r="E118" i="6" s="1"/>
  <c r="E119" i="6" s="1"/>
  <c r="E120" i="6" s="1"/>
  <c r="E121" i="6" s="1"/>
  <c r="E122" i="6" s="1"/>
  <c r="N153" i="3"/>
  <c r="T37" i="22" l="1"/>
  <c r="R31" i="22" s="1"/>
  <c r="O22" i="25" l="1"/>
  <c r="U22" i="25" s="1"/>
  <c r="O20" i="25"/>
  <c r="T20" i="25" s="1"/>
  <c r="U20" i="25" s="1"/>
  <c r="C106" i="1"/>
  <c r="AA41" i="22"/>
  <c r="AB40" i="22"/>
  <c r="AA40" i="22"/>
  <c r="Y41" i="22"/>
  <c r="Z40" i="22"/>
  <c r="Y40" i="22"/>
  <c r="W41" i="22"/>
  <c r="X40" i="22"/>
  <c r="W40" i="22"/>
  <c r="U41" i="22"/>
  <c r="V40" i="22"/>
  <c r="U40" i="22"/>
  <c r="O155" i="9"/>
  <c r="R274" i="3"/>
  <c r="R270" i="3" s="1"/>
  <c r="M279" i="3"/>
  <c r="N279" i="3" s="1"/>
  <c r="O279" i="3" s="1"/>
  <c r="O270" i="3" s="1"/>
  <c r="I279" i="3"/>
  <c r="I293" i="3" s="1"/>
  <c r="I304" i="3" s="1"/>
  <c r="M14" i="25"/>
  <c r="Q21" i="25"/>
  <c r="D17" i="20"/>
  <c r="K304" i="3" l="1"/>
  <c r="K295" i="3" s="1"/>
  <c r="I295" i="3"/>
  <c r="K293" i="3"/>
  <c r="K284" i="3" s="1"/>
  <c r="I284" i="3"/>
  <c r="Z39" i="22"/>
  <c r="AB39" i="22"/>
  <c r="X39" i="22"/>
  <c r="V39" i="22"/>
  <c r="R44" i="22"/>
  <c r="M270" i="3"/>
  <c r="J279" i="3"/>
  <c r="J281" i="3" s="1"/>
  <c r="N281" i="3" l="1"/>
  <c r="J270" i="3"/>
  <c r="AG34" i="22" l="1"/>
  <c r="D132" i="3" l="1"/>
  <c r="G31" i="22"/>
  <c r="AE35" i="22"/>
  <c r="AG35" i="22" s="1"/>
  <c r="AF33" i="22"/>
  <c r="AE33" i="22"/>
  <c r="AC34" i="22"/>
  <c r="AD33" i="22"/>
  <c r="AC33" i="22"/>
  <c r="AA34" i="22"/>
  <c r="AB33" i="22"/>
  <c r="AA33" i="22"/>
  <c r="Y35" i="22"/>
  <c r="Z33" i="22"/>
  <c r="Y33" i="22"/>
  <c r="W35" i="22"/>
  <c r="V33" i="22"/>
  <c r="X33" i="22"/>
  <c r="W33" i="22"/>
  <c r="M27" i="22"/>
  <c r="U37" i="22"/>
  <c r="Z32" i="22" l="1"/>
  <c r="AB32" i="22"/>
  <c r="V32" i="22"/>
  <c r="AD32" i="22"/>
  <c r="AH35" i="22"/>
  <c r="X32" i="22"/>
  <c r="AF32" i="22"/>
  <c r="AH32" i="22" l="1"/>
  <c r="O14" i="25" l="1"/>
  <c r="P28" i="25" l="1"/>
  <c r="P24" i="25"/>
  <c r="P17" i="25"/>
  <c r="P25" i="25"/>
  <c r="P23" i="25"/>
  <c r="P22" i="25"/>
  <c r="P20" i="25"/>
  <c r="P21" i="25"/>
  <c r="O15" i="25" l="1"/>
  <c r="T15" i="25" s="1"/>
  <c r="U15" i="25" s="1"/>
  <c r="O18" i="25"/>
  <c r="D16" i="25"/>
  <c r="C40" i="22" s="1"/>
  <c r="O19" i="25"/>
  <c r="O16" i="25"/>
  <c r="T18" i="25" l="1"/>
  <c r="U18" i="25" s="1"/>
  <c r="P19" i="25"/>
  <c r="T19" i="25"/>
  <c r="U19" i="25" s="1"/>
  <c r="P16" i="25"/>
  <c r="T16" i="25"/>
  <c r="U16" i="25" s="1"/>
  <c r="P31" i="25"/>
  <c r="P15" i="25"/>
  <c r="P30" i="25"/>
  <c r="P32" i="25"/>
  <c r="P18" i="25"/>
  <c r="U31" i="25" l="1"/>
  <c r="U32" i="25"/>
  <c r="U30" i="25"/>
  <c r="V29" i="25"/>
  <c r="W29" i="25"/>
  <c r="D63" i="14"/>
  <c r="AG54" i="4"/>
  <c r="AH54" i="4" s="1"/>
  <c r="L54" i="4" s="1"/>
  <c r="AE54" i="4" s="1"/>
  <c r="AG55" i="4"/>
  <c r="AH55" i="4" s="1"/>
  <c r="L55" i="4" s="1"/>
  <c r="D55" i="5"/>
  <c r="AE55" i="4" l="1"/>
  <c r="O183" i="3"/>
  <c r="O33" i="20" l="1"/>
  <c r="O32" i="20"/>
  <c r="M34" i="20" l="1"/>
  <c r="C131" i="3"/>
  <c r="I102" i="9"/>
  <c r="I170" i="9"/>
  <c r="O28" i="24" l="1"/>
  <c r="P28" i="24" s="1"/>
  <c r="O29" i="24"/>
  <c r="P29" i="24" s="1"/>
  <c r="O30" i="24"/>
  <c r="P30" i="24" s="1"/>
  <c r="O31" i="24"/>
  <c r="P31" i="24" s="1"/>
  <c r="Q29" i="24" l="1"/>
  <c r="G32" i="24"/>
  <c r="H32" i="24" s="1"/>
  <c r="G29" i="24"/>
  <c r="H29" i="24" s="1"/>
  <c r="G31" i="24"/>
  <c r="H31" i="24" s="1"/>
  <c r="G27" i="24"/>
  <c r="J6" i="24"/>
  <c r="G30" i="24"/>
  <c r="H30" i="24" s="1"/>
  <c r="K6" i="24" l="1"/>
  <c r="I99" i="9" l="1"/>
  <c r="X54" i="4"/>
  <c r="X55" i="4"/>
  <c r="D76" i="2"/>
  <c r="C125" i="3"/>
  <c r="C124" i="3"/>
  <c r="AJ49" i="5"/>
  <c r="AJ48" i="5"/>
  <c r="AG49" i="5"/>
  <c r="AH49" i="5" s="1"/>
  <c r="N49" i="5" s="1"/>
  <c r="AK49" i="5" s="1"/>
  <c r="AG48" i="5"/>
  <c r="AH48" i="5" s="1"/>
  <c r="N48" i="5" s="1"/>
  <c r="AK48" i="5" s="1"/>
  <c r="R48" i="5"/>
  <c r="AJ50" i="5" l="1"/>
  <c r="M55" i="4"/>
  <c r="N55" i="4" s="1"/>
  <c r="M54" i="4"/>
  <c r="N54" i="4" s="1"/>
  <c r="O49" i="5"/>
  <c r="P49" i="5" l="1"/>
  <c r="X48" i="5"/>
  <c r="O48" i="5" s="1"/>
  <c r="P48" i="5" s="1"/>
  <c r="D51" i="5" s="1"/>
  <c r="D29" i="22"/>
  <c r="D52" i="5" l="1"/>
  <c r="P50" i="5"/>
  <c r="R83" i="9"/>
  <c r="D128" i="3" l="1"/>
  <c r="M33" i="20" l="1"/>
  <c r="M32" i="20"/>
  <c r="P32" i="20" s="1"/>
  <c r="M31" i="20"/>
  <c r="C64" i="13"/>
  <c r="D62" i="13"/>
  <c r="X51" i="4"/>
  <c r="L51" i="4"/>
  <c r="K51" i="4"/>
  <c r="L50" i="4"/>
  <c r="X50" i="4"/>
  <c r="X52" i="4"/>
  <c r="K49" i="4"/>
  <c r="X49" i="4"/>
  <c r="L49" i="4"/>
  <c r="X48" i="4"/>
  <c r="L48" i="4"/>
  <c r="X47" i="4"/>
  <c r="L47" i="4"/>
  <c r="X46" i="4"/>
  <c r="L46" i="4"/>
  <c r="K46" i="4"/>
  <c r="L45" i="4"/>
  <c r="X45" i="4"/>
  <c r="X41" i="4"/>
  <c r="M41" i="4" s="1"/>
  <c r="N41" i="4" s="1"/>
  <c r="L38" i="4"/>
  <c r="AE38" i="4" s="1"/>
  <c r="L40" i="4"/>
  <c r="AE40" i="4" s="1"/>
  <c r="L39" i="4"/>
  <c r="AE39" i="4" s="1"/>
  <c r="X39" i="4"/>
  <c r="AE41" i="4"/>
  <c r="AE42" i="4"/>
  <c r="X38" i="4"/>
  <c r="X42" i="4"/>
  <c r="M42" i="4" s="1"/>
  <c r="X40" i="4"/>
  <c r="G29" i="22"/>
  <c r="M39" i="4" l="1"/>
  <c r="N39" i="4" s="1"/>
  <c r="D41" i="4" s="1"/>
  <c r="M40" i="4"/>
  <c r="N40" i="4" s="1"/>
  <c r="M47" i="4"/>
  <c r="N47" i="4" s="1"/>
  <c r="M38" i="4"/>
  <c r="N38" i="4" s="1"/>
  <c r="M48" i="4"/>
  <c r="N48" i="4" s="1"/>
  <c r="M51" i="4"/>
  <c r="N51" i="4" s="1"/>
  <c r="M50" i="4"/>
  <c r="N50" i="4" s="1"/>
  <c r="P33" i="20"/>
  <c r="M49" i="4"/>
  <c r="N49" i="4" s="1"/>
  <c r="M45" i="4"/>
  <c r="N45" i="4" s="1"/>
  <c r="M46" i="4"/>
  <c r="N46" i="4" s="1"/>
  <c r="N42" i="4"/>
  <c r="D44" i="5"/>
  <c r="C67" i="2" l="1"/>
  <c r="D40" i="4"/>
  <c r="C68" i="2"/>
  <c r="D42" i="4"/>
  <c r="C119" i="3"/>
  <c r="D107" i="3"/>
  <c r="D113" i="3"/>
  <c r="D94" i="1"/>
  <c r="D112" i="3"/>
  <c r="I110" i="3"/>
  <c r="D42" i="5"/>
  <c r="I115" i="3" l="1"/>
  <c r="J59" i="13"/>
  <c r="J57" i="13" s="1"/>
  <c r="I173" i="9" l="1"/>
  <c r="C51" i="14" l="1"/>
  <c r="D7" i="20"/>
  <c r="O47" i="20" s="1"/>
  <c r="C105" i="3"/>
  <c r="O33" i="24"/>
  <c r="P33" i="24" s="1"/>
  <c r="G28" i="24"/>
  <c r="I6" i="24"/>
  <c r="E31" i="24"/>
  <c r="E6" i="24" s="1"/>
  <c r="E22" i="22"/>
  <c r="D24" i="22"/>
  <c r="E4" i="25"/>
  <c r="D86" i="3"/>
  <c r="D101" i="3"/>
  <c r="Q53" i="2"/>
  <c r="O57" i="2"/>
  <c r="Q56" i="2"/>
  <c r="S56" i="2" s="1"/>
  <c r="Q54" i="2"/>
  <c r="S54" i="2" s="1"/>
  <c r="P55" i="2"/>
  <c r="Q55" i="2" s="1"/>
  <c r="S55" i="2" s="1"/>
  <c r="C100" i="3"/>
  <c r="D99" i="3"/>
  <c r="I24" i="20"/>
  <c r="J24" i="20"/>
  <c r="J25" i="20" s="1"/>
  <c r="D90" i="3"/>
  <c r="D91" i="3"/>
  <c r="V44" i="5"/>
  <c r="V42" i="5" s="1"/>
  <c r="S44" i="5"/>
  <c r="S42" i="5" s="1"/>
  <c r="C30" i="10"/>
  <c r="D53" i="13"/>
  <c r="K58" i="14"/>
  <c r="K57" i="14"/>
  <c r="K56" i="14"/>
  <c r="K55" i="14"/>
  <c r="T67" i="14"/>
  <c r="P68" i="14"/>
  <c r="C88" i="3"/>
  <c r="C81" i="1"/>
  <c r="D6" i="20"/>
  <c r="P68" i="9"/>
  <c r="G180" i="9"/>
  <c r="G178" i="9" s="1"/>
  <c r="H180" i="9"/>
  <c r="H28" i="24" l="1"/>
  <c r="I29" i="24" s="1"/>
  <c r="D9" i="25"/>
  <c r="C58" i="6" s="1"/>
  <c r="E58" i="6" s="1"/>
  <c r="E59" i="6" s="1"/>
  <c r="E60" i="6" s="1"/>
  <c r="E61" i="6" s="1"/>
  <c r="E62" i="6" s="1"/>
  <c r="E63" i="6" s="1"/>
  <c r="E64" i="6" s="1"/>
  <c r="E65" i="6" s="1"/>
  <c r="E66" i="6" s="1"/>
  <c r="E67" i="6" s="1"/>
  <c r="E68" i="6" s="1"/>
  <c r="E69" i="6" s="1"/>
  <c r="E70" i="6" s="1"/>
  <c r="E71" i="6" s="1"/>
  <c r="E72" i="6" s="1"/>
  <c r="E73" i="6" s="1"/>
  <c r="E74" i="6" s="1"/>
  <c r="E75" i="6" s="1"/>
  <c r="O27" i="24"/>
  <c r="P27" i="24" s="1"/>
  <c r="S57" i="2"/>
  <c r="D5" i="25"/>
  <c r="E5" i="25" s="1"/>
  <c r="D6" i="25"/>
  <c r="C57" i="13" s="1"/>
  <c r="D7" i="25"/>
  <c r="Q57" i="2"/>
  <c r="P57" i="2"/>
  <c r="E4" i="20"/>
  <c r="E5" i="20" s="1"/>
  <c r="E6" i="20" s="1"/>
  <c r="E6" i="25" l="1"/>
  <c r="E7" i="25" s="1"/>
  <c r="E8" i="25" s="1"/>
  <c r="E9" i="25" s="1"/>
  <c r="E10" i="25" s="1"/>
  <c r="E11" i="25" s="1"/>
  <c r="E13" i="25" s="1"/>
  <c r="E14" i="25" s="1"/>
  <c r="E15" i="25" s="1"/>
  <c r="E16" i="25" s="1"/>
  <c r="E17" i="25" s="1"/>
  <c r="E18" i="25" s="1"/>
  <c r="E19" i="25" s="1"/>
  <c r="E20" i="25" s="1"/>
  <c r="E21" i="25" s="1"/>
  <c r="E22" i="25" s="1"/>
  <c r="R57" i="2"/>
  <c r="E7" i="20"/>
  <c r="E8" i="20" s="1"/>
  <c r="E9" i="20" s="1"/>
  <c r="E10" i="20" s="1"/>
  <c r="E11" i="20" s="1"/>
  <c r="E12" i="20" s="1"/>
  <c r="E13" i="20" s="1"/>
  <c r="D49" i="14"/>
  <c r="E23" i="25" l="1"/>
  <c r="E24" i="25" s="1"/>
  <c r="E25" i="25" s="1"/>
  <c r="E26" i="25" s="1"/>
  <c r="E27" i="25" s="1"/>
  <c r="E28" i="25" s="1"/>
  <c r="E29" i="25" s="1"/>
  <c r="E30" i="25" s="1"/>
  <c r="E31" i="25" s="1"/>
  <c r="E32" i="25" s="1"/>
  <c r="E33" i="25" s="1"/>
  <c r="E34" i="25" s="1"/>
  <c r="E35" i="25" s="1"/>
  <c r="E36" i="25" s="1"/>
  <c r="E37" i="25" s="1"/>
  <c r="E38" i="25" s="1"/>
  <c r="E39" i="25" s="1"/>
  <c r="E40" i="25" s="1"/>
  <c r="E41" i="25" s="1"/>
  <c r="E42" i="25" s="1"/>
  <c r="E43" i="25" s="1"/>
  <c r="E44" i="25" s="1"/>
  <c r="E14" i="20"/>
  <c r="H10" i="23"/>
  <c r="H11" i="23"/>
  <c r="H12" i="23"/>
  <c r="H13" i="23"/>
  <c r="H9" i="23"/>
  <c r="E15" i="20" l="1"/>
  <c r="E16" i="20" s="1"/>
  <c r="E17" i="20" s="1"/>
  <c r="E18" i="20" s="1"/>
  <c r="E19" i="20" s="1"/>
  <c r="E20" i="20" s="1"/>
  <c r="E21" i="20" s="1"/>
  <c r="E22" i="20" s="1"/>
  <c r="E23" i="20" s="1"/>
  <c r="D52" i="13"/>
  <c r="E24" i="20" l="1"/>
  <c r="E25" i="20" s="1"/>
  <c r="E26" i="20" s="1"/>
  <c r="E27" i="20" s="1"/>
  <c r="E28" i="20" s="1"/>
  <c r="E29" i="20" s="1"/>
  <c r="E30" i="20" s="1"/>
  <c r="E31" i="20" s="1"/>
  <c r="E32" i="20" s="1"/>
  <c r="E33" i="20" s="1"/>
  <c r="E34" i="20" s="1"/>
  <c r="E35" i="20" s="1"/>
  <c r="E36" i="20" s="1"/>
  <c r="E37" i="20" s="1"/>
  <c r="E38" i="20" s="1"/>
  <c r="E39" i="20" s="1"/>
  <c r="E40" i="20" s="1"/>
  <c r="E41" i="20" s="1"/>
  <c r="E42" i="20" s="1"/>
  <c r="E43" i="20" s="1"/>
  <c r="E44" i="20" s="1"/>
  <c r="E45" i="20" s="1"/>
  <c r="E46" i="20" s="1"/>
  <c r="E47" i="20" s="1"/>
  <c r="E48" i="20" s="1"/>
  <c r="E49" i="20" s="1"/>
  <c r="E50" i="20" s="1"/>
  <c r="E51" i="20" s="1"/>
  <c r="E52" i="20" s="1"/>
  <c r="E53" i="20" s="1"/>
  <c r="E54" i="20" s="1"/>
  <c r="E55" i="20" s="1"/>
  <c r="E56" i="20" s="1"/>
  <c r="E57" i="20" s="1"/>
  <c r="E58" i="20" s="1"/>
  <c r="AA35" i="5"/>
  <c r="O35" i="5" s="1"/>
  <c r="P35" i="5" s="1"/>
  <c r="D38" i="5" s="1"/>
  <c r="C52" i="2" s="1"/>
  <c r="E59" i="20" l="1"/>
  <c r="E60" i="20" s="1"/>
  <c r="E61" i="20" s="1"/>
  <c r="E62" i="20" s="1"/>
  <c r="E63" i="20" s="1"/>
  <c r="E64" i="20" s="1"/>
  <c r="E65" i="20" s="1"/>
  <c r="E66" i="20" s="1"/>
  <c r="E67" i="20" s="1"/>
  <c r="E68" i="20" s="1"/>
  <c r="E69" i="20" s="1"/>
  <c r="E70" i="20" s="1"/>
  <c r="E71" i="20" s="1"/>
  <c r="E72" i="20" s="1"/>
  <c r="E73" i="20" s="1"/>
  <c r="E74" i="20" s="1"/>
  <c r="E75" i="20" s="1"/>
  <c r="E76" i="20" s="1"/>
  <c r="E77" i="20" s="1"/>
  <c r="F32" i="20"/>
  <c r="C102" i="3"/>
  <c r="C84" i="3"/>
  <c r="O34" i="5"/>
  <c r="P34" i="5" s="1"/>
  <c r="N42" i="5"/>
  <c r="O44" i="5"/>
  <c r="O40" i="5"/>
  <c r="N38" i="5"/>
  <c r="T40" i="5"/>
  <c r="S38" i="5"/>
  <c r="J44" i="5"/>
  <c r="I42" i="5"/>
  <c r="J40" i="5"/>
  <c r="I38" i="5"/>
  <c r="Q87" i="3"/>
  <c r="P85" i="3"/>
  <c r="D37" i="5" l="1"/>
  <c r="O33" i="5"/>
  <c r="P33" i="5" s="1"/>
  <c r="D36" i="5" s="1"/>
  <c r="O32" i="5" l="1"/>
  <c r="P32" i="5" s="1"/>
  <c r="D39" i="5" s="1"/>
  <c r="G71" i="1" l="1"/>
  <c r="AA28" i="5"/>
  <c r="O28" i="5" s="1"/>
  <c r="O30" i="5" l="1"/>
  <c r="P30" i="5" s="1"/>
  <c r="D34" i="5" s="1"/>
  <c r="O31" i="5"/>
  <c r="P31" i="5" s="1"/>
  <c r="D35" i="5" s="1"/>
  <c r="O29" i="5"/>
  <c r="P29" i="5" s="1"/>
  <c r="D33" i="5" s="1"/>
  <c r="P28" i="5"/>
  <c r="P36" i="5" l="1"/>
  <c r="R36" i="5"/>
  <c r="D32" i="5"/>
  <c r="D77" i="3"/>
  <c r="S78" i="3"/>
  <c r="O74" i="1"/>
  <c r="D82" i="3" l="1"/>
  <c r="C76" i="3" l="1"/>
  <c r="O1" i="9" l="1"/>
  <c r="S76" i="3" l="1"/>
  <c r="P78" i="3"/>
  <c r="P76" i="3" s="1"/>
  <c r="I70" i="3"/>
  <c r="C70" i="3"/>
  <c r="C71" i="1" l="1"/>
  <c r="O72" i="1"/>
  <c r="C72" i="1" s="1"/>
  <c r="O73" i="1"/>
  <c r="C70" i="1" s="1"/>
  <c r="O70" i="1"/>
  <c r="C73" i="1" s="1"/>
  <c r="D28" i="10" l="1"/>
  <c r="E24" i="4"/>
  <c r="E25" i="4" s="1"/>
  <c r="E26" i="4" s="1"/>
  <c r="E27" i="4" s="1"/>
  <c r="E28" i="4" s="1"/>
  <c r="E29" i="4" s="1"/>
  <c r="E30" i="4" s="1"/>
  <c r="E31" i="4" s="1"/>
  <c r="E32" i="4" l="1"/>
  <c r="E34" i="4" l="1"/>
  <c r="D39" i="16"/>
  <c r="D25" i="12"/>
  <c r="E35" i="4" l="1"/>
  <c r="E36" i="4" l="1"/>
  <c r="E66" i="3"/>
  <c r="E67" i="3" s="1"/>
  <c r="E68" i="3" s="1"/>
  <c r="E70" i="3" s="1"/>
  <c r="E71" i="3" s="1"/>
  <c r="E72" i="3" s="1"/>
  <c r="E37" i="4" l="1"/>
  <c r="E38" i="4" s="1"/>
  <c r="E39" i="4" s="1"/>
  <c r="E40" i="4" s="1"/>
  <c r="E73" i="3"/>
  <c r="E74" i="3" s="1"/>
  <c r="E75" i="3" s="1"/>
  <c r="E76" i="3" s="1"/>
  <c r="E77" i="3" s="1"/>
  <c r="E78" i="3" s="1"/>
  <c r="E79" i="3" s="1"/>
  <c r="E80" i="3" s="1"/>
  <c r="E81" i="3" s="1"/>
  <c r="E82" i="3" s="1"/>
  <c r="E83" i="3" s="1"/>
  <c r="E84" i="3" s="1"/>
  <c r="E85" i="3" s="1"/>
  <c r="E41" i="4" l="1"/>
  <c r="E42" i="4" s="1"/>
  <c r="E43" i="4" s="1"/>
  <c r="E44" i="4" s="1"/>
  <c r="E45" i="4" s="1"/>
  <c r="D61" i="1"/>
  <c r="E46" i="4" l="1"/>
  <c r="E47" i="4" s="1"/>
  <c r="E48" i="4" l="1"/>
  <c r="E49" i="4" s="1"/>
  <c r="E50" i="4" s="1"/>
  <c r="E51" i="4" s="1"/>
  <c r="E52" i="4" s="1"/>
  <c r="E54" i="4" s="1"/>
  <c r="E55" i="4" s="1"/>
  <c r="E56" i="4" s="1"/>
  <c r="E57" i="4" s="1"/>
  <c r="E58" i="4" s="1"/>
  <c r="E59" i="4" s="1"/>
  <c r="E61" i="4" s="1"/>
  <c r="E62" i="4" s="1"/>
  <c r="E63" i="4" s="1"/>
  <c r="E64" i="4" s="1"/>
  <c r="E65" i="4" s="1"/>
  <c r="E66" i="4" s="1"/>
  <c r="E67" i="4" s="1"/>
  <c r="E68" i="4" s="1"/>
  <c r="E69" i="4" s="1"/>
  <c r="C56" i="3"/>
  <c r="K54" i="3"/>
  <c r="K16" i="22"/>
  <c r="D33" i="2" l="1"/>
  <c r="E70" i="4" l="1"/>
  <c r="E71" i="4" l="1"/>
  <c r="E73" i="4" s="1"/>
  <c r="E74" i="4" s="1"/>
  <c r="E75" i="4" s="1"/>
  <c r="E76" i="4" s="1"/>
  <c r="E77" i="4" s="1"/>
  <c r="E78" i="4" s="1"/>
  <c r="E79" i="4" s="1"/>
  <c r="E80" i="4" s="1"/>
  <c r="E81" i="4" s="1"/>
  <c r="E82" i="4" s="1"/>
  <c r="C46" i="3"/>
  <c r="E83" i="4" l="1"/>
  <c r="E84" i="4" s="1"/>
  <c r="E85" i="4" s="1"/>
  <c r="E86" i="4" s="1"/>
  <c r="E87" i="4" s="1"/>
  <c r="E88" i="4" s="1"/>
  <c r="E89" i="4" s="1"/>
  <c r="E90" i="4" s="1"/>
  <c r="E91" i="4" s="1"/>
  <c r="E92" i="4" s="1"/>
  <c r="E93" i="4" s="1"/>
  <c r="E94" i="4" s="1"/>
  <c r="E95" i="4" s="1"/>
  <c r="E96" i="4" s="1"/>
  <c r="E97" i="4" s="1"/>
  <c r="E98" i="4" s="1"/>
  <c r="E99" i="4" s="1"/>
  <c r="E100" i="4" s="1"/>
  <c r="E101" i="4" s="1"/>
  <c r="E102" i="4" s="1"/>
  <c r="E103" i="4" s="1"/>
  <c r="E104" i="4" s="1"/>
  <c r="D17" i="10"/>
  <c r="D31" i="13"/>
  <c r="D36" i="13"/>
  <c r="D37" i="13"/>
  <c r="H29" i="22" l="1"/>
  <c r="I27" i="22" s="1"/>
  <c r="D32" i="13" l="1"/>
  <c r="D48" i="3" l="1"/>
  <c r="R6" i="20"/>
  <c r="D36" i="14"/>
  <c r="D35" i="14"/>
  <c r="D40" i="14" l="1"/>
  <c r="K18" i="22" l="1"/>
  <c r="S57" i="3"/>
  <c r="S51" i="3" s="1"/>
  <c r="C49" i="3"/>
  <c r="C47" i="3"/>
  <c r="L18" i="22" l="1"/>
  <c r="O18" i="22"/>
  <c r="C43" i="3"/>
  <c r="C50" i="3" l="1"/>
  <c r="S46" i="3" l="1"/>
  <c r="S42" i="3" s="1"/>
  <c r="I21" i="22"/>
  <c r="T64" i="14"/>
  <c r="T62" i="14" s="1"/>
  <c r="P64" i="14"/>
  <c r="P62" i="14" s="1"/>
  <c r="K15" i="22" l="1"/>
  <c r="K14" i="22"/>
  <c r="M16" i="22"/>
  <c r="S13" i="16" s="1"/>
  <c r="J28" i="22"/>
  <c r="J27" i="22" s="1"/>
  <c r="O24" i="22"/>
  <c r="P21" i="22" s="1"/>
  <c r="L25" i="22"/>
  <c r="M21" i="22" s="1"/>
  <c r="L16" i="22" l="1"/>
  <c r="D16" i="22" s="1"/>
  <c r="O16" i="22"/>
  <c r="L14" i="22"/>
  <c r="D14" i="22" s="1"/>
  <c r="O14" i="22"/>
  <c r="L15" i="22"/>
  <c r="D15" i="22" s="1"/>
  <c r="O15" i="22"/>
  <c r="C42" i="1"/>
  <c r="E41" i="1"/>
  <c r="E87" i="3"/>
  <c r="D58" i="3"/>
  <c r="C19" i="13"/>
  <c r="S57" i="14"/>
  <c r="T54" i="14" s="1"/>
  <c r="O57" i="14"/>
  <c r="P54" i="14" s="1"/>
  <c r="U56" i="14"/>
  <c r="Q56" i="14"/>
  <c r="U55" i="14"/>
  <c r="Q55" i="14"/>
  <c r="R41" i="14"/>
  <c r="O40" i="14"/>
  <c r="P38" i="14" s="1"/>
  <c r="R36" i="14"/>
  <c r="S36" i="14" s="1"/>
  <c r="O36" i="14"/>
  <c r="P36" i="14" s="1"/>
  <c r="R30" i="14"/>
  <c r="T30" i="14"/>
  <c r="R29" i="14"/>
  <c r="T29" i="14"/>
  <c r="R28" i="14"/>
  <c r="R27" i="14"/>
  <c r="D31" i="14"/>
  <c r="D25" i="14"/>
  <c r="D6" i="21"/>
  <c r="D6" i="22"/>
  <c r="E88" i="3" l="1"/>
  <c r="E89" i="3" s="1"/>
  <c r="E90" i="3" s="1"/>
  <c r="L19" i="22"/>
  <c r="S38" i="14"/>
  <c r="U54" i="14"/>
  <c r="Q54" i="14"/>
  <c r="S34" i="14"/>
  <c r="R26" i="14"/>
  <c r="S26" i="14" s="1"/>
  <c r="S28" i="14"/>
  <c r="S30" i="14"/>
  <c r="S27" i="14"/>
  <c r="S29" i="14"/>
  <c r="E42" i="1"/>
  <c r="E43" i="1" s="1"/>
  <c r="E44" i="1" s="1"/>
  <c r="E45" i="1" s="1"/>
  <c r="E47" i="1" s="1"/>
  <c r="E48" i="1" s="1"/>
  <c r="E49" i="1" s="1"/>
  <c r="P34" i="14"/>
  <c r="R25" i="14"/>
  <c r="S25" i="14" s="1"/>
  <c r="E91" i="3" l="1"/>
  <c r="E92" i="3" s="1"/>
  <c r="E93" i="3" s="1"/>
  <c r="E94" i="3" s="1"/>
  <c r="E95" i="3" s="1"/>
  <c r="E50" i="1"/>
  <c r="E51" i="1" s="1"/>
  <c r="E96" i="3" l="1"/>
  <c r="E97" i="3" s="1"/>
  <c r="E98" i="3" s="1"/>
  <c r="E99" i="3" s="1"/>
  <c r="E100" i="3" s="1"/>
  <c r="E52" i="1"/>
  <c r="E53" i="1" s="1"/>
  <c r="S11" i="16"/>
  <c r="Q2" i="7" a="1"/>
  <c r="P2" i="7" a="1"/>
  <c r="O2" i="7" a="1"/>
  <c r="E101" i="3" l="1"/>
  <c r="E102" i="3" s="1"/>
  <c r="E103" i="3" s="1"/>
  <c r="E104" i="3" s="1"/>
  <c r="E54" i="1"/>
  <c r="E55" i="1" s="1"/>
  <c r="E57" i="1" s="1"/>
  <c r="E59" i="1" s="1"/>
  <c r="E60" i="1" s="1"/>
  <c r="E61" i="1" s="1"/>
  <c r="E62" i="1" s="1"/>
  <c r="E63" i="1" s="1"/>
  <c r="S12" i="16"/>
  <c r="P2" i="7"/>
  <c r="Q2" i="7"/>
  <c r="O2" i="7"/>
  <c r="E105" i="3" l="1"/>
  <c r="E106" i="3" s="1"/>
  <c r="E107" i="3" s="1"/>
  <c r="E109" i="3" s="1"/>
  <c r="E110" i="3" s="1"/>
  <c r="E111" i="3" s="1"/>
  <c r="E112" i="3" s="1"/>
  <c r="E113" i="3" s="1"/>
  <c r="E114" i="3" s="1"/>
  <c r="E115" i="3" s="1"/>
  <c r="E116" i="3" s="1"/>
  <c r="E117" i="3" s="1"/>
  <c r="E118" i="3" s="1"/>
  <c r="E119" i="3" s="1"/>
  <c r="E121" i="3" s="1"/>
  <c r="E122" i="3" s="1"/>
  <c r="E123" i="3" s="1"/>
  <c r="E124" i="3" s="1"/>
  <c r="E125" i="3" s="1"/>
  <c r="E126" i="3" s="1"/>
  <c r="E127" i="3" s="1"/>
  <c r="E129" i="3" s="1"/>
  <c r="E4" i="23"/>
  <c r="E5" i="23" s="1"/>
  <c r="E6" i="23" s="1"/>
  <c r="E7" i="23" s="1"/>
  <c r="E8" i="23" s="1"/>
  <c r="E9" i="23" s="1"/>
  <c r="E10" i="23" s="1"/>
  <c r="E11" i="23" s="1"/>
  <c r="E13" i="23" s="1"/>
  <c r="E14" i="23" s="1"/>
  <c r="E15" i="23" s="1"/>
  <c r="E16" i="23" s="1"/>
  <c r="E17" i="23" s="1"/>
  <c r="E130" i="3" l="1"/>
  <c r="E64" i="1"/>
  <c r="E65" i="1" s="1"/>
  <c r="C38" i="3"/>
  <c r="E4" i="22"/>
  <c r="E5" i="22" s="1"/>
  <c r="E4" i="21"/>
  <c r="E5" i="21" s="1"/>
  <c r="E131" i="3" l="1"/>
  <c r="E132" i="3" s="1"/>
  <c r="E133" i="3" s="1"/>
  <c r="E135" i="3" s="1"/>
  <c r="E136" i="3" s="1"/>
  <c r="E137" i="3" s="1"/>
  <c r="E138" i="3" s="1"/>
  <c r="E139" i="3" s="1"/>
  <c r="E140" i="3" s="1"/>
  <c r="E141" i="3" s="1"/>
  <c r="E142" i="3" s="1"/>
  <c r="E143" i="3" s="1"/>
  <c r="E144" i="3" s="1"/>
  <c r="E145" i="3" s="1"/>
  <c r="E146" i="3" s="1"/>
  <c r="E66" i="1"/>
  <c r="E7" i="21"/>
  <c r="E9" i="21" s="1"/>
  <c r="E10" i="21" s="1"/>
  <c r="E11" i="21" s="1"/>
  <c r="E6" i="22"/>
  <c r="E7" i="22" s="1"/>
  <c r="E8" i="22" s="1"/>
  <c r="E9" i="22" s="1"/>
  <c r="E12" i="21" l="1"/>
  <c r="E67" i="1"/>
  <c r="E68" i="1" s="1"/>
  <c r="E69" i="1" s="1"/>
  <c r="E70" i="1" s="1"/>
  <c r="E71" i="1" s="1"/>
  <c r="E72" i="1" s="1"/>
  <c r="E73" i="1" s="1"/>
  <c r="E74" i="1" s="1"/>
  <c r="E75" i="1" s="1"/>
  <c r="E76" i="1" s="1"/>
  <c r="E77" i="1" s="1"/>
  <c r="E78" i="1" s="1"/>
  <c r="E79" i="1" s="1"/>
  <c r="E80" i="1" s="1"/>
  <c r="E81" i="1" s="1"/>
  <c r="E82" i="1" s="1"/>
  <c r="E83" i="1" s="1"/>
  <c r="E84" i="1" s="1"/>
  <c r="E85" i="1" s="1"/>
  <c r="E86" i="1" s="1"/>
  <c r="E87" i="1" s="1"/>
  <c r="E88" i="1" s="1"/>
  <c r="E10" i="22"/>
  <c r="E11" i="22" s="1"/>
  <c r="E12" i="22" s="1"/>
  <c r="E13" i="22" s="1"/>
  <c r="E14" i="22" s="1"/>
  <c r="E15" i="22" s="1"/>
  <c r="E16" i="22" s="1"/>
  <c r="E17" i="22" s="1"/>
  <c r="E18" i="22" s="1"/>
  <c r="E19" i="22" s="1"/>
  <c r="E20" i="22" s="1"/>
  <c r="E23" i="22" s="1"/>
  <c r="E24" i="22" s="1"/>
  <c r="E25" i="22" s="1"/>
  <c r="E26" i="22" s="1"/>
  <c r="E27" i="22" s="1"/>
  <c r="E28" i="22" s="1"/>
  <c r="E29" i="22" s="1"/>
  <c r="E30" i="22" s="1"/>
  <c r="E31" i="22" s="1"/>
  <c r="E32" i="22" s="1"/>
  <c r="E33" i="22" s="1"/>
  <c r="E34" i="22" s="1"/>
  <c r="E35" i="22" s="1"/>
  <c r="E36" i="22" s="1"/>
  <c r="E37" i="22" s="1"/>
  <c r="E38" i="22" s="1"/>
  <c r="E39" i="22" s="1"/>
  <c r="E40" i="22" s="1"/>
  <c r="E41" i="22" s="1"/>
  <c r="E42" i="22" s="1"/>
  <c r="E43" i="22" s="1"/>
  <c r="E44" i="22" s="1"/>
  <c r="E45" i="22" s="1"/>
  <c r="E46" i="22" s="1"/>
  <c r="E47" i="22" s="1"/>
  <c r="E48" i="22" s="1"/>
  <c r="E49" i="22" s="1"/>
  <c r="E50" i="22" s="1"/>
  <c r="E51" i="22" s="1"/>
  <c r="E52" i="22" s="1"/>
  <c r="E53" i="22" s="1"/>
  <c r="E54" i="22" s="1"/>
  <c r="E55" i="22" s="1"/>
  <c r="E56" i="22" s="1"/>
  <c r="E57" i="22" s="1"/>
  <c r="E58" i="22" s="1"/>
  <c r="E59" i="22" s="1"/>
  <c r="E60" i="22" s="1"/>
  <c r="E61" i="22" s="1"/>
  <c r="E62" i="22" s="1"/>
  <c r="E63" i="22" s="1"/>
  <c r="E64" i="22" s="1"/>
  <c r="E65" i="22" s="1"/>
  <c r="E66" i="22" s="1"/>
  <c r="E67" i="22" s="1"/>
  <c r="E68" i="22" s="1"/>
  <c r="C39" i="3"/>
  <c r="D40" i="3"/>
  <c r="E69" i="22" l="1"/>
  <c r="E70" i="22" s="1"/>
  <c r="E71" i="22" s="1"/>
  <c r="E72" i="22" s="1"/>
  <c r="E73" i="22" s="1"/>
  <c r="E74" i="22" s="1"/>
  <c r="E75" i="22" s="1"/>
  <c r="E76" i="22" s="1"/>
  <c r="E77" i="22" s="1"/>
  <c r="E78" i="22" s="1"/>
  <c r="E79" i="22" s="1"/>
  <c r="E80" i="22" s="1"/>
  <c r="E81" i="22" s="1"/>
  <c r="E82" i="22" s="1"/>
  <c r="E83" i="22" s="1"/>
  <c r="E147" i="3"/>
  <c r="E148" i="3" s="1"/>
  <c r="E149" i="3" s="1"/>
  <c r="E150" i="3" s="1"/>
  <c r="E13" i="21"/>
  <c r="E14" i="21" s="1"/>
  <c r="E15" i="21" s="1"/>
  <c r="E16" i="21" s="1"/>
  <c r="E17" i="21" s="1"/>
  <c r="E18" i="21" s="1"/>
  <c r="E19" i="21" s="1"/>
  <c r="E89" i="1"/>
  <c r="E90" i="1" s="1"/>
  <c r="B34" i="1"/>
  <c r="E20" i="21" l="1"/>
  <c r="E21" i="21" s="1"/>
  <c r="E22" i="21" s="1"/>
  <c r="E23" i="21" s="1"/>
  <c r="E151" i="3"/>
  <c r="E91" i="1"/>
  <c r="E92" i="1" s="1"/>
  <c r="E93" i="1" s="1"/>
  <c r="E94" i="1" s="1"/>
  <c r="E95" i="1" s="1"/>
  <c r="E96" i="1" s="1"/>
  <c r="E97" i="1" s="1"/>
  <c r="E98" i="1" s="1"/>
  <c r="E99" i="1" s="1"/>
  <c r="D36" i="3"/>
  <c r="E24" i="21" l="1"/>
  <c r="E25" i="21" s="1"/>
  <c r="E26" i="21" s="1"/>
  <c r="E27" i="21" s="1"/>
  <c r="E28" i="21" s="1"/>
  <c r="E29" i="21" s="1"/>
  <c r="E30" i="21" s="1"/>
  <c r="E31" i="21" s="1"/>
  <c r="E32" i="21" s="1"/>
  <c r="E33" i="21" s="1"/>
  <c r="E34" i="21" s="1"/>
  <c r="E35" i="21" s="1"/>
  <c r="E36" i="21" s="1"/>
  <c r="E37" i="21" s="1"/>
  <c r="E38" i="21" s="1"/>
  <c r="E39" i="21" s="1"/>
  <c r="E40" i="21" s="1"/>
  <c r="E41" i="21" s="1"/>
  <c r="E100" i="1"/>
  <c r="E101" i="1" s="1"/>
  <c r="E152" i="3"/>
  <c r="E153" i="3" s="1"/>
  <c r="D20" i="14"/>
  <c r="D17" i="13"/>
  <c r="D12" i="13"/>
  <c r="E102" i="1" l="1"/>
  <c r="E103" i="1" s="1"/>
  <c r="E104" i="1" s="1"/>
  <c r="E105" i="1" s="1"/>
  <c r="E106" i="1" s="1"/>
  <c r="E107" i="1" s="1"/>
  <c r="E108" i="1" s="1"/>
  <c r="E109" i="1" s="1"/>
  <c r="E110" i="1" s="1"/>
  <c r="E111" i="1" s="1"/>
  <c r="E112" i="1" s="1"/>
  <c r="E113" i="1" s="1"/>
  <c r="E114" i="1" s="1"/>
  <c r="E154" i="3"/>
  <c r="E155" i="3" s="1"/>
  <c r="E156" i="3" s="1"/>
  <c r="E157" i="3" s="1"/>
  <c r="E158" i="3" s="1"/>
  <c r="E159" i="3" s="1"/>
  <c r="E160" i="3" s="1"/>
  <c r="E161" i="3" s="1"/>
  <c r="E162" i="3" s="1"/>
  <c r="E163" i="3" s="1"/>
  <c r="E164" i="3" s="1"/>
  <c r="E165" i="3" s="1"/>
  <c r="E166" i="3" s="1"/>
  <c r="E167" i="3" s="1"/>
  <c r="E168" i="3" s="1"/>
  <c r="E169" i="3" s="1"/>
  <c r="E170" i="3" s="1"/>
  <c r="D34" i="3"/>
  <c r="D33" i="3"/>
  <c r="E171" i="3" l="1"/>
  <c r="E172" i="3" s="1"/>
  <c r="E173" i="3" s="1"/>
  <c r="E174" i="3" s="1"/>
  <c r="E175" i="3" s="1"/>
  <c r="E176" i="3" s="1"/>
  <c r="E177" i="3" s="1"/>
  <c r="E178" i="3" s="1"/>
  <c r="E179" i="3" s="1"/>
  <c r="E180" i="3" s="1"/>
  <c r="E181" i="3" s="1"/>
  <c r="E182" i="3" s="1"/>
  <c r="E183" i="3" s="1"/>
  <c r="E184" i="3" s="1"/>
  <c r="E185" i="3" s="1"/>
  <c r="E186" i="3" s="1"/>
  <c r="E187" i="3" s="1"/>
  <c r="E188" i="3" s="1"/>
  <c r="E189" i="3" s="1"/>
  <c r="E115" i="1"/>
  <c r="E116" i="1" s="1"/>
  <c r="E117" i="1" s="1"/>
  <c r="E118" i="1" s="1"/>
  <c r="U39" i="16"/>
  <c r="V40" i="16"/>
  <c r="V39" i="16" s="1"/>
  <c r="V42" i="16"/>
  <c r="V43" i="16" s="1"/>
  <c r="U43" i="16"/>
  <c r="V33" i="16"/>
  <c r="V32" i="16" s="1"/>
  <c r="U32" i="16"/>
  <c r="V35" i="16"/>
  <c r="V36" i="16" s="1"/>
  <c r="U36" i="16"/>
  <c r="R35" i="16"/>
  <c r="R36" i="16" s="1"/>
  <c r="R42" i="16"/>
  <c r="R43" i="16" s="1"/>
  <c r="Q43" i="16"/>
  <c r="Q39" i="16"/>
  <c r="R39" i="16"/>
  <c r="Q36" i="16"/>
  <c r="R33" i="16"/>
  <c r="R32" i="16" s="1"/>
  <c r="Q32" i="16"/>
  <c r="E190" i="3" l="1"/>
  <c r="E191" i="3" s="1"/>
  <c r="E192" i="3" s="1"/>
  <c r="E193" i="3" s="1"/>
  <c r="E194" i="3" s="1"/>
  <c r="E195" i="3" s="1"/>
  <c r="E196" i="3" s="1"/>
  <c r="E197" i="3" s="1"/>
  <c r="E198" i="3" s="1"/>
  <c r="E199" i="3" s="1"/>
  <c r="E200" i="3" s="1"/>
  <c r="E119" i="1"/>
  <c r="E120" i="1" s="1"/>
  <c r="Q44" i="16"/>
  <c r="U37" i="16"/>
  <c r="Q37" i="16"/>
  <c r="U44" i="16"/>
  <c r="C25" i="3"/>
  <c r="E201" i="3" l="1"/>
  <c r="E202" i="3" s="1"/>
  <c r="E203" i="3" s="1"/>
  <c r="E204" i="3" s="1"/>
  <c r="E205" i="3" s="1"/>
  <c r="E206" i="3" s="1"/>
  <c r="E207" i="3" s="1"/>
  <c r="E208" i="3" s="1"/>
  <c r="E209" i="3" s="1"/>
  <c r="E210" i="3" s="1"/>
  <c r="E211" i="3" s="1"/>
  <c r="E212" i="3" s="1"/>
  <c r="E213" i="3" s="1"/>
  <c r="E214" i="3" s="1"/>
  <c r="E215" i="3" s="1"/>
  <c r="E216" i="3" s="1"/>
  <c r="E217" i="3" s="1"/>
  <c r="E218" i="3" s="1"/>
  <c r="E219" i="3" s="1"/>
  <c r="E220" i="3" s="1"/>
  <c r="E122" i="1"/>
  <c r="E123" i="1" s="1"/>
  <c r="E124" i="1" s="1"/>
  <c r="E125" i="1" s="1"/>
  <c r="E126" i="1" s="1"/>
  <c r="E127" i="1" s="1"/>
  <c r="E128" i="1" s="1"/>
  <c r="E129" i="1" s="1"/>
  <c r="E130" i="1" s="1"/>
  <c r="E131" i="1" s="1"/>
  <c r="E132" i="1" s="1"/>
  <c r="E133" i="1" s="1"/>
  <c r="E134" i="1" s="1"/>
  <c r="E135" i="1" s="1"/>
  <c r="E136" i="1" s="1"/>
  <c r="E137" i="1" s="1"/>
  <c r="AA12" i="5"/>
  <c r="E138" i="1" l="1"/>
  <c r="E139" i="1" s="1"/>
  <c r="E140" i="1" s="1"/>
  <c r="E141" i="1" s="1"/>
  <c r="E142" i="1" s="1"/>
  <c r="E143" i="1" s="1"/>
  <c r="E144" i="1" s="1"/>
  <c r="E221" i="3"/>
  <c r="E222" i="3" s="1"/>
  <c r="E223" i="3" s="1"/>
  <c r="E224" i="3" s="1"/>
  <c r="O9" i="5"/>
  <c r="P9" i="5" s="1"/>
  <c r="D15" i="5" s="1"/>
  <c r="D23" i="3"/>
  <c r="E145" i="1" l="1"/>
  <c r="E225" i="3"/>
  <c r="E226" i="3" s="1"/>
  <c r="E227" i="3" s="1"/>
  <c r="AG11" i="5"/>
  <c r="AG12" i="5"/>
  <c r="AG16" i="5"/>
  <c r="E146" i="1" l="1"/>
  <c r="E147" i="1" s="1"/>
  <c r="E148" i="1" s="1"/>
  <c r="E149" i="1" s="1"/>
  <c r="E150" i="1" s="1"/>
  <c r="E151" i="1" s="1"/>
  <c r="E152" i="1" s="1"/>
  <c r="E153" i="1" s="1"/>
  <c r="E154" i="1" s="1"/>
  <c r="E155" i="1" s="1"/>
  <c r="E156" i="1" s="1"/>
  <c r="E157" i="1" s="1"/>
  <c r="E228" i="3"/>
  <c r="E229" i="3" s="1"/>
  <c r="E4" i="19"/>
  <c r="E5" i="19" s="1"/>
  <c r="E6" i="19" s="1"/>
  <c r="E7" i="19" s="1"/>
  <c r="E158" i="1" l="1"/>
  <c r="E159" i="1" s="1"/>
  <c r="E230" i="3"/>
  <c r="E231" i="3" s="1"/>
  <c r="E232" i="3" s="1"/>
  <c r="E233" i="3" s="1"/>
  <c r="E234" i="3" s="1"/>
  <c r="E235" i="3" s="1"/>
  <c r="E236" i="3" s="1"/>
  <c r="E237" i="3" s="1"/>
  <c r="E238" i="3" s="1"/>
  <c r="E239" i="3" s="1"/>
  <c r="E240" i="3" s="1"/>
  <c r="E241" i="3" s="1"/>
  <c r="E243" i="3" s="1"/>
  <c r="E244" i="3" s="1"/>
  <c r="E245" i="3" s="1"/>
  <c r="E246" i="3" s="1"/>
  <c r="E247" i="3" s="1"/>
  <c r="E248" i="3" s="1"/>
  <c r="E249" i="3" s="1"/>
  <c r="E250" i="3" s="1"/>
  <c r="E251" i="3" s="1"/>
  <c r="E252" i="3" s="1"/>
  <c r="E253" i="3" s="1"/>
  <c r="E254" i="3" s="1"/>
  <c r="E255" i="3" s="1"/>
  <c r="E256" i="3" s="1"/>
  <c r="E257" i="3" s="1"/>
  <c r="E258" i="3" s="1"/>
  <c r="E259" i="3" s="1"/>
  <c r="E8" i="19"/>
  <c r="E9" i="19" s="1"/>
  <c r="E10" i="19" s="1"/>
  <c r="E11" i="19" s="1"/>
  <c r="E12" i="19" s="1"/>
  <c r="E13" i="19" s="1"/>
  <c r="E14" i="19" s="1"/>
  <c r="E15" i="19" s="1"/>
  <c r="E16" i="19" s="1"/>
  <c r="E17" i="19" s="1"/>
  <c r="E18" i="19" s="1"/>
  <c r="E19" i="19" s="1"/>
  <c r="E20" i="19" s="1"/>
  <c r="E21" i="19" s="1"/>
  <c r="AE22" i="4"/>
  <c r="AE23" i="4"/>
  <c r="AE21" i="4"/>
  <c r="AE13" i="4"/>
  <c r="AE14" i="4"/>
  <c r="AE12" i="4"/>
  <c r="E263" i="3" l="1"/>
  <c r="E264" i="3" s="1"/>
  <c r="E265" i="3" s="1"/>
  <c r="E266" i="3" s="1"/>
  <c r="E267" i="3" s="1"/>
  <c r="E268" i="3" s="1"/>
  <c r="E269" i="3" s="1"/>
  <c r="E270" i="3" s="1"/>
  <c r="E271" i="3" s="1"/>
  <c r="E272" i="3" s="1"/>
  <c r="E273" i="3" s="1"/>
  <c r="E274" i="3" s="1"/>
  <c r="E275" i="3" s="1"/>
  <c r="E276" i="3" s="1"/>
  <c r="E277" i="3" s="1"/>
  <c r="E278" i="3" s="1"/>
  <c r="E279" i="3" s="1"/>
  <c r="E280" i="3" s="1"/>
  <c r="E160" i="1"/>
  <c r="E161" i="1" s="1"/>
  <c r="E162" i="1" s="1"/>
  <c r="E163" i="1" s="1"/>
  <c r="E164" i="1" s="1"/>
  <c r="E165" i="1" s="1"/>
  <c r="E166" i="1" s="1"/>
  <c r="E167" i="1" s="1"/>
  <c r="E168" i="1" s="1"/>
  <c r="E169" i="1" s="1"/>
  <c r="E170" i="1" s="1"/>
  <c r="E171" i="1" s="1"/>
  <c r="E172" i="1" s="1"/>
  <c r="E173" i="1" s="1"/>
  <c r="E174" i="1" s="1"/>
  <c r="E175" i="1" s="1"/>
  <c r="E176" i="1" s="1"/>
  <c r="E177" i="1" s="1"/>
  <c r="E178" i="1" s="1"/>
  <c r="E22" i="19"/>
  <c r="E23" i="19" s="1"/>
  <c r="E24" i="19" s="1"/>
  <c r="E25" i="19" s="1"/>
  <c r="E26" i="19" s="1"/>
  <c r="E27" i="19" s="1"/>
  <c r="E28" i="19" s="1"/>
  <c r="E29" i="19" s="1"/>
  <c r="E30" i="19" s="1"/>
  <c r="E31" i="19" s="1"/>
  <c r="E32" i="19" s="1"/>
  <c r="E33" i="19" s="1"/>
  <c r="E34" i="19" s="1"/>
  <c r="E35" i="19" s="1"/>
  <c r="H173" i="9"/>
  <c r="R20" i="16"/>
  <c r="S20" i="16" s="1"/>
  <c r="E10" i="12"/>
  <c r="E11" i="12" s="1"/>
  <c r="E12" i="12" s="1"/>
  <c r="E13" i="12" s="1"/>
  <c r="R19" i="16"/>
  <c r="S19" i="16" s="1"/>
  <c r="T18" i="16"/>
  <c r="R18" i="16"/>
  <c r="S18" i="16" s="1"/>
  <c r="Q26" i="16"/>
  <c r="Q25" i="16"/>
  <c r="Q24" i="16"/>
  <c r="R16" i="16"/>
  <c r="S16" i="16" s="1"/>
  <c r="T16" i="16"/>
  <c r="I25" i="16"/>
  <c r="I26" i="16"/>
  <c r="I27" i="16"/>
  <c r="I24" i="16"/>
  <c r="G28" i="16"/>
  <c r="H23" i="16" s="1"/>
  <c r="T2" i="16"/>
  <c r="T3" i="16" s="1"/>
  <c r="T4" i="16" s="1"/>
  <c r="T17" i="16"/>
  <c r="R17" i="16"/>
  <c r="S17" i="16" s="1"/>
  <c r="M25" i="16"/>
  <c r="M26" i="16"/>
  <c r="M27" i="16"/>
  <c r="M28" i="16"/>
  <c r="M29" i="16"/>
  <c r="M24" i="16"/>
  <c r="Q17" i="16"/>
  <c r="Q18" i="16" s="1"/>
  <c r="D155" i="7" a="1"/>
  <c r="D155" i="7" l="1"/>
  <c r="E281" i="3"/>
  <c r="E179" i="1"/>
  <c r="E180" i="1" s="1"/>
  <c r="E181" i="1" s="1"/>
  <c r="E182" i="1" s="1"/>
  <c r="E183" i="1" s="1"/>
  <c r="S21" i="16"/>
  <c r="K30" i="16"/>
  <c r="L23" i="16" s="1"/>
  <c r="I23" i="16"/>
  <c r="O27" i="16"/>
  <c r="P23" i="16" s="1"/>
  <c r="Q19" i="16"/>
  <c r="G40" i="16" s="1"/>
  <c r="H36" i="16" s="1"/>
  <c r="T5" i="16"/>
  <c r="T6" i="16" s="1"/>
  <c r="T7" i="16" s="1"/>
  <c r="T8" i="16" s="1"/>
  <c r="T9" i="16" s="1"/>
  <c r="T10" i="16" s="1"/>
  <c r="T11" i="16" s="1"/>
  <c r="T12" i="16" s="1"/>
  <c r="T13" i="16" s="1"/>
  <c r="D162" i="7" a="1"/>
  <c r="D156" i="7" a="1"/>
  <c r="D162" i="7" l="1"/>
  <c r="D156" i="7"/>
  <c r="E282" i="3"/>
  <c r="M23" i="16"/>
  <c r="Q20" i="16"/>
  <c r="K38" i="16" s="1"/>
  <c r="L36" i="16" s="1"/>
  <c r="Q23" i="16"/>
  <c r="D163" i="7" a="1"/>
  <c r="D157" i="7" a="1"/>
  <c r="D168" i="7" a="1"/>
  <c r="D168" i="7" l="1"/>
  <c r="D157" i="7"/>
  <c r="D163" i="7"/>
  <c r="E283" i="3"/>
  <c r="E284" i="3" s="1"/>
  <c r="E285" i="3" s="1"/>
  <c r="AE11" i="4"/>
  <c r="D164" i="7" a="1"/>
  <c r="D158" i="7" a="1"/>
  <c r="E286" i="3" l="1"/>
  <c r="E287" i="3" s="1"/>
  <c r="E288" i="3" s="1"/>
  <c r="E289" i="3" s="1"/>
  <c r="E290" i="3" s="1"/>
  <c r="E291" i="3" s="1"/>
  <c r="E292" i="3" s="1"/>
  <c r="E293" i="3" s="1"/>
  <c r="E294" i="3" s="1"/>
  <c r="D158" i="7"/>
  <c r="D164" i="7"/>
  <c r="H10" i="17"/>
  <c r="D165" i="7" a="1"/>
  <c r="D159" i="7" a="1"/>
  <c r="D159" i="7" l="1"/>
  <c r="D165" i="7"/>
  <c r="E8" i="1"/>
  <c r="D160" i="7" a="1"/>
  <c r="D166" i="7" a="1"/>
  <c r="D160" i="7" l="1"/>
  <c r="D166" i="7"/>
  <c r="D8" i="3"/>
  <c r="D167" i="7" a="1"/>
  <c r="D161" i="7" a="1"/>
  <c r="D161" i="7" l="1"/>
  <c r="D167" i="7"/>
  <c r="AA16" i="5"/>
  <c r="AA11" i="5"/>
  <c r="P13" i="5"/>
  <c r="D22" i="5" s="1"/>
  <c r="P14" i="5"/>
  <c r="D23" i="5" s="1"/>
  <c r="P15" i="5"/>
  <c r="O10" i="5"/>
  <c r="P10" i="5" s="1"/>
  <c r="D16" i="5" s="1"/>
  <c r="O16" i="5" l="1"/>
  <c r="P16" i="5" s="1"/>
  <c r="D19" i="5" s="1"/>
  <c r="O11" i="5"/>
  <c r="P11" i="5" s="1"/>
  <c r="D17" i="5" s="1"/>
  <c r="O12" i="5"/>
  <c r="P12" i="5" s="1"/>
  <c r="D18" i="5" s="1"/>
  <c r="P17" i="5" l="1"/>
  <c r="R17" i="5" s="1"/>
  <c r="D8" i="14"/>
  <c r="X10" i="4" l="1"/>
  <c r="M10" i="4" s="1"/>
  <c r="N10" i="4" s="1"/>
  <c r="X12" i="4"/>
  <c r="X13" i="4"/>
  <c r="X14" i="4"/>
  <c r="X9" i="4"/>
  <c r="M9" i="4" s="1"/>
  <c r="N9" i="4" s="1"/>
  <c r="N11" i="4"/>
  <c r="E5" i="17"/>
  <c r="E6" i="17" s="1"/>
  <c r="E7" i="17" s="1"/>
  <c r="E8" i="17" s="1"/>
  <c r="E9" i="17" s="1"/>
  <c r="E10" i="17" s="1"/>
  <c r="E12" i="17" s="1"/>
  <c r="E13" i="17" s="1"/>
  <c r="E14" i="17" s="1"/>
  <c r="E15" i="17" s="1"/>
  <c r="E16" i="17" s="1"/>
  <c r="E17" i="17" s="1"/>
  <c r="E18" i="17" s="1"/>
  <c r="E19" i="17" s="1"/>
  <c r="E20" i="17" s="1"/>
  <c r="E21" i="17" s="1"/>
  <c r="E22" i="17" s="1"/>
  <c r="E23" i="17" s="1"/>
  <c r="J2" i="7" a="1"/>
  <c r="M14" i="4" l="1"/>
  <c r="N14" i="4" s="1"/>
  <c r="M13" i="4"/>
  <c r="N13" i="4" s="1"/>
  <c r="M12" i="4"/>
  <c r="N12" i="4" s="1"/>
  <c r="J2" i="7"/>
  <c r="N16" i="4" l="1"/>
  <c r="P16" i="4" s="1"/>
  <c r="D6" i="3" l="1"/>
  <c r="E4" i="10" l="1"/>
  <c r="E5" i="10" s="1"/>
  <c r="E6" i="10" s="1"/>
  <c r="E7" i="10" s="1"/>
  <c r="E8" i="10" s="1"/>
  <c r="D4" i="5" l="1"/>
  <c r="D6" i="14" l="1"/>
  <c r="E4" i="16"/>
  <c r="E5" i="16" s="1"/>
  <c r="E6" i="16" s="1"/>
  <c r="E7" i="16" s="1"/>
  <c r="E8" i="16" s="1"/>
  <c r="E4" i="12"/>
  <c r="E5" i="12" s="1"/>
  <c r="E6" i="12" s="1"/>
  <c r="E7" i="12" s="1"/>
  <c r="E8" i="12" s="1"/>
  <c r="E14" i="12" s="1"/>
  <c r="E4" i="3"/>
  <c r="E6" i="3" s="1"/>
  <c r="E4" i="5"/>
  <c r="E5" i="5" s="1"/>
  <c r="E7" i="5" s="1"/>
  <c r="E8" i="5" s="1"/>
  <c r="E9" i="5" s="1"/>
  <c r="E10" i="5" s="1"/>
  <c r="C34" i="1"/>
  <c r="E4" i="1"/>
  <c r="E6" i="1" s="1"/>
  <c r="E9" i="1" s="1"/>
  <c r="E10" i="1" s="1"/>
  <c r="E4" i="14"/>
  <c r="E5" i="14" s="1"/>
  <c r="E4" i="13"/>
  <c r="E5" i="13" s="1"/>
  <c r="E6" i="13" s="1"/>
  <c r="E8" i="13" s="1"/>
  <c r="E9" i="13" s="1"/>
  <c r="E10" i="13" s="1"/>
  <c r="E11" i="13" s="1"/>
  <c r="E4" i="11"/>
  <c r="E5" i="11" s="1"/>
  <c r="E6" i="11" s="1"/>
  <c r="E7" i="11" s="1"/>
  <c r="E8" i="11" s="1"/>
  <c r="E9" i="10"/>
  <c r="E10" i="10" s="1"/>
  <c r="E11" i="10" s="1"/>
  <c r="H2" i="7" a="1"/>
  <c r="I2" i="7" a="1"/>
  <c r="N2" i="7" a="1"/>
  <c r="L2" i="7" a="1"/>
  <c r="M2" i="7" a="1"/>
  <c r="G2" i="7" a="1"/>
  <c r="K2" i="7" a="1"/>
  <c r="E15" i="12" l="1"/>
  <c r="E16" i="12" s="1"/>
  <c r="E17" i="12" s="1"/>
  <c r="E18" i="12" s="1"/>
  <c r="E9" i="11"/>
  <c r="E10" i="11" s="1"/>
  <c r="E12" i="11" s="1"/>
  <c r="E12" i="13"/>
  <c r="E13" i="13" s="1"/>
  <c r="E14" i="13" s="1"/>
  <c r="E15" i="13" s="1"/>
  <c r="E16" i="13" s="1"/>
  <c r="E17" i="13" s="1"/>
  <c r="E18" i="13" s="1"/>
  <c r="E19" i="13" s="1"/>
  <c r="E20" i="13" s="1"/>
  <c r="E6" i="14"/>
  <c r="E7" i="14" s="1"/>
  <c r="E8" i="14" s="1"/>
  <c r="E9" i="14" s="1"/>
  <c r="E10" i="14" s="1"/>
  <c r="E11" i="14" s="1"/>
  <c r="E12" i="14" s="1"/>
  <c r="E14" i="14" s="1"/>
  <c r="E15" i="14" s="1"/>
  <c r="E16" i="14" s="1"/>
  <c r="E17" i="14" s="1"/>
  <c r="E18" i="14" s="1"/>
  <c r="E19" i="14" s="1"/>
  <c r="E20" i="14" s="1"/>
  <c r="E12" i="10"/>
  <c r="E13" i="10" s="1"/>
  <c r="E14" i="10" s="1"/>
  <c r="E15" i="10" s="1"/>
  <c r="E16" i="10" s="1"/>
  <c r="E17" i="10" s="1"/>
  <c r="E18" i="10" s="1"/>
  <c r="E19" i="10" s="1"/>
  <c r="E20" i="10" s="1"/>
  <c r="E21" i="10" s="1"/>
  <c r="E10" i="16"/>
  <c r="E11" i="16" s="1"/>
  <c r="E12" i="16" s="1"/>
  <c r="E7" i="3"/>
  <c r="E8" i="3" s="1"/>
  <c r="E9" i="3" s="1"/>
  <c r="E10" i="3" s="1"/>
  <c r="E11" i="3" s="1"/>
  <c r="E12" i="3" s="1"/>
  <c r="E13" i="3" s="1"/>
  <c r="N2" i="7"/>
  <c r="H2" i="7"/>
  <c r="I2" i="7"/>
  <c r="K2" i="7"/>
  <c r="L2" i="7"/>
  <c r="M2" i="7"/>
  <c r="G2" i="7"/>
  <c r="E19" i="12" l="1"/>
  <c r="E20" i="12" s="1"/>
  <c r="E22" i="12" s="1"/>
  <c r="E23" i="12" s="1"/>
  <c r="E24" i="12" s="1"/>
  <c r="E25" i="12" s="1"/>
  <c r="E22" i="10"/>
  <c r="E23" i="10" s="1"/>
  <c r="E21" i="13"/>
  <c r="E22" i="13" s="1"/>
  <c r="E23" i="13" s="1"/>
  <c r="E24" i="13" s="1"/>
  <c r="E25" i="13" s="1"/>
  <c r="E26" i="13" s="1"/>
  <c r="E13" i="11"/>
  <c r="E14" i="11" s="1"/>
  <c r="E15" i="11" s="1"/>
  <c r="E21" i="14"/>
  <c r="E22" i="14" s="1"/>
  <c r="E23" i="14" s="1"/>
  <c r="E24" i="14" s="1"/>
  <c r="E13" i="16"/>
  <c r="E14" i="16" s="1"/>
  <c r="E15" i="16" s="1"/>
  <c r="E16" i="16" s="1"/>
  <c r="E17" i="16" s="1"/>
  <c r="E18" i="16" s="1"/>
  <c r="E19" i="16" s="1"/>
  <c r="E20" i="16" s="1"/>
  <c r="E21" i="16" s="1"/>
  <c r="E11" i="1"/>
  <c r="E26" i="12" l="1"/>
  <c r="E27" i="12" s="1"/>
  <c r="E16" i="11"/>
  <c r="E17" i="11" s="1"/>
  <c r="E18" i="11" s="1"/>
  <c r="E24" i="10"/>
  <c r="E25" i="10" s="1"/>
  <c r="E26" i="10" s="1"/>
  <c r="E27" i="10" s="1"/>
  <c r="E28" i="10" s="1"/>
  <c r="E29" i="10" s="1"/>
  <c r="E30" i="10" s="1"/>
  <c r="E27" i="13"/>
  <c r="E28" i="13" s="1"/>
  <c r="E29" i="13" s="1"/>
  <c r="E30" i="13" s="1"/>
  <c r="E31" i="13" s="1"/>
  <c r="E32" i="13" s="1"/>
  <c r="E34" i="13" s="1"/>
  <c r="E35" i="13" s="1"/>
  <c r="E36" i="13" s="1"/>
  <c r="E37" i="13" s="1"/>
  <c r="E25" i="14"/>
  <c r="E26" i="14" s="1"/>
  <c r="E27" i="14" s="1"/>
  <c r="E28" i="14" s="1"/>
  <c r="E29" i="14" s="1"/>
  <c r="E30" i="14" s="1"/>
  <c r="E31" i="14" s="1"/>
  <c r="E32" i="14" s="1"/>
  <c r="E33" i="14" s="1"/>
  <c r="E34" i="14" s="1"/>
  <c r="E35" i="14" s="1"/>
  <c r="E36" i="14" s="1"/>
  <c r="E37" i="14" s="1"/>
  <c r="E38" i="14" s="1"/>
  <c r="E39" i="14" s="1"/>
  <c r="E40" i="14" s="1"/>
  <c r="E41" i="14" s="1"/>
  <c r="E42" i="14" s="1"/>
  <c r="E43" i="14" s="1"/>
  <c r="E44" i="14" s="1"/>
  <c r="E22" i="16"/>
  <c r="E23" i="16" s="1"/>
  <c r="E24" i="16" s="1"/>
  <c r="E25" i="16" s="1"/>
  <c r="E26" i="16" s="1"/>
  <c r="E14" i="3"/>
  <c r="E15" i="3" s="1"/>
  <c r="E16" i="3" s="1"/>
  <c r="E17" i="3" s="1"/>
  <c r="E18" i="3" s="1"/>
  <c r="E19" i="3" s="1"/>
  <c r="E20" i="3" s="1"/>
  <c r="E21" i="3" s="1"/>
  <c r="E22" i="3" s="1"/>
  <c r="E23" i="3" s="1"/>
  <c r="E25" i="3" s="1"/>
  <c r="E12" i="1"/>
  <c r="E13" i="1" s="1"/>
  <c r="E14" i="1" s="1"/>
  <c r="E15" i="1" s="1"/>
  <c r="E28" i="12" l="1"/>
  <c r="E29" i="12" s="1"/>
  <c r="E31" i="10"/>
  <c r="E32" i="10" s="1"/>
  <c r="E19" i="11"/>
  <c r="E20" i="11" s="1"/>
  <c r="E27" i="16"/>
  <c r="E28" i="16" s="1"/>
  <c r="E29" i="16" s="1"/>
  <c r="E30" i="16" s="1"/>
  <c r="E31" i="16" s="1"/>
  <c r="E32" i="16" s="1"/>
  <c r="E34" i="16" s="1"/>
  <c r="E35" i="16" s="1"/>
  <c r="E37" i="16" s="1"/>
  <c r="E38" i="16" s="1"/>
  <c r="E39" i="16" s="1"/>
  <c r="E40" i="16" s="1"/>
  <c r="E41" i="16" s="1"/>
  <c r="E42" i="16" s="1"/>
  <c r="E43" i="16" s="1"/>
  <c r="E44" i="16" s="1"/>
  <c r="E38" i="13"/>
  <c r="E45" i="14"/>
  <c r="E26" i="3"/>
  <c r="E16" i="1"/>
  <c r="A3" i="7"/>
  <c r="E11" i="5"/>
  <c r="E12" i="5" s="1"/>
  <c r="E13" i="5" s="1"/>
  <c r="E14" i="5" s="1"/>
  <c r="E15" i="5" s="1"/>
  <c r="E16" i="5" s="1"/>
  <c r="E17" i="5" s="1"/>
  <c r="E18" i="5" s="1"/>
  <c r="E19" i="5" s="1"/>
  <c r="E20" i="5" s="1"/>
  <c r="E21" i="5" s="1"/>
  <c r="E22" i="5" s="1"/>
  <c r="E23" i="5" s="1"/>
  <c r="E24" i="5" s="1"/>
  <c r="E26" i="5" s="1"/>
  <c r="E27" i="5" s="1"/>
  <c r="E28" i="5" s="1"/>
  <c r="E29" i="5" s="1"/>
  <c r="E30" i="5" s="1"/>
  <c r="E31" i="5" s="1"/>
  <c r="E32" i="5" s="1"/>
  <c r="E33" i="5" s="1"/>
  <c r="E34" i="5" s="1"/>
  <c r="E35" i="5" s="1"/>
  <c r="E36" i="5" s="1"/>
  <c r="E37" i="5" s="1"/>
  <c r="E38" i="5" s="1"/>
  <c r="E39" i="5" s="1"/>
  <c r="E40" i="5" s="1"/>
  <c r="E42" i="5" s="1"/>
  <c r="E43" i="5" s="1"/>
  <c r="E44" i="5" s="1"/>
  <c r="E45" i="5" s="1"/>
  <c r="E46" i="5" s="1"/>
  <c r="E47" i="5" s="1"/>
  <c r="E48" i="5" s="1"/>
  <c r="E49" i="5" s="1"/>
  <c r="E50" i="5" s="1"/>
  <c r="E51" i="5" s="1"/>
  <c r="E52" i="5" s="1"/>
  <c r="E4" i="4"/>
  <c r="E5" i="4" s="1"/>
  <c r="E6" i="4" s="1"/>
  <c r="E7" i="4" s="1"/>
  <c r="E8" i="4" s="1"/>
  <c r="E9" i="4" s="1"/>
  <c r="E11" i="4" s="1"/>
  <c r="E12" i="4" s="1"/>
  <c r="E6" i="2"/>
  <c r="E7" i="2" s="1"/>
  <c r="E8" i="2" s="1"/>
  <c r="E9" i="2" s="1"/>
  <c r="E4" i="2"/>
  <c r="E2" i="7" a="1"/>
  <c r="B2" i="7" a="1"/>
  <c r="C2" i="7" a="1"/>
  <c r="K3" i="7" a="1"/>
  <c r="J3" i="7" a="1"/>
  <c r="N3" i="7" a="1"/>
  <c r="G3" i="7" a="1"/>
  <c r="M3" i="7" a="1"/>
  <c r="Q3" i="7" a="1"/>
  <c r="I3" i="7" a="1"/>
  <c r="P3" i="7" a="1"/>
  <c r="D2" i="7" a="1"/>
  <c r="L3" i="7" a="1"/>
  <c r="H3" i="7" a="1"/>
  <c r="O3" i="7" a="1"/>
  <c r="F2" i="7" a="1"/>
  <c r="E53" i="5" l="1"/>
  <c r="E55" i="5" s="1"/>
  <c r="E56" i="5" s="1"/>
  <c r="E57" i="5" s="1"/>
  <c r="E95" i="5" s="1"/>
  <c r="E96" i="5" s="1"/>
  <c r="E97" i="5" s="1"/>
  <c r="E98" i="5" s="1"/>
  <c r="E99" i="5" s="1"/>
  <c r="E100" i="5" s="1"/>
  <c r="E101" i="5" s="1"/>
  <c r="E102" i="5" s="1"/>
  <c r="E103" i="5" s="1"/>
  <c r="E104" i="5" s="1"/>
  <c r="E105" i="5" s="1"/>
  <c r="E106" i="5" s="1"/>
  <c r="E107" i="5" s="1"/>
  <c r="E108" i="5" s="1"/>
  <c r="E109" i="5" s="1"/>
  <c r="E110" i="5" s="1"/>
  <c r="E111" i="5" s="1"/>
  <c r="E112" i="5" s="1"/>
  <c r="E113" i="5" s="1"/>
  <c r="E114" i="5" s="1"/>
  <c r="E115" i="5" s="1"/>
  <c r="E116" i="5" s="1"/>
  <c r="E117" i="5" s="1"/>
  <c r="E118" i="5" s="1"/>
  <c r="E30" i="12"/>
  <c r="E31" i="12" s="1"/>
  <c r="E32" i="12" s="1"/>
  <c r="E33" i="12" s="1"/>
  <c r="E34" i="12" s="1"/>
  <c r="E35" i="12" s="1"/>
  <c r="E33" i="10"/>
  <c r="E45" i="16"/>
  <c r="E47" i="16" s="1"/>
  <c r="E48" i="16" s="1"/>
  <c r="E49" i="16" s="1"/>
  <c r="E50" i="16" s="1"/>
  <c r="E51" i="16" s="1"/>
  <c r="E21" i="11"/>
  <c r="E22" i="11" s="1"/>
  <c r="E23" i="11" s="1"/>
  <c r="E24" i="11" s="1"/>
  <c r="E25" i="11" s="1"/>
  <c r="E46" i="14"/>
  <c r="E48" i="14" s="1"/>
  <c r="E39" i="13"/>
  <c r="E40" i="13" s="1"/>
  <c r="E41" i="13" s="1"/>
  <c r="E42" i="13" s="1"/>
  <c r="E43" i="13" s="1"/>
  <c r="P3" i="7"/>
  <c r="Q3" i="7"/>
  <c r="O3" i="7"/>
  <c r="E27" i="3"/>
  <c r="E28" i="3" s="1"/>
  <c r="E17" i="1"/>
  <c r="E18" i="1" s="1"/>
  <c r="E19" i="1" s="1"/>
  <c r="E20" i="1" s="1"/>
  <c r="E21" i="1" s="1"/>
  <c r="E22" i="1" s="1"/>
  <c r="E23" i="1" s="1"/>
  <c r="E25" i="1" s="1"/>
  <c r="E10" i="2"/>
  <c r="E11" i="2" s="1"/>
  <c r="E12" i="2" s="1"/>
  <c r="E13" i="2" s="1"/>
  <c r="E14" i="2" s="1"/>
  <c r="E15" i="2" s="1"/>
  <c r="E16" i="2" s="1"/>
  <c r="E13" i="4"/>
  <c r="E14" i="4" s="1"/>
  <c r="J3" i="7"/>
  <c r="A4" i="7"/>
  <c r="N3" i="7"/>
  <c r="H3" i="7"/>
  <c r="K3" i="7"/>
  <c r="M3" i="7"/>
  <c r="I3" i="7"/>
  <c r="L3" i="7"/>
  <c r="G3" i="7"/>
  <c r="F2" i="7"/>
  <c r="E2" i="7"/>
  <c r="D2" i="7"/>
  <c r="C2" i="7"/>
  <c r="B2" i="7"/>
  <c r="L4" i="7" a="1"/>
  <c r="B3" i="7" a="1"/>
  <c r="Q4" i="7" a="1"/>
  <c r="K4" i="7" a="1"/>
  <c r="S3" i="7" a="1"/>
  <c r="F3" i="7" a="1"/>
  <c r="P4" i="7" a="1"/>
  <c r="C3" i="7" a="1"/>
  <c r="I4" i="7" a="1"/>
  <c r="O4" i="7" a="1"/>
  <c r="J4" i="7" a="1"/>
  <c r="D3" i="7" a="1"/>
  <c r="H4" i="7" a="1"/>
  <c r="G4" i="7" a="1"/>
  <c r="E3" i="7" a="1"/>
  <c r="N4" i="7" a="1"/>
  <c r="R3" i="7" a="1"/>
  <c r="M4" i="7" a="1"/>
  <c r="S3" i="7" l="1"/>
  <c r="R3" i="7"/>
  <c r="E52" i="16"/>
  <c r="E53" i="16" s="1"/>
  <c r="E54" i="16" s="1"/>
  <c r="E55" i="16" s="1"/>
  <c r="E49" i="14"/>
  <c r="E50" i="14" s="1"/>
  <c r="E51" i="14" s="1"/>
  <c r="E52" i="14" s="1"/>
  <c r="E53" i="14" s="1"/>
  <c r="E54" i="14" s="1"/>
  <c r="E55" i="14" s="1"/>
  <c r="E56" i="14" s="1"/>
  <c r="E57" i="14" s="1"/>
  <c r="E58" i="14" s="1"/>
  <c r="E36" i="12"/>
  <c r="E34" i="10"/>
  <c r="E44" i="13"/>
  <c r="E26" i="11"/>
  <c r="O4" i="7"/>
  <c r="Q4" i="7"/>
  <c r="P4" i="7"/>
  <c r="E15" i="4"/>
  <c r="E16" i="4" s="1"/>
  <c r="E29" i="3"/>
  <c r="E30" i="3" s="1"/>
  <c r="E31" i="3" s="1"/>
  <c r="E32" i="3" s="1"/>
  <c r="E33" i="3" s="1"/>
  <c r="E34" i="3" s="1"/>
  <c r="E36" i="3" s="1"/>
  <c r="E37" i="3" s="1"/>
  <c r="E38" i="3" s="1"/>
  <c r="E39" i="3" s="1"/>
  <c r="E40" i="3" s="1"/>
  <c r="E31" i="1"/>
  <c r="E26" i="1"/>
  <c r="E27" i="1" s="1"/>
  <c r="E28" i="1" s="1"/>
  <c r="E29" i="1" s="1"/>
  <c r="E17" i="2"/>
  <c r="E18" i="2" s="1"/>
  <c r="E20" i="2" s="1"/>
  <c r="E21" i="2" s="1"/>
  <c r="E22" i="2" s="1"/>
  <c r="E23" i="2" s="1"/>
  <c r="J4" i="7"/>
  <c r="A5" i="7"/>
  <c r="G4" i="7"/>
  <c r="L4" i="7"/>
  <c r="I4" i="7"/>
  <c r="M4" i="7"/>
  <c r="K4" i="7"/>
  <c r="H4" i="7"/>
  <c r="N4" i="7"/>
  <c r="B3" i="7"/>
  <c r="C3" i="7"/>
  <c r="E3" i="7"/>
  <c r="F3" i="7"/>
  <c r="D3" i="7"/>
  <c r="K5" i="7" a="1"/>
  <c r="F4" i="7" a="1"/>
  <c r="C4" i="7" a="1"/>
  <c r="Q5" i="7" a="1"/>
  <c r="S4" i="7" a="1"/>
  <c r="O5" i="7" a="1"/>
  <c r="N5" i="7" a="1"/>
  <c r="E4" i="7" a="1"/>
  <c r="G5" i="7" a="1"/>
  <c r="R4" i="7" a="1"/>
  <c r="M5" i="7" a="1"/>
  <c r="L5" i="7" a="1"/>
  <c r="I5" i="7" a="1"/>
  <c r="J5" i="7" a="1"/>
  <c r="B4" i="7" a="1"/>
  <c r="H5" i="7" a="1"/>
  <c r="D4" i="7" a="1"/>
  <c r="P5" i="7" a="1"/>
  <c r="R4" i="7" l="1"/>
  <c r="S4" i="7"/>
  <c r="E59" i="14"/>
  <c r="E60" i="14" s="1"/>
  <c r="E61" i="14" s="1"/>
  <c r="E62" i="14" s="1"/>
  <c r="E63" i="14" s="1"/>
  <c r="E64" i="14" s="1"/>
  <c r="E65" i="14" s="1"/>
  <c r="E69" i="14" s="1"/>
  <c r="E70" i="14" s="1"/>
  <c r="E56" i="16"/>
  <c r="E57" i="16" s="1"/>
  <c r="E58" i="16" s="1"/>
  <c r="E37" i="12"/>
  <c r="E38" i="12" s="1"/>
  <c r="E39" i="12" s="1"/>
  <c r="E40" i="12" s="1"/>
  <c r="E41" i="12" s="1"/>
  <c r="E42" i="12" s="1"/>
  <c r="E43" i="12" s="1"/>
  <c r="E35" i="10"/>
  <c r="E45" i="13"/>
  <c r="E46" i="13" s="1"/>
  <c r="E47" i="13" s="1"/>
  <c r="E48" i="13" s="1"/>
  <c r="E49" i="13" s="1"/>
  <c r="E50" i="13" s="1"/>
  <c r="E51" i="13" s="1"/>
  <c r="E52" i="13" s="1"/>
  <c r="E27" i="11"/>
  <c r="E28" i="11" s="1"/>
  <c r="Q5" i="7"/>
  <c r="O5" i="7"/>
  <c r="P5" i="7"/>
  <c r="E41" i="3"/>
  <c r="E18" i="4"/>
  <c r="E25" i="2"/>
  <c r="E26" i="2" s="1"/>
  <c r="E32" i="1"/>
  <c r="E33" i="1" s="1"/>
  <c r="E34" i="1" s="1"/>
  <c r="E35" i="1" s="1"/>
  <c r="E36" i="1" s="1"/>
  <c r="E37" i="1" s="1"/>
  <c r="E38" i="1" s="1"/>
  <c r="E39" i="1" s="1"/>
  <c r="J5" i="7"/>
  <c r="A6" i="7"/>
  <c r="N5" i="7"/>
  <c r="H5" i="7"/>
  <c r="K5" i="7"/>
  <c r="M5" i="7"/>
  <c r="I5" i="7"/>
  <c r="L5" i="7"/>
  <c r="G5" i="7"/>
  <c r="D4" i="7"/>
  <c r="F4" i="7"/>
  <c r="E4" i="7"/>
  <c r="C4" i="7"/>
  <c r="B4" i="7"/>
  <c r="R5" i="7" a="1"/>
  <c r="I6" i="7" a="1"/>
  <c r="Q6" i="7" a="1"/>
  <c r="D5" i="7" a="1"/>
  <c r="E5" i="7" a="1"/>
  <c r="C5" i="7" a="1"/>
  <c r="J6" i="7" a="1"/>
  <c r="P6" i="7" a="1"/>
  <c r="S5" i="7" a="1"/>
  <c r="L6" i="7" a="1"/>
  <c r="B5" i="7" a="1"/>
  <c r="G6" i="7" a="1"/>
  <c r="M6" i="7" a="1"/>
  <c r="N6" i="7" a="1"/>
  <c r="O6" i="7" a="1"/>
  <c r="F5" i="7" a="1"/>
  <c r="K6" i="7" a="1"/>
  <c r="C6" i="7" a="1"/>
  <c r="H6" i="7" a="1"/>
  <c r="E71" i="14" l="1"/>
  <c r="E72" i="14" s="1"/>
  <c r="E73" i="14" s="1"/>
  <c r="E74" i="14" s="1"/>
  <c r="E75" i="14" s="1"/>
  <c r="E76" i="14" s="1"/>
  <c r="E77" i="14" s="1"/>
  <c r="E78" i="14" s="1"/>
  <c r="E79" i="14" s="1"/>
  <c r="S5" i="7"/>
  <c r="R5" i="7"/>
  <c r="E59" i="16"/>
  <c r="E61" i="16" s="1"/>
  <c r="E62" i="16" s="1"/>
  <c r="E63" i="16" s="1"/>
  <c r="E64" i="16" s="1"/>
  <c r="E65" i="16" s="1"/>
  <c r="E66" i="16" s="1"/>
  <c r="E67" i="16" s="1"/>
  <c r="E68" i="16" s="1"/>
  <c r="E53" i="13"/>
  <c r="E54" i="13" s="1"/>
  <c r="E55" i="13" s="1"/>
  <c r="E56" i="13" s="1"/>
  <c r="E36" i="10"/>
  <c r="E37" i="10" s="1"/>
  <c r="E38" i="10" s="1"/>
  <c r="E29" i="11"/>
  <c r="E30" i="11" s="1"/>
  <c r="E31" i="11" s="1"/>
  <c r="E42" i="3"/>
  <c r="E43" i="3" s="1"/>
  <c r="E44" i="3" s="1"/>
  <c r="P6" i="7"/>
  <c r="O6" i="7"/>
  <c r="Q6" i="7"/>
  <c r="A7" i="7"/>
  <c r="E19" i="4"/>
  <c r="E20" i="4" s="1"/>
  <c r="E21" i="4" s="1"/>
  <c r="E22" i="4" s="1"/>
  <c r="E27" i="2"/>
  <c r="E29" i="2" s="1"/>
  <c r="E31" i="2" s="1"/>
  <c r="J6" i="7"/>
  <c r="C6" i="7"/>
  <c r="I6" i="7"/>
  <c r="N6" i="7"/>
  <c r="H6" i="7"/>
  <c r="G6" i="7"/>
  <c r="L6" i="7"/>
  <c r="M6" i="7"/>
  <c r="K6" i="7"/>
  <c r="B5" i="7"/>
  <c r="C5" i="7"/>
  <c r="E5" i="7"/>
  <c r="F5" i="7"/>
  <c r="D5" i="7"/>
  <c r="E6" i="7" a="1"/>
  <c r="G7" i="7" a="1"/>
  <c r="L7" i="7" a="1"/>
  <c r="R6" i="7" a="1"/>
  <c r="F6" i="7" a="1"/>
  <c r="H7" i="7" a="1"/>
  <c r="N7" i="7" a="1"/>
  <c r="D6" i="7" a="1"/>
  <c r="K7" i="7" a="1"/>
  <c r="M7" i="7" a="1"/>
  <c r="I7" i="7" a="1"/>
  <c r="O7" i="7" a="1"/>
  <c r="Q7" i="7" a="1"/>
  <c r="J7" i="7" a="1"/>
  <c r="C7" i="7" a="1"/>
  <c r="P7" i="7" a="1"/>
  <c r="S6" i="7" a="1"/>
  <c r="B6" i="7" a="1"/>
  <c r="E80" i="14" l="1"/>
  <c r="E81" i="14" s="1"/>
  <c r="E82" i="14" s="1"/>
  <c r="E83" i="14" s="1"/>
  <c r="E84" i="14" s="1"/>
  <c r="E85" i="14" s="1"/>
  <c r="E86" i="14" s="1"/>
  <c r="E87" i="14" s="1"/>
  <c r="E88" i="14" s="1"/>
  <c r="E89" i="14" s="1"/>
  <c r="E90" i="14" s="1"/>
  <c r="E91" i="14" s="1"/>
  <c r="E92" i="14" s="1"/>
  <c r="R6" i="7"/>
  <c r="S6" i="7"/>
  <c r="E69" i="16"/>
  <c r="E70" i="16" s="1"/>
  <c r="E71" i="16" s="1"/>
  <c r="E72" i="16" s="1"/>
  <c r="E73" i="16" s="1"/>
  <c r="E74" i="16" s="1"/>
  <c r="E75" i="16" s="1"/>
  <c r="E76" i="16" s="1"/>
  <c r="E77" i="16" s="1"/>
  <c r="E78" i="16" s="1"/>
  <c r="E79" i="16" s="1"/>
  <c r="E80" i="16" s="1"/>
  <c r="E81" i="16" s="1"/>
  <c r="E82" i="16" s="1"/>
  <c r="E83" i="16" s="1"/>
  <c r="E84" i="16" s="1"/>
  <c r="E85" i="16" s="1"/>
  <c r="E86" i="16" s="1"/>
  <c r="E87" i="16" s="1"/>
  <c r="E88" i="16" s="1"/>
  <c r="E89" i="16" s="1"/>
  <c r="E90" i="16" s="1"/>
  <c r="E91" i="16" s="1"/>
  <c r="E92" i="16" s="1"/>
  <c r="E39" i="10"/>
  <c r="E40" i="10" s="1"/>
  <c r="E41" i="10" s="1"/>
  <c r="E42" i="10" s="1"/>
  <c r="E43" i="10" s="1"/>
  <c r="E44" i="10" s="1"/>
  <c r="E45" i="10" s="1"/>
  <c r="E57" i="13"/>
  <c r="E32" i="2"/>
  <c r="E45" i="3"/>
  <c r="E46" i="3" s="1"/>
  <c r="E47" i="3" s="1"/>
  <c r="E48" i="3" s="1"/>
  <c r="E49" i="3" s="1"/>
  <c r="E50" i="3" s="1"/>
  <c r="E52" i="3" s="1"/>
  <c r="E53" i="3" s="1"/>
  <c r="E54" i="3" s="1"/>
  <c r="E55" i="3" s="1"/>
  <c r="E56" i="3" s="1"/>
  <c r="E57" i="3" s="1"/>
  <c r="Q7" i="7"/>
  <c r="O7" i="7"/>
  <c r="P7" i="7"/>
  <c r="A8" i="7"/>
  <c r="I7" i="7"/>
  <c r="N7" i="7"/>
  <c r="C7" i="7"/>
  <c r="J7" i="7"/>
  <c r="H7" i="7"/>
  <c r="K7" i="7"/>
  <c r="M7" i="7"/>
  <c r="L7" i="7"/>
  <c r="G7" i="7"/>
  <c r="D6" i="7"/>
  <c r="F6" i="7"/>
  <c r="B6" i="7"/>
  <c r="E6" i="7"/>
  <c r="D7" i="7" a="1"/>
  <c r="C8" i="7" a="1"/>
  <c r="H8" i="7" a="1"/>
  <c r="F7" i="7" a="1"/>
  <c r="Q8" i="7" a="1"/>
  <c r="M8" i="7" a="1"/>
  <c r="N8" i="7" a="1"/>
  <c r="K8" i="7" a="1"/>
  <c r="E7" i="7" a="1"/>
  <c r="J8" i="7" a="1"/>
  <c r="O8" i="7" a="1"/>
  <c r="G8" i="7" a="1"/>
  <c r="B8" i="7" a="1"/>
  <c r="I8" i="7" a="1"/>
  <c r="R7" i="7" a="1"/>
  <c r="B7" i="7" a="1"/>
  <c r="P8" i="7" a="1"/>
  <c r="S7" i="7" a="1"/>
  <c r="L8" i="7" a="1"/>
  <c r="E93" i="16" l="1"/>
  <c r="R7" i="7"/>
  <c r="S7" i="7"/>
  <c r="E46" i="10"/>
  <c r="E47" i="10" s="1"/>
  <c r="E48" i="10" s="1"/>
  <c r="E58" i="13"/>
  <c r="E59" i="13" s="1"/>
  <c r="E32" i="11"/>
  <c r="E33" i="11" s="1"/>
  <c r="E34" i="11" s="1"/>
  <c r="E35" i="11" s="1"/>
  <c r="E36" i="11" s="1"/>
  <c r="E37" i="11" s="1"/>
  <c r="E38" i="11" s="1"/>
  <c r="E39" i="11" s="1"/>
  <c r="E40" i="11" s="1"/>
  <c r="E33" i="2"/>
  <c r="E34" i="2" s="1"/>
  <c r="E35" i="2" s="1"/>
  <c r="E36" i="2" s="1"/>
  <c r="E58" i="3"/>
  <c r="E59" i="3" s="1"/>
  <c r="E60" i="3" s="1"/>
  <c r="E61" i="3" s="1"/>
  <c r="E62" i="3" s="1"/>
  <c r="E63" i="3" s="1"/>
  <c r="E64" i="3" s="1"/>
  <c r="P8" i="7"/>
  <c r="O8" i="7"/>
  <c r="Q8" i="7"/>
  <c r="K8" i="7"/>
  <c r="B8" i="7"/>
  <c r="A9" i="7"/>
  <c r="I8" i="7"/>
  <c r="C8" i="7"/>
  <c r="J8" i="7"/>
  <c r="N8" i="7"/>
  <c r="H8" i="7"/>
  <c r="G8" i="7"/>
  <c r="M8" i="7"/>
  <c r="L8" i="7"/>
  <c r="D7" i="7"/>
  <c r="F7" i="7"/>
  <c r="B7" i="7"/>
  <c r="E7" i="7"/>
  <c r="N9" i="7" a="1"/>
  <c r="R8" i="7" a="1"/>
  <c r="P9" i="7" a="1"/>
  <c r="Q9" i="7" a="1"/>
  <c r="C9" i="7" a="1"/>
  <c r="G9" i="7" a="1"/>
  <c r="S8" i="7" a="1"/>
  <c r="O9" i="7" a="1"/>
  <c r="J9" i="7" a="1"/>
  <c r="M9" i="7" a="1"/>
  <c r="F8" i="7" a="1"/>
  <c r="L9" i="7" a="1"/>
  <c r="I9" i="7" a="1"/>
  <c r="K9" i="7" a="1"/>
  <c r="E8" i="7" a="1"/>
  <c r="H9" i="7" a="1"/>
  <c r="D8" i="7" a="1"/>
  <c r="B9" i="7" a="1"/>
  <c r="E94" i="16" l="1"/>
  <c r="E95" i="16" s="1"/>
  <c r="E96" i="16" s="1"/>
  <c r="E97" i="16" s="1"/>
  <c r="E98" i="16" s="1"/>
  <c r="R8" i="7"/>
  <c r="S8" i="7"/>
  <c r="E50" i="10"/>
  <c r="E51" i="10" s="1"/>
  <c r="E60" i="13"/>
  <c r="E61" i="13" s="1"/>
  <c r="E41" i="11"/>
  <c r="E42" i="11" s="1"/>
  <c r="E43" i="11" s="1"/>
  <c r="E44" i="11" s="1"/>
  <c r="E37" i="2"/>
  <c r="E38" i="2" s="1"/>
  <c r="E39" i="2" s="1"/>
  <c r="E40" i="2" s="1"/>
  <c r="E41" i="2" s="1"/>
  <c r="Q9" i="7"/>
  <c r="O9" i="7"/>
  <c r="P9" i="7"/>
  <c r="C9" i="7"/>
  <c r="N9" i="7"/>
  <c r="K9" i="7"/>
  <c r="B9" i="7"/>
  <c r="A10" i="7"/>
  <c r="I9" i="7"/>
  <c r="J9" i="7"/>
  <c r="H9" i="7"/>
  <c r="M9" i="7"/>
  <c r="G9" i="7"/>
  <c r="L9" i="7"/>
  <c r="D8" i="7"/>
  <c r="F8" i="7"/>
  <c r="E8" i="7"/>
  <c r="J10" i="7" a="1"/>
  <c r="H10" i="7" a="1"/>
  <c r="P10" i="7" a="1"/>
  <c r="F9" i="7" a="1"/>
  <c r="K10" i="7" a="1"/>
  <c r="N10" i="7" a="1"/>
  <c r="L10" i="7" a="1"/>
  <c r="O10" i="7" a="1"/>
  <c r="C10" i="7" a="1"/>
  <c r="G10" i="7" a="1"/>
  <c r="B10" i="7" a="1"/>
  <c r="D9" i="7" a="1"/>
  <c r="M10" i="7" a="1"/>
  <c r="I10" i="7" a="1"/>
  <c r="E9" i="7" a="1"/>
  <c r="R9" i="7" a="1"/>
  <c r="S9" i="7" a="1"/>
  <c r="Q10" i="7" a="1"/>
  <c r="E99" i="16" l="1"/>
  <c r="E100" i="16" s="1"/>
  <c r="E101" i="16" s="1"/>
  <c r="E102" i="16" s="1"/>
  <c r="E103" i="16" s="1"/>
  <c r="E104" i="16" s="1"/>
  <c r="E105" i="16" s="1"/>
  <c r="E106" i="16" s="1"/>
  <c r="E107" i="16" s="1"/>
  <c r="E108" i="16" s="1"/>
  <c r="E45" i="11"/>
  <c r="E52" i="10"/>
  <c r="E53" i="10" s="1"/>
  <c r="E54" i="10" s="1"/>
  <c r="E55" i="10" s="1"/>
  <c r="R9" i="7"/>
  <c r="S9" i="7"/>
  <c r="E45" i="12"/>
  <c r="E46" i="12" s="1"/>
  <c r="E47" i="12" s="1"/>
  <c r="E48" i="12" s="1"/>
  <c r="E49" i="12" s="1"/>
  <c r="E50" i="12" s="1"/>
  <c r="E51" i="12" s="1"/>
  <c r="E52" i="12" s="1"/>
  <c r="E53" i="12" s="1"/>
  <c r="E54" i="12" s="1"/>
  <c r="E55" i="12" s="1"/>
  <c r="E56" i="12" s="1"/>
  <c r="E57" i="12" s="1"/>
  <c r="E42" i="2"/>
  <c r="E44" i="2" s="1"/>
  <c r="P10" i="7"/>
  <c r="O10" i="7"/>
  <c r="Q10" i="7"/>
  <c r="J10" i="7"/>
  <c r="G10" i="7"/>
  <c r="B10" i="7"/>
  <c r="K10" i="7"/>
  <c r="N10" i="7"/>
  <c r="C10" i="7"/>
  <c r="A11" i="7"/>
  <c r="I10" i="7"/>
  <c r="H10" i="7"/>
  <c r="M10" i="7"/>
  <c r="L10" i="7"/>
  <c r="D9" i="7"/>
  <c r="F9" i="7"/>
  <c r="E9" i="7"/>
  <c r="R10" i="7" a="1"/>
  <c r="N11" i="7" a="1"/>
  <c r="L11" i="7" a="1"/>
  <c r="K11" i="7" a="1"/>
  <c r="E10" i="7" a="1"/>
  <c r="I11" i="7" a="1"/>
  <c r="Q11" i="7" a="1"/>
  <c r="C11" i="7" a="1"/>
  <c r="O11" i="7" a="1"/>
  <c r="D10" i="7" a="1"/>
  <c r="J11" i="7" a="1"/>
  <c r="G11" i="7" a="1"/>
  <c r="F10" i="7" a="1"/>
  <c r="P11" i="7" a="1"/>
  <c r="S10" i="7" a="1"/>
  <c r="B11" i="7" a="1"/>
  <c r="M11" i="7" a="1"/>
  <c r="H11" i="7" a="1"/>
  <c r="E109" i="16" l="1"/>
  <c r="E110" i="16" s="1"/>
  <c r="E111" i="16" s="1"/>
  <c r="E112" i="16" s="1"/>
  <c r="E113" i="16" s="1"/>
  <c r="E114" i="16" s="1"/>
  <c r="E115" i="16" s="1"/>
  <c r="E46" i="11"/>
  <c r="E47" i="11" s="1"/>
  <c r="E48" i="11" s="1"/>
  <c r="E49" i="11" s="1"/>
  <c r="E50" i="11" s="1"/>
  <c r="E51" i="11" s="1"/>
  <c r="E52" i="11" s="1"/>
  <c r="E53" i="11" s="1"/>
  <c r="E54" i="11" s="1"/>
  <c r="E55" i="11" s="1"/>
  <c r="E56" i="11" s="1"/>
  <c r="E57" i="11" s="1"/>
  <c r="E58" i="11" s="1"/>
  <c r="E59" i="11" s="1"/>
  <c r="E60" i="11" s="1"/>
  <c r="E61" i="11" s="1"/>
  <c r="E62" i="11" s="1"/>
  <c r="E63" i="11" s="1"/>
  <c r="E64" i="11" s="1"/>
  <c r="E65" i="11" s="1"/>
  <c r="E66" i="11" s="1"/>
  <c r="E67" i="11" s="1"/>
  <c r="E68" i="11" s="1"/>
  <c r="E69" i="11" s="1"/>
  <c r="E70" i="11" s="1"/>
  <c r="E71" i="11" s="1"/>
  <c r="E72" i="11" s="1"/>
  <c r="E73" i="11" s="1"/>
  <c r="E74" i="11" s="1"/>
  <c r="E56" i="10"/>
  <c r="E57" i="10" s="1"/>
  <c r="E58" i="10" s="1"/>
  <c r="R10" i="7"/>
  <c r="S10" i="7"/>
  <c r="E58" i="12"/>
  <c r="E59" i="12" s="1"/>
  <c r="E60" i="12" s="1"/>
  <c r="E64" i="13"/>
  <c r="E65" i="13" s="1"/>
  <c r="E66" i="13" s="1"/>
  <c r="E45" i="2"/>
  <c r="E46" i="2" s="1"/>
  <c r="E47" i="2" s="1"/>
  <c r="E48" i="2" s="1"/>
  <c r="E49" i="2" s="1"/>
  <c r="E51" i="2" s="1"/>
  <c r="E52" i="2" s="1"/>
  <c r="E53" i="2" s="1"/>
  <c r="E54" i="2" s="1"/>
  <c r="Q11" i="7"/>
  <c r="O11" i="7"/>
  <c r="P11" i="7"/>
  <c r="J11" i="7"/>
  <c r="G11" i="7"/>
  <c r="B11" i="7"/>
  <c r="K11" i="7"/>
  <c r="N11" i="7"/>
  <c r="C11" i="7"/>
  <c r="A12" i="7"/>
  <c r="I11" i="7"/>
  <c r="H11" i="7"/>
  <c r="L11" i="7"/>
  <c r="M11" i="7"/>
  <c r="D10" i="7"/>
  <c r="F10" i="7"/>
  <c r="E10" i="7"/>
  <c r="H12" i="7" a="1"/>
  <c r="Q12" i="7" a="1"/>
  <c r="O12" i="7" a="1"/>
  <c r="J12" i="7" a="1"/>
  <c r="S11" i="7" a="1"/>
  <c r="N12" i="7" a="1"/>
  <c r="E11" i="7" a="1"/>
  <c r="M12" i="7" a="1"/>
  <c r="F11" i="7" a="1"/>
  <c r="K12" i="7" a="1"/>
  <c r="L12" i="7" a="1"/>
  <c r="I12" i="7" a="1"/>
  <c r="D11" i="7" a="1"/>
  <c r="B12" i="7" a="1"/>
  <c r="R11" i="7" a="1"/>
  <c r="G12" i="7" a="1"/>
  <c r="C12" i="7" a="1"/>
  <c r="P12" i="7" a="1"/>
  <c r="E116" i="16" l="1"/>
  <c r="E117" i="16" s="1"/>
  <c r="E118" i="16" s="1"/>
  <c r="E119" i="16" s="1"/>
  <c r="E120" i="16" s="1"/>
  <c r="E121" i="16" s="1"/>
  <c r="E122" i="16" s="1"/>
  <c r="E123" i="16" s="1"/>
  <c r="E124" i="16" s="1"/>
  <c r="E125" i="16" s="1"/>
  <c r="E126" i="16" s="1"/>
  <c r="E127" i="16" s="1"/>
  <c r="E59" i="10"/>
  <c r="E60" i="10" s="1"/>
  <c r="E61" i="10" s="1"/>
  <c r="E62" i="10" s="1"/>
  <c r="E63" i="10" s="1"/>
  <c r="E64" i="10" s="1"/>
  <c r="E65" i="10" s="1"/>
  <c r="E66" i="10" s="1"/>
  <c r="E68" i="10" s="1"/>
  <c r="E69" i="10" s="1"/>
  <c r="E70" i="10" s="1"/>
  <c r="E71" i="10" s="1"/>
  <c r="S11" i="7"/>
  <c r="R11" i="7"/>
  <c r="E67" i="13"/>
  <c r="E68" i="13" s="1"/>
  <c r="E69" i="13" s="1"/>
  <c r="E70" i="13" s="1"/>
  <c r="E61" i="12"/>
  <c r="E62" i="12" s="1"/>
  <c r="E63" i="12" s="1"/>
  <c r="E64" i="12" s="1"/>
  <c r="E65" i="12" s="1"/>
  <c r="E66" i="12" s="1"/>
  <c r="E67" i="12" s="1"/>
  <c r="E68" i="12" s="1"/>
  <c r="E69" i="12" s="1"/>
  <c r="E70" i="12" s="1"/>
  <c r="E71" i="12" s="1"/>
  <c r="E72" i="12" s="1"/>
  <c r="E73" i="12" s="1"/>
  <c r="E74" i="12" s="1"/>
  <c r="E75" i="12" s="1"/>
  <c r="E76" i="12" s="1"/>
  <c r="E77" i="12" s="1"/>
  <c r="E78" i="12" s="1"/>
  <c r="E56" i="2"/>
  <c r="E57" i="2" s="1"/>
  <c r="P12" i="7"/>
  <c r="O12" i="7"/>
  <c r="Q12" i="7"/>
  <c r="C12" i="7"/>
  <c r="K12" i="7"/>
  <c r="J12" i="7"/>
  <c r="B12" i="7"/>
  <c r="N12" i="7"/>
  <c r="G12" i="7"/>
  <c r="A13" i="7"/>
  <c r="I12" i="7"/>
  <c r="H12" i="7"/>
  <c r="M12" i="7"/>
  <c r="L12" i="7"/>
  <c r="D11" i="7"/>
  <c r="F11" i="7"/>
  <c r="E11" i="7"/>
  <c r="K13" i="7" a="1"/>
  <c r="O13" i="7" a="1"/>
  <c r="B13" i="7" a="1"/>
  <c r="F12" i="7" a="1"/>
  <c r="L13" i="7" a="1"/>
  <c r="H13" i="7" a="1"/>
  <c r="C13" i="7" a="1"/>
  <c r="R12" i="7" a="1"/>
  <c r="N13" i="7" a="1"/>
  <c r="Q13" i="7" a="1"/>
  <c r="M13" i="7" a="1"/>
  <c r="P13" i="7" a="1"/>
  <c r="E12" i="7" a="1"/>
  <c r="G13" i="7" a="1"/>
  <c r="D12" i="7" a="1"/>
  <c r="S12" i="7" a="1"/>
  <c r="I13" i="7" a="1"/>
  <c r="J13" i="7" a="1"/>
  <c r="E72" i="10" l="1"/>
  <c r="E73" i="10" s="1"/>
  <c r="E74" i="10" s="1"/>
  <c r="E75" i="10" s="1"/>
  <c r="E76" i="10" s="1"/>
  <c r="R12" i="7"/>
  <c r="S12" i="7"/>
  <c r="E72" i="13"/>
  <c r="E73" i="13" s="1"/>
  <c r="Q13" i="7"/>
  <c r="O13" i="7"/>
  <c r="P13" i="7"/>
  <c r="K13" i="7"/>
  <c r="C13" i="7"/>
  <c r="J13" i="7"/>
  <c r="G13" i="7"/>
  <c r="B13" i="7"/>
  <c r="N13" i="7"/>
  <c r="M13" i="7"/>
  <c r="A14" i="7"/>
  <c r="I13" i="7"/>
  <c r="H13" i="7"/>
  <c r="L13" i="7"/>
  <c r="D12" i="7"/>
  <c r="F12" i="7"/>
  <c r="E12" i="7"/>
  <c r="B14" i="7" a="1"/>
  <c r="Q14" i="7" a="1"/>
  <c r="S13" i="7" a="1"/>
  <c r="P14" i="7" a="1"/>
  <c r="H14" i="7" a="1"/>
  <c r="E13" i="7" a="1"/>
  <c r="D13" i="7" a="1"/>
  <c r="J14" i="7" a="1"/>
  <c r="O14" i="7" a="1"/>
  <c r="K14" i="7" a="1"/>
  <c r="C14" i="7" a="1"/>
  <c r="L14" i="7" a="1"/>
  <c r="G14" i="7" a="1"/>
  <c r="I14" i="7" a="1"/>
  <c r="M14" i="7" a="1"/>
  <c r="R13" i="7" a="1"/>
  <c r="F13" i="7" a="1"/>
  <c r="N14" i="7" a="1"/>
  <c r="E77" i="10" l="1"/>
  <c r="E78" i="10" s="1"/>
  <c r="E79" i="12"/>
  <c r="E80" i="12" s="1"/>
  <c r="E81" i="12" s="1"/>
  <c r="E82" i="12" s="1"/>
  <c r="E83" i="12" s="1"/>
  <c r="E84" i="12" s="1"/>
  <c r="E85" i="12" s="1"/>
  <c r="S13" i="7"/>
  <c r="R13" i="7"/>
  <c r="E74" i="13"/>
  <c r="E76" i="13" s="1"/>
  <c r="E77" i="13" s="1"/>
  <c r="E78" i="13" s="1"/>
  <c r="E79" i="13" s="1"/>
  <c r="E80" i="13" s="1"/>
  <c r="E81" i="13" s="1"/>
  <c r="E82" i="13" s="1"/>
  <c r="E83" i="13" s="1"/>
  <c r="E84" i="13" s="1"/>
  <c r="E85" i="13" s="1"/>
  <c r="E86" i="13" s="1"/>
  <c r="E87" i="13" s="1"/>
  <c r="E88" i="13" s="1"/>
  <c r="E89" i="13" s="1"/>
  <c r="E58" i="2"/>
  <c r="P14" i="7"/>
  <c r="O14" i="7"/>
  <c r="Q14" i="7"/>
  <c r="C14" i="7"/>
  <c r="K14" i="7"/>
  <c r="G14" i="7"/>
  <c r="N14" i="7"/>
  <c r="J14" i="7"/>
  <c r="M14" i="7"/>
  <c r="B14" i="7"/>
  <c r="L14" i="7"/>
  <c r="A15" i="7"/>
  <c r="I14" i="7"/>
  <c r="H14" i="7"/>
  <c r="D13" i="7"/>
  <c r="F13" i="7"/>
  <c r="E13" i="7"/>
  <c r="M15" i="7" a="1"/>
  <c r="K15" i="7" a="1"/>
  <c r="E14" i="7" a="1"/>
  <c r="I15" i="7" a="1"/>
  <c r="S14" i="7" a="1"/>
  <c r="F14" i="7" a="1"/>
  <c r="H15" i="7" a="1"/>
  <c r="J15" i="7" a="1"/>
  <c r="N15" i="7" a="1"/>
  <c r="Q15" i="7" a="1"/>
  <c r="D14" i="7" a="1"/>
  <c r="C15" i="7" a="1"/>
  <c r="R14" i="7" a="1"/>
  <c r="B15" i="7" a="1"/>
  <c r="G15" i="7" a="1"/>
  <c r="P15" i="7" a="1"/>
  <c r="L15" i="7" a="1"/>
  <c r="O15" i="7" a="1"/>
  <c r="E79" i="10" l="1"/>
  <c r="E86" i="12"/>
  <c r="E87" i="12" s="1"/>
  <c r="E88" i="12" s="1"/>
  <c r="E89" i="12" s="1"/>
  <c r="E90" i="12" s="1"/>
  <c r="E90" i="13"/>
  <c r="E91" i="13" s="1"/>
  <c r="E92" i="13" s="1"/>
  <c r="E93" i="13" s="1"/>
  <c r="E94" i="13" s="1"/>
  <c r="E95" i="13" s="1"/>
  <c r="E96" i="13" s="1"/>
  <c r="E97" i="13" s="1"/>
  <c r="R14" i="7"/>
  <c r="S14" i="7"/>
  <c r="E59" i="2"/>
  <c r="E60" i="2" s="1"/>
  <c r="O15" i="7"/>
  <c r="P15" i="7"/>
  <c r="Q15" i="7"/>
  <c r="B15" i="7"/>
  <c r="K15" i="7"/>
  <c r="J15" i="7"/>
  <c r="G15" i="7"/>
  <c r="C15" i="7"/>
  <c r="N15" i="7"/>
  <c r="M15" i="7"/>
  <c r="L15" i="7"/>
  <c r="A16" i="7"/>
  <c r="I15" i="7"/>
  <c r="H15" i="7"/>
  <c r="D14" i="7"/>
  <c r="F14" i="7"/>
  <c r="E14" i="7"/>
  <c r="O16" i="7" a="1"/>
  <c r="J16" i="7" a="1"/>
  <c r="Q16" i="7" a="1"/>
  <c r="M16" i="7" a="1"/>
  <c r="P16" i="7" a="1"/>
  <c r="I16" i="7" a="1"/>
  <c r="S15" i="7" a="1"/>
  <c r="G16" i="7" a="1"/>
  <c r="B16" i="7" a="1"/>
  <c r="N16" i="7" a="1"/>
  <c r="K16" i="7" a="1"/>
  <c r="D15" i="7" a="1"/>
  <c r="C16" i="7" a="1"/>
  <c r="F15" i="7" a="1"/>
  <c r="H16" i="7" a="1"/>
  <c r="L16" i="7" a="1"/>
  <c r="R15" i="7" a="1"/>
  <c r="E15" i="7" a="1"/>
  <c r="E91" i="12" l="1"/>
  <c r="E92" i="12" s="1"/>
  <c r="E93" i="12" s="1"/>
  <c r="E94" i="12" s="1"/>
  <c r="E95" i="12" s="1"/>
  <c r="E96" i="12" s="1"/>
  <c r="E97" i="12" s="1"/>
  <c r="E100" i="12" s="1"/>
  <c r="E101" i="12" s="1"/>
  <c r="E80" i="10"/>
  <c r="E81" i="10" s="1"/>
  <c r="E82" i="10" s="1"/>
  <c r="E83" i="10" s="1"/>
  <c r="E84" i="10" s="1"/>
  <c r="E85" i="10" s="1"/>
  <c r="E86" i="10" s="1"/>
  <c r="E87" i="10" s="1"/>
  <c r="E88" i="10" s="1"/>
  <c r="E89" i="10" s="1"/>
  <c r="S15" i="7"/>
  <c r="R15" i="7"/>
  <c r="E61" i="2"/>
  <c r="E62" i="2" s="1"/>
  <c r="E63" i="2" s="1"/>
  <c r="O16" i="7"/>
  <c r="Q16" i="7"/>
  <c r="P16" i="7"/>
  <c r="M16" i="7"/>
  <c r="N16" i="7"/>
  <c r="J16" i="7"/>
  <c r="C16" i="7"/>
  <c r="I16" i="7"/>
  <c r="B16" i="7"/>
  <c r="L16" i="7"/>
  <c r="K16" i="7"/>
  <c r="G16" i="7"/>
  <c r="A17" i="7"/>
  <c r="H16" i="7"/>
  <c r="D15" i="7"/>
  <c r="F15" i="7"/>
  <c r="E15" i="7"/>
  <c r="N17" i="7" a="1"/>
  <c r="C17" i="7" a="1"/>
  <c r="O17" i="7" a="1"/>
  <c r="P17" i="7" a="1"/>
  <c r="R16" i="7" a="1"/>
  <c r="L17" i="7" a="1"/>
  <c r="I17" i="7" a="1"/>
  <c r="H17" i="7" a="1"/>
  <c r="K157" i="7" a="1"/>
  <c r="D16" i="7" a="1"/>
  <c r="E16" i="7" a="1"/>
  <c r="B17" i="7" a="1"/>
  <c r="Q17" i="7" a="1"/>
  <c r="K17" i="7" a="1"/>
  <c r="G17" i="7" a="1"/>
  <c r="F16" i="7" a="1"/>
  <c r="J17" i="7" a="1"/>
  <c r="M17" i="7" a="1"/>
  <c r="S16" i="7" a="1"/>
  <c r="K157" i="7" l="1"/>
  <c r="E102" i="12"/>
  <c r="E103" i="12" s="1"/>
  <c r="R16" i="7"/>
  <c r="S16" i="7"/>
  <c r="A18" i="7"/>
  <c r="E64" i="2"/>
  <c r="O17" i="7"/>
  <c r="P17" i="7"/>
  <c r="Q17" i="7"/>
  <c r="J17" i="7"/>
  <c r="C17" i="7"/>
  <c r="B17" i="7"/>
  <c r="M17" i="7"/>
  <c r="L17" i="7"/>
  <c r="G17" i="7"/>
  <c r="K17" i="7"/>
  <c r="I17" i="7"/>
  <c r="N17" i="7"/>
  <c r="H17" i="7"/>
  <c r="D16" i="7"/>
  <c r="F16" i="7"/>
  <c r="E16" i="7"/>
  <c r="O18" i="7" a="1"/>
  <c r="Q18" i="7" a="1"/>
  <c r="J18" i="7" a="1"/>
  <c r="G18" i="7" a="1"/>
  <c r="D17" i="7" a="1"/>
  <c r="L18" i="7" a="1"/>
  <c r="C18" i="7" a="1"/>
  <c r="H18" i="7" a="1"/>
  <c r="I18" i="7" a="1"/>
  <c r="B18" i="7" a="1"/>
  <c r="P18" i="7" a="1"/>
  <c r="F17" i="7" a="1"/>
  <c r="R17" i="7" a="1"/>
  <c r="S17" i="7" a="1"/>
  <c r="E17" i="7" a="1"/>
  <c r="H157" i="7" a="1"/>
  <c r="N18" i="7" a="1"/>
  <c r="M18" i="7" a="1"/>
  <c r="K18" i="7" a="1"/>
  <c r="K158" i="7" a="1"/>
  <c r="K164" i="7" a="1"/>
  <c r="K164" i="7" l="1"/>
  <c r="K158" i="7"/>
  <c r="E104" i="12"/>
  <c r="E105" i="12" s="1"/>
  <c r="E106" i="12" s="1"/>
  <c r="E107" i="12" s="1"/>
  <c r="E108" i="12" s="1"/>
  <c r="E109" i="12" s="1"/>
  <c r="E110" i="12" s="1"/>
  <c r="E111" i="12" s="1"/>
  <c r="E112" i="12" s="1"/>
  <c r="H157" i="7"/>
  <c r="E101" i="10"/>
  <c r="E102" i="10" s="1"/>
  <c r="E103" i="10" s="1"/>
  <c r="E104" i="10" s="1"/>
  <c r="E105" i="10" s="1"/>
  <c r="E106" i="10" s="1"/>
  <c r="E107" i="10" s="1"/>
  <c r="R17" i="7"/>
  <c r="S17" i="7"/>
  <c r="A19" i="7"/>
  <c r="E65" i="2"/>
  <c r="E66" i="2" s="1"/>
  <c r="E67" i="2" s="1"/>
  <c r="E68" i="2" s="1"/>
  <c r="E69" i="2" s="1"/>
  <c r="E70" i="2" s="1"/>
  <c r="E71" i="2" s="1"/>
  <c r="E72" i="2" s="1"/>
  <c r="E73" i="2" s="1"/>
  <c r="E74" i="2" s="1"/>
  <c r="E75" i="2" s="1"/>
  <c r="E76" i="2" s="1"/>
  <c r="E77" i="2" s="1"/>
  <c r="E78" i="2" s="1"/>
  <c r="E79" i="2" s="1"/>
  <c r="E80" i="2" s="1"/>
  <c r="E81" i="2" s="1"/>
  <c r="N18" i="7"/>
  <c r="I18" i="7"/>
  <c r="K18" i="7"/>
  <c r="G18" i="7"/>
  <c r="L18" i="7"/>
  <c r="M18" i="7"/>
  <c r="B18" i="7"/>
  <c r="C18" i="7"/>
  <c r="J18" i="7"/>
  <c r="Q18" i="7"/>
  <c r="P18" i="7"/>
  <c r="O18" i="7"/>
  <c r="H18" i="7"/>
  <c r="D17" i="7"/>
  <c r="F17" i="7"/>
  <c r="E17" i="7"/>
  <c r="K19" i="7" a="1"/>
  <c r="H158" i="7" a="1"/>
  <c r="R18" i="7" a="1"/>
  <c r="H19" i="7" a="1"/>
  <c r="O19" i="7" a="1"/>
  <c r="L19" i="7" a="1"/>
  <c r="E18" i="7" a="1"/>
  <c r="J19" i="7" a="1"/>
  <c r="Q19" i="7" a="1"/>
  <c r="K159" i="7" a="1"/>
  <c r="H164" i="7" a="1"/>
  <c r="F18" i="7" a="1"/>
  <c r="G19" i="7" a="1"/>
  <c r="D18" i="7" a="1"/>
  <c r="I19" i="7" a="1"/>
  <c r="N19" i="7" a="1"/>
  <c r="P19" i="7" a="1"/>
  <c r="M19" i="7" a="1"/>
  <c r="S18" i="7" a="1"/>
  <c r="B19" i="7" a="1"/>
  <c r="K165" i="7" a="1"/>
  <c r="C19" i="7" a="1"/>
  <c r="K159" i="7" l="1"/>
  <c r="K165" i="7"/>
  <c r="H164" i="7"/>
  <c r="H158" i="7"/>
  <c r="R18" i="7"/>
  <c r="S18" i="7"/>
  <c r="A20" i="7"/>
  <c r="A21" i="7" s="1"/>
  <c r="E82" i="2"/>
  <c r="E83" i="2" s="1"/>
  <c r="E84" i="2" s="1"/>
  <c r="E85" i="2" s="1"/>
  <c r="E86" i="2" s="1"/>
  <c r="E87" i="2" s="1"/>
  <c r="E88" i="2" s="1"/>
  <c r="E89" i="2" s="1"/>
  <c r="G19" i="7"/>
  <c r="K19" i="7"/>
  <c r="I19" i="7"/>
  <c r="O19" i="7"/>
  <c r="P19" i="7"/>
  <c r="Q19" i="7"/>
  <c r="J19" i="7"/>
  <c r="C19" i="7"/>
  <c r="B19" i="7"/>
  <c r="M19" i="7"/>
  <c r="L19" i="7"/>
  <c r="N19" i="7"/>
  <c r="H19" i="7"/>
  <c r="D18" i="7"/>
  <c r="F18" i="7"/>
  <c r="E18" i="7"/>
  <c r="S19" i="7" a="1"/>
  <c r="H159" i="7" a="1"/>
  <c r="R19" i="7" a="1"/>
  <c r="N20" i="7" a="1"/>
  <c r="D19" i="7" a="1"/>
  <c r="E19" i="7" a="1"/>
  <c r="Q20" i="7" a="1"/>
  <c r="O20" i="7" a="1"/>
  <c r="K20" i="7" a="1"/>
  <c r="P20" i="7" a="1"/>
  <c r="K166" i="7" a="1"/>
  <c r="I20" i="7" a="1"/>
  <c r="B20" i="7" a="1"/>
  <c r="J20" i="7" a="1"/>
  <c r="G20" i="7" a="1"/>
  <c r="L20" i="7" a="1"/>
  <c r="H165" i="7" a="1"/>
  <c r="H20" i="7" a="1"/>
  <c r="K160" i="7" a="1"/>
  <c r="F19" i="7" a="1"/>
  <c r="K166" i="7" l="1"/>
  <c r="K160" i="7"/>
  <c r="H159" i="7"/>
  <c r="H165" i="7"/>
  <c r="R19" i="7"/>
  <c r="S19" i="7"/>
  <c r="E90" i="2"/>
  <c r="E91" i="2" s="1"/>
  <c r="E92" i="2" s="1"/>
  <c r="E94" i="2" s="1"/>
  <c r="E95" i="2" s="1"/>
  <c r="E96" i="2" s="1"/>
  <c r="E97" i="2" s="1"/>
  <c r="E98" i="2" s="1"/>
  <c r="N20" i="7"/>
  <c r="L20" i="7"/>
  <c r="B20" i="7"/>
  <c r="J20" i="7"/>
  <c r="Q20" i="7"/>
  <c r="P20" i="7"/>
  <c r="O20" i="7"/>
  <c r="I20" i="7"/>
  <c r="K20" i="7"/>
  <c r="G20" i="7"/>
  <c r="H20" i="7"/>
  <c r="A22" i="7"/>
  <c r="D19" i="7"/>
  <c r="F19" i="7"/>
  <c r="E19" i="7"/>
  <c r="H21" i="7" a="1"/>
  <c r="I21" i="7" a="1"/>
  <c r="D20" i="7" a="1"/>
  <c r="J21" i="7" a="1"/>
  <c r="E20" i="7" a="1"/>
  <c r="L21" i="7" a="1"/>
  <c r="B21" i="7" a="1"/>
  <c r="Q21" i="7" a="1"/>
  <c r="K167" i="7" a="1"/>
  <c r="H166" i="7" a="1"/>
  <c r="M20" i="7" a="1"/>
  <c r="P21" i="7" a="1"/>
  <c r="O21" i="7" a="1"/>
  <c r="K161" i="7" a="1"/>
  <c r="C20" i="7" a="1"/>
  <c r="F20" i="7" a="1"/>
  <c r="S20" i="7" a="1"/>
  <c r="N21" i="7" a="1"/>
  <c r="K21" i="7" a="1"/>
  <c r="H160" i="7" a="1"/>
  <c r="R20" i="7" a="1"/>
  <c r="G21" i="7" a="1"/>
  <c r="C21" i="7" a="1"/>
  <c r="K161" i="7" l="1"/>
  <c r="K167" i="7"/>
  <c r="H166" i="7"/>
  <c r="H160" i="7"/>
  <c r="E99" i="2"/>
  <c r="E100" i="2" s="1"/>
  <c r="E101" i="2" s="1"/>
  <c r="E102" i="2" s="1"/>
  <c r="E103" i="2" s="1"/>
  <c r="C21" i="7"/>
  <c r="L21" i="7"/>
  <c r="K21" i="7"/>
  <c r="I21" i="7"/>
  <c r="G21" i="7"/>
  <c r="M20" i="7"/>
  <c r="C20" i="7"/>
  <c r="S20" i="7"/>
  <c r="R20" i="7"/>
  <c r="J21" i="7"/>
  <c r="B21" i="7"/>
  <c r="N21" i="7"/>
  <c r="O21" i="7"/>
  <c r="P21" i="7"/>
  <c r="Q21" i="7"/>
  <c r="D20" i="7"/>
  <c r="H21" i="7"/>
  <c r="A23" i="7"/>
  <c r="F20" i="7"/>
  <c r="E20" i="7"/>
  <c r="H22" i="7" a="1"/>
  <c r="K162" i="7" a="1"/>
  <c r="G22" i="7" a="1"/>
  <c r="N22" i="7" a="1"/>
  <c r="L22" i="7" a="1"/>
  <c r="C23" i="7" a="1"/>
  <c r="P22" i="7" a="1"/>
  <c r="J22" i="7" a="1"/>
  <c r="D21" i="7" a="1"/>
  <c r="K22" i="7" a="1"/>
  <c r="F21" i="7" a="1"/>
  <c r="H161" i="7" a="1"/>
  <c r="E21" i="7" a="1"/>
  <c r="M21" i="7" a="1"/>
  <c r="C22" i="7" a="1"/>
  <c r="R21" i="7" a="1"/>
  <c r="Q22" i="7" a="1"/>
  <c r="H167" i="7" a="1"/>
  <c r="S21" i="7" a="1"/>
  <c r="K168" i="7" a="1"/>
  <c r="B22" i="7" a="1"/>
  <c r="B23" i="7" a="1"/>
  <c r="O22" i="7" a="1"/>
  <c r="I22" i="7" a="1"/>
  <c r="K168" i="7" l="1"/>
  <c r="K162" i="7"/>
  <c r="H161" i="7"/>
  <c r="H167" i="7"/>
  <c r="E104" i="2"/>
  <c r="S21" i="7"/>
  <c r="R21" i="7"/>
  <c r="M21" i="7"/>
  <c r="G22" i="7"/>
  <c r="I22" i="7"/>
  <c r="K22" i="7"/>
  <c r="L22" i="7"/>
  <c r="C22" i="7"/>
  <c r="J22" i="7"/>
  <c r="Q22" i="7"/>
  <c r="P22" i="7"/>
  <c r="O22" i="7"/>
  <c r="N22" i="7"/>
  <c r="B22" i="7"/>
  <c r="D21" i="7"/>
  <c r="H22" i="7"/>
  <c r="C23" i="7"/>
  <c r="B23" i="7"/>
  <c r="A24" i="7"/>
  <c r="F21" i="7"/>
  <c r="E21" i="7"/>
  <c r="H23" i="7" a="1"/>
  <c r="G23" i="7" a="1"/>
  <c r="H168" i="7" a="1"/>
  <c r="S22" i="7" a="1"/>
  <c r="H162" i="7" a="1"/>
  <c r="O23" i="7" a="1"/>
  <c r="K24" i="7" a="1"/>
  <c r="L23" i="7" a="1"/>
  <c r="E22" i="7" a="1"/>
  <c r="Q23" i="7" a="1"/>
  <c r="J23" i="7" a="1"/>
  <c r="N23" i="7" a="1"/>
  <c r="R22" i="7" a="1"/>
  <c r="F22" i="7" a="1"/>
  <c r="K23" i="7" a="1"/>
  <c r="K163" i="7" a="1"/>
  <c r="B24" i="7" a="1"/>
  <c r="I23" i="7" a="1"/>
  <c r="M22" i="7" a="1"/>
  <c r="C24" i="7" a="1"/>
  <c r="D22" i="7" a="1"/>
  <c r="P23" i="7" a="1"/>
  <c r="K163" i="7" l="1"/>
  <c r="H168" i="7"/>
  <c r="H162" i="7"/>
  <c r="E105" i="2"/>
  <c r="E106" i="2" s="1"/>
  <c r="E107" i="2" s="1"/>
  <c r="E108" i="2" s="1"/>
  <c r="E109" i="2" s="1"/>
  <c r="E110" i="2" s="1"/>
  <c r="E111" i="2" s="1"/>
  <c r="E112" i="2" s="1"/>
  <c r="E113" i="2" s="1"/>
  <c r="E114" i="2" s="1"/>
  <c r="E115" i="2" s="1"/>
  <c r="E116" i="2" s="1"/>
  <c r="M22" i="7"/>
  <c r="L23" i="7"/>
  <c r="K23" i="7"/>
  <c r="I23" i="7"/>
  <c r="G23" i="7"/>
  <c r="R22" i="7"/>
  <c r="S22" i="7"/>
  <c r="N23" i="7"/>
  <c r="O23" i="7"/>
  <c r="P23" i="7"/>
  <c r="Q23" i="7"/>
  <c r="J23" i="7"/>
  <c r="D22" i="7"/>
  <c r="H23" i="7"/>
  <c r="B24" i="7"/>
  <c r="C24" i="7"/>
  <c r="K24" i="7"/>
  <c r="A25" i="7"/>
  <c r="F22" i="7"/>
  <c r="E22" i="7"/>
  <c r="J24" i="7" a="1"/>
  <c r="Q24" i="7" a="1"/>
  <c r="N24" i="7" a="1"/>
  <c r="S23" i="7" a="1"/>
  <c r="P24" i="7" a="1"/>
  <c r="R23" i="7" a="1"/>
  <c r="D23" i="7" a="1"/>
  <c r="B25" i="7" a="1"/>
  <c r="G24" i="7" a="1"/>
  <c r="K25" i="7" a="1"/>
  <c r="I24" i="7" a="1"/>
  <c r="L24" i="7" a="1"/>
  <c r="F23" i="7" a="1"/>
  <c r="H24" i="7" a="1"/>
  <c r="E23" i="7" a="1"/>
  <c r="C25" i="7" a="1"/>
  <c r="H163" i="7" a="1"/>
  <c r="O24" i="7" a="1"/>
  <c r="M23" i="7" a="1"/>
  <c r="H163" i="7" l="1"/>
  <c r="E117" i="2"/>
  <c r="E118" i="2" s="1"/>
  <c r="E119" i="2" s="1"/>
  <c r="E120" i="2" s="1"/>
  <c r="E126" i="2" s="1"/>
  <c r="S23" i="7"/>
  <c r="G24" i="7"/>
  <c r="I24" i="7"/>
  <c r="R23" i="7"/>
  <c r="L24" i="7"/>
  <c r="M23" i="7"/>
  <c r="J24" i="7"/>
  <c r="Q24" i="7"/>
  <c r="P24" i="7"/>
  <c r="O24" i="7"/>
  <c r="N24" i="7"/>
  <c r="D23" i="7"/>
  <c r="H24" i="7"/>
  <c r="C25" i="7"/>
  <c r="B25" i="7"/>
  <c r="K25" i="7"/>
  <c r="A26" i="7"/>
  <c r="F23" i="7"/>
  <c r="E23" i="7"/>
  <c r="F24" i="7" a="1"/>
  <c r="L25" i="7" a="1"/>
  <c r="P25" i="7" a="1"/>
  <c r="D24" i="7" a="1"/>
  <c r="G25" i="7" a="1"/>
  <c r="H25" i="7" a="1"/>
  <c r="M24" i="7" a="1"/>
  <c r="N25" i="7" a="1"/>
  <c r="E24" i="7" a="1"/>
  <c r="R24" i="7" a="1"/>
  <c r="S24" i="7" a="1"/>
  <c r="Q25" i="7" a="1"/>
  <c r="J25" i="7" a="1"/>
  <c r="O25" i="7" a="1"/>
  <c r="K26" i="7" a="1"/>
  <c r="C26" i="7" a="1"/>
  <c r="B26" i="7" a="1"/>
  <c r="I25" i="7" a="1"/>
  <c r="E127" i="2" l="1"/>
  <c r="E128" i="2" s="1"/>
  <c r="E129" i="2" s="1"/>
  <c r="E130" i="2" s="1"/>
  <c r="L25" i="7"/>
  <c r="M24" i="7"/>
  <c r="I25" i="7"/>
  <c r="R24" i="7"/>
  <c r="G25" i="7"/>
  <c r="S24" i="7"/>
  <c r="N25" i="7"/>
  <c r="O25" i="7"/>
  <c r="P25" i="7"/>
  <c r="Q25" i="7"/>
  <c r="J25" i="7"/>
  <c r="D24" i="7"/>
  <c r="H25" i="7"/>
  <c r="C26" i="7"/>
  <c r="B26" i="7"/>
  <c r="K26" i="7"/>
  <c r="A27" i="7"/>
  <c r="F24" i="7"/>
  <c r="E24" i="7"/>
  <c r="P26" i="7" a="1"/>
  <c r="B27" i="7" a="1"/>
  <c r="G26" i="7" a="1"/>
  <c r="C27" i="7" a="1"/>
  <c r="O26" i="7" a="1"/>
  <c r="E25" i="7" a="1"/>
  <c r="Q26" i="7" a="1"/>
  <c r="H26" i="7" a="1"/>
  <c r="M25" i="7" a="1"/>
  <c r="R25" i="7" a="1"/>
  <c r="N26" i="7" a="1"/>
  <c r="S25" i="7" a="1"/>
  <c r="I26" i="7" a="1"/>
  <c r="F25" i="7" a="1"/>
  <c r="M27" i="7" a="1"/>
  <c r="J26" i="7" a="1"/>
  <c r="K27" i="7" a="1"/>
  <c r="D25" i="7" a="1"/>
  <c r="L26" i="7" a="1"/>
  <c r="E131" i="2" l="1"/>
  <c r="E132" i="2" s="1"/>
  <c r="E133" i="2" s="1"/>
  <c r="E134" i="2" s="1"/>
  <c r="E135" i="2" s="1"/>
  <c r="E136" i="2" s="1"/>
  <c r="E137" i="2" s="1"/>
  <c r="E138" i="2" s="1"/>
  <c r="E139" i="2" s="1"/>
  <c r="S25" i="7"/>
  <c r="I26" i="7"/>
  <c r="M25" i="7"/>
  <c r="G26" i="7"/>
  <c r="R25" i="7"/>
  <c r="L26" i="7"/>
  <c r="J26" i="7"/>
  <c r="Q26" i="7"/>
  <c r="P26" i="7"/>
  <c r="O26" i="7"/>
  <c r="N26" i="7"/>
  <c r="D25" i="7"/>
  <c r="H26" i="7"/>
  <c r="B27" i="7"/>
  <c r="C27" i="7"/>
  <c r="K27" i="7"/>
  <c r="M27" i="7"/>
  <c r="A28" i="7"/>
  <c r="F25" i="7"/>
  <c r="E25" i="7"/>
  <c r="R26" i="7" a="1"/>
  <c r="G27" i="7" a="1"/>
  <c r="E26" i="7" a="1"/>
  <c r="P27" i="7" a="1"/>
  <c r="J27" i="7" a="1"/>
  <c r="Q27" i="7" a="1"/>
  <c r="C28" i="7" a="1"/>
  <c r="F26" i="7" a="1"/>
  <c r="M26" i="7" a="1"/>
  <c r="H27" i="7" a="1"/>
  <c r="K28" i="7" a="1"/>
  <c r="O27" i="7" a="1"/>
  <c r="B28" i="7" a="1"/>
  <c r="M28" i="7" a="1"/>
  <c r="D26" i="7" a="1"/>
  <c r="L28" i="7" a="1"/>
  <c r="N27" i="7" a="1"/>
  <c r="I28" i="7" a="1"/>
  <c r="I27" i="7" a="1"/>
  <c r="S26" i="7" a="1"/>
  <c r="O28" i="7" a="1"/>
  <c r="L27" i="7" a="1"/>
  <c r="E140" i="2" l="1"/>
  <c r="E141" i="2" s="1"/>
  <c r="E142" i="2" s="1"/>
  <c r="E143" i="2" s="1"/>
  <c r="E144" i="2" s="1"/>
  <c r="E145" i="2" s="1"/>
  <c r="E146" i="2" s="1"/>
  <c r="G27" i="7"/>
  <c r="I27" i="7"/>
  <c r="L27" i="7"/>
  <c r="R26" i="7"/>
  <c r="M26" i="7"/>
  <c r="S26" i="7"/>
  <c r="P27" i="7"/>
  <c r="Q27" i="7"/>
  <c r="J27" i="7"/>
  <c r="N27" i="7"/>
  <c r="O28" i="7"/>
  <c r="O27" i="7"/>
  <c r="D26" i="7"/>
  <c r="H27" i="7"/>
  <c r="C28" i="7"/>
  <c r="B28" i="7"/>
  <c r="I28" i="7"/>
  <c r="K28" i="7"/>
  <c r="M28" i="7"/>
  <c r="L28" i="7"/>
  <c r="A29" i="7"/>
  <c r="F26" i="7"/>
  <c r="E26" i="7"/>
  <c r="O29" i="7" a="1"/>
  <c r="R27" i="7" a="1"/>
  <c r="N28" i="7" a="1"/>
  <c r="Q28" i="7" a="1"/>
  <c r="D27" i="7" a="1"/>
  <c r="F27" i="7" a="1"/>
  <c r="C29" i="7" a="1"/>
  <c r="K29" i="7" a="1"/>
  <c r="I29" i="7" a="1"/>
  <c r="M29" i="7" a="1"/>
  <c r="J28" i="7" a="1"/>
  <c r="P28" i="7" a="1"/>
  <c r="S27" i="7" a="1"/>
  <c r="L29" i="7" a="1"/>
  <c r="B29" i="7" a="1"/>
  <c r="G28" i="7" a="1"/>
  <c r="E27" i="7" a="1"/>
  <c r="H28" i="7" a="1"/>
  <c r="S27" i="7" l="1"/>
  <c r="R27" i="7"/>
  <c r="G28" i="7"/>
  <c r="J28" i="7"/>
  <c r="O29" i="7"/>
  <c r="Q28" i="7"/>
  <c r="P28" i="7"/>
  <c r="N28" i="7"/>
  <c r="D27" i="7"/>
  <c r="H28" i="7"/>
  <c r="B29" i="7"/>
  <c r="C29" i="7"/>
  <c r="L29" i="7"/>
  <c r="M29" i="7"/>
  <c r="K29" i="7"/>
  <c r="I29" i="7"/>
  <c r="A30" i="7"/>
  <c r="F27" i="7"/>
  <c r="E27" i="7"/>
  <c r="Q29" i="7" a="1"/>
  <c r="J29" i="7" a="1"/>
  <c r="E28" i="7" a="1"/>
  <c r="M30" i="7" a="1"/>
  <c r="S28" i="7" a="1"/>
  <c r="C30" i="7" a="1"/>
  <c r="D28" i="7" a="1"/>
  <c r="B30" i="7" a="1"/>
  <c r="F28" i="7" a="1"/>
  <c r="P29" i="7" a="1"/>
  <c r="I30" i="7" a="1"/>
  <c r="G29" i="7" a="1"/>
  <c r="K30" i="7" a="1"/>
  <c r="N29" i="7" a="1"/>
  <c r="L30" i="7" a="1"/>
  <c r="R28" i="7" a="1"/>
  <c r="O30" i="7" a="1"/>
  <c r="H29" i="7" a="1"/>
  <c r="G29" i="7" l="1"/>
  <c r="R28" i="7"/>
  <c r="S28" i="7"/>
  <c r="Q29" i="7"/>
  <c r="O30" i="7"/>
  <c r="J29" i="7"/>
  <c r="N29" i="7"/>
  <c r="P29" i="7"/>
  <c r="D28" i="7"/>
  <c r="A31" i="7"/>
  <c r="H29" i="7"/>
  <c r="B30" i="7"/>
  <c r="C30" i="7"/>
  <c r="K30" i="7"/>
  <c r="M30" i="7"/>
  <c r="L30" i="7"/>
  <c r="I30" i="7"/>
  <c r="F28" i="7"/>
  <c r="E28" i="7"/>
  <c r="S29" i="7" a="1"/>
  <c r="M31" i="7" a="1"/>
  <c r="H30" i="7" a="1"/>
  <c r="B31" i="7" a="1"/>
  <c r="L31" i="7" a="1"/>
  <c r="Q30" i="7" a="1"/>
  <c r="E29" i="7" a="1"/>
  <c r="R29" i="7" a="1"/>
  <c r="P31" i="7" a="1"/>
  <c r="I31" i="7" a="1"/>
  <c r="F29" i="7" a="1"/>
  <c r="C31" i="7" a="1"/>
  <c r="P30" i="7" a="1"/>
  <c r="N30" i="7" a="1"/>
  <c r="G30" i="7" a="1"/>
  <c r="O31" i="7" a="1"/>
  <c r="K31" i="7" a="1"/>
  <c r="J30" i="7" a="1"/>
  <c r="D29" i="7" a="1"/>
  <c r="S29" i="7" l="1"/>
  <c r="R29" i="7"/>
  <c r="G30" i="7"/>
  <c r="P31" i="7"/>
  <c r="O31" i="7"/>
  <c r="P30" i="7"/>
  <c r="N30" i="7"/>
  <c r="J30" i="7"/>
  <c r="Q30" i="7"/>
  <c r="D29" i="7"/>
  <c r="A32" i="7"/>
  <c r="I31" i="7"/>
  <c r="L31" i="7"/>
  <c r="M31" i="7"/>
  <c r="K31" i="7"/>
  <c r="C31" i="7"/>
  <c r="B31" i="7"/>
  <c r="H30" i="7"/>
  <c r="F29" i="7"/>
  <c r="E29" i="7"/>
  <c r="I32" i="7" a="1"/>
  <c r="P32" i="7" a="1"/>
  <c r="R30" i="7" a="1"/>
  <c r="F30" i="7" a="1"/>
  <c r="N31" i="7" a="1"/>
  <c r="Q31" i="7" a="1"/>
  <c r="G31" i="7" a="1"/>
  <c r="J31" i="7" a="1"/>
  <c r="B32" i="7" a="1"/>
  <c r="S30" i="7" a="1"/>
  <c r="M32" i="7" a="1"/>
  <c r="D30" i="7" a="1"/>
  <c r="O32" i="7" a="1"/>
  <c r="E30" i="7" a="1"/>
  <c r="L32" i="7" a="1"/>
  <c r="K32" i="7" a="1"/>
  <c r="H31" i="7" a="1"/>
  <c r="C32" i="7" a="1"/>
  <c r="G31" i="7" l="1"/>
  <c r="R30" i="7"/>
  <c r="S30" i="7"/>
  <c r="N31" i="7"/>
  <c r="P32" i="7"/>
  <c r="O32" i="7"/>
  <c r="Q31" i="7"/>
  <c r="J31" i="7"/>
  <c r="D30" i="7"/>
  <c r="A33" i="7"/>
  <c r="H31" i="7"/>
  <c r="B32" i="7"/>
  <c r="C32" i="7"/>
  <c r="K32" i="7"/>
  <c r="M32" i="7"/>
  <c r="L32" i="7"/>
  <c r="I32" i="7"/>
  <c r="F30" i="7"/>
  <c r="E30" i="7"/>
  <c r="E31" i="7" a="1"/>
  <c r="J32" i="7" a="1"/>
  <c r="M33" i="7" a="1"/>
  <c r="O33" i="7" a="1"/>
  <c r="Q32" i="7" a="1"/>
  <c r="S31" i="7" a="1"/>
  <c r="B33" i="7" a="1"/>
  <c r="C33" i="7" a="1"/>
  <c r="F31" i="7" a="1"/>
  <c r="N32" i="7" a="1"/>
  <c r="H32" i="7" a="1"/>
  <c r="D31" i="7" a="1"/>
  <c r="P33" i="7" a="1"/>
  <c r="L33" i="7" a="1"/>
  <c r="R31" i="7" a="1"/>
  <c r="I33" i="7" a="1"/>
  <c r="K33" i="7" a="1"/>
  <c r="G32" i="7" a="1"/>
  <c r="S31" i="7" l="1"/>
  <c r="R31" i="7"/>
  <c r="G32" i="7"/>
  <c r="N32" i="7"/>
  <c r="P33" i="7"/>
  <c r="O33" i="7"/>
  <c r="J32" i="7"/>
  <c r="Q32" i="7"/>
  <c r="D31" i="7"/>
  <c r="A34" i="7"/>
  <c r="E31" i="7"/>
  <c r="F31" i="7"/>
  <c r="I33" i="7"/>
  <c r="L33" i="7"/>
  <c r="M33" i="7"/>
  <c r="K33" i="7"/>
  <c r="C33" i="7"/>
  <c r="B33" i="7"/>
  <c r="H32" i="7"/>
  <c r="E32" i="7" a="1"/>
  <c r="B34" i="7" a="1"/>
  <c r="N33" i="7" a="1"/>
  <c r="O34" i="7" a="1"/>
  <c r="G33" i="7" a="1"/>
  <c r="H33" i="7" a="1"/>
  <c r="R32" i="7" a="1"/>
  <c r="I34" i="7" a="1"/>
  <c r="J33" i="7" a="1"/>
  <c r="Q33" i="7" a="1"/>
  <c r="G34" i="7" a="1"/>
  <c r="S32" i="7" a="1"/>
  <c r="P34" i="7" a="1"/>
  <c r="L34" i="7" a="1"/>
  <c r="D32" i="7" a="1"/>
  <c r="C34" i="7" a="1"/>
  <c r="K34" i="7" a="1"/>
  <c r="F32" i="7" a="1"/>
  <c r="M34" i="7" a="1"/>
  <c r="G33" i="7" l="1"/>
  <c r="R32" i="7"/>
  <c r="S32" i="7"/>
  <c r="N33" i="7"/>
  <c r="P34" i="7"/>
  <c r="O34" i="7"/>
  <c r="Q33" i="7"/>
  <c r="J33" i="7"/>
  <c r="D32" i="7"/>
  <c r="A35" i="7"/>
  <c r="H33" i="7"/>
  <c r="B34" i="7"/>
  <c r="C34" i="7"/>
  <c r="G34" i="7"/>
  <c r="K34" i="7"/>
  <c r="M34" i="7"/>
  <c r="L34" i="7"/>
  <c r="I34" i="7"/>
  <c r="F32" i="7"/>
  <c r="E32" i="7"/>
  <c r="P35" i="7" a="1"/>
  <c r="S33" i="7" a="1"/>
  <c r="D33" i="7" a="1"/>
  <c r="E33" i="7" a="1"/>
  <c r="N34" i="7" a="1"/>
  <c r="K35" i="7" a="1"/>
  <c r="C35" i="7" a="1"/>
  <c r="I35" i="7" a="1"/>
  <c r="F33" i="7" a="1"/>
  <c r="H34" i="7" a="1"/>
  <c r="Q34" i="7" a="1"/>
  <c r="M35" i="7" a="1"/>
  <c r="B35" i="7" a="1"/>
  <c r="R33" i="7" a="1"/>
  <c r="J34" i="7" a="1"/>
  <c r="N35" i="7" a="1"/>
  <c r="O35" i="7" a="1"/>
  <c r="G35" i="7" a="1"/>
  <c r="L35" i="7" a="1"/>
  <c r="S33" i="7" l="1"/>
  <c r="R33" i="7"/>
  <c r="N34" i="7"/>
  <c r="Q34" i="7"/>
  <c r="P35" i="7"/>
  <c r="O35" i="7"/>
  <c r="J34" i="7"/>
  <c r="D33" i="7"/>
  <c r="A36" i="7"/>
  <c r="L35" i="7"/>
  <c r="E33" i="7"/>
  <c r="F33" i="7"/>
  <c r="I35" i="7"/>
  <c r="M35" i="7"/>
  <c r="K35" i="7"/>
  <c r="G35" i="7"/>
  <c r="C35" i="7"/>
  <c r="B35" i="7"/>
  <c r="H34" i="7"/>
  <c r="N35" i="7"/>
  <c r="K36" i="7" a="1"/>
  <c r="F34" i="7" a="1"/>
  <c r="B36" i="7" a="1"/>
  <c r="G36" i="7" a="1"/>
  <c r="S34" i="7" a="1"/>
  <c r="L36" i="7" a="1"/>
  <c r="R34" i="7" a="1"/>
  <c r="D34" i="7" a="1"/>
  <c r="M36" i="7" a="1"/>
  <c r="N36" i="7" a="1"/>
  <c r="H35" i="7" a="1"/>
  <c r="O36" i="7" a="1"/>
  <c r="C36" i="7" a="1"/>
  <c r="J35" i="7" a="1"/>
  <c r="P36" i="7" a="1"/>
  <c r="I36" i="7" a="1"/>
  <c r="Q35" i="7" a="1"/>
  <c r="E34" i="7" a="1"/>
  <c r="R34" i="7" l="1"/>
  <c r="S34" i="7"/>
  <c r="Q35" i="7"/>
  <c r="P36" i="7"/>
  <c r="O36" i="7"/>
  <c r="J35" i="7"/>
  <c r="D34" i="7"/>
  <c r="A37" i="7"/>
  <c r="N36" i="7"/>
  <c r="H35" i="7"/>
  <c r="B36" i="7"/>
  <c r="C36" i="7"/>
  <c r="G36" i="7"/>
  <c r="K36" i="7"/>
  <c r="M36" i="7"/>
  <c r="I36" i="7"/>
  <c r="F34" i="7"/>
  <c r="E34" i="7"/>
  <c r="L36" i="7"/>
  <c r="G37" i="7" a="1"/>
  <c r="R35" i="7" a="1"/>
  <c r="D35" i="7" a="1"/>
  <c r="M37" i="7" a="1"/>
  <c r="Q36" i="7" a="1"/>
  <c r="E35" i="7" a="1"/>
  <c r="I37" i="7" a="1"/>
  <c r="P37" i="7" a="1"/>
  <c r="C37" i="7" a="1"/>
  <c r="N37" i="7" a="1"/>
  <c r="B37" i="7" a="1"/>
  <c r="O37" i="7" a="1"/>
  <c r="H36" i="7" a="1"/>
  <c r="K37" i="7" a="1"/>
  <c r="F35" i="7" a="1"/>
  <c r="J36" i="7" a="1"/>
  <c r="S35" i="7" a="1"/>
  <c r="L37" i="7" a="1"/>
  <c r="S35" i="7" l="1"/>
  <c r="R35" i="7"/>
  <c r="Q36" i="7"/>
  <c r="P37" i="7"/>
  <c r="O37" i="7"/>
  <c r="J36" i="7"/>
  <c r="D35" i="7"/>
  <c r="A38" i="7"/>
  <c r="L37" i="7"/>
  <c r="E35" i="7"/>
  <c r="F35" i="7"/>
  <c r="I37" i="7"/>
  <c r="M37" i="7"/>
  <c r="K37" i="7"/>
  <c r="G37" i="7"/>
  <c r="C37" i="7"/>
  <c r="B37" i="7"/>
  <c r="H36" i="7"/>
  <c r="N37" i="7"/>
  <c r="D36" i="7" a="1"/>
  <c r="R36" i="7" a="1"/>
  <c r="K38" i="7" a="1"/>
  <c r="B38" i="7" a="1"/>
  <c r="H37" i="7" a="1"/>
  <c r="S36" i="7" a="1"/>
  <c r="J37" i="7" a="1"/>
  <c r="N38" i="7" a="1"/>
  <c r="C38" i="7" a="1"/>
  <c r="P38" i="7" a="1"/>
  <c r="G38" i="7" a="1"/>
  <c r="L38" i="7" a="1"/>
  <c r="Q37" i="7" a="1"/>
  <c r="F36" i="7" a="1"/>
  <c r="O38" i="7" a="1"/>
  <c r="M38" i="7" a="1"/>
  <c r="I38" i="7" a="1"/>
  <c r="E36" i="7" a="1"/>
  <c r="R36" i="7" l="1"/>
  <c r="S36" i="7"/>
  <c r="Q37" i="7"/>
  <c r="P38" i="7"/>
  <c r="O38" i="7"/>
  <c r="J37" i="7"/>
  <c r="D36" i="7"/>
  <c r="A39" i="7"/>
  <c r="N38" i="7"/>
  <c r="H37" i="7"/>
  <c r="C38" i="7"/>
  <c r="M38" i="7"/>
  <c r="I38" i="7"/>
  <c r="K38" i="7"/>
  <c r="F36" i="7"/>
  <c r="G38" i="7"/>
  <c r="E36" i="7"/>
  <c r="B38" i="7"/>
  <c r="L38" i="7"/>
  <c r="S37" i="7" a="1"/>
  <c r="P39" i="7" a="1"/>
  <c r="N39" i="7" a="1"/>
  <c r="J38" i="7" a="1"/>
  <c r="M39" i="7" a="1"/>
  <c r="O39" i="7" a="1"/>
  <c r="G39" i="7" a="1"/>
  <c r="R37" i="7" a="1"/>
  <c r="F37" i="7" a="1"/>
  <c r="Q38" i="7" a="1"/>
  <c r="I39" i="7" a="1"/>
  <c r="E37" i="7" a="1"/>
  <c r="D37" i="7" a="1"/>
  <c r="C39" i="7" a="1"/>
  <c r="K39" i="7" a="1"/>
  <c r="L39" i="7" a="1"/>
  <c r="H38" i="7" a="1"/>
  <c r="B39" i="7" a="1"/>
  <c r="S37" i="7" l="1"/>
  <c r="R37" i="7"/>
  <c r="Q38" i="7"/>
  <c r="P39" i="7"/>
  <c r="O39" i="7"/>
  <c r="J38" i="7"/>
  <c r="D37" i="7"/>
  <c r="A40" i="7"/>
  <c r="E37" i="7"/>
  <c r="M39" i="7"/>
  <c r="B39" i="7"/>
  <c r="F37" i="7"/>
  <c r="I39" i="7"/>
  <c r="C39" i="7"/>
  <c r="K39" i="7"/>
  <c r="H38" i="7"/>
  <c r="L39" i="7"/>
  <c r="G39" i="7"/>
  <c r="N39" i="7"/>
  <c r="L40" i="7" a="1"/>
  <c r="D38" i="7" a="1"/>
  <c r="I40" i="7" a="1"/>
  <c r="S38" i="7" a="1"/>
  <c r="N40" i="7" a="1"/>
  <c r="R38" i="7" a="1"/>
  <c r="Q39" i="7" a="1"/>
  <c r="F38" i="7" a="1"/>
  <c r="E38" i="7" a="1"/>
  <c r="B40" i="7" a="1"/>
  <c r="J39" i="7" a="1"/>
  <c r="C40" i="7" a="1"/>
  <c r="H39" i="7" a="1"/>
  <c r="O40" i="7" a="1"/>
  <c r="M40" i="7" a="1"/>
  <c r="G40" i="7" a="1"/>
  <c r="P40" i="7" a="1"/>
  <c r="K40" i="7" a="1"/>
  <c r="R38" i="7" l="1"/>
  <c r="S38" i="7"/>
  <c r="Q39" i="7"/>
  <c r="P40" i="7"/>
  <c r="O40" i="7"/>
  <c r="J39" i="7"/>
  <c r="D38" i="7"/>
  <c r="A41" i="7"/>
  <c r="N40" i="7"/>
  <c r="L40" i="7"/>
  <c r="H39" i="7"/>
  <c r="K40" i="7"/>
  <c r="C40" i="7"/>
  <c r="F38" i="7"/>
  <c r="M40" i="7"/>
  <c r="G40" i="7"/>
  <c r="I40" i="7"/>
  <c r="B40" i="7"/>
  <c r="E38" i="7"/>
  <c r="M41" i="7" a="1"/>
  <c r="E39" i="7" a="1"/>
  <c r="I41" i="7" a="1"/>
  <c r="J40" i="7" a="1"/>
  <c r="N41" i="7" a="1"/>
  <c r="P41" i="7" a="1"/>
  <c r="Q40" i="7" a="1"/>
  <c r="K41" i="7" a="1"/>
  <c r="C41" i="7" a="1"/>
  <c r="G41" i="7" a="1"/>
  <c r="R39" i="7" a="1"/>
  <c r="H40" i="7" a="1"/>
  <c r="B41" i="7" a="1"/>
  <c r="D39" i="7" a="1"/>
  <c r="F39" i="7" a="1"/>
  <c r="O41" i="7" a="1"/>
  <c r="L41" i="7" a="1"/>
  <c r="S39" i="7" a="1"/>
  <c r="S39" i="7" l="1"/>
  <c r="R39" i="7"/>
  <c r="Q40" i="7"/>
  <c r="P41" i="7"/>
  <c r="O41" i="7"/>
  <c r="J40" i="7"/>
  <c r="D39" i="7"/>
  <c r="A42" i="7"/>
  <c r="I41" i="7"/>
  <c r="F39" i="7"/>
  <c r="K41" i="7"/>
  <c r="B41" i="7"/>
  <c r="M41" i="7"/>
  <c r="H40" i="7"/>
  <c r="E39" i="7"/>
  <c r="G41" i="7"/>
  <c r="C41" i="7"/>
  <c r="L41" i="7"/>
  <c r="N41" i="7"/>
  <c r="K42" i="7" a="1"/>
  <c r="O42" i="7" a="1"/>
  <c r="L42" i="7" a="1"/>
  <c r="I42" i="7" a="1"/>
  <c r="C42" i="7" a="1"/>
  <c r="B42" i="7" a="1"/>
  <c r="J41" i="7" a="1"/>
  <c r="Q41" i="7" a="1"/>
  <c r="H41" i="7" a="1"/>
  <c r="R40" i="7" a="1"/>
  <c r="G42" i="7" a="1"/>
  <c r="S40" i="7" a="1"/>
  <c r="N42" i="7" a="1"/>
  <c r="P42" i="7" a="1"/>
  <c r="M42" i="7" a="1"/>
  <c r="D40" i="7" a="1"/>
  <c r="F40" i="7" a="1"/>
  <c r="E40" i="7" a="1"/>
  <c r="R40" i="7" l="1"/>
  <c r="S40" i="7"/>
  <c r="Q41" i="7"/>
  <c r="P42" i="7"/>
  <c r="O42" i="7"/>
  <c r="J41" i="7"/>
  <c r="D40" i="7"/>
  <c r="A43" i="7"/>
  <c r="N42" i="7"/>
  <c r="G42" i="7"/>
  <c r="L42" i="7"/>
  <c r="E40" i="7"/>
  <c r="H41" i="7"/>
  <c r="C42" i="7"/>
  <c r="M42" i="7"/>
  <c r="B42" i="7"/>
  <c r="K42" i="7"/>
  <c r="F40" i="7"/>
  <c r="I42" i="7"/>
  <c r="K43" i="7" a="1"/>
  <c r="C43" i="7" a="1"/>
  <c r="L43" i="7" a="1"/>
  <c r="H42" i="7" a="1"/>
  <c r="R41" i="7" a="1"/>
  <c r="B43" i="7" a="1"/>
  <c r="G43" i="7" a="1"/>
  <c r="D41" i="7" a="1"/>
  <c r="N43" i="7" a="1"/>
  <c r="E41" i="7" a="1"/>
  <c r="M43" i="7" a="1"/>
  <c r="P43" i="7" a="1"/>
  <c r="F41" i="7" a="1"/>
  <c r="O43" i="7" a="1"/>
  <c r="I43" i="7" a="1"/>
  <c r="J42" i="7" a="1"/>
  <c r="S41" i="7" a="1"/>
  <c r="Q42" i="7" a="1"/>
  <c r="S41" i="7" l="1"/>
  <c r="R41" i="7"/>
  <c r="Q42" i="7"/>
  <c r="J42" i="7"/>
  <c r="P43" i="7"/>
  <c r="O43" i="7"/>
  <c r="D41" i="7"/>
  <c r="A44" i="7"/>
  <c r="I43" i="7"/>
  <c r="K43" i="7"/>
  <c r="H42" i="7"/>
  <c r="E41" i="7"/>
  <c r="L43" i="7"/>
  <c r="F41" i="7"/>
  <c r="M43" i="7"/>
  <c r="G43" i="7"/>
  <c r="B43" i="7"/>
  <c r="C43" i="7"/>
  <c r="N43" i="7"/>
  <c r="R42" i="7" a="1"/>
  <c r="I44" i="7" a="1"/>
  <c r="P44" i="7" a="1"/>
  <c r="S42" i="7" a="1"/>
  <c r="G44" i="7" a="1"/>
  <c r="Q43" i="7" a="1"/>
  <c r="D42" i="7" a="1"/>
  <c r="L44" i="7" a="1"/>
  <c r="C44" i="7" a="1"/>
  <c r="H43" i="7" a="1"/>
  <c r="B44" i="7" a="1"/>
  <c r="M44" i="7" a="1"/>
  <c r="F42" i="7" a="1"/>
  <c r="O44" i="7" a="1"/>
  <c r="E42" i="7" a="1"/>
  <c r="N44" i="7" a="1"/>
  <c r="J43" i="7" a="1"/>
  <c r="K44" i="7" a="1"/>
  <c r="R42" i="7" l="1"/>
  <c r="S42" i="7"/>
  <c r="Q43" i="7"/>
  <c r="J43" i="7"/>
  <c r="P44" i="7"/>
  <c r="O44" i="7"/>
  <c r="D42" i="7"/>
  <c r="A45" i="7"/>
  <c r="B44" i="7"/>
  <c r="F42" i="7"/>
  <c r="E42" i="7"/>
  <c r="G44" i="7"/>
  <c r="L44" i="7"/>
  <c r="H43" i="7"/>
  <c r="C44" i="7"/>
  <c r="K44" i="7"/>
  <c r="N44" i="7"/>
  <c r="M44" i="7"/>
  <c r="I44" i="7"/>
  <c r="C45" i="7" a="1"/>
  <c r="H44" i="7" a="1"/>
  <c r="N45" i="7" a="1"/>
  <c r="I45" i="7" a="1"/>
  <c r="J44" i="7" a="1"/>
  <c r="B45" i="7" a="1"/>
  <c r="Q44" i="7" a="1"/>
  <c r="L45" i="7" a="1"/>
  <c r="O45" i="7" a="1"/>
  <c r="G45" i="7" a="1"/>
  <c r="P45" i="7" a="1"/>
  <c r="S43" i="7" a="1"/>
  <c r="M45" i="7" a="1"/>
  <c r="D43" i="7" a="1"/>
  <c r="R43" i="7" a="1"/>
  <c r="K45" i="7" a="1"/>
  <c r="F43" i="7" a="1"/>
  <c r="E43" i="7" a="1"/>
  <c r="S43" i="7" l="1"/>
  <c r="R43" i="7"/>
  <c r="Q44" i="7"/>
  <c r="P45" i="7"/>
  <c r="O45" i="7"/>
  <c r="J44" i="7"/>
  <c r="D43" i="7"/>
  <c r="A46" i="7"/>
  <c r="N45" i="7"/>
  <c r="I45" i="7"/>
  <c r="M45" i="7"/>
  <c r="K45" i="7"/>
  <c r="C45" i="7"/>
  <c r="H44" i="7"/>
  <c r="L45" i="7"/>
  <c r="G45" i="7"/>
  <c r="E43" i="7"/>
  <c r="F43" i="7"/>
  <c r="B45" i="7"/>
  <c r="N46" i="7" a="1"/>
  <c r="C46" i="7" a="1"/>
  <c r="G46" i="7" a="1"/>
  <c r="Q45" i="7" a="1"/>
  <c r="I46" i="7" a="1"/>
  <c r="F44" i="7" a="1"/>
  <c r="B46" i="7" a="1"/>
  <c r="H45" i="7" a="1"/>
  <c r="E44" i="7" a="1"/>
  <c r="J45" i="7" a="1"/>
  <c r="P46" i="7" a="1"/>
  <c r="O46" i="7" a="1"/>
  <c r="S44" i="7" a="1"/>
  <c r="M46" i="7" a="1"/>
  <c r="R44" i="7" a="1"/>
  <c r="D44" i="7" a="1"/>
  <c r="K46" i="7" a="1"/>
  <c r="L46" i="7" a="1"/>
  <c r="R44" i="7" l="1"/>
  <c r="S44" i="7"/>
  <c r="Q45" i="7"/>
  <c r="P46" i="7"/>
  <c r="O46" i="7"/>
  <c r="J45" i="7"/>
  <c r="D44" i="7"/>
  <c r="A47" i="7"/>
  <c r="K46" i="7"/>
  <c r="M46" i="7"/>
  <c r="B46" i="7"/>
  <c r="F44" i="7"/>
  <c r="H45" i="7"/>
  <c r="I46" i="7"/>
  <c r="E44" i="7"/>
  <c r="G46" i="7"/>
  <c r="L46" i="7"/>
  <c r="C46" i="7"/>
  <c r="N46" i="7"/>
  <c r="N47" i="7" a="1"/>
  <c r="O47" i="7" a="1"/>
  <c r="H46" i="7" a="1"/>
  <c r="G47" i="7" a="1"/>
  <c r="Q46" i="7" a="1"/>
  <c r="B47" i="7" a="1"/>
  <c r="F45" i="7" a="1"/>
  <c r="R45" i="7" a="1"/>
  <c r="E45" i="7" a="1"/>
  <c r="C47" i="7" a="1"/>
  <c r="I47" i="7" a="1"/>
  <c r="M47" i="7" a="1"/>
  <c r="P47" i="7" a="1"/>
  <c r="L47" i="7" a="1"/>
  <c r="D45" i="7" a="1"/>
  <c r="J46" i="7" a="1"/>
  <c r="S45" i="7" a="1"/>
  <c r="K47" i="7" a="1"/>
  <c r="S45" i="7" l="1"/>
  <c r="R45" i="7"/>
  <c r="Q46" i="7"/>
  <c r="P47" i="7"/>
  <c r="O47" i="7"/>
  <c r="J46" i="7"/>
  <c r="D45" i="7"/>
  <c r="A48" i="7"/>
  <c r="N47" i="7"/>
  <c r="C47" i="7"/>
  <c r="L47" i="7"/>
  <c r="E45" i="7"/>
  <c r="I47" i="7"/>
  <c r="H46" i="7"/>
  <c r="M47" i="7"/>
  <c r="G47" i="7"/>
  <c r="F45" i="7"/>
  <c r="B47" i="7"/>
  <c r="K47" i="7"/>
  <c r="L48" i="7" a="1"/>
  <c r="P48" i="7" a="1"/>
  <c r="H47" i="7" a="1"/>
  <c r="R46" i="7" a="1"/>
  <c r="O48" i="7" a="1"/>
  <c r="M48" i="7" a="1"/>
  <c r="E46" i="7" a="1"/>
  <c r="J47" i="7" a="1"/>
  <c r="S46" i="7" a="1"/>
  <c r="C48" i="7" a="1"/>
  <c r="Q47" i="7" a="1"/>
  <c r="G48" i="7" a="1"/>
  <c r="F46" i="7" a="1"/>
  <c r="I48" i="7" a="1"/>
  <c r="N48" i="7" a="1"/>
  <c r="B48" i="7" a="1"/>
  <c r="D46" i="7" a="1"/>
  <c r="K48" i="7" a="1"/>
  <c r="R46" i="7" l="1"/>
  <c r="S46" i="7"/>
  <c r="Q47" i="7"/>
  <c r="P48" i="7"/>
  <c r="O48" i="7"/>
  <c r="J47" i="7"/>
  <c r="D46" i="7"/>
  <c r="A49" i="7"/>
  <c r="K48" i="7"/>
  <c r="B48" i="7"/>
  <c r="F46" i="7"/>
  <c r="G48" i="7"/>
  <c r="M48" i="7"/>
  <c r="H47" i="7"/>
  <c r="I48" i="7"/>
  <c r="E46" i="7"/>
  <c r="L48" i="7"/>
  <c r="C48" i="7"/>
  <c r="N48" i="7"/>
  <c r="J48" i="7" a="1"/>
  <c r="N49" i="7" a="1"/>
  <c r="C49" i="7" a="1"/>
  <c r="M49" i="7" a="1"/>
  <c r="F47" i="7" a="1"/>
  <c r="R47" i="7" a="1"/>
  <c r="Q48" i="7" a="1"/>
  <c r="S47" i="7" a="1"/>
  <c r="P49" i="7" a="1"/>
  <c r="K49" i="7" a="1"/>
  <c r="I49" i="7" a="1"/>
  <c r="O49" i="7" a="1"/>
  <c r="B49" i="7" a="1"/>
  <c r="L49" i="7" a="1"/>
  <c r="H48" i="7" a="1"/>
  <c r="D47" i="7" a="1"/>
  <c r="E47" i="7" a="1"/>
  <c r="G49" i="7" a="1"/>
  <c r="R47" i="7" l="1"/>
  <c r="S47" i="7"/>
  <c r="Q48" i="7"/>
  <c r="P49" i="7"/>
  <c r="O49" i="7"/>
  <c r="J48" i="7"/>
  <c r="D47" i="7"/>
  <c r="A50" i="7"/>
  <c r="N49" i="7"/>
  <c r="C49" i="7"/>
  <c r="L49" i="7"/>
  <c r="E47" i="7"/>
  <c r="I49" i="7"/>
  <c r="H48" i="7"/>
  <c r="M49" i="7"/>
  <c r="G49" i="7"/>
  <c r="F47" i="7"/>
  <c r="B49" i="7"/>
  <c r="K49" i="7"/>
  <c r="N50" i="7" a="1"/>
  <c r="P50" i="7" a="1"/>
  <c r="L50" i="7" a="1"/>
  <c r="F48" i="7" a="1"/>
  <c r="D48" i="7" a="1"/>
  <c r="Q49" i="7" a="1"/>
  <c r="K50" i="7" a="1"/>
  <c r="B50" i="7" a="1"/>
  <c r="O50" i="7" a="1"/>
  <c r="H49" i="7" a="1"/>
  <c r="C50" i="7" a="1"/>
  <c r="J49" i="7" a="1"/>
  <c r="E48" i="7" a="1"/>
  <c r="R48" i="7" a="1"/>
  <c r="G50" i="7" a="1"/>
  <c r="M50" i="7" a="1"/>
  <c r="I50" i="7" a="1"/>
  <c r="S48" i="7" a="1"/>
  <c r="S48" i="7" l="1"/>
  <c r="R48" i="7"/>
  <c r="Q49" i="7"/>
  <c r="P50" i="7"/>
  <c r="O50" i="7"/>
  <c r="J49" i="7"/>
  <c r="D48" i="7"/>
  <c r="A51" i="7"/>
  <c r="B50" i="7"/>
  <c r="G50" i="7"/>
  <c r="C50" i="7"/>
  <c r="K50" i="7"/>
  <c r="F48" i="7"/>
  <c r="M50" i="7"/>
  <c r="H49" i="7"/>
  <c r="I50" i="7"/>
  <c r="E48" i="7"/>
  <c r="L50" i="7"/>
  <c r="N50" i="7"/>
  <c r="N51" i="7" a="1"/>
  <c r="G51" i="7" a="1"/>
  <c r="J50" i="7" a="1"/>
  <c r="Q50" i="7" a="1"/>
  <c r="K51" i="7" a="1"/>
  <c r="B51" i="7" a="1"/>
  <c r="R49" i="7" a="1"/>
  <c r="C51" i="7" a="1"/>
  <c r="L51" i="7" a="1"/>
  <c r="M51" i="7" a="1"/>
  <c r="P51" i="7" a="1"/>
  <c r="S49" i="7" a="1"/>
  <c r="E49" i="7" a="1"/>
  <c r="O51" i="7" a="1"/>
  <c r="I51" i="7" a="1"/>
  <c r="D49" i="7" a="1"/>
  <c r="H50" i="7" a="1"/>
  <c r="F49" i="7" a="1"/>
  <c r="R49" i="7" l="1"/>
  <c r="S49" i="7"/>
  <c r="Q50" i="7"/>
  <c r="P51" i="7"/>
  <c r="O51" i="7"/>
  <c r="J50" i="7"/>
  <c r="D49" i="7"/>
  <c r="A52" i="7"/>
  <c r="N51" i="7"/>
  <c r="L51" i="7"/>
  <c r="E49" i="7"/>
  <c r="I51" i="7"/>
  <c r="H50" i="7"/>
  <c r="M51" i="7"/>
  <c r="F49" i="7"/>
  <c r="K51" i="7"/>
  <c r="C51" i="7"/>
  <c r="G51" i="7"/>
  <c r="B51" i="7"/>
  <c r="L52" i="7" a="1"/>
  <c r="P52" i="7" a="1"/>
  <c r="S50" i="7" a="1"/>
  <c r="R50" i="7" a="1"/>
  <c r="G52" i="7" a="1"/>
  <c r="K52" i="7" a="1"/>
  <c r="B52" i="7" a="1"/>
  <c r="M52" i="7" a="1"/>
  <c r="O52" i="7" a="1"/>
  <c r="I52" i="7" a="1"/>
  <c r="H51" i="7" a="1"/>
  <c r="F50" i="7" a="1"/>
  <c r="E50" i="7" a="1"/>
  <c r="C52" i="7" a="1"/>
  <c r="N52" i="7" a="1"/>
  <c r="J51" i="7" a="1"/>
  <c r="Q51" i="7" a="1"/>
  <c r="D50" i="7" a="1"/>
  <c r="S50" i="7" l="1"/>
  <c r="R50" i="7"/>
  <c r="Q51" i="7"/>
  <c r="P52" i="7"/>
  <c r="O52" i="7"/>
  <c r="J51" i="7"/>
  <c r="D50" i="7"/>
  <c r="A53" i="7"/>
  <c r="G52" i="7"/>
  <c r="B52" i="7"/>
  <c r="C52" i="7"/>
  <c r="K52" i="7"/>
  <c r="F50" i="7"/>
  <c r="M52" i="7"/>
  <c r="H51" i="7"/>
  <c r="I52" i="7"/>
  <c r="E50" i="7"/>
  <c r="L52" i="7"/>
  <c r="N52" i="7"/>
  <c r="N53" i="7" a="1"/>
  <c r="S51" i="7" a="1"/>
  <c r="F51" i="7" a="1"/>
  <c r="R51" i="7" a="1"/>
  <c r="L53" i="7" a="1"/>
  <c r="K53" i="7" a="1"/>
  <c r="Q52" i="7" a="1"/>
  <c r="C53" i="7" a="1"/>
  <c r="G53" i="7" a="1"/>
  <c r="O53" i="7" a="1"/>
  <c r="E51" i="7" a="1"/>
  <c r="H52" i="7" a="1"/>
  <c r="D51" i="7" a="1"/>
  <c r="P53" i="7" a="1"/>
  <c r="M53" i="7" a="1"/>
  <c r="I53" i="7" a="1"/>
  <c r="B53" i="7" a="1"/>
  <c r="J52" i="7" a="1"/>
  <c r="S51" i="7" l="1"/>
  <c r="R51" i="7"/>
  <c r="Q52" i="7"/>
  <c r="J52" i="7"/>
  <c r="P53" i="7"/>
  <c r="O53" i="7"/>
  <c r="D51" i="7"/>
  <c r="A54" i="7"/>
  <c r="I53" i="7"/>
  <c r="N53" i="7"/>
  <c r="L53" i="7"/>
  <c r="E51" i="7"/>
  <c r="H52" i="7"/>
  <c r="M53" i="7"/>
  <c r="F51" i="7"/>
  <c r="K53" i="7"/>
  <c r="C53" i="7"/>
  <c r="B53" i="7"/>
  <c r="G53" i="7"/>
  <c r="S52" i="7" a="1"/>
  <c r="C54" i="7" a="1"/>
  <c r="L54" i="7" a="1"/>
  <c r="O54" i="7" a="1"/>
  <c r="F52" i="7" a="1"/>
  <c r="G54" i="7" a="1"/>
  <c r="D52" i="7" a="1"/>
  <c r="R52" i="7" a="1"/>
  <c r="I54" i="7" a="1"/>
  <c r="P54" i="7" a="1"/>
  <c r="N54" i="7" a="1"/>
  <c r="E52" i="7" a="1"/>
  <c r="Q53" i="7" a="1"/>
  <c r="B54" i="7" a="1"/>
  <c r="H53" i="7" a="1"/>
  <c r="M54" i="7" a="1"/>
  <c r="K54" i="7" a="1"/>
  <c r="J53" i="7" a="1"/>
  <c r="S52" i="7" l="1"/>
  <c r="R52" i="7"/>
  <c r="Q53" i="7"/>
  <c r="P54" i="7"/>
  <c r="O54" i="7"/>
  <c r="J53" i="7"/>
  <c r="D52" i="7"/>
  <c r="A55" i="7"/>
  <c r="G54" i="7"/>
  <c r="B54" i="7"/>
  <c r="C54" i="7"/>
  <c r="K54" i="7"/>
  <c r="F52" i="7"/>
  <c r="M54" i="7"/>
  <c r="H53" i="7"/>
  <c r="E52" i="7"/>
  <c r="L54" i="7"/>
  <c r="N54" i="7"/>
  <c r="I54" i="7"/>
  <c r="F53" i="7" a="1"/>
  <c r="Q54" i="7" a="1"/>
  <c r="N55" i="7" a="1"/>
  <c r="P55" i="7" a="1"/>
  <c r="M55" i="7" a="1"/>
  <c r="D53" i="7" a="1"/>
  <c r="L55" i="7" a="1"/>
  <c r="E53" i="7" a="1"/>
  <c r="I55" i="7" a="1"/>
  <c r="G55" i="7" a="1"/>
  <c r="O55" i="7" a="1"/>
  <c r="S53" i="7" a="1"/>
  <c r="R53" i="7" a="1"/>
  <c r="B55" i="7" a="1"/>
  <c r="C55" i="7" a="1"/>
  <c r="J54" i="7" a="1"/>
  <c r="H54" i="7" a="1"/>
  <c r="K55" i="7" a="1"/>
  <c r="R53" i="7" l="1"/>
  <c r="S53" i="7"/>
  <c r="Q54" i="7"/>
  <c r="P55" i="7"/>
  <c r="O55" i="7"/>
  <c r="J54" i="7"/>
  <c r="D53" i="7"/>
  <c r="A56" i="7"/>
  <c r="I55" i="7"/>
  <c r="N55" i="7"/>
  <c r="L55" i="7"/>
  <c r="E53" i="7"/>
  <c r="H54" i="7"/>
  <c r="M55" i="7"/>
  <c r="F53" i="7"/>
  <c r="K55" i="7"/>
  <c r="C55" i="7"/>
  <c r="B55" i="7"/>
  <c r="G55" i="7"/>
  <c r="G56" i="7" a="1"/>
  <c r="S54" i="7" a="1"/>
  <c r="N56" i="7" a="1"/>
  <c r="C56" i="7" a="1"/>
  <c r="B56" i="7" a="1"/>
  <c r="Q55" i="7" a="1"/>
  <c r="I56" i="7" a="1"/>
  <c r="J55" i="7" a="1"/>
  <c r="K56" i="7" a="1"/>
  <c r="L56" i="7" a="1"/>
  <c r="O56" i="7" a="1"/>
  <c r="F54" i="7" a="1"/>
  <c r="P56" i="7" a="1"/>
  <c r="D54" i="7" a="1"/>
  <c r="R54" i="7" a="1"/>
  <c r="M56" i="7" a="1"/>
  <c r="E54" i="7" a="1"/>
  <c r="H55" i="7" a="1"/>
  <c r="S54" i="7" l="1"/>
  <c r="R54" i="7"/>
  <c r="Q55" i="7"/>
  <c r="P56" i="7"/>
  <c r="O56" i="7"/>
  <c r="J55" i="7"/>
  <c r="D54" i="7"/>
  <c r="A57" i="7"/>
  <c r="G56" i="7"/>
  <c r="B56" i="7"/>
  <c r="C56" i="7"/>
  <c r="K56" i="7"/>
  <c r="F54" i="7"/>
  <c r="M56" i="7"/>
  <c r="H55" i="7"/>
  <c r="E54" i="7"/>
  <c r="L56" i="7"/>
  <c r="N56" i="7"/>
  <c r="I56" i="7"/>
  <c r="F55" i="7" a="1"/>
  <c r="M57" i="7" a="1"/>
  <c r="R55" i="7" a="1"/>
  <c r="B57" i="7" a="1"/>
  <c r="G57" i="7" a="1"/>
  <c r="C57" i="7" a="1"/>
  <c r="S55" i="7" a="1"/>
  <c r="N57" i="7" a="1"/>
  <c r="Q56" i="7" a="1"/>
  <c r="J56" i="7" a="1"/>
  <c r="D55" i="7" a="1"/>
  <c r="K57" i="7" a="1"/>
  <c r="E55" i="7" a="1"/>
  <c r="O57" i="7" a="1"/>
  <c r="L57" i="7" a="1"/>
  <c r="I57" i="7" a="1"/>
  <c r="H56" i="7" a="1"/>
  <c r="P57" i="7" a="1"/>
  <c r="R55" i="7" l="1"/>
  <c r="S55" i="7"/>
  <c r="A58" i="7"/>
  <c r="A59" i="7" s="1"/>
  <c r="Q56" i="7"/>
  <c r="P57" i="7"/>
  <c r="O57" i="7"/>
  <c r="J56" i="7"/>
  <c r="D55" i="7"/>
  <c r="I57" i="7"/>
  <c r="N57" i="7"/>
  <c r="L57" i="7"/>
  <c r="E55" i="7"/>
  <c r="H56" i="7"/>
  <c r="M57" i="7"/>
  <c r="F55" i="7"/>
  <c r="K57" i="7"/>
  <c r="C57" i="7"/>
  <c r="B57" i="7"/>
  <c r="G57" i="7"/>
  <c r="O58" i="7" a="1"/>
  <c r="L58" i="7" a="1"/>
  <c r="G58" i="7" a="1"/>
  <c r="S56" i="7" a="1"/>
  <c r="Q57" i="7" a="1"/>
  <c r="M58" i="7" a="1"/>
  <c r="J57" i="7" a="1"/>
  <c r="F56" i="7" a="1"/>
  <c r="B58" i="7" a="1"/>
  <c r="C58" i="7" a="1"/>
  <c r="N58" i="7" a="1"/>
  <c r="R56" i="7" a="1"/>
  <c r="H57" i="7" a="1"/>
  <c r="E56" i="7" a="1"/>
  <c r="D56" i="7" a="1"/>
  <c r="E58" i="7" a="1"/>
  <c r="K58" i="7" a="1"/>
  <c r="I58" i="7" a="1"/>
  <c r="Q58" i="7" a="1"/>
  <c r="P58" i="7" a="1"/>
  <c r="S56" i="7" l="1"/>
  <c r="R56" i="7"/>
  <c r="B58" i="7"/>
  <c r="K58" i="7"/>
  <c r="O58" i="7"/>
  <c r="G58" i="7"/>
  <c r="C58" i="7"/>
  <c r="M58" i="7"/>
  <c r="P58" i="7"/>
  <c r="N58" i="7"/>
  <c r="I58" i="7"/>
  <c r="E58" i="7"/>
  <c r="Q58" i="7"/>
  <c r="L58" i="7"/>
  <c r="A60" i="7"/>
  <c r="Q57" i="7"/>
  <c r="J57" i="7"/>
  <c r="D56" i="7"/>
  <c r="H57" i="7"/>
  <c r="E56" i="7"/>
  <c r="F56" i="7"/>
  <c r="F59" i="7" a="1"/>
  <c r="I59" i="7" a="1"/>
  <c r="N59" i="7" a="1"/>
  <c r="R57" i="7" a="1"/>
  <c r="E59" i="7" a="1"/>
  <c r="J58" i="7" a="1"/>
  <c r="G59" i="7" a="1"/>
  <c r="P59" i="7" a="1"/>
  <c r="H58" i="7" a="1"/>
  <c r="M59" i="7" a="1"/>
  <c r="Q59" i="7" a="1"/>
  <c r="B59" i="7" a="1"/>
  <c r="D57" i="7" a="1"/>
  <c r="E57" i="7" a="1"/>
  <c r="O59" i="7" a="1"/>
  <c r="C59" i="7" a="1"/>
  <c r="L59" i="7" a="1"/>
  <c r="S57" i="7" a="1"/>
  <c r="F57" i="7" a="1"/>
  <c r="K59" i="7" a="1"/>
  <c r="R57" i="7" l="1"/>
  <c r="S57" i="7"/>
  <c r="H58" i="7"/>
  <c r="P59" i="7"/>
  <c r="J58" i="7"/>
  <c r="O59" i="7"/>
  <c r="E59" i="7"/>
  <c r="I59" i="7"/>
  <c r="K59" i="7"/>
  <c r="M59" i="7"/>
  <c r="G59" i="7"/>
  <c r="B59" i="7"/>
  <c r="Q59" i="7"/>
  <c r="N59" i="7"/>
  <c r="F59" i="7"/>
  <c r="L59" i="7"/>
  <c r="C59" i="7"/>
  <c r="A61" i="7"/>
  <c r="D57" i="7"/>
  <c r="F57" i="7"/>
  <c r="E57" i="7"/>
  <c r="B60" i="7" a="1"/>
  <c r="S58" i="7" a="1"/>
  <c r="M60" i="7" a="1"/>
  <c r="F60" i="7" a="1"/>
  <c r="H59" i="7" a="1"/>
  <c r="F58" i="7" a="1"/>
  <c r="K60" i="7" a="1"/>
  <c r="L60" i="7" a="1"/>
  <c r="D58" i="7" a="1"/>
  <c r="O60" i="7" a="1"/>
  <c r="I60" i="7" a="1"/>
  <c r="E60" i="7" a="1"/>
  <c r="N60" i="7" a="1"/>
  <c r="C60" i="7" a="1"/>
  <c r="Q60" i="7" a="1"/>
  <c r="J59" i="7" a="1"/>
  <c r="R58" i="7" a="1"/>
  <c r="P60" i="7" a="1"/>
  <c r="G60" i="7" a="1"/>
  <c r="S58" i="7" l="1"/>
  <c r="R58" i="7"/>
  <c r="N60" i="7"/>
  <c r="F58" i="7"/>
  <c r="I60" i="7"/>
  <c r="Q60" i="7"/>
  <c r="E60" i="7"/>
  <c r="C60" i="7"/>
  <c r="G60" i="7"/>
  <c r="F60" i="7"/>
  <c r="J59" i="7"/>
  <c r="D58" i="7"/>
  <c r="O60" i="7"/>
  <c r="B60" i="7"/>
  <c r="P60" i="7"/>
  <c r="M60" i="7"/>
  <c r="L60" i="7"/>
  <c r="K60" i="7"/>
  <c r="H59" i="7"/>
  <c r="A62" i="7"/>
  <c r="K61" i="7" a="1"/>
  <c r="L61" i="7" a="1"/>
  <c r="E61" i="7" a="1"/>
  <c r="P61" i="7" a="1"/>
  <c r="R59" i="7" a="1"/>
  <c r="S59" i="7" a="1"/>
  <c r="F61" i="7" a="1"/>
  <c r="O61" i="7" a="1"/>
  <c r="B61" i="7" a="1"/>
  <c r="N61" i="7" a="1"/>
  <c r="M61" i="7" a="1"/>
  <c r="G61" i="7" a="1"/>
  <c r="C61" i="7" a="1"/>
  <c r="D59" i="7" a="1"/>
  <c r="Q61" i="7" a="1"/>
  <c r="J60" i="7" a="1"/>
  <c r="H60" i="7" a="1"/>
  <c r="I61" i="7" a="1"/>
  <c r="R59" i="7" l="1"/>
  <c r="S59" i="7"/>
  <c r="Q61" i="7"/>
  <c r="N61" i="7"/>
  <c r="E61" i="7"/>
  <c r="F61" i="7"/>
  <c r="H60" i="7"/>
  <c r="C61" i="7"/>
  <c r="O61" i="7"/>
  <c r="K61" i="7"/>
  <c r="M61" i="7"/>
  <c r="G61" i="7"/>
  <c r="P61" i="7"/>
  <c r="B61" i="7"/>
  <c r="L61" i="7"/>
  <c r="D59" i="7"/>
  <c r="J60" i="7"/>
  <c r="I61" i="7"/>
  <c r="A63" i="7"/>
  <c r="E62" i="7" a="1"/>
  <c r="F62" i="7" a="1"/>
  <c r="J61" i="7" a="1"/>
  <c r="M62" i="7" a="1"/>
  <c r="B62" i="7" a="1"/>
  <c r="R60" i="7" a="1"/>
  <c r="N62" i="7" a="1"/>
  <c r="D60" i="7" a="1"/>
  <c r="S60" i="7" a="1"/>
  <c r="L62" i="7" a="1"/>
  <c r="I62" i="7" a="1"/>
  <c r="G62" i="7" a="1"/>
  <c r="K62" i="7" a="1"/>
  <c r="O62" i="7" a="1"/>
  <c r="H61" i="7" a="1"/>
  <c r="C62" i="7" a="1"/>
  <c r="P62" i="7" a="1"/>
  <c r="Q62" i="7" a="1"/>
  <c r="S60" i="7" l="1"/>
  <c r="R60" i="7"/>
  <c r="I62" i="7"/>
  <c r="O62" i="7"/>
  <c r="P62" i="7"/>
  <c r="M62" i="7"/>
  <c r="J61" i="7"/>
  <c r="N62" i="7"/>
  <c r="E62" i="7"/>
  <c r="F62" i="7"/>
  <c r="L62" i="7"/>
  <c r="G62" i="7"/>
  <c r="C62" i="7"/>
  <c r="D60" i="7"/>
  <c r="K62" i="7"/>
  <c r="H61" i="7"/>
  <c r="Q62" i="7"/>
  <c r="B62" i="7"/>
  <c r="A64" i="7"/>
  <c r="E63" i="7" a="1"/>
  <c r="O63" i="7" a="1"/>
  <c r="I63" i="7" a="1"/>
  <c r="H63" i="7" a="1"/>
  <c r="G63" i="7" a="1"/>
  <c r="H62" i="7" a="1"/>
  <c r="Q63" i="7" a="1"/>
  <c r="J62" i="7" a="1"/>
  <c r="C63" i="7" a="1"/>
  <c r="S61" i="7" a="1"/>
  <c r="M63" i="7" a="1"/>
  <c r="L63" i="7" a="1"/>
  <c r="K63" i="7" a="1"/>
  <c r="D61" i="7" a="1"/>
  <c r="R61" i="7" a="1"/>
  <c r="F63" i="7" a="1"/>
  <c r="B63" i="7" a="1"/>
  <c r="N63" i="7" a="1"/>
  <c r="P63" i="7" a="1"/>
  <c r="R61" i="7" l="1"/>
  <c r="S61" i="7"/>
  <c r="H63" i="7"/>
  <c r="I63" i="7"/>
  <c r="J62" i="7"/>
  <c r="P63" i="7"/>
  <c r="G63" i="7"/>
  <c r="C63" i="7"/>
  <c r="H62" i="7"/>
  <c r="M63" i="7"/>
  <c r="O63" i="7"/>
  <c r="Q63" i="7"/>
  <c r="B63" i="7"/>
  <c r="L63" i="7"/>
  <c r="K63" i="7"/>
  <c r="D61" i="7"/>
  <c r="F63" i="7"/>
  <c r="N63" i="7"/>
  <c r="E63" i="7"/>
  <c r="A65" i="7"/>
  <c r="F64" i="7" a="1"/>
  <c r="P64" i="7" a="1"/>
  <c r="N64" i="7" a="1"/>
  <c r="R65" i="7" a="1"/>
  <c r="J63" i="7" a="1"/>
  <c r="K64" i="7" a="1"/>
  <c r="S62" i="7" a="1"/>
  <c r="I64" i="7" a="1"/>
  <c r="G64" i="7" a="1"/>
  <c r="M64" i="7" a="1"/>
  <c r="C64" i="7" a="1"/>
  <c r="B64" i="7" a="1"/>
  <c r="L64" i="7" a="1"/>
  <c r="H64" i="7" a="1"/>
  <c r="D62" i="7" a="1"/>
  <c r="O64" i="7" a="1"/>
  <c r="D64" i="7" a="1"/>
  <c r="R62" i="7" a="1"/>
  <c r="E64" i="7" a="1"/>
  <c r="Q64" i="7" a="1"/>
  <c r="R65" i="7" l="1"/>
  <c r="S62" i="7"/>
  <c r="R62" i="7"/>
  <c r="G64" i="7"/>
  <c r="O64" i="7"/>
  <c r="H64" i="7"/>
  <c r="N64" i="7"/>
  <c r="D64" i="7"/>
  <c r="P64" i="7"/>
  <c r="I64" i="7"/>
  <c r="Q64" i="7"/>
  <c r="F64" i="7"/>
  <c r="K64" i="7"/>
  <c r="L64" i="7"/>
  <c r="M64" i="7"/>
  <c r="D62" i="7"/>
  <c r="C64" i="7"/>
  <c r="B64" i="7"/>
  <c r="J63" i="7"/>
  <c r="E64" i="7"/>
  <c r="A66" i="7"/>
  <c r="B65" i="7" a="1"/>
  <c r="F65" i="7" a="1"/>
  <c r="K65" i="7" a="1"/>
  <c r="L65" i="7" a="1"/>
  <c r="G65" i="7" a="1"/>
  <c r="I65" i="7" a="1"/>
  <c r="E65" i="7" a="1"/>
  <c r="S63" i="7" a="1"/>
  <c r="O65" i="7" a="1"/>
  <c r="D63" i="7" a="1"/>
  <c r="R63" i="7" a="1"/>
  <c r="J64" i="7" a="1"/>
  <c r="D65" i="7" a="1"/>
  <c r="Q65" i="7" a="1"/>
  <c r="N65" i="7" a="1"/>
  <c r="P65" i="7" a="1"/>
  <c r="C65" i="7" a="1"/>
  <c r="H65" i="7" a="1"/>
  <c r="M65" i="7" a="1"/>
  <c r="R63" i="7" l="1"/>
  <c r="S63" i="7"/>
  <c r="C65" i="7"/>
  <c r="G65" i="7"/>
  <c r="N65" i="7"/>
  <c r="D65" i="7"/>
  <c r="I65" i="7"/>
  <c r="F65" i="7"/>
  <c r="L65" i="7"/>
  <c r="B65" i="7"/>
  <c r="E65" i="7"/>
  <c r="O65" i="7"/>
  <c r="H65" i="7"/>
  <c r="J64" i="7"/>
  <c r="D63" i="7"/>
  <c r="M65" i="7"/>
  <c r="K65" i="7"/>
  <c r="P65" i="7"/>
  <c r="Q65" i="7"/>
  <c r="A67" i="7"/>
  <c r="E66" i="7" a="1"/>
  <c r="H66" i="7" a="1"/>
  <c r="R64" i="7" a="1"/>
  <c r="C66" i="7" a="1"/>
  <c r="S66" i="7" a="1"/>
  <c r="I66" i="7" a="1"/>
  <c r="G66" i="7" a="1"/>
  <c r="F66" i="7" a="1"/>
  <c r="M66" i="7" a="1"/>
  <c r="O66" i="7" a="1"/>
  <c r="K66" i="7" a="1"/>
  <c r="R66" i="7" a="1"/>
  <c r="P66" i="7" a="1"/>
  <c r="N66" i="7" a="1"/>
  <c r="D66" i="7" a="1"/>
  <c r="Q66" i="7" a="1"/>
  <c r="S64" i="7" a="1"/>
  <c r="L66" i="7" a="1"/>
  <c r="B66" i="7" a="1"/>
  <c r="J65" i="7" a="1"/>
  <c r="S66" i="7" l="1"/>
  <c r="R66" i="7"/>
  <c r="S64" i="7"/>
  <c r="R64" i="7"/>
  <c r="M66" i="7"/>
  <c r="L66" i="7"/>
  <c r="C66" i="7"/>
  <c r="N66" i="7"/>
  <c r="P66" i="7"/>
  <c r="D66" i="7"/>
  <c r="K66" i="7"/>
  <c r="J65" i="7"/>
  <c r="F66" i="7"/>
  <c r="E66" i="7"/>
  <c r="G66" i="7"/>
  <c r="I66" i="7"/>
  <c r="O66" i="7"/>
  <c r="Q66" i="7"/>
  <c r="H66" i="7"/>
  <c r="B66" i="7"/>
  <c r="A68" i="7"/>
  <c r="O67" i="7" a="1"/>
  <c r="H67" i="7" a="1"/>
  <c r="J66" i="7" a="1"/>
  <c r="S67" i="7" a="1"/>
  <c r="M67" i="7" a="1"/>
  <c r="F67" i="7" a="1"/>
  <c r="Q67" i="7" a="1"/>
  <c r="K67" i="7" a="1"/>
  <c r="I67" i="7" a="1"/>
  <c r="S65" i="7" a="1"/>
  <c r="G67" i="7" a="1"/>
  <c r="B67" i="7" a="1"/>
  <c r="C67" i="7" a="1"/>
  <c r="D67" i="7" a="1"/>
  <c r="N67" i="7" a="1"/>
  <c r="R67" i="7" a="1"/>
  <c r="L67" i="7" a="1"/>
  <c r="E67" i="7" a="1"/>
  <c r="P67" i="7" a="1"/>
  <c r="S65" i="7" l="1"/>
  <c r="R67" i="7"/>
  <c r="S67" i="7"/>
  <c r="G67" i="7"/>
  <c r="C67" i="7"/>
  <c r="O67" i="7"/>
  <c r="H67" i="7"/>
  <c r="N67" i="7"/>
  <c r="Q67" i="7"/>
  <c r="B67" i="7"/>
  <c r="F67" i="7"/>
  <c r="J66" i="7"/>
  <c r="K67" i="7"/>
  <c r="D67" i="7"/>
  <c r="L67" i="7"/>
  <c r="I67" i="7"/>
  <c r="P67" i="7"/>
  <c r="E67" i="7"/>
  <c r="M67" i="7"/>
  <c r="A69" i="7"/>
  <c r="G68" i="7" a="1"/>
  <c r="P68" i="7" a="1"/>
  <c r="J67" i="7" a="1"/>
  <c r="Q68" i="7" a="1"/>
  <c r="L68" i="7" a="1"/>
  <c r="I68" i="7" a="1"/>
  <c r="M68" i="7" a="1"/>
  <c r="S68" i="7" a="1"/>
  <c r="R68" i="7" a="1"/>
  <c r="H68" i="7" a="1"/>
  <c r="K68" i="7" a="1"/>
  <c r="B68" i="7" a="1"/>
  <c r="F68" i="7" a="1"/>
  <c r="C68" i="7" a="1"/>
  <c r="D68" i="7" a="1"/>
  <c r="E68" i="7" a="1"/>
  <c r="N68" i="7" a="1"/>
  <c r="O68" i="7" a="1"/>
  <c r="R68" i="7" l="1"/>
  <c r="S68" i="7"/>
  <c r="I68" i="7"/>
  <c r="P68" i="7"/>
  <c r="M68" i="7"/>
  <c r="N68" i="7"/>
  <c r="H68" i="7"/>
  <c r="G68" i="7"/>
  <c r="B68" i="7"/>
  <c r="E68" i="7"/>
  <c r="K68" i="7"/>
  <c r="L68" i="7"/>
  <c r="D68" i="7"/>
  <c r="J67" i="7"/>
  <c r="F68" i="7"/>
  <c r="O68" i="7"/>
  <c r="C68" i="7"/>
  <c r="Q68" i="7"/>
  <c r="A70" i="7"/>
  <c r="B69" i="7" a="1"/>
  <c r="D69" i="7" a="1"/>
  <c r="E69" i="7" a="1"/>
  <c r="L69" i="7" a="1"/>
  <c r="R69" i="7" a="1"/>
  <c r="H69" i="7" a="1"/>
  <c r="J68" i="7" a="1"/>
  <c r="M69" i="7" a="1"/>
  <c r="Q69" i="7" a="1"/>
  <c r="F69" i="7" a="1"/>
  <c r="P69" i="7" a="1"/>
  <c r="C69" i="7" a="1"/>
  <c r="K69" i="7" a="1"/>
  <c r="G69" i="7" a="1"/>
  <c r="I69" i="7" a="1"/>
  <c r="O69" i="7" a="1"/>
  <c r="S69" i="7" a="1"/>
  <c r="N69" i="7" a="1"/>
  <c r="S69" i="7" l="1"/>
  <c r="R69" i="7"/>
  <c r="P69" i="7"/>
  <c r="N69" i="7"/>
  <c r="Q69" i="7"/>
  <c r="C69" i="7"/>
  <c r="G69" i="7"/>
  <c r="I69" i="7"/>
  <c r="O69" i="7"/>
  <c r="F69" i="7"/>
  <c r="D69" i="7"/>
  <c r="K69" i="7"/>
  <c r="H69" i="7"/>
  <c r="J68" i="7"/>
  <c r="L69" i="7"/>
  <c r="B69" i="7"/>
  <c r="M69" i="7"/>
  <c r="E69" i="7"/>
  <c r="A71" i="7"/>
  <c r="D70" i="7" a="1"/>
  <c r="F70" i="7" a="1"/>
  <c r="M70" i="7" a="1"/>
  <c r="C70" i="7" a="1"/>
  <c r="G70" i="7" a="1"/>
  <c r="I70" i="7" a="1"/>
  <c r="Q70" i="7" a="1"/>
  <c r="O70" i="7" a="1"/>
  <c r="B70" i="7" a="1"/>
  <c r="P70" i="7" a="1"/>
  <c r="E70" i="7" a="1"/>
  <c r="S70" i="7" a="1"/>
  <c r="N70" i="7" a="1"/>
  <c r="L70" i="7" a="1"/>
  <c r="K70" i="7" a="1"/>
  <c r="R70" i="7" a="1"/>
  <c r="J69" i="7" a="1"/>
  <c r="H70" i="7" a="1"/>
  <c r="R70" i="7" l="1"/>
  <c r="S70" i="7"/>
  <c r="N70" i="7"/>
  <c r="I70" i="7"/>
  <c r="B70" i="7"/>
  <c r="P70" i="7"/>
  <c r="E70" i="7"/>
  <c r="Q70" i="7"/>
  <c r="G70" i="7"/>
  <c r="O70" i="7"/>
  <c r="D70" i="7"/>
  <c r="L70" i="7"/>
  <c r="C70" i="7"/>
  <c r="M70" i="7"/>
  <c r="J69" i="7"/>
  <c r="H70" i="7"/>
  <c r="K70" i="7"/>
  <c r="F70" i="7"/>
  <c r="A72" i="7"/>
  <c r="K71" i="7" a="1"/>
  <c r="H71" i="7" a="1"/>
  <c r="M71" i="7" a="1"/>
  <c r="I71" i="7" a="1"/>
  <c r="F71" i="7" a="1"/>
  <c r="P71" i="7" a="1"/>
  <c r="E71" i="7" a="1"/>
  <c r="Q71" i="7" a="1"/>
  <c r="J70" i="7" a="1"/>
  <c r="R71" i="7" a="1"/>
  <c r="C71" i="7" a="1"/>
  <c r="O71" i="7" a="1"/>
  <c r="G71" i="7" a="1"/>
  <c r="D71" i="7" a="1"/>
  <c r="N71" i="7" a="1"/>
  <c r="S71" i="7" a="1"/>
  <c r="L71" i="7" a="1"/>
  <c r="B71" i="7" a="1"/>
  <c r="R71" i="7" l="1"/>
  <c r="S71" i="7"/>
  <c r="B71" i="7"/>
  <c r="E71" i="7"/>
  <c r="N71" i="7"/>
  <c r="K71" i="7"/>
  <c r="G71" i="7"/>
  <c r="I71" i="7"/>
  <c r="O71" i="7"/>
  <c r="P71" i="7"/>
  <c r="Q71" i="7"/>
  <c r="D71" i="7"/>
  <c r="C71" i="7"/>
  <c r="H71" i="7"/>
  <c r="F71" i="7"/>
  <c r="J70" i="7"/>
  <c r="M71" i="7"/>
  <c r="L71" i="7"/>
  <c r="A73" i="7"/>
  <c r="D72" i="7" a="1"/>
  <c r="Q72" i="7" a="1"/>
  <c r="C72" i="7" a="1"/>
  <c r="L72" i="7" a="1"/>
  <c r="I72" i="7" a="1"/>
  <c r="B72" i="7" a="1"/>
  <c r="O72" i="7" a="1"/>
  <c r="N72" i="7" a="1"/>
  <c r="S72" i="7" a="1"/>
  <c r="E72" i="7" a="1"/>
  <c r="J71" i="7" a="1"/>
  <c r="F72" i="7" a="1"/>
  <c r="P72" i="7" a="1"/>
  <c r="K72" i="7" a="1"/>
  <c r="M72" i="7" a="1"/>
  <c r="G72" i="7" a="1"/>
  <c r="R72" i="7" a="1"/>
  <c r="H72" i="7" a="1"/>
  <c r="S72" i="7" l="1"/>
  <c r="R72" i="7"/>
  <c r="K72" i="7"/>
  <c r="E72" i="7"/>
  <c r="G72" i="7"/>
  <c r="M72" i="7"/>
  <c r="N72" i="7"/>
  <c r="O72" i="7"/>
  <c r="P72" i="7"/>
  <c r="Q72" i="7"/>
  <c r="B72" i="7"/>
  <c r="I72" i="7"/>
  <c r="H72" i="7"/>
  <c r="C72" i="7"/>
  <c r="L72" i="7"/>
  <c r="J71" i="7"/>
  <c r="F72" i="7"/>
  <c r="D72" i="7"/>
  <c r="A74" i="7"/>
  <c r="C73" i="7" a="1"/>
  <c r="J72" i="7" a="1"/>
  <c r="H73" i="7" a="1"/>
  <c r="S73" i="7" a="1"/>
  <c r="R73" i="7" a="1"/>
  <c r="F73" i="7" a="1"/>
  <c r="E73" i="7" a="1"/>
  <c r="P73" i="7" a="1"/>
  <c r="G73" i="7" a="1"/>
  <c r="Q73" i="7" a="1"/>
  <c r="I73" i="7" a="1"/>
  <c r="O73" i="7" a="1"/>
  <c r="K73" i="7" a="1"/>
  <c r="M73" i="7" a="1"/>
  <c r="B73" i="7" a="1"/>
  <c r="D73" i="7" a="1"/>
  <c r="N73" i="7" a="1"/>
  <c r="L73" i="7" a="1"/>
  <c r="S73" i="7" l="1"/>
  <c r="R73" i="7"/>
  <c r="M73" i="7"/>
  <c r="N73" i="7"/>
  <c r="K73" i="7"/>
  <c r="L73" i="7"/>
  <c r="D73" i="7"/>
  <c r="E73" i="7"/>
  <c r="G73" i="7"/>
  <c r="B73" i="7"/>
  <c r="H73" i="7"/>
  <c r="C73" i="7"/>
  <c r="F73" i="7"/>
  <c r="J72" i="7"/>
  <c r="I73" i="7"/>
  <c r="O73" i="7"/>
  <c r="P73" i="7"/>
  <c r="Q73" i="7"/>
  <c r="A75" i="7"/>
  <c r="Q74" i="7" a="1"/>
  <c r="P74" i="7" a="1"/>
  <c r="G74" i="7" a="1"/>
  <c r="B74" i="7" a="1"/>
  <c r="K74" i="7" a="1"/>
  <c r="J73" i="7" a="1"/>
  <c r="M74" i="7" a="1"/>
  <c r="S74" i="7" a="1"/>
  <c r="O74" i="7" a="1"/>
  <c r="I74" i="7" a="1"/>
  <c r="H74" i="7" a="1"/>
  <c r="R74" i="7" a="1"/>
  <c r="E74" i="7" a="1"/>
  <c r="D74" i="7" a="1"/>
  <c r="N74" i="7" a="1"/>
  <c r="F74" i="7" a="1"/>
  <c r="L74" i="7" a="1"/>
  <c r="C74" i="7" a="1"/>
  <c r="R74" i="7" l="1"/>
  <c r="S74" i="7"/>
  <c r="M74" i="7"/>
  <c r="N74" i="7"/>
  <c r="B74" i="7"/>
  <c r="P74" i="7"/>
  <c r="O74" i="7"/>
  <c r="G74" i="7"/>
  <c r="D74" i="7"/>
  <c r="Q74" i="7"/>
  <c r="E74" i="7"/>
  <c r="I74" i="7"/>
  <c r="J73" i="7"/>
  <c r="F74" i="7"/>
  <c r="C74" i="7"/>
  <c r="H74" i="7"/>
  <c r="L74" i="7"/>
  <c r="K74" i="7"/>
  <c r="A76" i="7"/>
  <c r="L75" i="7" a="1"/>
  <c r="D75" i="7" a="1"/>
  <c r="I75" i="7" a="1"/>
  <c r="B75" i="7" a="1"/>
  <c r="Q75" i="7" a="1"/>
  <c r="K75" i="7" a="1"/>
  <c r="J74" i="7" a="1"/>
  <c r="O75" i="7" a="1"/>
  <c r="S75" i="7" a="1"/>
  <c r="H75" i="7" a="1"/>
  <c r="N75" i="7" a="1"/>
  <c r="P75" i="7" a="1"/>
  <c r="E75" i="7" a="1"/>
  <c r="F75" i="7" a="1"/>
  <c r="C75" i="7" a="1"/>
  <c r="R75" i="7" a="1"/>
  <c r="M75" i="7" a="1"/>
  <c r="G75" i="7" a="1"/>
  <c r="S75" i="7" l="1"/>
  <c r="R75" i="7"/>
  <c r="K75" i="7"/>
  <c r="H75" i="7"/>
  <c r="F75" i="7"/>
  <c r="M75" i="7"/>
  <c r="D75" i="7"/>
  <c r="L75" i="7"/>
  <c r="N75" i="7"/>
  <c r="Q75" i="7"/>
  <c r="P75" i="7"/>
  <c r="C75" i="7"/>
  <c r="B75" i="7"/>
  <c r="J74" i="7"/>
  <c r="I75" i="7"/>
  <c r="E75" i="7"/>
  <c r="G75" i="7"/>
  <c r="O75" i="7"/>
  <c r="A77" i="7"/>
  <c r="Q76" i="7" a="1"/>
  <c r="F76" i="7" a="1"/>
  <c r="O76" i="7" a="1"/>
  <c r="G76" i="7" a="1"/>
  <c r="J75" i="7" a="1"/>
  <c r="M76" i="7" a="1"/>
  <c r="H76" i="7" a="1"/>
  <c r="C76" i="7" a="1"/>
  <c r="P76" i="7" a="1"/>
  <c r="I76" i="7" a="1"/>
  <c r="D76" i="7" a="1"/>
  <c r="S76" i="7" a="1"/>
  <c r="N76" i="7" a="1"/>
  <c r="R76" i="7" a="1"/>
  <c r="L76" i="7" a="1"/>
  <c r="K76" i="7" a="1"/>
  <c r="B76" i="7" a="1"/>
  <c r="E76" i="7" a="1"/>
  <c r="R76" i="7" l="1"/>
  <c r="S76" i="7"/>
  <c r="P76" i="7"/>
  <c r="M76" i="7"/>
  <c r="N76" i="7"/>
  <c r="C76" i="7"/>
  <c r="J75" i="7"/>
  <c r="O76" i="7"/>
  <c r="Q76" i="7"/>
  <c r="F76" i="7"/>
  <c r="G76" i="7"/>
  <c r="E76" i="7"/>
  <c r="K76" i="7"/>
  <c r="I76" i="7"/>
  <c r="B76" i="7"/>
  <c r="L76" i="7"/>
  <c r="D76" i="7"/>
  <c r="H76" i="7"/>
  <c r="A78" i="7"/>
  <c r="L77" i="7" a="1"/>
  <c r="H77" i="7" a="1"/>
  <c r="J76" i="7" a="1"/>
  <c r="K77" i="7" a="1"/>
  <c r="F77" i="7" a="1"/>
  <c r="M77" i="7" a="1"/>
  <c r="D77" i="7" a="1"/>
  <c r="R77" i="7" a="1"/>
  <c r="G77" i="7" a="1"/>
  <c r="S77" i="7" a="1"/>
  <c r="B77" i="7" a="1"/>
  <c r="I77" i="7" a="1"/>
  <c r="O77" i="7" a="1"/>
  <c r="N77" i="7" a="1"/>
  <c r="C77" i="7" a="1"/>
  <c r="P77" i="7" a="1"/>
  <c r="E77" i="7" a="1"/>
  <c r="Q77" i="7" a="1"/>
  <c r="R77" i="7" l="1"/>
  <c r="S77" i="7"/>
  <c r="I77" i="7"/>
  <c r="F77" i="7"/>
  <c r="K77" i="7"/>
  <c r="D77" i="7"/>
  <c r="M77" i="7"/>
  <c r="E77" i="7"/>
  <c r="C77" i="7"/>
  <c r="B77" i="7"/>
  <c r="L77" i="7"/>
  <c r="H77" i="7"/>
  <c r="G77" i="7"/>
  <c r="J76" i="7"/>
  <c r="N77" i="7"/>
  <c r="O77" i="7"/>
  <c r="P77" i="7"/>
  <c r="Q77" i="7"/>
  <c r="A79" i="7"/>
  <c r="D78" i="7" a="1"/>
  <c r="G78" i="7" a="1"/>
  <c r="P78" i="7" a="1"/>
  <c r="B78" i="7" a="1"/>
  <c r="F78" i="7" a="1"/>
  <c r="O78" i="7" a="1"/>
  <c r="J77" i="7" a="1"/>
  <c r="S78" i="7" a="1"/>
  <c r="E78" i="7" a="1"/>
  <c r="H78" i="7" a="1"/>
  <c r="M78" i="7" a="1"/>
  <c r="L78" i="7" a="1"/>
  <c r="N78" i="7" a="1"/>
  <c r="I78" i="7" a="1"/>
  <c r="R78" i="7" a="1"/>
  <c r="K78" i="7" a="1"/>
  <c r="Q78" i="7" a="1"/>
  <c r="C78" i="7" a="1"/>
  <c r="S78" i="7" l="1"/>
  <c r="R78" i="7"/>
  <c r="M78" i="7"/>
  <c r="N78" i="7"/>
  <c r="P78" i="7"/>
  <c r="G78" i="7"/>
  <c r="O78" i="7"/>
  <c r="Q78" i="7"/>
  <c r="F78" i="7"/>
  <c r="K78" i="7"/>
  <c r="L78" i="7"/>
  <c r="J77" i="7"/>
  <c r="H78" i="7"/>
  <c r="B78" i="7"/>
  <c r="C78" i="7"/>
  <c r="E78" i="7"/>
  <c r="D78" i="7"/>
  <c r="I78" i="7"/>
  <c r="A80" i="7"/>
  <c r="R79" i="7" a="1"/>
  <c r="J78" i="7" a="1"/>
  <c r="E79" i="7" a="1"/>
  <c r="K79" i="7" a="1"/>
  <c r="D79" i="7" a="1"/>
  <c r="O79" i="7" a="1"/>
  <c r="P79" i="7" a="1"/>
  <c r="H79" i="7" a="1"/>
  <c r="N79" i="7" a="1"/>
  <c r="G79" i="7" a="1"/>
  <c r="S79" i="7" a="1"/>
  <c r="B79" i="7" a="1"/>
  <c r="M79" i="7" a="1"/>
  <c r="L79" i="7" a="1"/>
  <c r="F79" i="7" a="1"/>
  <c r="C79" i="7" a="1"/>
  <c r="Q79" i="7" a="1"/>
  <c r="I79" i="7" a="1"/>
  <c r="S79" i="7" l="1"/>
  <c r="R79" i="7"/>
  <c r="I79" i="7"/>
  <c r="O79" i="7"/>
  <c r="K79" i="7"/>
  <c r="Q79" i="7"/>
  <c r="L79" i="7"/>
  <c r="C79" i="7"/>
  <c r="E79" i="7"/>
  <c r="H79" i="7"/>
  <c r="D79" i="7"/>
  <c r="B79" i="7"/>
  <c r="J78" i="7"/>
  <c r="F79" i="7"/>
  <c r="M79" i="7"/>
  <c r="N79" i="7"/>
  <c r="P79" i="7"/>
  <c r="G79" i="7"/>
  <c r="A81" i="7"/>
  <c r="H80" i="7" a="1"/>
  <c r="K80" i="7" a="1"/>
  <c r="F80" i="7" a="1"/>
  <c r="D80" i="7" a="1"/>
  <c r="B80" i="7" a="1"/>
  <c r="M80" i="7" a="1"/>
  <c r="C80" i="7" a="1"/>
  <c r="J79" i="7" a="1"/>
  <c r="Q80" i="7" a="1"/>
  <c r="S80" i="7" a="1"/>
  <c r="L80" i="7" a="1"/>
  <c r="N80" i="7" a="1"/>
  <c r="P80" i="7" a="1"/>
  <c r="E80" i="7" a="1"/>
  <c r="O80" i="7" a="1"/>
  <c r="I80" i="7" a="1"/>
  <c r="R80" i="7" a="1"/>
  <c r="G80" i="7" a="1"/>
  <c r="R80" i="7" l="1"/>
  <c r="S80" i="7"/>
  <c r="G80" i="7"/>
  <c r="B80" i="7"/>
  <c r="P80" i="7"/>
  <c r="O80" i="7"/>
  <c r="F80" i="7"/>
  <c r="H80" i="7"/>
  <c r="J79" i="7"/>
  <c r="E80" i="7"/>
  <c r="L80" i="7"/>
  <c r="M80" i="7"/>
  <c r="N80" i="7"/>
  <c r="Q80" i="7"/>
  <c r="K80" i="7"/>
  <c r="D80" i="7"/>
  <c r="C80" i="7"/>
  <c r="I80" i="7"/>
  <c r="A82" i="7"/>
  <c r="Q81" i="7" a="1"/>
  <c r="C81" i="7" a="1"/>
  <c r="B81" i="7" a="1"/>
  <c r="S81" i="7" a="1"/>
  <c r="F81" i="7" a="1"/>
  <c r="O81" i="7" a="1"/>
  <c r="P81" i="7" a="1"/>
  <c r="R81" i="7" a="1"/>
  <c r="D81" i="7" a="1"/>
  <c r="N81" i="7" a="1"/>
  <c r="E81" i="7" a="1"/>
  <c r="L81" i="7" a="1"/>
  <c r="K81" i="7" a="1"/>
  <c r="I81" i="7" a="1"/>
  <c r="H81" i="7" a="1"/>
  <c r="J80" i="7" a="1"/>
  <c r="M81" i="7" a="1"/>
  <c r="G81" i="7" a="1"/>
  <c r="S81" i="7" l="1"/>
  <c r="R81" i="7"/>
  <c r="O81" i="7"/>
  <c r="Q81" i="7"/>
  <c r="N81" i="7"/>
  <c r="P81" i="7"/>
  <c r="B81" i="7"/>
  <c r="D81" i="7"/>
  <c r="E81" i="7"/>
  <c r="C81" i="7"/>
  <c r="L81" i="7"/>
  <c r="I81" i="7"/>
  <c r="K81" i="7"/>
  <c r="J80" i="7"/>
  <c r="H81" i="7"/>
  <c r="F81" i="7"/>
  <c r="M81" i="7"/>
  <c r="G81" i="7"/>
  <c r="A83" i="7"/>
  <c r="E82" i="7" a="1"/>
  <c r="L82" i="7" a="1"/>
  <c r="F82" i="7" a="1"/>
  <c r="R82" i="7" a="1"/>
  <c r="I82" i="7" a="1"/>
  <c r="Q82" i="7" a="1"/>
  <c r="J81" i="7" a="1"/>
  <c r="B82" i="7" a="1"/>
  <c r="O82" i="7" a="1"/>
  <c r="D82" i="7" a="1"/>
  <c r="K82" i="7" a="1"/>
  <c r="M82" i="7" a="1"/>
  <c r="H82" i="7" a="1"/>
  <c r="N82" i="7" a="1"/>
  <c r="G82" i="7" a="1"/>
  <c r="S82" i="7" a="1"/>
  <c r="P82" i="7" a="1"/>
  <c r="C82" i="7" a="1"/>
  <c r="R82" i="7" l="1"/>
  <c r="S82" i="7"/>
  <c r="O82" i="7"/>
  <c r="P82" i="7"/>
  <c r="Q82" i="7"/>
  <c r="K82" i="7"/>
  <c r="G82" i="7"/>
  <c r="I82" i="7"/>
  <c r="C82" i="7"/>
  <c r="D82" i="7"/>
  <c r="M82" i="7"/>
  <c r="N82" i="7"/>
  <c r="H82" i="7"/>
  <c r="F82" i="7"/>
  <c r="J81" i="7"/>
  <c r="L82" i="7"/>
  <c r="E82" i="7"/>
  <c r="B82" i="7"/>
  <c r="A84" i="7"/>
  <c r="M83" i="7" a="1"/>
  <c r="O83" i="7" a="1"/>
  <c r="N83" i="7" a="1"/>
  <c r="G83" i="7" a="1"/>
  <c r="R83" i="7" a="1"/>
  <c r="S83" i="7" a="1"/>
  <c r="K83" i="7" a="1"/>
  <c r="C83" i="7" a="1"/>
  <c r="L83" i="7" a="1"/>
  <c r="E83" i="7" a="1"/>
  <c r="F83" i="7" a="1"/>
  <c r="Q83" i="7" a="1"/>
  <c r="P83" i="7" a="1"/>
  <c r="I83" i="7" a="1"/>
  <c r="H83" i="7" a="1"/>
  <c r="B83" i="7" a="1"/>
  <c r="D83" i="7" a="1"/>
  <c r="J82" i="7" a="1"/>
  <c r="R84" i="7" a="1"/>
  <c r="R84" i="7" l="1"/>
  <c r="S83" i="7"/>
  <c r="R83" i="7"/>
  <c r="I83" i="7"/>
  <c r="N83" i="7"/>
  <c r="L83" i="7"/>
  <c r="F83" i="7"/>
  <c r="Q83" i="7"/>
  <c r="E83" i="7"/>
  <c r="J82" i="7"/>
  <c r="G83" i="7"/>
  <c r="K83" i="7"/>
  <c r="O83" i="7"/>
  <c r="P83" i="7"/>
  <c r="C83" i="7"/>
  <c r="D83" i="7"/>
  <c r="B83" i="7"/>
  <c r="H83" i="7"/>
  <c r="M83" i="7"/>
  <c r="A85" i="7"/>
  <c r="I84" i="7" a="1"/>
  <c r="N84" i="7" a="1"/>
  <c r="B84" i="7" a="1"/>
  <c r="H84" i="7" a="1"/>
  <c r="O84" i="7" a="1"/>
  <c r="J83" i="7" a="1"/>
  <c r="F84" i="7" a="1"/>
  <c r="G84" i="7" a="1"/>
  <c r="K84" i="7" a="1"/>
  <c r="S84" i="7" a="1"/>
  <c r="M84" i="7" a="1"/>
  <c r="L84" i="7" a="1"/>
  <c r="P84" i="7" a="1"/>
  <c r="C84" i="7" a="1"/>
  <c r="Q84" i="7" a="1"/>
  <c r="D84" i="7" a="1"/>
  <c r="E84" i="7" a="1"/>
  <c r="S84" i="7" l="1"/>
  <c r="G84" i="7"/>
  <c r="F84" i="7"/>
  <c r="M84" i="7"/>
  <c r="Q84" i="7"/>
  <c r="P84" i="7"/>
  <c r="E84" i="7"/>
  <c r="L84" i="7"/>
  <c r="N84" i="7"/>
  <c r="O84" i="7"/>
  <c r="D84" i="7"/>
  <c r="K84" i="7"/>
  <c r="H84" i="7"/>
  <c r="B84" i="7"/>
  <c r="C84" i="7"/>
  <c r="J83" i="7"/>
  <c r="I84" i="7"/>
  <c r="A86" i="7"/>
  <c r="J84" i="7" a="1"/>
  <c r="N85" i="7" a="1"/>
  <c r="F85" i="7" a="1"/>
  <c r="S85" i="7" a="1"/>
  <c r="H85" i="7" a="1"/>
  <c r="Q85" i="7" a="1"/>
  <c r="P85" i="7" a="1"/>
  <c r="C85" i="7" a="1"/>
  <c r="M85" i="7" a="1"/>
  <c r="O85" i="7" a="1"/>
  <c r="R85" i="7" a="1"/>
  <c r="I85" i="7" a="1"/>
  <c r="E85" i="7" a="1"/>
  <c r="D85" i="7" a="1"/>
  <c r="G85" i="7" a="1"/>
  <c r="B85" i="7" a="1"/>
  <c r="K85" i="7" a="1"/>
  <c r="L85" i="7" a="1"/>
  <c r="S85" i="7" l="1"/>
  <c r="R85" i="7"/>
  <c r="M85" i="7"/>
  <c r="B85" i="7"/>
  <c r="Q85" i="7"/>
  <c r="O85" i="7"/>
  <c r="N85" i="7"/>
  <c r="F85" i="7"/>
  <c r="D85" i="7"/>
  <c r="C85" i="7"/>
  <c r="L85" i="7"/>
  <c r="I85" i="7"/>
  <c r="J84" i="7"/>
  <c r="H85" i="7"/>
  <c r="K85" i="7"/>
  <c r="E85" i="7"/>
  <c r="P85" i="7"/>
  <c r="G85" i="7"/>
  <c r="A87" i="7"/>
  <c r="D86" i="7" a="1"/>
  <c r="F86" i="7" a="1"/>
  <c r="C86" i="7" a="1"/>
  <c r="G86" i="7" a="1"/>
  <c r="N86" i="7" a="1"/>
  <c r="E86" i="7" a="1"/>
  <c r="K86" i="7" a="1"/>
  <c r="O86" i="7" a="1"/>
  <c r="L86" i="7" a="1"/>
  <c r="P86" i="7" a="1"/>
  <c r="R86" i="7" a="1"/>
  <c r="Q86" i="7" a="1"/>
  <c r="S86" i="7" a="1"/>
  <c r="H86" i="7" a="1"/>
  <c r="B86" i="7" a="1"/>
  <c r="I86" i="7" a="1"/>
  <c r="J85" i="7" a="1"/>
  <c r="M86" i="7" a="1"/>
  <c r="R86" i="7" l="1"/>
  <c r="S86" i="7"/>
  <c r="O86" i="7"/>
  <c r="G86" i="7"/>
  <c r="N86" i="7"/>
  <c r="K86" i="7"/>
  <c r="Q86" i="7"/>
  <c r="D86" i="7"/>
  <c r="I86" i="7"/>
  <c r="E86" i="7"/>
  <c r="L86" i="7"/>
  <c r="H86" i="7"/>
  <c r="P86" i="7"/>
  <c r="J85" i="7"/>
  <c r="C86" i="7"/>
  <c r="F86" i="7"/>
  <c r="B86" i="7"/>
  <c r="M86" i="7"/>
  <c r="A88" i="7"/>
  <c r="D87" i="7" a="1"/>
  <c r="N87" i="7" a="1"/>
  <c r="S87" i="7" a="1"/>
  <c r="B87" i="7" a="1"/>
  <c r="G87" i="7" a="1"/>
  <c r="K87" i="7" a="1"/>
  <c r="Q87" i="7" a="1"/>
  <c r="L87" i="7" a="1"/>
  <c r="P87" i="7" a="1"/>
  <c r="E87" i="7" a="1"/>
  <c r="O87" i="7" a="1"/>
  <c r="H87" i="7" a="1"/>
  <c r="C87" i="7" a="1"/>
  <c r="J86" i="7" a="1"/>
  <c r="M87" i="7" a="1"/>
  <c r="I87" i="7" a="1"/>
  <c r="F87" i="7" a="1"/>
  <c r="R87" i="7" a="1"/>
  <c r="R87" i="7" l="1"/>
  <c r="S87" i="7"/>
  <c r="Q87" i="7"/>
  <c r="P87" i="7"/>
  <c r="L87" i="7"/>
  <c r="M87" i="7"/>
  <c r="F87" i="7"/>
  <c r="B87" i="7"/>
  <c r="C87" i="7"/>
  <c r="J86" i="7"/>
  <c r="E87" i="7"/>
  <c r="D87" i="7"/>
  <c r="G87" i="7"/>
  <c r="O87" i="7"/>
  <c r="K87" i="7"/>
  <c r="H87" i="7"/>
  <c r="I87" i="7"/>
  <c r="N87" i="7"/>
  <c r="A89" i="7"/>
  <c r="O88" i="7" a="1"/>
  <c r="D88" i="7" a="1"/>
  <c r="R88" i="7" a="1"/>
  <c r="L88" i="7" a="1"/>
  <c r="N88" i="7" a="1"/>
  <c r="K88" i="7" a="1"/>
  <c r="S88" i="7" a="1"/>
  <c r="G88" i="7" a="1"/>
  <c r="F88" i="7" a="1"/>
  <c r="C88" i="7" a="1"/>
  <c r="M88" i="7" a="1"/>
  <c r="H88" i="7" a="1"/>
  <c r="E88" i="7" a="1"/>
  <c r="B88" i="7" a="1"/>
  <c r="I88" i="7" a="1"/>
  <c r="Q88" i="7" a="1"/>
  <c r="J87" i="7" a="1"/>
  <c r="P88" i="7" a="1"/>
  <c r="S88" i="7" l="1"/>
  <c r="R88" i="7"/>
  <c r="K88" i="7"/>
  <c r="M88" i="7"/>
  <c r="C88" i="7"/>
  <c r="L88" i="7"/>
  <c r="E88" i="7"/>
  <c r="D88" i="7"/>
  <c r="N88" i="7"/>
  <c r="O88" i="7"/>
  <c r="F88" i="7"/>
  <c r="B88" i="7"/>
  <c r="P88" i="7"/>
  <c r="I88" i="7"/>
  <c r="G88" i="7"/>
  <c r="H88" i="7"/>
  <c r="J87" i="7"/>
  <c r="Q88" i="7"/>
  <c r="A90" i="7"/>
  <c r="F89" i="7" a="1"/>
  <c r="J88" i="7" a="1"/>
  <c r="N89" i="7" a="1"/>
  <c r="I89" i="7" a="1"/>
  <c r="K89" i="7" a="1"/>
  <c r="P89" i="7" a="1"/>
  <c r="O89" i="7" a="1"/>
  <c r="Q89" i="7" a="1"/>
  <c r="D89" i="7" a="1"/>
  <c r="L89" i="7" a="1"/>
  <c r="G89" i="7" a="1"/>
  <c r="R89" i="7" a="1"/>
  <c r="H89" i="7" a="1"/>
  <c r="M89" i="7" a="1"/>
  <c r="C89" i="7" a="1"/>
  <c r="E89" i="7" a="1"/>
  <c r="S89" i="7" a="1"/>
  <c r="B89" i="7" a="1"/>
  <c r="S89" i="7" l="1"/>
  <c r="R89" i="7"/>
  <c r="C89" i="7"/>
  <c r="M89" i="7"/>
  <c r="Q89" i="7"/>
  <c r="J88" i="7"/>
  <c r="P89" i="7"/>
  <c r="N89" i="7"/>
  <c r="O89" i="7"/>
  <c r="K89" i="7"/>
  <c r="H89" i="7"/>
  <c r="G89" i="7"/>
  <c r="I89" i="7"/>
  <c r="B89" i="7"/>
  <c r="F89" i="7"/>
  <c r="D89" i="7"/>
  <c r="E89" i="7"/>
  <c r="L89" i="7"/>
  <c r="A91" i="7"/>
  <c r="D90" i="7" a="1"/>
  <c r="H90" i="7" a="1"/>
  <c r="R90" i="7" a="1"/>
  <c r="P90" i="7" a="1"/>
  <c r="J89" i="7" a="1"/>
  <c r="Q90" i="7" a="1"/>
  <c r="C90" i="7" a="1"/>
  <c r="L90" i="7" a="1"/>
  <c r="F90" i="7" a="1"/>
  <c r="M90" i="7" a="1"/>
  <c r="K90" i="7" a="1"/>
  <c r="G90" i="7" a="1"/>
  <c r="I90" i="7" a="1"/>
  <c r="E90" i="7" a="1"/>
  <c r="S90" i="7" a="1"/>
  <c r="B90" i="7" a="1"/>
  <c r="N90" i="7" a="1"/>
  <c r="O90" i="7" a="1"/>
  <c r="R90" i="7" l="1"/>
  <c r="S90" i="7"/>
  <c r="Q90" i="7"/>
  <c r="I90" i="7"/>
  <c r="E90" i="7"/>
  <c r="P90" i="7"/>
  <c r="L90" i="7"/>
  <c r="B90" i="7"/>
  <c r="F90" i="7"/>
  <c r="H90" i="7"/>
  <c r="N90" i="7"/>
  <c r="G90" i="7"/>
  <c r="D90" i="7"/>
  <c r="K90" i="7"/>
  <c r="J89" i="7"/>
  <c r="M90" i="7"/>
  <c r="O90" i="7"/>
  <c r="C90" i="7"/>
  <c r="A92" i="7"/>
  <c r="S91" i="7" a="1"/>
  <c r="R92" i="7" a="1"/>
  <c r="B91" i="7" a="1"/>
  <c r="C91" i="7" a="1"/>
  <c r="Q91" i="7" a="1"/>
  <c r="I91" i="7" a="1"/>
  <c r="R91" i="7" a="1"/>
  <c r="L91" i="7" a="1"/>
  <c r="E91" i="7" a="1"/>
  <c r="O91" i="7" a="1"/>
  <c r="D91" i="7" a="1"/>
  <c r="K91" i="7" a="1"/>
  <c r="G91" i="7" a="1"/>
  <c r="F91" i="7" a="1"/>
  <c r="H91" i="7" a="1"/>
  <c r="J90" i="7" a="1"/>
  <c r="P91" i="7" a="1"/>
  <c r="M91" i="7" a="1"/>
  <c r="N91" i="7" a="1"/>
  <c r="R91" i="7" l="1"/>
  <c r="R92" i="7"/>
  <c r="S91" i="7"/>
  <c r="Q91" i="7"/>
  <c r="F91" i="7"/>
  <c r="O91" i="7"/>
  <c r="K91" i="7"/>
  <c r="D91" i="7"/>
  <c r="H91" i="7"/>
  <c r="L91" i="7"/>
  <c r="E91" i="7"/>
  <c r="M91" i="7"/>
  <c r="C91" i="7"/>
  <c r="J90" i="7"/>
  <c r="G91" i="7"/>
  <c r="N91" i="7"/>
  <c r="B91" i="7"/>
  <c r="P91" i="7"/>
  <c r="I91" i="7"/>
  <c r="A93" i="7"/>
  <c r="P92" i="7" a="1"/>
  <c r="F92" i="7" a="1"/>
  <c r="H92" i="7" a="1"/>
  <c r="S92" i="7" a="1"/>
  <c r="J91" i="7" a="1"/>
  <c r="L92" i="7" a="1"/>
  <c r="K92" i="7" a="1"/>
  <c r="M92" i="7" a="1"/>
  <c r="C92" i="7" a="1"/>
  <c r="I92" i="7" a="1"/>
  <c r="E92" i="7" a="1"/>
  <c r="D92" i="7" a="1"/>
  <c r="Q92" i="7" a="1"/>
  <c r="G92" i="7" a="1"/>
  <c r="N92" i="7" a="1"/>
  <c r="O92" i="7" a="1"/>
  <c r="B92" i="7" a="1"/>
  <c r="S92" i="7" l="1"/>
  <c r="Q92" i="7"/>
  <c r="N92" i="7"/>
  <c r="F92" i="7"/>
  <c r="E92" i="7"/>
  <c r="I92" i="7"/>
  <c r="P92" i="7"/>
  <c r="C92" i="7"/>
  <c r="K92" i="7"/>
  <c r="M92" i="7"/>
  <c r="D92" i="7"/>
  <c r="H92" i="7"/>
  <c r="B92" i="7"/>
  <c r="L92" i="7"/>
  <c r="G92" i="7"/>
  <c r="J91" i="7"/>
  <c r="O92" i="7"/>
  <c r="A94" i="7"/>
  <c r="M93" i="7" a="1"/>
  <c r="C93" i="7" a="1"/>
  <c r="B93" i="7" a="1"/>
  <c r="S93" i="7" a="1"/>
  <c r="G93" i="7" a="1"/>
  <c r="O93" i="7" a="1"/>
  <c r="F93" i="7" a="1"/>
  <c r="I93" i="7" a="1"/>
  <c r="N93" i="7" a="1"/>
  <c r="P93" i="7" a="1"/>
  <c r="Q93" i="7" a="1"/>
  <c r="R93" i="7" a="1"/>
  <c r="L93" i="7" a="1"/>
  <c r="H93" i="7" a="1"/>
  <c r="E93" i="7" a="1"/>
  <c r="K93" i="7" a="1"/>
  <c r="D93" i="7" a="1"/>
  <c r="J92" i="7" a="1"/>
  <c r="S93" i="7" l="1"/>
  <c r="R93" i="7"/>
  <c r="C93" i="7"/>
  <c r="N93" i="7"/>
  <c r="F93" i="7"/>
  <c r="M93" i="7"/>
  <c r="O93" i="7"/>
  <c r="Q93" i="7"/>
  <c r="K93" i="7"/>
  <c r="J92" i="7"/>
  <c r="G93" i="7"/>
  <c r="L93" i="7"/>
  <c r="B93" i="7"/>
  <c r="H93" i="7"/>
  <c r="D93" i="7"/>
  <c r="P93" i="7"/>
  <c r="I93" i="7"/>
  <c r="E93" i="7"/>
  <c r="A95" i="7"/>
  <c r="P94" i="7" a="1"/>
  <c r="Q94" i="7" a="1"/>
  <c r="N94" i="7" a="1"/>
  <c r="J93" i="7" a="1"/>
  <c r="F94" i="7" a="1"/>
  <c r="I94" i="7" a="1"/>
  <c r="C94" i="7" a="1"/>
  <c r="L94" i="7" a="1"/>
  <c r="D94" i="7" a="1"/>
  <c r="G94" i="7" a="1"/>
  <c r="E94" i="7" a="1"/>
  <c r="B94" i="7" a="1"/>
  <c r="R94" i="7" a="1"/>
  <c r="K94" i="7" a="1"/>
  <c r="S94" i="7" a="1"/>
  <c r="M94" i="7" a="1"/>
  <c r="H94" i="7" a="1"/>
  <c r="O94" i="7" a="1"/>
  <c r="R94" i="7" l="1"/>
  <c r="S94" i="7"/>
  <c r="O94" i="7"/>
  <c r="E94" i="7"/>
  <c r="Q94" i="7"/>
  <c r="B94" i="7"/>
  <c r="M94" i="7"/>
  <c r="G94" i="7"/>
  <c r="L94" i="7"/>
  <c r="D94" i="7"/>
  <c r="N94" i="7"/>
  <c r="H94" i="7"/>
  <c r="P94" i="7"/>
  <c r="I94" i="7"/>
  <c r="J93" i="7"/>
  <c r="K94" i="7"/>
  <c r="F94" i="7"/>
  <c r="C94" i="7"/>
  <c r="A96" i="7"/>
  <c r="K95" i="7" a="1"/>
  <c r="E95" i="7" a="1"/>
  <c r="J94" i="7" a="1"/>
  <c r="R95" i="7" a="1"/>
  <c r="D95" i="7" a="1"/>
  <c r="Q95" i="7" a="1"/>
  <c r="M95" i="7" a="1"/>
  <c r="P95" i="7" a="1"/>
  <c r="C95" i="7" a="1"/>
  <c r="G95" i="7" a="1"/>
  <c r="H95" i="7" a="1"/>
  <c r="O95" i="7" a="1"/>
  <c r="I95" i="7" a="1"/>
  <c r="N95" i="7" a="1"/>
  <c r="B95" i="7" a="1"/>
  <c r="S95" i="7" a="1"/>
  <c r="F95" i="7" a="1"/>
  <c r="L95" i="7" a="1"/>
  <c r="R95" i="7" l="1"/>
  <c r="S95" i="7"/>
  <c r="N95" i="7"/>
  <c r="M95" i="7"/>
  <c r="O95" i="7"/>
  <c r="C95" i="7"/>
  <c r="P95" i="7"/>
  <c r="F95" i="7"/>
  <c r="L95" i="7"/>
  <c r="Q95" i="7"/>
  <c r="K95" i="7"/>
  <c r="J94" i="7"/>
  <c r="I95" i="7"/>
  <c r="H95" i="7"/>
  <c r="D95" i="7"/>
  <c r="G95" i="7"/>
  <c r="B95" i="7"/>
  <c r="E95" i="7"/>
  <c r="A97" i="7"/>
  <c r="D96" i="7" a="1"/>
  <c r="J95" i="7" a="1"/>
  <c r="M96" i="7" a="1"/>
  <c r="E96" i="7" a="1"/>
  <c r="H96" i="7" a="1"/>
  <c r="C96" i="7" a="1"/>
  <c r="G96" i="7" a="1"/>
  <c r="N96" i="7" a="1"/>
  <c r="O96" i="7" a="1"/>
  <c r="Q96" i="7" a="1"/>
  <c r="S96" i="7" a="1"/>
  <c r="R96" i="7" a="1"/>
  <c r="B96" i="7" a="1"/>
  <c r="I96" i="7" a="1"/>
  <c r="F96" i="7" a="1"/>
  <c r="K96" i="7" a="1"/>
  <c r="L96" i="7" a="1"/>
  <c r="P96" i="7" a="1"/>
  <c r="R96" i="7" l="1"/>
  <c r="S96" i="7"/>
  <c r="Q96" i="7"/>
  <c r="B96" i="7"/>
  <c r="G96" i="7"/>
  <c r="L96" i="7"/>
  <c r="M96" i="7"/>
  <c r="O96" i="7"/>
  <c r="D96" i="7"/>
  <c r="E96" i="7"/>
  <c r="I96" i="7"/>
  <c r="P96" i="7"/>
  <c r="H96" i="7"/>
  <c r="J95" i="7"/>
  <c r="K96" i="7"/>
  <c r="C96" i="7"/>
  <c r="F96" i="7"/>
  <c r="N96" i="7"/>
  <c r="A98" i="7"/>
  <c r="L97" i="7" a="1"/>
  <c r="G97" i="7" a="1"/>
  <c r="H97" i="7" a="1"/>
  <c r="I97" i="7" a="1"/>
  <c r="D97" i="7" a="1"/>
  <c r="N97" i="7" a="1"/>
  <c r="S97" i="7" a="1"/>
  <c r="M97" i="7" a="1"/>
  <c r="C97" i="7" a="1"/>
  <c r="F97" i="7" a="1"/>
  <c r="B97" i="7" a="1"/>
  <c r="O97" i="7" a="1"/>
  <c r="R97" i="7" a="1"/>
  <c r="E97" i="7" a="1"/>
  <c r="P97" i="7" a="1"/>
  <c r="Q97" i="7" a="1"/>
  <c r="K97" i="7" a="1"/>
  <c r="J96" i="7" a="1"/>
  <c r="R97" i="7" l="1"/>
  <c r="S97" i="7"/>
  <c r="L97" i="7"/>
  <c r="G97" i="7"/>
  <c r="M97" i="7"/>
  <c r="Q97" i="7"/>
  <c r="K97" i="7"/>
  <c r="P97" i="7"/>
  <c r="B97" i="7"/>
  <c r="F97" i="7"/>
  <c r="O97" i="7"/>
  <c r="C97" i="7"/>
  <c r="N97" i="7"/>
  <c r="J96" i="7"/>
  <c r="H97" i="7"/>
  <c r="I97" i="7"/>
  <c r="E97" i="7"/>
  <c r="D97" i="7"/>
  <c r="A99" i="7"/>
  <c r="M98" i="7" a="1"/>
  <c r="K98" i="7" a="1"/>
  <c r="S98" i="7" a="1"/>
  <c r="R98" i="7" a="1"/>
  <c r="D98" i="7" a="1"/>
  <c r="O98" i="7" a="1"/>
  <c r="I98" i="7" a="1"/>
  <c r="G98" i="7" a="1"/>
  <c r="Q98" i="7" a="1"/>
  <c r="H98" i="7" a="1"/>
  <c r="J97" i="7" a="1"/>
  <c r="B98" i="7" a="1"/>
  <c r="P98" i="7" a="1"/>
  <c r="C98" i="7" a="1"/>
  <c r="E98" i="7" a="1"/>
  <c r="N98" i="7" a="1"/>
  <c r="F98" i="7" a="1"/>
  <c r="L98" i="7" a="1"/>
  <c r="R98" i="7" l="1"/>
  <c r="S98" i="7"/>
  <c r="Q98" i="7"/>
  <c r="M98" i="7"/>
  <c r="L98" i="7"/>
  <c r="B98" i="7"/>
  <c r="H98" i="7"/>
  <c r="P98" i="7"/>
  <c r="N98" i="7"/>
  <c r="O98" i="7"/>
  <c r="E98" i="7"/>
  <c r="I98" i="7"/>
  <c r="D98" i="7"/>
  <c r="G98" i="7"/>
  <c r="J97" i="7"/>
  <c r="C98" i="7"/>
  <c r="K98" i="7"/>
  <c r="F98" i="7"/>
  <c r="A100" i="7"/>
  <c r="M99" i="7" a="1"/>
  <c r="J98" i="7" a="1"/>
  <c r="N99" i="7" a="1"/>
  <c r="K99" i="7" a="1"/>
  <c r="O99" i="7" a="1"/>
  <c r="Q99" i="7" a="1"/>
  <c r="G99" i="7" a="1"/>
  <c r="I99" i="7" a="1"/>
  <c r="E99" i="7" a="1"/>
  <c r="B99" i="7" a="1"/>
  <c r="S99" i="7" a="1"/>
  <c r="H99" i="7" a="1"/>
  <c r="P99" i="7" a="1"/>
  <c r="C99" i="7" a="1"/>
  <c r="L99" i="7" a="1"/>
  <c r="D99" i="7" a="1"/>
  <c r="R99" i="7" a="1"/>
  <c r="F99" i="7" a="1"/>
  <c r="R99" i="7" l="1"/>
  <c r="S99" i="7"/>
  <c r="K99" i="7"/>
  <c r="M99" i="7"/>
  <c r="F99" i="7"/>
  <c r="D99" i="7"/>
  <c r="J98" i="7"/>
  <c r="I99" i="7"/>
  <c r="B99" i="7"/>
  <c r="O99" i="7"/>
  <c r="Q99" i="7"/>
  <c r="N99" i="7"/>
  <c r="C99" i="7"/>
  <c r="G99" i="7"/>
  <c r="E99" i="7"/>
  <c r="P99" i="7"/>
  <c r="H99" i="7"/>
  <c r="L99" i="7"/>
  <c r="A101" i="7"/>
  <c r="H100" i="7" a="1"/>
  <c r="M100" i="7" a="1"/>
  <c r="I100" i="7" a="1"/>
  <c r="B100" i="7" a="1"/>
  <c r="K100" i="7" a="1"/>
  <c r="Q100" i="7" a="1"/>
  <c r="F100" i="7" a="1"/>
  <c r="N100" i="7" a="1"/>
  <c r="O100" i="7" a="1"/>
  <c r="L100" i="7" a="1"/>
  <c r="S100" i="7" a="1"/>
  <c r="D100" i="7" a="1"/>
  <c r="E100" i="7" a="1"/>
  <c r="G100" i="7" a="1"/>
  <c r="J99" i="7" a="1"/>
  <c r="C100" i="7" a="1"/>
  <c r="P100" i="7" a="1"/>
  <c r="R100" i="7" a="1"/>
  <c r="R100" i="7" l="1"/>
  <c r="S100" i="7"/>
  <c r="M100" i="7"/>
  <c r="Q100" i="7"/>
  <c r="N100" i="7"/>
  <c r="L100" i="7"/>
  <c r="H100" i="7"/>
  <c r="E100" i="7"/>
  <c r="C100" i="7"/>
  <c r="J99" i="7"/>
  <c r="D100" i="7"/>
  <c r="O100" i="7"/>
  <c r="I100" i="7"/>
  <c r="P100" i="7"/>
  <c r="G100" i="7"/>
  <c r="B100" i="7"/>
  <c r="F100" i="7"/>
  <c r="K100" i="7"/>
  <c r="A102" i="7"/>
  <c r="S101" i="7" a="1"/>
  <c r="G101" i="7" a="1"/>
  <c r="R101" i="7" a="1"/>
  <c r="F101" i="7" a="1"/>
  <c r="C101" i="7" a="1"/>
  <c r="K101" i="7" a="1"/>
  <c r="Q101" i="7" a="1"/>
  <c r="N101" i="7" a="1"/>
  <c r="P101" i="7" a="1"/>
  <c r="E101" i="7" a="1"/>
  <c r="B101" i="7" a="1"/>
  <c r="H101" i="7" a="1"/>
  <c r="D101" i="7" a="1"/>
  <c r="J100" i="7" a="1"/>
  <c r="I101" i="7" a="1"/>
  <c r="O101" i="7" a="1"/>
  <c r="L101" i="7" a="1"/>
  <c r="M101" i="7" a="1"/>
  <c r="S101" i="7" l="1"/>
  <c r="R101" i="7"/>
  <c r="F101" i="7"/>
  <c r="M101" i="7"/>
  <c r="O101" i="7"/>
  <c r="Q101" i="7"/>
  <c r="H101" i="7"/>
  <c r="K101" i="7"/>
  <c r="C101" i="7"/>
  <c r="D101" i="7"/>
  <c r="B101" i="7"/>
  <c r="G101" i="7"/>
  <c r="P101" i="7"/>
  <c r="I101" i="7"/>
  <c r="J100" i="7"/>
  <c r="E101" i="7"/>
  <c r="L101" i="7"/>
  <c r="N101" i="7"/>
  <c r="A103" i="7"/>
  <c r="H102" i="7" a="1"/>
  <c r="E102" i="7" a="1"/>
  <c r="S102" i="7" a="1"/>
  <c r="K102" i="7" a="1"/>
  <c r="R102" i="7" a="1"/>
  <c r="P102" i="7" a="1"/>
  <c r="O102" i="7" a="1"/>
  <c r="Q102" i="7" a="1"/>
  <c r="B102" i="7" a="1"/>
  <c r="M102" i="7" a="1"/>
  <c r="N102" i="7" a="1"/>
  <c r="J101" i="7" a="1"/>
  <c r="G102" i="7" a="1"/>
  <c r="C102" i="7" a="1"/>
  <c r="D102" i="7" a="1"/>
  <c r="L102" i="7" a="1"/>
  <c r="F102" i="7" a="1"/>
  <c r="I102" i="7" a="1"/>
  <c r="R102" i="7" l="1"/>
  <c r="S102" i="7"/>
  <c r="F102" i="7"/>
  <c r="M102" i="7"/>
  <c r="Q102" i="7"/>
  <c r="G102" i="7"/>
  <c r="I102" i="7"/>
  <c r="B102" i="7"/>
  <c r="O102" i="7"/>
  <c r="P102" i="7"/>
  <c r="L102" i="7"/>
  <c r="N102" i="7"/>
  <c r="E102" i="7"/>
  <c r="J101" i="7"/>
  <c r="D102" i="7"/>
  <c r="C102" i="7"/>
  <c r="K102" i="7"/>
  <c r="H102" i="7"/>
  <c r="A104" i="7"/>
  <c r="D103" i="7" a="1"/>
  <c r="H103" i="7" a="1"/>
  <c r="Q103" i="7" a="1"/>
  <c r="E103" i="7" a="1"/>
  <c r="I103" i="7" a="1"/>
  <c r="C103" i="7" a="1"/>
  <c r="B103" i="7" a="1"/>
  <c r="K103" i="7" a="1"/>
  <c r="N103" i="7" a="1"/>
  <c r="S103" i="7" a="1"/>
  <c r="O103" i="7" a="1"/>
  <c r="R103" i="7" a="1"/>
  <c r="P103" i="7" a="1"/>
  <c r="J102" i="7" a="1"/>
  <c r="G103" i="7" a="1"/>
  <c r="F103" i="7" a="1"/>
  <c r="M103" i="7" a="1"/>
  <c r="L103" i="7" a="1"/>
  <c r="S103" i="7" l="1"/>
  <c r="R103" i="7"/>
  <c r="K103" i="7"/>
  <c r="M103" i="7"/>
  <c r="F103" i="7"/>
  <c r="D103" i="7"/>
  <c r="H103" i="7"/>
  <c r="N103" i="7"/>
  <c r="P103" i="7"/>
  <c r="I103" i="7"/>
  <c r="O103" i="7"/>
  <c r="Q103" i="7"/>
  <c r="C103" i="7"/>
  <c r="J102" i="7"/>
  <c r="E103" i="7"/>
  <c r="L103" i="7"/>
  <c r="B103" i="7"/>
  <c r="G103" i="7"/>
  <c r="A105" i="7"/>
  <c r="E104" i="7" a="1"/>
  <c r="C104" i="7" a="1"/>
  <c r="J103" i="7" a="1"/>
  <c r="H104" i="7" a="1"/>
  <c r="D104" i="7" a="1"/>
  <c r="Q104" i="7" a="1"/>
  <c r="B104" i="7" a="1"/>
  <c r="K104" i="7" a="1"/>
  <c r="L104" i="7" a="1"/>
  <c r="P104" i="7" a="1"/>
  <c r="M104" i="7" a="1"/>
  <c r="O104" i="7" a="1"/>
  <c r="N104" i="7" a="1"/>
  <c r="S104" i="7" a="1"/>
  <c r="F104" i="7" a="1"/>
  <c r="I104" i="7" a="1"/>
  <c r="G104" i="7" a="1"/>
  <c r="R104" i="7" a="1"/>
  <c r="R104" i="7" l="1"/>
  <c r="S104" i="7"/>
  <c r="L104" i="7"/>
  <c r="J103" i="7"/>
  <c r="M104" i="7"/>
  <c r="Q104" i="7"/>
  <c r="B104" i="7"/>
  <c r="N104" i="7"/>
  <c r="I104" i="7"/>
  <c r="G104" i="7"/>
  <c r="C104" i="7"/>
  <c r="H104" i="7"/>
  <c r="D104" i="7"/>
  <c r="F104" i="7"/>
  <c r="O104" i="7"/>
  <c r="E104" i="7"/>
  <c r="P104" i="7"/>
  <c r="K104" i="7"/>
  <c r="A106" i="7"/>
  <c r="L105" i="7" a="1"/>
  <c r="D105" i="7" a="1"/>
  <c r="Q105" i="7" a="1"/>
  <c r="F105" i="7" a="1"/>
  <c r="O105" i="7" a="1"/>
  <c r="R105" i="7" a="1"/>
  <c r="K105" i="7" a="1"/>
  <c r="S105" i="7" a="1"/>
  <c r="G105" i="7" a="1"/>
  <c r="I105" i="7" a="1"/>
  <c r="P105" i="7" a="1"/>
  <c r="E105" i="7" a="1"/>
  <c r="C105" i="7" a="1"/>
  <c r="N105" i="7" a="1"/>
  <c r="B105" i="7" a="1"/>
  <c r="J104" i="7" a="1"/>
  <c r="M105" i="7" a="1"/>
  <c r="H105" i="7" a="1"/>
  <c r="R105" i="7" l="1"/>
  <c r="S105" i="7"/>
  <c r="O105" i="7"/>
  <c r="D105" i="7"/>
  <c r="Q105" i="7"/>
  <c r="H105" i="7"/>
  <c r="K105" i="7"/>
  <c r="C105" i="7"/>
  <c r="I105" i="7"/>
  <c r="M105" i="7"/>
  <c r="F105" i="7"/>
  <c r="E105" i="7"/>
  <c r="P105" i="7"/>
  <c r="G105" i="7"/>
  <c r="N105" i="7"/>
  <c r="B105" i="7"/>
  <c r="J104" i="7"/>
  <c r="L105" i="7"/>
  <c r="A107" i="7"/>
  <c r="E106" i="7" a="1"/>
  <c r="L106" i="7" a="1"/>
  <c r="D106" i="7" a="1"/>
  <c r="R106" i="7" a="1"/>
  <c r="B106" i="7" a="1"/>
  <c r="G106" i="7" a="1"/>
  <c r="C106" i="7" a="1"/>
  <c r="J105" i="7" a="1"/>
  <c r="I106" i="7" a="1"/>
  <c r="P106" i="7" a="1"/>
  <c r="H106" i="7" a="1"/>
  <c r="M106" i="7" a="1"/>
  <c r="K106" i="7" a="1"/>
  <c r="O106" i="7" a="1"/>
  <c r="F106" i="7" a="1"/>
  <c r="N106" i="7" a="1"/>
  <c r="S106" i="7" a="1"/>
  <c r="Q106" i="7" a="1"/>
  <c r="R106" i="7" l="1"/>
  <c r="S106" i="7"/>
  <c r="M106" i="7"/>
  <c r="Q106" i="7"/>
  <c r="P106" i="7"/>
  <c r="B106" i="7"/>
  <c r="L106" i="7"/>
  <c r="J105" i="7"/>
  <c r="K106" i="7"/>
  <c r="F106" i="7"/>
  <c r="O106" i="7"/>
  <c r="D106" i="7"/>
  <c r="I106" i="7"/>
  <c r="N106" i="7"/>
  <c r="G106" i="7"/>
  <c r="E106" i="7"/>
  <c r="C106" i="7"/>
  <c r="H106" i="7"/>
  <c r="A108" i="7"/>
  <c r="S107" i="7" a="1"/>
  <c r="O107" i="7" a="1"/>
  <c r="G107" i="7" a="1"/>
  <c r="J106" i="7" a="1"/>
  <c r="H107" i="7" a="1"/>
  <c r="R107" i="7" a="1"/>
  <c r="F107" i="7" a="1"/>
  <c r="I107" i="7" a="1"/>
  <c r="N107" i="7" a="1"/>
  <c r="C107" i="7" a="1"/>
  <c r="E107" i="7" a="1"/>
  <c r="Q107" i="7" a="1"/>
  <c r="K107" i="7" a="1"/>
  <c r="B107" i="7" a="1"/>
  <c r="D107" i="7" a="1"/>
  <c r="L107" i="7" a="1"/>
  <c r="M107" i="7" a="1"/>
  <c r="P107" i="7" a="1"/>
  <c r="S107" i="7" l="1"/>
  <c r="R107" i="7"/>
  <c r="H107" i="7"/>
  <c r="M107" i="7"/>
  <c r="F107" i="7"/>
  <c r="I107" i="7"/>
  <c r="Q107" i="7"/>
  <c r="E107" i="7"/>
  <c r="C107" i="7"/>
  <c r="G107" i="7"/>
  <c r="B107" i="7"/>
  <c r="O107" i="7"/>
  <c r="K107" i="7"/>
  <c r="N107" i="7"/>
  <c r="D107" i="7"/>
  <c r="J106" i="7"/>
  <c r="L107" i="7"/>
  <c r="P107" i="7"/>
  <c r="A109" i="7"/>
  <c r="C108" i="7" a="1"/>
  <c r="F108" i="7" a="1"/>
  <c r="G108" i="7" a="1"/>
  <c r="N108" i="7" a="1"/>
  <c r="D108" i="7" a="1"/>
  <c r="H108" i="7" a="1"/>
  <c r="J107" i="7" a="1"/>
  <c r="L108" i="7" a="1"/>
  <c r="Q108" i="7" a="1"/>
  <c r="I108" i="7" a="1"/>
  <c r="E108" i="7" a="1"/>
  <c r="B108" i="7" a="1"/>
  <c r="R108" i="7" a="1"/>
  <c r="O108" i="7" a="1"/>
  <c r="S108" i="7" a="1"/>
  <c r="K108" i="7" a="1"/>
  <c r="M108" i="7" a="1"/>
  <c r="P108" i="7" a="1"/>
  <c r="R108" i="7" l="1"/>
  <c r="S108" i="7"/>
  <c r="K108" i="7"/>
  <c r="O108" i="7"/>
  <c r="I108" i="7"/>
  <c r="F108" i="7"/>
  <c r="Q108" i="7"/>
  <c r="L108" i="7"/>
  <c r="B108" i="7"/>
  <c r="N108" i="7"/>
  <c r="P108" i="7"/>
  <c r="D108" i="7"/>
  <c r="G108" i="7"/>
  <c r="J107" i="7"/>
  <c r="C108" i="7"/>
  <c r="E108" i="7"/>
  <c r="M108" i="7"/>
  <c r="H108" i="7"/>
  <c r="A110" i="7"/>
  <c r="O109" i="7" a="1"/>
  <c r="M109" i="7" a="1"/>
  <c r="F109" i="7" a="1"/>
  <c r="H109" i="7" a="1"/>
  <c r="Q109" i="7" a="1"/>
  <c r="G109" i="7" a="1"/>
  <c r="K109" i="7" a="1"/>
  <c r="S109" i="7" a="1"/>
  <c r="D109" i="7" a="1"/>
  <c r="N109" i="7" a="1"/>
  <c r="E109" i="7" a="1"/>
  <c r="J108" i="7" a="1"/>
  <c r="B109" i="7" a="1"/>
  <c r="I109" i="7" a="1"/>
  <c r="R109" i="7" a="1"/>
  <c r="L109" i="7" a="1"/>
  <c r="C109" i="7" a="1"/>
  <c r="P109" i="7" a="1"/>
  <c r="R109" i="7" l="1"/>
  <c r="S109" i="7"/>
  <c r="M109" i="7"/>
  <c r="O109" i="7"/>
  <c r="E109" i="7"/>
  <c r="D109" i="7"/>
  <c r="L109" i="7"/>
  <c r="F109" i="7"/>
  <c r="G109" i="7"/>
  <c r="Q109" i="7"/>
  <c r="C109" i="7"/>
  <c r="H109" i="7"/>
  <c r="J108" i="7"/>
  <c r="P109" i="7"/>
  <c r="N109" i="7"/>
  <c r="B109" i="7"/>
  <c r="I109" i="7"/>
  <c r="K109" i="7"/>
  <c r="A111" i="7"/>
  <c r="F110" i="7" a="1"/>
  <c r="I110" i="7" a="1"/>
  <c r="D110" i="7" a="1"/>
  <c r="C110" i="7" a="1"/>
  <c r="H110" i="7" a="1"/>
  <c r="K110" i="7" a="1"/>
  <c r="G110" i="7" a="1"/>
  <c r="N110" i="7" a="1"/>
  <c r="B110" i="7" a="1"/>
  <c r="S110" i="7" a="1"/>
  <c r="J109" i="7" a="1"/>
  <c r="E110" i="7" a="1"/>
  <c r="L110" i="7" a="1"/>
  <c r="M110" i="7" a="1"/>
  <c r="P110" i="7" a="1"/>
  <c r="R110" i="7" a="1"/>
  <c r="O110" i="7" a="1"/>
  <c r="Q110" i="7" a="1"/>
  <c r="R110" i="7" l="1"/>
  <c r="S110" i="7"/>
  <c r="Q110" i="7"/>
  <c r="G110" i="7"/>
  <c r="N110" i="7"/>
  <c r="C110" i="7"/>
  <c r="O110" i="7"/>
  <c r="I110" i="7"/>
  <c r="K110" i="7"/>
  <c r="J109" i="7"/>
  <c r="M110" i="7"/>
  <c r="D110" i="7"/>
  <c r="P110" i="7"/>
  <c r="B110" i="7"/>
  <c r="L110" i="7"/>
  <c r="H110" i="7"/>
  <c r="E110" i="7"/>
  <c r="F110" i="7"/>
  <c r="A112" i="7"/>
  <c r="L111" i="7" a="1"/>
  <c r="Q111" i="7" a="1"/>
  <c r="B111" i="7" a="1"/>
  <c r="N111" i="7" a="1"/>
  <c r="M111" i="7" a="1"/>
  <c r="E111" i="7" a="1"/>
  <c r="K111" i="7" a="1"/>
  <c r="F111" i="7" a="1"/>
  <c r="P111" i="7" a="1"/>
  <c r="O111" i="7" a="1"/>
  <c r="R111" i="7" a="1"/>
  <c r="J110" i="7" a="1"/>
  <c r="C111" i="7" a="1"/>
  <c r="I111" i="7" a="1"/>
  <c r="H111" i="7" a="1"/>
  <c r="D111" i="7" a="1"/>
  <c r="S111" i="7" a="1"/>
  <c r="G111" i="7" a="1"/>
  <c r="R111" i="7" l="1"/>
  <c r="S111" i="7"/>
  <c r="F111" i="7"/>
  <c r="G111" i="7"/>
  <c r="M111" i="7"/>
  <c r="O111" i="7"/>
  <c r="Q111" i="7"/>
  <c r="H111" i="7"/>
  <c r="E111" i="7"/>
  <c r="C111" i="7"/>
  <c r="L111" i="7"/>
  <c r="B111" i="7"/>
  <c r="P111" i="7"/>
  <c r="D111" i="7"/>
  <c r="J110" i="7"/>
  <c r="K111" i="7"/>
  <c r="I111" i="7"/>
  <c r="N111" i="7"/>
  <c r="A113" i="7"/>
  <c r="K112" i="7" a="1"/>
  <c r="D112" i="7" a="1"/>
  <c r="L112" i="7" a="1"/>
  <c r="C112" i="7" a="1"/>
  <c r="S112" i="7" a="1"/>
  <c r="G112" i="7" a="1"/>
  <c r="B112" i="7" a="1"/>
  <c r="J111" i="7" a="1"/>
  <c r="F112" i="7" a="1"/>
  <c r="O112" i="7" a="1"/>
  <c r="N112" i="7" a="1"/>
  <c r="M112" i="7" a="1"/>
  <c r="P112" i="7" a="1"/>
  <c r="Q112" i="7" a="1"/>
  <c r="H112" i="7" a="1"/>
  <c r="R112" i="7" a="1"/>
  <c r="E112" i="7" a="1"/>
  <c r="I112" i="7" a="1"/>
  <c r="S112" i="7" l="1"/>
  <c r="R112" i="7"/>
  <c r="M112" i="7"/>
  <c r="P112" i="7"/>
  <c r="O112" i="7"/>
  <c r="G112" i="7"/>
  <c r="B112" i="7"/>
  <c r="D112" i="7"/>
  <c r="Q112" i="7"/>
  <c r="L112" i="7"/>
  <c r="N112" i="7"/>
  <c r="I112" i="7"/>
  <c r="K112" i="7"/>
  <c r="J111" i="7"/>
  <c r="C112" i="7"/>
  <c r="E112" i="7"/>
  <c r="H112" i="7"/>
  <c r="F112" i="7"/>
  <c r="A114" i="7"/>
  <c r="K113" i="7" a="1"/>
  <c r="F113" i="7" a="1"/>
  <c r="P113" i="7" a="1"/>
  <c r="C113" i="7" a="1"/>
  <c r="D113" i="7" a="1"/>
  <c r="H113" i="7" a="1"/>
  <c r="S113" i="7" a="1"/>
  <c r="N113" i="7" a="1"/>
  <c r="B113" i="7" a="1"/>
  <c r="I113" i="7" a="1"/>
  <c r="G113" i="7" a="1"/>
  <c r="O113" i="7" a="1"/>
  <c r="Q113" i="7" a="1"/>
  <c r="J112" i="7" a="1"/>
  <c r="R113" i="7" a="1"/>
  <c r="E113" i="7" a="1"/>
  <c r="L113" i="7" a="1"/>
  <c r="M113" i="7" a="1"/>
  <c r="S113" i="7" l="1"/>
  <c r="R113" i="7"/>
  <c r="J112" i="7"/>
  <c r="M113" i="7"/>
  <c r="Q113" i="7"/>
  <c r="D113" i="7"/>
  <c r="H113" i="7"/>
  <c r="G113" i="7"/>
  <c r="O113" i="7"/>
  <c r="F113" i="7"/>
  <c r="C113" i="7"/>
  <c r="E113" i="7"/>
  <c r="K113" i="7"/>
  <c r="I113" i="7"/>
  <c r="N113" i="7"/>
  <c r="L113" i="7"/>
  <c r="B113" i="7"/>
  <c r="P113" i="7"/>
  <c r="A115" i="7"/>
  <c r="F114" i="7" a="1"/>
  <c r="P114" i="7" a="1"/>
  <c r="E114" i="7" a="1"/>
  <c r="O114" i="7" a="1"/>
  <c r="K114" i="7" a="1"/>
  <c r="H114" i="7" a="1"/>
  <c r="I114" i="7" a="1"/>
  <c r="N114" i="7" a="1"/>
  <c r="R114" i="7" a="1"/>
  <c r="S114" i="7" a="1"/>
  <c r="M114" i="7" a="1"/>
  <c r="D114" i="7" a="1"/>
  <c r="C114" i="7" a="1"/>
  <c r="J113" i="7" a="1"/>
  <c r="B114" i="7" a="1"/>
  <c r="Q114" i="7" a="1"/>
  <c r="L114" i="7" a="1"/>
  <c r="G114" i="7" a="1"/>
  <c r="R114" i="7" l="1"/>
  <c r="S114" i="7"/>
  <c r="F114" i="7"/>
  <c r="P114" i="7"/>
  <c r="N114" i="7"/>
  <c r="E114" i="7"/>
  <c r="G114" i="7"/>
  <c r="O114" i="7"/>
  <c r="K114" i="7"/>
  <c r="I114" i="7"/>
  <c r="H114" i="7"/>
  <c r="M114" i="7"/>
  <c r="L114" i="7"/>
  <c r="C114" i="7"/>
  <c r="Q114" i="7"/>
  <c r="B114" i="7"/>
  <c r="D114" i="7"/>
  <c r="J113" i="7"/>
  <c r="A116" i="7"/>
  <c r="J114" i="7" a="1"/>
  <c r="R115" i="7" a="1"/>
  <c r="E115" i="7" a="1"/>
  <c r="S115" i="7" a="1"/>
  <c r="O115" i="7" a="1"/>
  <c r="L115" i="7" a="1"/>
  <c r="M115" i="7" a="1"/>
  <c r="D115" i="7" a="1"/>
  <c r="B115" i="7" a="1"/>
  <c r="Q115" i="7" a="1"/>
  <c r="C115" i="7" a="1"/>
  <c r="K115" i="7" a="1"/>
  <c r="N115" i="7" a="1"/>
  <c r="H115" i="7" a="1"/>
  <c r="I115" i="7" a="1"/>
  <c r="G115" i="7" a="1"/>
  <c r="F115" i="7" a="1"/>
  <c r="P115" i="7" a="1"/>
  <c r="S115" i="7" l="1"/>
  <c r="R115" i="7"/>
  <c r="M115" i="7"/>
  <c r="E115" i="7"/>
  <c r="I115" i="7"/>
  <c r="F115" i="7"/>
  <c r="G115" i="7"/>
  <c r="O115" i="7"/>
  <c r="P115" i="7"/>
  <c r="Q115" i="7"/>
  <c r="D115" i="7"/>
  <c r="H115" i="7"/>
  <c r="C115" i="7"/>
  <c r="J114" i="7"/>
  <c r="B115" i="7"/>
  <c r="L115" i="7"/>
  <c r="K115" i="7"/>
  <c r="N115" i="7"/>
  <c r="A117" i="7"/>
  <c r="M116" i="7" a="1"/>
  <c r="R116" i="7" a="1"/>
  <c r="E116" i="7" a="1"/>
  <c r="F116" i="7" a="1"/>
  <c r="K116" i="7" a="1"/>
  <c r="D116" i="7" a="1"/>
  <c r="C116" i="7" a="1"/>
  <c r="P116" i="7" a="1"/>
  <c r="O116" i="7" a="1"/>
  <c r="B116" i="7" a="1"/>
  <c r="G116" i="7" a="1"/>
  <c r="I116" i="7" a="1"/>
  <c r="N116" i="7" a="1"/>
  <c r="J115" i="7" a="1"/>
  <c r="H116" i="7" a="1"/>
  <c r="Q116" i="7" a="1"/>
  <c r="S116" i="7" a="1"/>
  <c r="L116" i="7" a="1"/>
  <c r="R116" i="7" l="1"/>
  <c r="S116" i="7"/>
  <c r="N116" i="7"/>
  <c r="B116" i="7"/>
  <c r="F116" i="7"/>
  <c r="G116" i="7"/>
  <c r="M116" i="7"/>
  <c r="O116" i="7"/>
  <c r="P116" i="7"/>
  <c r="Q116" i="7"/>
  <c r="L116" i="7"/>
  <c r="I116" i="7"/>
  <c r="K116" i="7"/>
  <c r="J115" i="7"/>
  <c r="C116" i="7"/>
  <c r="H116" i="7"/>
  <c r="D116" i="7"/>
  <c r="E116" i="7"/>
  <c r="A118" i="7"/>
  <c r="G117" i="7" a="1"/>
  <c r="O117" i="7" a="1"/>
  <c r="B117" i="7" a="1"/>
  <c r="N117" i="7" a="1"/>
  <c r="P117" i="7" a="1"/>
  <c r="C117" i="7" a="1"/>
  <c r="D117" i="7" a="1"/>
  <c r="E117" i="7" a="1"/>
  <c r="L117" i="7" a="1"/>
  <c r="H117" i="7" a="1"/>
  <c r="I117" i="7" a="1"/>
  <c r="R117" i="7" a="1"/>
  <c r="K117" i="7" a="1"/>
  <c r="M117" i="7" a="1"/>
  <c r="F117" i="7" a="1"/>
  <c r="Q117" i="7" a="1"/>
  <c r="S117" i="7" a="1"/>
  <c r="J116" i="7" a="1"/>
  <c r="S117" i="7" l="1"/>
  <c r="R117" i="7"/>
  <c r="G117" i="7"/>
  <c r="E117" i="7"/>
  <c r="F117" i="7"/>
  <c r="O117" i="7"/>
  <c r="B117" i="7"/>
  <c r="H117" i="7"/>
  <c r="K117" i="7"/>
  <c r="L117" i="7"/>
  <c r="M117" i="7"/>
  <c r="P117" i="7"/>
  <c r="Q117" i="7"/>
  <c r="C117" i="7"/>
  <c r="J116" i="7"/>
  <c r="I117" i="7"/>
  <c r="D117" i="7"/>
  <c r="N117" i="7"/>
  <c r="A119" i="7"/>
  <c r="K118" i="7" a="1"/>
  <c r="J117" i="7" a="1"/>
  <c r="M118" i="7" a="1"/>
  <c r="C118" i="7" a="1"/>
  <c r="S118" i="7" a="1"/>
  <c r="N118" i="7" a="1"/>
  <c r="G118" i="7" a="1"/>
  <c r="B118" i="7" a="1"/>
  <c r="H118" i="7" a="1"/>
  <c r="L118" i="7" a="1"/>
  <c r="I118" i="7" a="1"/>
  <c r="E118" i="7" a="1"/>
  <c r="P118" i="7" a="1"/>
  <c r="D118" i="7" a="1"/>
  <c r="R118" i="7" a="1"/>
  <c r="O118" i="7" a="1"/>
  <c r="Q118" i="7" a="1"/>
  <c r="F118" i="7" a="1"/>
  <c r="R118" i="7" l="1"/>
  <c r="S118" i="7"/>
  <c r="D118" i="7"/>
  <c r="I118" i="7"/>
  <c r="F118" i="7"/>
  <c r="O118" i="7"/>
  <c r="Q118" i="7"/>
  <c r="N118" i="7"/>
  <c r="J117" i="7"/>
  <c r="E118" i="7"/>
  <c r="G118" i="7"/>
  <c r="M118" i="7"/>
  <c r="P118" i="7"/>
  <c r="K118" i="7"/>
  <c r="L118" i="7"/>
  <c r="C118" i="7"/>
  <c r="H118" i="7"/>
  <c r="B118" i="7"/>
  <c r="A120" i="7"/>
  <c r="H119" i="7" a="1"/>
  <c r="P119" i="7" a="1"/>
  <c r="C119" i="7" a="1"/>
  <c r="O119" i="7" a="1"/>
  <c r="G119" i="7" a="1"/>
  <c r="N119" i="7" a="1"/>
  <c r="B119" i="7" a="1"/>
  <c r="I119" i="7" a="1"/>
  <c r="D119" i="7" a="1"/>
  <c r="M119" i="7" a="1"/>
  <c r="K119" i="7" a="1"/>
  <c r="R119" i="7" a="1"/>
  <c r="S119" i="7" a="1"/>
  <c r="E119" i="7" a="1"/>
  <c r="Q119" i="7" a="1"/>
  <c r="J118" i="7" a="1"/>
  <c r="F119" i="7" a="1"/>
  <c r="S119" i="7" l="1"/>
  <c r="R119" i="7"/>
  <c r="O119" i="7"/>
  <c r="F119" i="7"/>
  <c r="M119" i="7"/>
  <c r="Q119" i="7"/>
  <c r="E119" i="7"/>
  <c r="K119" i="7"/>
  <c r="D119" i="7"/>
  <c r="G119" i="7"/>
  <c r="P119" i="7"/>
  <c r="H119" i="7"/>
  <c r="C119" i="7"/>
  <c r="J118" i="7"/>
  <c r="N119" i="7"/>
  <c r="I119" i="7"/>
  <c r="B119" i="7"/>
  <c r="A121" i="7"/>
  <c r="P120" i="7" a="1"/>
  <c r="R120" i="7" a="1"/>
  <c r="O120" i="7" a="1"/>
  <c r="C120" i="7" a="1"/>
  <c r="K120" i="7" a="1"/>
  <c r="Q120" i="7" a="1"/>
  <c r="N120" i="7" a="1"/>
  <c r="I120" i="7" a="1"/>
  <c r="G120" i="7" a="1"/>
  <c r="M120" i="7" a="1"/>
  <c r="E120" i="7" a="1"/>
  <c r="D120" i="7" a="1"/>
  <c r="H120" i="7" a="1"/>
  <c r="F120" i="7" a="1"/>
  <c r="S120" i="7" a="1"/>
  <c r="B120" i="7" a="1"/>
  <c r="J119" i="7" a="1"/>
  <c r="F120" i="7" l="1"/>
  <c r="S120" i="7"/>
  <c r="R120" i="7"/>
  <c r="P120" i="7"/>
  <c r="K120" i="7"/>
  <c r="N120" i="7"/>
  <c r="J119" i="7"/>
  <c r="G120" i="7"/>
  <c r="B120" i="7"/>
  <c r="M120" i="7"/>
  <c r="I120" i="7"/>
  <c r="C120" i="7"/>
  <c r="H120" i="7"/>
  <c r="E120" i="7"/>
  <c r="Q120" i="7"/>
  <c r="D120" i="7"/>
  <c r="O120" i="7"/>
  <c r="A122" i="7"/>
  <c r="O121" i="7" a="1"/>
  <c r="D121" i="7" a="1"/>
  <c r="R121" i="7" a="1"/>
  <c r="N121" i="7" a="1"/>
  <c r="F121" i="7" a="1"/>
  <c r="B121" i="7" a="1"/>
  <c r="K121" i="7" a="1"/>
  <c r="Q121" i="7" a="1"/>
  <c r="G121" i="7" a="1"/>
  <c r="H121" i="7" a="1"/>
  <c r="E121" i="7" a="1"/>
  <c r="P121" i="7" a="1"/>
  <c r="I121" i="7" a="1"/>
  <c r="S121" i="7" a="1"/>
  <c r="J120" i="7" a="1"/>
  <c r="M121" i="7" a="1"/>
  <c r="C121" i="7" a="1"/>
  <c r="S121" i="7" l="1"/>
  <c r="R121" i="7"/>
  <c r="I121" i="7"/>
  <c r="F121" i="7"/>
  <c r="O121" i="7"/>
  <c r="Q121" i="7"/>
  <c r="E121" i="7"/>
  <c r="N121" i="7"/>
  <c r="G121" i="7"/>
  <c r="B121" i="7"/>
  <c r="H121" i="7"/>
  <c r="K121" i="7"/>
  <c r="M121" i="7"/>
  <c r="P121" i="7"/>
  <c r="C121" i="7"/>
  <c r="J120" i="7"/>
  <c r="D121" i="7"/>
  <c r="A123" i="7"/>
  <c r="M122" i="7" a="1"/>
  <c r="Q122" i="7" a="1"/>
  <c r="I122" i="7" a="1"/>
  <c r="G122" i="7" a="1"/>
  <c r="C122" i="7" a="1"/>
  <c r="N122" i="7" a="1"/>
  <c r="O122" i="7" a="1"/>
  <c r="R122" i="7" a="1"/>
  <c r="H122" i="7" a="1"/>
  <c r="F122" i="7" a="1"/>
  <c r="K122" i="7" a="1"/>
  <c r="P122" i="7" a="1"/>
  <c r="E122" i="7" a="1"/>
  <c r="J121" i="7" a="1"/>
  <c r="D122" i="7" a="1"/>
  <c r="S122" i="7" a="1"/>
  <c r="B122" i="7" a="1"/>
  <c r="R122" i="7" l="1"/>
  <c r="S122" i="7"/>
  <c r="F122" i="7"/>
  <c r="P122" i="7"/>
  <c r="G122" i="7"/>
  <c r="O122" i="7"/>
  <c r="Q122" i="7"/>
  <c r="I122" i="7"/>
  <c r="H122" i="7"/>
  <c r="D122" i="7"/>
  <c r="M122" i="7"/>
  <c r="K122" i="7"/>
  <c r="N122" i="7"/>
  <c r="J121" i="7"/>
  <c r="C122" i="7"/>
  <c r="E122" i="7"/>
  <c r="B122" i="7"/>
  <c r="A124" i="7"/>
  <c r="E123" i="7" a="1"/>
  <c r="G123" i="7" a="1"/>
  <c r="R123" i="7" a="1"/>
  <c r="S123" i="7" a="1"/>
  <c r="H123" i="7" a="1"/>
  <c r="C123" i="7" a="1"/>
  <c r="O123" i="7" a="1"/>
  <c r="J122" i="7" a="1"/>
  <c r="Q123" i="7" a="1"/>
  <c r="P123" i="7" a="1"/>
  <c r="N123" i="7" a="1"/>
  <c r="D123" i="7" a="1"/>
  <c r="I123" i="7" a="1"/>
  <c r="F123" i="7" a="1"/>
  <c r="K123" i="7" a="1"/>
  <c r="M123" i="7" a="1"/>
  <c r="B123" i="7" a="1"/>
  <c r="S123" i="7" l="1"/>
  <c r="R123" i="7"/>
  <c r="P123" i="7"/>
  <c r="K123" i="7"/>
  <c r="G123" i="7"/>
  <c r="Q123" i="7"/>
  <c r="H123" i="7"/>
  <c r="M123" i="7"/>
  <c r="F123" i="7"/>
  <c r="E123" i="7"/>
  <c r="I123" i="7"/>
  <c r="O123" i="7"/>
  <c r="B123" i="7"/>
  <c r="C123" i="7"/>
  <c r="J122" i="7"/>
  <c r="N123" i="7"/>
  <c r="D123" i="7"/>
  <c r="A125" i="7"/>
  <c r="C124" i="7" a="1"/>
  <c r="E124" i="7" a="1"/>
  <c r="G124" i="7" a="1"/>
  <c r="P124" i="7" a="1"/>
  <c r="B124" i="7" a="1"/>
  <c r="J123" i="7" a="1"/>
  <c r="F124" i="7" a="1"/>
  <c r="M124" i="7" a="1"/>
  <c r="D124" i="7" a="1"/>
  <c r="O124" i="7" a="1"/>
  <c r="N124" i="7" a="1"/>
  <c r="R124" i="7" a="1"/>
  <c r="H124" i="7" a="1"/>
  <c r="S124" i="7" a="1"/>
  <c r="I124" i="7" a="1"/>
  <c r="K124" i="7" a="1"/>
  <c r="Q124" i="7" a="1"/>
  <c r="R124" i="7" l="1"/>
  <c r="S124" i="7"/>
  <c r="F124" i="7"/>
  <c r="I124" i="7"/>
  <c r="J123" i="7"/>
  <c r="M124" i="7"/>
  <c r="P124" i="7"/>
  <c r="B124" i="7"/>
  <c r="K124" i="7"/>
  <c r="H124" i="7"/>
  <c r="D124" i="7"/>
  <c r="O124" i="7"/>
  <c r="Q124" i="7"/>
  <c r="N124" i="7"/>
  <c r="C124" i="7"/>
  <c r="E124" i="7"/>
  <c r="G124" i="7"/>
  <c r="A126" i="7"/>
  <c r="E125" i="7" a="1"/>
  <c r="R125" i="7" a="1"/>
  <c r="C125" i="7" a="1"/>
  <c r="M125" i="7" a="1"/>
  <c r="F125" i="7" a="1"/>
  <c r="O125" i="7" a="1"/>
  <c r="P125" i="7" a="1"/>
  <c r="D125" i="7" a="1"/>
  <c r="K125" i="7" a="1"/>
  <c r="I125" i="7" a="1"/>
  <c r="H125" i="7" a="1"/>
  <c r="J124" i="7" a="1"/>
  <c r="G125" i="7" a="1"/>
  <c r="N125" i="7" a="1"/>
  <c r="B125" i="7" a="1"/>
  <c r="S125" i="7" a="1"/>
  <c r="Q125" i="7" a="1"/>
  <c r="S125" i="7" l="1"/>
  <c r="R125" i="7"/>
  <c r="F125" i="7"/>
  <c r="D125" i="7"/>
  <c r="M125" i="7"/>
  <c r="P125" i="7"/>
  <c r="C125" i="7"/>
  <c r="H125" i="7"/>
  <c r="K125" i="7"/>
  <c r="I125" i="7"/>
  <c r="G125" i="7"/>
  <c r="O125" i="7"/>
  <c r="Q125" i="7"/>
  <c r="E125" i="7"/>
  <c r="N125" i="7"/>
  <c r="J124" i="7"/>
  <c r="B125" i="7"/>
  <c r="A127" i="7"/>
  <c r="C126" i="7" a="1"/>
  <c r="H126" i="7" a="1"/>
  <c r="M126" i="7" a="1"/>
  <c r="F126" i="7" a="1"/>
  <c r="D126" i="7" a="1"/>
  <c r="G126" i="7" a="1"/>
  <c r="B126" i="7" a="1"/>
  <c r="I126" i="7" a="1"/>
  <c r="K126" i="7" a="1"/>
  <c r="J125" i="7" a="1"/>
  <c r="N126" i="7" a="1"/>
  <c r="Q126" i="7" a="1"/>
  <c r="E126" i="7" a="1"/>
  <c r="R126" i="7" a="1"/>
  <c r="O126" i="7" a="1"/>
  <c r="P126" i="7" a="1"/>
  <c r="S126" i="7" a="1"/>
  <c r="R126" i="7" l="1"/>
  <c r="S126" i="7"/>
  <c r="A128" i="7"/>
  <c r="B126" i="7"/>
  <c r="D126" i="7"/>
  <c r="G126" i="7"/>
  <c r="O126" i="7"/>
  <c r="Q126" i="7"/>
  <c r="N126" i="7"/>
  <c r="H126" i="7"/>
  <c r="F126" i="7"/>
  <c r="M126" i="7"/>
  <c r="P126" i="7"/>
  <c r="K126" i="7"/>
  <c r="I126" i="7"/>
  <c r="J125" i="7"/>
  <c r="E126" i="7"/>
  <c r="C126" i="7"/>
  <c r="B127" i="7" a="1"/>
  <c r="P127" i="7" a="1"/>
  <c r="J126" i="7" a="1"/>
  <c r="O127" i="7" a="1"/>
  <c r="N127" i="7" a="1"/>
  <c r="F127" i="7" a="1"/>
  <c r="S127" i="7" a="1"/>
  <c r="D127" i="7" a="1"/>
  <c r="H127" i="7" a="1"/>
  <c r="I127" i="7" a="1"/>
  <c r="R127" i="7" a="1"/>
  <c r="Q127" i="7" a="1"/>
  <c r="C127" i="7" a="1"/>
  <c r="E127" i="7" a="1"/>
  <c r="K127" i="7" a="1"/>
  <c r="M127" i="7" a="1"/>
  <c r="G127" i="7" a="1"/>
  <c r="R127" i="7" l="1"/>
  <c r="S127" i="7"/>
  <c r="A129" i="7"/>
  <c r="I127" i="7"/>
  <c r="B127" i="7"/>
  <c r="O127" i="7"/>
  <c r="Q127" i="7"/>
  <c r="E127" i="7"/>
  <c r="N127" i="7"/>
  <c r="G127" i="7"/>
  <c r="M127" i="7"/>
  <c r="F127" i="7"/>
  <c r="P127" i="7"/>
  <c r="H127" i="7"/>
  <c r="C127" i="7"/>
  <c r="J126" i="7"/>
  <c r="K127" i="7"/>
  <c r="D127" i="7"/>
  <c r="K128" i="7" a="1"/>
  <c r="C128" i="7" a="1"/>
  <c r="N128" i="7" a="1"/>
  <c r="E128" i="7" a="1"/>
  <c r="F128" i="7" a="1"/>
  <c r="P128" i="7" a="1"/>
  <c r="R128" i="7" a="1"/>
  <c r="G128" i="7" a="1"/>
  <c r="I128" i="7" a="1"/>
  <c r="H128" i="7" a="1"/>
  <c r="S128" i="7" a="1"/>
  <c r="D128" i="7" a="1"/>
  <c r="Q128" i="7" a="1"/>
  <c r="B128" i="7" a="1"/>
  <c r="J127" i="7" a="1"/>
  <c r="M128" i="7" a="1"/>
  <c r="O128" i="7" a="1"/>
  <c r="C128" i="7" l="1"/>
  <c r="P128" i="7"/>
  <c r="M128" i="7"/>
  <c r="Q128" i="7"/>
  <c r="B128" i="7"/>
  <c r="E128" i="7"/>
  <c r="D128" i="7"/>
  <c r="K128" i="7"/>
  <c r="F128" i="7"/>
  <c r="G128" i="7"/>
  <c r="N128" i="7"/>
  <c r="O128" i="7"/>
  <c r="I128" i="7"/>
  <c r="H128" i="7"/>
  <c r="S128" i="7"/>
  <c r="R128" i="7"/>
  <c r="A130" i="7"/>
  <c r="J127" i="7"/>
  <c r="M129" i="7" a="1"/>
  <c r="B129" i="7" a="1"/>
  <c r="S129" i="7" a="1"/>
  <c r="G129" i="7" a="1"/>
  <c r="N129" i="7" a="1"/>
  <c r="I129" i="7" a="1"/>
  <c r="F129" i="7" a="1"/>
  <c r="O129" i="7" a="1"/>
  <c r="E129" i="7" a="1"/>
  <c r="R129" i="7" a="1"/>
  <c r="K129" i="7" a="1"/>
  <c r="P129" i="7" a="1"/>
  <c r="D129" i="7" a="1"/>
  <c r="C129" i="7" a="1"/>
  <c r="J128" i="7" a="1"/>
  <c r="Q129" i="7" a="1"/>
  <c r="H129" i="7" a="1"/>
  <c r="I129" i="7" l="1"/>
  <c r="R129" i="7"/>
  <c r="O129" i="7"/>
  <c r="K129" i="7"/>
  <c r="C129" i="7"/>
  <c r="N129" i="7"/>
  <c r="D129" i="7"/>
  <c r="S129" i="7"/>
  <c r="H129" i="7"/>
  <c r="G129" i="7"/>
  <c r="F129" i="7"/>
  <c r="E129" i="7"/>
  <c r="B129" i="7"/>
  <c r="Q129" i="7"/>
  <c r="M129" i="7"/>
  <c r="P129" i="7"/>
  <c r="J128" i="7"/>
  <c r="A131" i="7"/>
  <c r="S130" i="7" a="1"/>
  <c r="N130" i="7" a="1"/>
  <c r="H130" i="7" a="1"/>
  <c r="I130" i="7" a="1"/>
  <c r="O130" i="7" a="1"/>
  <c r="F130" i="7" a="1"/>
  <c r="R130" i="7" a="1"/>
  <c r="J129" i="7" a="1"/>
  <c r="D130" i="7" a="1"/>
  <c r="M130" i="7" a="1"/>
  <c r="G130" i="7" a="1"/>
  <c r="E130" i="7" a="1"/>
  <c r="B130" i="7" a="1"/>
  <c r="C130" i="7" a="1"/>
  <c r="P130" i="7" a="1"/>
  <c r="Q130" i="7" a="1"/>
  <c r="K130" i="7" a="1"/>
  <c r="G130" i="7" l="1"/>
  <c r="C130" i="7"/>
  <c r="M130" i="7"/>
  <c r="S130" i="7"/>
  <c r="B130" i="7"/>
  <c r="N130" i="7"/>
  <c r="R130" i="7"/>
  <c r="F130" i="7"/>
  <c r="J129" i="7"/>
  <c r="Q130" i="7"/>
  <c r="O130" i="7"/>
  <c r="D130" i="7"/>
  <c r="E130" i="7"/>
  <c r="K130" i="7"/>
  <c r="H130" i="7"/>
  <c r="P130" i="7"/>
  <c r="I130" i="7"/>
  <c r="A132" i="7"/>
  <c r="R276" i="3"/>
  <c r="Q29" i="25"/>
  <c r="D131" i="7" a="1"/>
  <c r="P131" i="7" a="1"/>
  <c r="O131" i="7" a="1"/>
  <c r="E131" i="7" a="1"/>
  <c r="R131" i="7" a="1"/>
  <c r="N131" i="7" a="1"/>
  <c r="B131" i="7" a="1"/>
  <c r="S131" i="7" a="1"/>
  <c r="M131" i="7" a="1"/>
  <c r="C131" i="7" a="1"/>
  <c r="F131" i="7" a="1"/>
  <c r="H131" i="7" a="1"/>
  <c r="K131" i="7" a="1"/>
  <c r="Q131" i="7" a="1"/>
  <c r="G131" i="7" a="1"/>
  <c r="J130" i="7" a="1"/>
  <c r="I131" i="7" a="1"/>
  <c r="J130" i="7" l="1"/>
  <c r="I131" i="7"/>
  <c r="R131" i="7"/>
  <c r="H131" i="7"/>
  <c r="E131" i="7"/>
  <c r="O131" i="7"/>
  <c r="F131" i="7"/>
  <c r="B131" i="7"/>
  <c r="M131" i="7"/>
  <c r="D131" i="7"/>
  <c r="S131" i="7"/>
  <c r="P131" i="7"/>
  <c r="K131" i="7"/>
  <c r="Q131" i="7"/>
  <c r="N131" i="7"/>
  <c r="C131" i="7"/>
  <c r="G131" i="7"/>
  <c r="A133" i="7"/>
  <c r="R29" i="25"/>
  <c r="I270" i="3"/>
  <c r="I132" i="7" a="1"/>
  <c r="O132" i="7" a="1"/>
  <c r="S132" i="7" a="1"/>
  <c r="E132" i="7" a="1"/>
  <c r="R132" i="7" a="1"/>
  <c r="G132" i="7" a="1"/>
  <c r="P132" i="7" a="1"/>
  <c r="N132" i="7" a="1"/>
  <c r="B132" i="7" a="1"/>
  <c r="Q132" i="7" a="1"/>
  <c r="J131" i="7" a="1"/>
  <c r="F132" i="7" a="1"/>
  <c r="H132" i="7" a="1"/>
  <c r="D132" i="7" a="1"/>
  <c r="C132" i="7" a="1"/>
  <c r="K132" i="7" a="1"/>
  <c r="M132" i="7" a="1"/>
  <c r="H132" i="7" l="1"/>
  <c r="N132" i="7"/>
  <c r="D132" i="7"/>
  <c r="Q132" i="7"/>
  <c r="R132" i="7"/>
  <c r="F132" i="7"/>
  <c r="S132" i="7"/>
  <c r="I132" i="7"/>
  <c r="P132" i="7"/>
  <c r="M132" i="7"/>
  <c r="G132" i="7"/>
  <c r="O132" i="7"/>
  <c r="B132" i="7"/>
  <c r="E132" i="7"/>
  <c r="K132" i="7"/>
  <c r="C132" i="7"/>
  <c r="J131" i="7"/>
  <c r="A134" i="7"/>
  <c r="A135" i="7" s="1"/>
  <c r="G133" i="7" a="1"/>
  <c r="M133" i="7" a="1"/>
  <c r="I133" i="7" a="1"/>
  <c r="K133" i="7" a="1"/>
  <c r="B133" i="7" a="1"/>
  <c r="D133" i="7" a="1"/>
  <c r="J132" i="7" a="1"/>
  <c r="S133" i="7" a="1"/>
  <c r="R133" i="7" a="1"/>
  <c r="C133" i="7" a="1"/>
  <c r="O133" i="7" a="1"/>
  <c r="F133" i="7" a="1"/>
  <c r="H133" i="7" a="1"/>
  <c r="P133" i="7" a="1"/>
  <c r="Q133" i="7" a="1"/>
  <c r="E133" i="7" a="1"/>
  <c r="N133" i="7" a="1"/>
  <c r="E133" i="7" l="1"/>
  <c r="J132" i="7"/>
  <c r="C133" i="7"/>
  <c r="K133" i="7"/>
  <c r="B133" i="7"/>
  <c r="O133" i="7"/>
  <c r="G133" i="7"/>
  <c r="M133" i="7"/>
  <c r="P133" i="7"/>
  <c r="I133" i="7"/>
  <c r="S133" i="7"/>
  <c r="F133" i="7"/>
  <c r="R133" i="7"/>
  <c r="Q133" i="7"/>
  <c r="D133" i="7"/>
  <c r="N133" i="7"/>
  <c r="H133" i="7"/>
  <c r="A136" i="7"/>
  <c r="D134" i="7" a="1"/>
  <c r="H134" i="7" a="1"/>
  <c r="O134" i="7" a="1"/>
  <c r="E134" i="7" a="1"/>
  <c r="K134" i="7" a="1"/>
  <c r="J133" i="7" a="1"/>
  <c r="S134" i="7" a="1"/>
  <c r="F134" i="7" a="1"/>
  <c r="B134" i="7" a="1"/>
  <c r="N134" i="7" a="1"/>
  <c r="C134" i="7" a="1"/>
  <c r="G134" i="7" a="1"/>
  <c r="R134" i="7" a="1"/>
  <c r="I134" i="7" a="1"/>
  <c r="Q134" i="7" a="1"/>
  <c r="M134" i="7" a="1"/>
  <c r="P134" i="7" a="1"/>
  <c r="I134" i="7" l="1"/>
  <c r="M134" i="7"/>
  <c r="G134" i="7"/>
  <c r="H134" i="7"/>
  <c r="D134" i="7"/>
  <c r="R134" i="7"/>
  <c r="F134" i="7"/>
  <c r="O134" i="7"/>
  <c r="B134" i="7"/>
  <c r="N134" i="7"/>
  <c r="Q134" i="7"/>
  <c r="S134" i="7"/>
  <c r="P134" i="7"/>
  <c r="C134" i="7"/>
  <c r="K134" i="7"/>
  <c r="J133" i="7"/>
  <c r="E134" i="7"/>
  <c r="A137" i="7"/>
  <c r="K135" i="7" a="1"/>
  <c r="D135" i="7" a="1"/>
  <c r="C135" i="7" a="1"/>
  <c r="P135" i="7" a="1"/>
  <c r="H135" i="7" a="1"/>
  <c r="O135" i="7" a="1"/>
  <c r="E135" i="7" a="1"/>
  <c r="N135" i="7" a="1"/>
  <c r="M135" i="7" a="1"/>
  <c r="R135" i="7" a="1"/>
  <c r="G135" i="7" a="1"/>
  <c r="B135" i="7" a="1"/>
  <c r="Q135" i="7" a="1"/>
  <c r="I135" i="7" a="1"/>
  <c r="S135" i="7" a="1"/>
  <c r="F135" i="7" a="1"/>
  <c r="J134" i="7" a="1"/>
  <c r="J134" i="7" l="1"/>
  <c r="K135" i="7"/>
  <c r="C135" i="7"/>
  <c r="P135" i="7"/>
  <c r="S135" i="7"/>
  <c r="Q135" i="7"/>
  <c r="N135" i="7"/>
  <c r="B135" i="7"/>
  <c r="O135" i="7"/>
  <c r="F135" i="7"/>
  <c r="R135" i="7"/>
  <c r="E135" i="7"/>
  <c r="D135" i="7"/>
  <c r="H135" i="7"/>
  <c r="G135" i="7"/>
  <c r="M135" i="7"/>
  <c r="I135" i="7"/>
  <c r="A138" i="7"/>
  <c r="Q136" i="7" a="1"/>
  <c r="P136" i="7" a="1"/>
  <c r="F136" i="7" a="1"/>
  <c r="O136" i="7" a="1"/>
  <c r="C136" i="7" a="1"/>
  <c r="E136" i="7" a="1"/>
  <c r="H136" i="7" a="1"/>
  <c r="N136" i="7" a="1"/>
  <c r="J135" i="7" a="1"/>
  <c r="I136" i="7" a="1"/>
  <c r="R136" i="7" a="1"/>
  <c r="G136" i="7" a="1"/>
  <c r="B136" i="7" a="1"/>
  <c r="S136" i="7" a="1"/>
  <c r="D136" i="7" a="1"/>
  <c r="K136" i="7" a="1"/>
  <c r="M136" i="7" a="1"/>
  <c r="K136" i="7" l="1"/>
  <c r="I136" i="7"/>
  <c r="M136" i="7"/>
  <c r="G136" i="7"/>
  <c r="H136" i="7"/>
  <c r="D136" i="7"/>
  <c r="E136" i="7"/>
  <c r="R136" i="7"/>
  <c r="F136" i="7"/>
  <c r="O136" i="7"/>
  <c r="B136" i="7"/>
  <c r="N136" i="7"/>
  <c r="Q136" i="7"/>
  <c r="S136" i="7"/>
  <c r="P136" i="7"/>
  <c r="C136" i="7"/>
  <c r="J135" i="7"/>
  <c r="A139" i="7"/>
  <c r="M137" i="7" a="1"/>
  <c r="R137" i="7" a="1"/>
  <c r="Q137" i="7" a="1"/>
  <c r="C137" i="7" a="1"/>
  <c r="G137" i="7" a="1"/>
  <c r="N137" i="7" a="1"/>
  <c r="S137" i="7" a="1"/>
  <c r="H137" i="7" a="1"/>
  <c r="J136" i="7" a="1"/>
  <c r="O137" i="7" a="1"/>
  <c r="E137" i="7" a="1"/>
  <c r="P137" i="7" a="1"/>
  <c r="B137" i="7" a="1"/>
  <c r="D137" i="7" a="1"/>
  <c r="I137" i="7" a="1"/>
  <c r="K137" i="7" a="1"/>
  <c r="F137" i="7" a="1"/>
  <c r="K137" i="7" l="1"/>
  <c r="S137" i="7"/>
  <c r="J136" i="7"/>
  <c r="C137" i="7"/>
  <c r="N137" i="7"/>
  <c r="B137" i="7"/>
  <c r="F137" i="7"/>
  <c r="E137" i="7"/>
  <c r="H137" i="7"/>
  <c r="M137" i="7"/>
  <c r="P137" i="7"/>
  <c r="Q137" i="7"/>
  <c r="O137" i="7"/>
  <c r="R137" i="7"/>
  <c r="D137" i="7"/>
  <c r="G137" i="7"/>
  <c r="I137" i="7"/>
  <c r="A140" i="7"/>
  <c r="P138" i="7" a="1"/>
  <c r="J137" i="7" a="1"/>
  <c r="F138" i="7" a="1"/>
  <c r="B138" i="7" a="1"/>
  <c r="H138" i="7" a="1"/>
  <c r="I138" i="7" a="1"/>
  <c r="O138" i="7" a="1"/>
  <c r="C138" i="7" a="1"/>
  <c r="Q138" i="7" a="1"/>
  <c r="N138" i="7" a="1"/>
  <c r="G138" i="7" a="1"/>
  <c r="D138" i="7" a="1"/>
  <c r="M138" i="7" a="1"/>
  <c r="K138" i="7" a="1"/>
  <c r="S138" i="7" a="1"/>
  <c r="R138" i="7" a="1"/>
  <c r="E138" i="7" a="1"/>
  <c r="K138" i="7" l="1"/>
  <c r="E138" i="7"/>
  <c r="I138" i="7"/>
  <c r="O138" i="7"/>
  <c r="P138" i="7"/>
  <c r="H138" i="7"/>
  <c r="F138" i="7"/>
  <c r="N138" i="7"/>
  <c r="C138" i="7"/>
  <c r="J137" i="7"/>
  <c r="G138" i="7"/>
  <c r="D138" i="7"/>
  <c r="R138" i="7"/>
  <c r="Q138" i="7"/>
  <c r="M138" i="7"/>
  <c r="B138" i="7"/>
  <c r="S138" i="7"/>
  <c r="A141" i="7"/>
  <c r="P139" i="7" a="1"/>
  <c r="C139" i="7" a="1"/>
  <c r="E139" i="7" a="1"/>
  <c r="M139" i="7" a="1"/>
  <c r="S139" i="7" a="1"/>
  <c r="Q139" i="7" a="1"/>
  <c r="G139" i="7" a="1"/>
  <c r="N139" i="7" a="1"/>
  <c r="I139" i="7" a="1"/>
  <c r="B139" i="7" a="1"/>
  <c r="F139" i="7" a="1"/>
  <c r="D139" i="7" a="1"/>
  <c r="K139" i="7" a="1"/>
  <c r="H139" i="7" a="1"/>
  <c r="J138" i="7" a="1"/>
  <c r="O139" i="7" a="1"/>
  <c r="R139" i="7" a="1"/>
  <c r="K139" i="7" l="1"/>
  <c r="E139" i="7"/>
  <c r="S139" i="7"/>
  <c r="B139" i="7"/>
  <c r="M139" i="7"/>
  <c r="Q139" i="7"/>
  <c r="R139" i="7"/>
  <c r="D139" i="7"/>
  <c r="G139" i="7"/>
  <c r="J138" i="7"/>
  <c r="C139" i="7"/>
  <c r="N139" i="7"/>
  <c r="F139" i="7"/>
  <c r="H139" i="7"/>
  <c r="P139" i="7"/>
  <c r="O139" i="7"/>
  <c r="I139" i="7"/>
  <c r="A142" i="7"/>
  <c r="H140" i="7" a="1"/>
  <c r="K140" i="7" a="1"/>
  <c r="E140" i="7" a="1"/>
  <c r="J139" i="7" a="1"/>
  <c r="C140" i="7" a="1"/>
  <c r="O140" i="7" a="1"/>
  <c r="P140" i="7" a="1"/>
  <c r="G140" i="7" a="1"/>
  <c r="F140" i="7" a="1"/>
  <c r="I140" i="7" a="1"/>
  <c r="R140" i="7" a="1"/>
  <c r="N140" i="7" a="1"/>
  <c r="D140" i="7" a="1"/>
  <c r="S140" i="7" a="1"/>
  <c r="B140" i="7" a="1"/>
  <c r="Q140" i="7" a="1"/>
  <c r="M140" i="7" a="1"/>
  <c r="K140" i="7" l="1"/>
  <c r="E140" i="7"/>
  <c r="I140" i="7"/>
  <c r="O140" i="7"/>
  <c r="P140" i="7"/>
  <c r="H140" i="7"/>
  <c r="F140" i="7"/>
  <c r="N140" i="7"/>
  <c r="C140" i="7"/>
  <c r="J139" i="7"/>
  <c r="G140" i="7"/>
  <c r="D140" i="7"/>
  <c r="R140" i="7"/>
  <c r="Q140" i="7"/>
  <c r="M140" i="7"/>
  <c r="B140" i="7"/>
  <c r="S140" i="7"/>
  <c r="A143" i="7"/>
  <c r="A144" i="7" s="1"/>
  <c r="F141" i="7" a="1"/>
  <c r="H141" i="7" a="1"/>
  <c r="K141" i="7" a="1"/>
  <c r="S141" i="7" a="1"/>
  <c r="D141" i="7" a="1"/>
  <c r="G141" i="7" a="1"/>
  <c r="R141" i="7" a="1"/>
  <c r="J140" i="7" a="1"/>
  <c r="C141" i="7" a="1"/>
  <c r="M141" i="7" a="1"/>
  <c r="O141" i="7" a="1"/>
  <c r="N141" i="7" a="1"/>
  <c r="I141" i="7" a="1"/>
  <c r="Q141" i="7" a="1"/>
  <c r="E141" i="7" a="1"/>
  <c r="P141" i="7" a="1"/>
  <c r="B141" i="7" a="1"/>
  <c r="K141" i="7" l="1"/>
  <c r="D141" i="7"/>
  <c r="E141" i="7"/>
  <c r="B141" i="7"/>
  <c r="M141" i="7"/>
  <c r="Q141" i="7"/>
  <c r="R141" i="7"/>
  <c r="G141" i="7"/>
  <c r="J140" i="7"/>
  <c r="I141" i="7"/>
  <c r="S141" i="7"/>
  <c r="C141" i="7"/>
  <c r="N141" i="7"/>
  <c r="F141" i="7"/>
  <c r="H141" i="7"/>
  <c r="P141" i="7"/>
  <c r="O141" i="7"/>
  <c r="A145" i="7"/>
  <c r="F142" i="7" a="1"/>
  <c r="D142" i="7" a="1"/>
  <c r="R142" i="7" a="1"/>
  <c r="S142" i="7" a="1"/>
  <c r="J141" i="7" a="1"/>
  <c r="I142" i="7" a="1"/>
  <c r="K142" i="7" a="1"/>
  <c r="E142" i="7" a="1"/>
  <c r="O142" i="7" a="1"/>
  <c r="Q142" i="7" a="1"/>
  <c r="N142" i="7" a="1"/>
  <c r="M142" i="7" a="1"/>
  <c r="P142" i="7" a="1"/>
  <c r="G142" i="7" a="1"/>
  <c r="H142" i="7" a="1"/>
  <c r="B142" i="7" a="1"/>
  <c r="C142" i="7" a="1"/>
  <c r="N142" i="7" l="1"/>
  <c r="K142" i="7"/>
  <c r="D142" i="7"/>
  <c r="E142" i="7"/>
  <c r="H142" i="7"/>
  <c r="I142" i="7"/>
  <c r="R142" i="7"/>
  <c r="S142" i="7"/>
  <c r="O142" i="7"/>
  <c r="F142" i="7"/>
  <c r="J141" i="7"/>
  <c r="Q142" i="7"/>
  <c r="P142" i="7"/>
  <c r="C142" i="7"/>
  <c r="G142" i="7"/>
  <c r="M142" i="7"/>
  <c r="B142" i="7"/>
  <c r="A146" i="7"/>
  <c r="H143" i="7" a="1"/>
  <c r="G143" i="7" a="1"/>
  <c r="S143" i="7" a="1"/>
  <c r="K143" i="7" a="1"/>
  <c r="C143" i="7" a="1"/>
  <c r="N143" i="7" a="1"/>
  <c r="D143" i="7" a="1"/>
  <c r="B143" i="7" a="1"/>
  <c r="Q143" i="7" a="1"/>
  <c r="O143" i="7" a="1"/>
  <c r="J142" i="7" a="1"/>
  <c r="F143" i="7" a="1"/>
  <c r="P143" i="7" a="1"/>
  <c r="E143" i="7" a="1"/>
  <c r="I143" i="7" a="1"/>
  <c r="R143" i="7" a="1"/>
  <c r="M143" i="7" a="1"/>
  <c r="N143" i="7" l="1"/>
  <c r="K143" i="7"/>
  <c r="D143" i="7"/>
  <c r="E143" i="7"/>
  <c r="J142" i="7"/>
  <c r="G143" i="7"/>
  <c r="C143" i="7"/>
  <c r="O143" i="7"/>
  <c r="S143" i="7"/>
  <c r="B143" i="7"/>
  <c r="M143" i="7"/>
  <c r="P143" i="7"/>
  <c r="Q143" i="7"/>
  <c r="F143" i="7"/>
  <c r="R143" i="7"/>
  <c r="I143" i="7"/>
  <c r="H143" i="7"/>
  <c r="A147" i="7"/>
  <c r="G144" i="7" a="1"/>
  <c r="O144" i="7" a="1"/>
  <c r="F144" i="7" a="1"/>
  <c r="I144" i="7" a="1"/>
  <c r="S144" i="7" a="1"/>
  <c r="R144" i="7" a="1"/>
  <c r="D144" i="7" a="1"/>
  <c r="P144" i="7" a="1"/>
  <c r="E144" i="7" a="1"/>
  <c r="M144" i="7" a="1"/>
  <c r="Q144" i="7" a="1"/>
  <c r="B144" i="7" a="1"/>
  <c r="N144" i="7" a="1"/>
  <c r="H144" i="7" a="1"/>
  <c r="C144" i="7" a="1"/>
  <c r="K144" i="7" a="1"/>
  <c r="J143" i="7" a="1"/>
  <c r="N144" i="7" l="1"/>
  <c r="K144" i="7"/>
  <c r="D144" i="7"/>
  <c r="E144" i="7"/>
  <c r="Q144" i="7"/>
  <c r="O144" i="7"/>
  <c r="C144" i="7"/>
  <c r="R144" i="7"/>
  <c r="F144" i="7"/>
  <c r="S144" i="7"/>
  <c r="G144" i="7"/>
  <c r="H144" i="7"/>
  <c r="M144" i="7"/>
  <c r="B144" i="7"/>
  <c r="I144" i="7"/>
  <c r="P144" i="7"/>
  <c r="J143" i="7"/>
  <c r="A148" i="7"/>
  <c r="C145" i="7" a="1"/>
  <c r="N145" i="7" a="1"/>
  <c r="D145" i="7" a="1"/>
  <c r="E145" i="7" a="1"/>
  <c r="Q145" i="7" a="1"/>
  <c r="J144" i="7" a="1"/>
  <c r="S145" i="7" a="1"/>
  <c r="I145" i="7" a="1"/>
  <c r="F145" i="7" a="1"/>
  <c r="M145" i="7" a="1"/>
  <c r="G145" i="7" a="1"/>
  <c r="K145" i="7" a="1"/>
  <c r="P145" i="7" a="1"/>
  <c r="H145" i="7" a="1"/>
  <c r="B145" i="7" a="1"/>
  <c r="O145" i="7" a="1"/>
  <c r="R145" i="7" a="1"/>
  <c r="N145" i="7" l="1"/>
  <c r="K145" i="7"/>
  <c r="D145" i="7"/>
  <c r="E145" i="7"/>
  <c r="J144" i="7"/>
  <c r="I145" i="7"/>
  <c r="H145" i="7"/>
  <c r="O145" i="7"/>
  <c r="P145" i="7"/>
  <c r="B145" i="7"/>
  <c r="M145" i="7"/>
  <c r="G145" i="7"/>
  <c r="S145" i="7"/>
  <c r="F145" i="7"/>
  <c r="R145" i="7"/>
  <c r="C145" i="7"/>
  <c r="Q145" i="7"/>
  <c r="A149" i="7"/>
  <c r="C146" i="7" a="1"/>
  <c r="M146" i="7" a="1"/>
  <c r="E146" i="7" a="1"/>
  <c r="F146" i="7" a="1"/>
  <c r="D146" i="7" a="1"/>
  <c r="Q146" i="7" a="1"/>
  <c r="I146" i="7" a="1"/>
  <c r="K146" i="7" a="1"/>
  <c r="N146" i="7" a="1"/>
  <c r="P146" i="7" a="1"/>
  <c r="O146" i="7" a="1"/>
  <c r="B146" i="7" a="1"/>
  <c r="H146" i="7" a="1"/>
  <c r="S146" i="7" a="1"/>
  <c r="G146" i="7" a="1"/>
  <c r="R146" i="7" a="1"/>
  <c r="J145" i="7" a="1"/>
  <c r="N146" i="7" l="1"/>
  <c r="K146" i="7"/>
  <c r="D146" i="7"/>
  <c r="E146" i="7"/>
  <c r="Q146" i="7"/>
  <c r="C146" i="7"/>
  <c r="R146" i="7"/>
  <c r="F146" i="7"/>
  <c r="S146" i="7"/>
  <c r="G146" i="7"/>
  <c r="M146" i="7"/>
  <c r="B146" i="7"/>
  <c r="P146" i="7"/>
  <c r="O146" i="7"/>
  <c r="H146" i="7"/>
  <c r="J145" i="7"/>
  <c r="I146" i="7"/>
  <c r="A150" i="7"/>
  <c r="G147" i="7" a="1"/>
  <c r="N147" i="7" a="1"/>
  <c r="I147" i="7" a="1"/>
  <c r="P147" i="7" a="1"/>
  <c r="H147" i="7" a="1"/>
  <c r="S147" i="7" a="1"/>
  <c r="D147" i="7" a="1"/>
  <c r="J146" i="7" a="1"/>
  <c r="R147" i="7" a="1"/>
  <c r="E147" i="7" a="1"/>
  <c r="M147" i="7" a="1"/>
  <c r="C147" i="7" a="1"/>
  <c r="F147" i="7" a="1"/>
  <c r="Q147" i="7" a="1"/>
  <c r="O147" i="7" a="1"/>
  <c r="K147" i="7" a="1"/>
  <c r="B147" i="7" a="1"/>
  <c r="N147" i="7" l="1"/>
  <c r="K147" i="7"/>
  <c r="D147" i="7"/>
  <c r="E147" i="7"/>
  <c r="B147" i="7"/>
  <c r="F147" i="7"/>
  <c r="I147" i="7"/>
  <c r="O147" i="7"/>
  <c r="M147" i="7"/>
  <c r="G147" i="7"/>
  <c r="C147" i="7"/>
  <c r="J146" i="7"/>
  <c r="H147" i="7"/>
  <c r="P147" i="7"/>
  <c r="S147" i="7"/>
  <c r="R147" i="7"/>
  <c r="Q147" i="7"/>
  <c r="A151" i="7"/>
  <c r="H148" i="7" a="1"/>
  <c r="N148" i="7" a="1"/>
  <c r="I148" i="7" a="1"/>
  <c r="P148" i="7" a="1"/>
  <c r="O148" i="7" a="1"/>
  <c r="K148" i="7" a="1"/>
  <c r="S148" i="7" a="1"/>
  <c r="Q148" i="7" a="1"/>
  <c r="J147" i="7" a="1"/>
  <c r="B148" i="7" a="1"/>
  <c r="D148" i="7" a="1"/>
  <c r="G148" i="7" a="1"/>
  <c r="C148" i="7" a="1"/>
  <c r="M148" i="7" a="1"/>
  <c r="R148" i="7" a="1"/>
  <c r="E148" i="7" a="1"/>
  <c r="F148" i="7" a="1"/>
  <c r="N148" i="7" l="1"/>
  <c r="K148" i="7"/>
  <c r="D148" i="7"/>
  <c r="E148" i="7"/>
  <c r="P148" i="7"/>
  <c r="G148" i="7"/>
  <c r="F148" i="7"/>
  <c r="H148" i="7"/>
  <c r="I148" i="7"/>
  <c r="Q148" i="7"/>
  <c r="R148" i="7"/>
  <c r="S148" i="7"/>
  <c r="J147" i="7"/>
  <c r="C148" i="7"/>
  <c r="M148" i="7"/>
  <c r="O148" i="7"/>
  <c r="B148" i="7"/>
  <c r="A152" i="7"/>
  <c r="D149" i="7" a="1"/>
  <c r="O149" i="7" a="1"/>
  <c r="C149" i="7" a="1"/>
  <c r="R149" i="7" a="1"/>
  <c r="F149" i="7" a="1"/>
  <c r="N149" i="7" a="1"/>
  <c r="B149" i="7" a="1"/>
  <c r="G149" i="7" a="1"/>
  <c r="Q149" i="7" a="1"/>
  <c r="P149" i="7" a="1"/>
  <c r="K149" i="7" a="1"/>
  <c r="M149" i="7" a="1"/>
  <c r="J148" i="7" a="1"/>
  <c r="S149" i="7" a="1"/>
  <c r="I149" i="7" a="1"/>
  <c r="H149" i="7" a="1"/>
  <c r="E149" i="7" a="1"/>
  <c r="N149" i="7" l="1"/>
  <c r="K149" i="7"/>
  <c r="D149" i="7"/>
  <c r="E149" i="7"/>
  <c r="Q149" i="7"/>
  <c r="C149" i="7"/>
  <c r="H149" i="7"/>
  <c r="R149" i="7"/>
  <c r="I149" i="7"/>
  <c r="B149" i="7"/>
  <c r="M149" i="7"/>
  <c r="J148" i="7"/>
  <c r="S149" i="7"/>
  <c r="F149" i="7"/>
  <c r="G149" i="7"/>
  <c r="P149" i="7"/>
  <c r="O149" i="7"/>
  <c r="H150" i="7" a="1"/>
  <c r="M150" i="7" a="1"/>
  <c r="Q150" i="7" a="1"/>
  <c r="O150" i="7" a="1"/>
  <c r="S150" i="7" a="1"/>
  <c r="F150" i="7" a="1"/>
  <c r="I150" i="7" a="1"/>
  <c r="D150" i="7" a="1"/>
  <c r="E150" i="7" a="1"/>
  <c r="C150" i="7" a="1"/>
  <c r="R150" i="7" a="1"/>
  <c r="J149" i="7" a="1"/>
  <c r="N150" i="7" a="1"/>
  <c r="G150" i="7" a="1"/>
  <c r="B150" i="7" a="1"/>
  <c r="P150" i="7" a="1"/>
  <c r="K150" i="7" a="1"/>
  <c r="N150" i="7" l="1"/>
  <c r="K150" i="7"/>
  <c r="D150" i="7"/>
  <c r="E150" i="7"/>
  <c r="O150" i="7"/>
  <c r="M150" i="7"/>
  <c r="R150" i="7"/>
  <c r="P150" i="7"/>
  <c r="H150" i="7"/>
  <c r="F150" i="7"/>
  <c r="J149" i="7"/>
  <c r="C150" i="7"/>
  <c r="G150" i="7"/>
  <c r="I150" i="7"/>
  <c r="Q150" i="7"/>
  <c r="S150" i="7"/>
  <c r="B150" i="7"/>
  <c r="Q151" i="7" a="1"/>
  <c r="C151" i="7" a="1"/>
  <c r="O151" i="7" a="1"/>
  <c r="I151" i="7" a="1"/>
  <c r="G151" i="7" a="1"/>
  <c r="K151" i="7" a="1"/>
  <c r="E151" i="7" a="1"/>
  <c r="H151" i="7" a="1"/>
  <c r="J150" i="7" a="1"/>
  <c r="N151" i="7" a="1"/>
  <c r="M151" i="7" a="1"/>
  <c r="F151" i="7" a="1"/>
  <c r="B151" i="7" a="1"/>
  <c r="S151" i="7" a="1"/>
  <c r="P151" i="7" a="1"/>
  <c r="D151" i="7" a="1"/>
  <c r="R151" i="7" a="1"/>
  <c r="N151" i="7" l="1"/>
  <c r="K151" i="7"/>
  <c r="D151" i="7"/>
  <c r="E151" i="7"/>
  <c r="B151" i="7"/>
  <c r="S151" i="7"/>
  <c r="Q151" i="7"/>
  <c r="C151" i="7"/>
  <c r="P151" i="7"/>
  <c r="R151" i="7"/>
  <c r="I151" i="7"/>
  <c r="G151" i="7"/>
  <c r="J150" i="7"/>
  <c r="H151" i="7"/>
  <c r="M151" i="7"/>
  <c r="F151" i="7"/>
  <c r="O151" i="7"/>
  <c r="S152" i="7" a="1"/>
  <c r="G152" i="7" a="1"/>
  <c r="K152" i="7" a="1"/>
  <c r="P152" i="7" a="1"/>
  <c r="B152" i="7" a="1"/>
  <c r="R152" i="7" a="1"/>
  <c r="M152" i="7" a="1"/>
  <c r="C152" i="7" a="1"/>
  <c r="H152" i="7" a="1"/>
  <c r="J151" i="7" a="1"/>
  <c r="D152" i="7" a="1"/>
  <c r="F152" i="7" a="1"/>
  <c r="E152" i="7" a="1"/>
  <c r="Q152" i="7" a="1"/>
  <c r="I152" i="7" a="1"/>
  <c r="N152" i="7" a="1"/>
  <c r="O152" i="7" a="1"/>
  <c r="N152" i="7" l="1"/>
  <c r="K152" i="7"/>
  <c r="D152" i="7"/>
  <c r="E152" i="7"/>
  <c r="O152" i="7"/>
  <c r="S152" i="7"/>
  <c r="F152" i="7"/>
  <c r="H152" i="7"/>
  <c r="P152" i="7"/>
  <c r="B152" i="7"/>
  <c r="M152" i="7"/>
  <c r="J151" i="7"/>
  <c r="G152" i="7"/>
  <c r="I152" i="7"/>
  <c r="R152" i="7"/>
  <c r="C152" i="7"/>
  <c r="Q152" i="7"/>
  <c r="J152" i="7" a="1"/>
  <c r="C153" i="7" a="1"/>
  <c r="Q153" i="7" a="1"/>
  <c r="E153" i="7" a="1"/>
  <c r="S153" i="7" a="1"/>
  <c r="H153" i="7" a="1"/>
  <c r="O153" i="7" a="1"/>
  <c r="N153" i="7" a="1"/>
  <c r="P153" i="7" a="1"/>
  <c r="G153" i="7" a="1"/>
  <c r="F153" i="7" a="1"/>
  <c r="I153" i="7" a="1"/>
  <c r="R153" i="7" a="1"/>
  <c r="B153" i="7" a="1"/>
  <c r="M153" i="7" a="1"/>
  <c r="K153" i="7" a="1"/>
  <c r="D153" i="7" a="1"/>
  <c r="Q153" i="7" l="1"/>
  <c r="G153" i="7"/>
  <c r="C153" i="7"/>
  <c r="I153" i="7"/>
  <c r="H153" i="7"/>
  <c r="R153" i="7"/>
  <c r="M153" i="7"/>
  <c r="B153" i="7"/>
  <c r="P153" i="7"/>
  <c r="F153" i="7"/>
  <c r="S153" i="7"/>
  <c r="O153" i="7"/>
  <c r="E153" i="7"/>
  <c r="D153" i="7"/>
  <c r="K153" i="7"/>
  <c r="N153" i="7"/>
  <c r="J152" i="7"/>
  <c r="M154" i="7" a="1"/>
  <c r="C154" i="7" a="1"/>
  <c r="K154" i="7" a="1"/>
  <c r="G154" i="7" a="1"/>
  <c r="N154" i="7" a="1"/>
  <c r="Q154" i="7" a="1"/>
  <c r="I154" i="7" a="1"/>
  <c r="F154" i="7" a="1"/>
  <c r="R154" i="7" a="1"/>
  <c r="H154" i="7" a="1"/>
  <c r="E154" i="7" a="1"/>
  <c r="J153" i="7" a="1"/>
  <c r="S154" i="7" a="1"/>
  <c r="O154" i="7" a="1"/>
  <c r="B154" i="7" a="1"/>
  <c r="D154" i="7" a="1"/>
  <c r="P154" i="7" a="1"/>
  <c r="J153" i="7" l="1"/>
  <c r="E154" i="7"/>
  <c r="N154" i="7"/>
  <c r="K154" i="7"/>
  <c r="D154" i="7"/>
  <c r="O154" i="7"/>
  <c r="S154" i="7"/>
  <c r="F154" i="7"/>
  <c r="P154" i="7"/>
  <c r="B154" i="7"/>
  <c r="M154" i="7"/>
  <c r="R154" i="7"/>
  <c r="H154" i="7"/>
  <c r="I154" i="7"/>
  <c r="C154" i="7"/>
  <c r="G154" i="7"/>
  <c r="Q154" i="7"/>
  <c r="AC64" i="5"/>
  <c r="Q155" i="7" a="1"/>
  <c r="E155" i="7" a="1"/>
  <c r="S155" i="7" a="1"/>
  <c r="F155" i="7" a="1"/>
  <c r="P155" i="7" a="1"/>
  <c r="R155" i="7" a="1"/>
  <c r="O155" i="7" a="1"/>
  <c r="G155" i="7" a="1"/>
  <c r="J154" i="7" a="1"/>
  <c r="C155" i="7" a="1"/>
  <c r="B155" i="7" a="1"/>
  <c r="H155" i="7" a="1"/>
  <c r="K155" i="7" a="1"/>
  <c r="N155" i="7" a="1"/>
  <c r="M155" i="7" a="1"/>
  <c r="I155" i="7" a="1"/>
  <c r="Q155" i="7" l="1"/>
  <c r="G155" i="7"/>
  <c r="C155" i="7"/>
  <c r="I155" i="7"/>
  <c r="H155" i="7"/>
  <c r="R155" i="7"/>
  <c r="M155" i="7"/>
  <c r="B155" i="7"/>
  <c r="P155" i="7"/>
  <c r="F155" i="7"/>
  <c r="S155" i="7"/>
  <c r="O155" i="7"/>
  <c r="K155" i="7"/>
  <c r="N155" i="7"/>
  <c r="E155" i="7"/>
  <c r="J154" i="7"/>
  <c r="E98" i="13"/>
  <c r="O156" i="7" a="1"/>
  <c r="C156" i="7" a="1"/>
  <c r="M156" i="7" a="1"/>
  <c r="F156" i="7" a="1"/>
  <c r="G156" i="7" a="1"/>
  <c r="K156" i="7" a="1"/>
  <c r="R156" i="7" a="1"/>
  <c r="H156" i="7" a="1"/>
  <c r="P156" i="7" a="1"/>
  <c r="E156" i="7" a="1"/>
  <c r="S156" i="7" a="1"/>
  <c r="B156" i="7" a="1"/>
  <c r="J155" i="7" a="1"/>
  <c r="Q156" i="7" a="1"/>
  <c r="I156" i="7" a="1"/>
  <c r="J155" i="7" l="1"/>
  <c r="E156" i="7"/>
  <c r="K156" i="7"/>
  <c r="O156" i="7"/>
  <c r="S156" i="7"/>
  <c r="F156" i="7"/>
  <c r="P156" i="7"/>
  <c r="B156" i="7"/>
  <c r="M156" i="7"/>
  <c r="R156" i="7"/>
  <c r="H156" i="7"/>
  <c r="I156" i="7"/>
  <c r="C156" i="7"/>
  <c r="G156" i="7"/>
  <c r="Q156" i="7"/>
  <c r="E99" i="13"/>
  <c r="E100" i="13" s="1"/>
  <c r="E101" i="13" s="1"/>
  <c r="E102" i="13" s="1"/>
  <c r="E103" i="13" s="1"/>
  <c r="E104" i="13" s="1"/>
  <c r="G157" i="7" a="1"/>
  <c r="S157" i="7" a="1"/>
  <c r="F157" i="7" a="1"/>
  <c r="L119" i="7" a="1"/>
  <c r="O157" i="7" a="1"/>
  <c r="M157" i="7" a="1"/>
  <c r="R157" i="7" a="1"/>
  <c r="J156" i="7" a="1"/>
  <c r="I157" i="7" a="1"/>
  <c r="E157" i="7" a="1"/>
  <c r="Q157" i="7" a="1"/>
  <c r="P157" i="7" a="1"/>
  <c r="C157" i="7" a="1"/>
  <c r="B157" i="7" a="1"/>
  <c r="C157" i="7" l="1"/>
  <c r="B157" i="7"/>
  <c r="R157" i="7"/>
  <c r="Q157" i="7"/>
  <c r="G157" i="7"/>
  <c r="I157" i="7"/>
  <c r="M157" i="7"/>
  <c r="P157" i="7"/>
  <c r="F157" i="7"/>
  <c r="S157" i="7"/>
  <c r="O157" i="7"/>
  <c r="E157" i="7"/>
  <c r="J156" i="7"/>
  <c r="E105" i="13"/>
  <c r="E106" i="13" s="1"/>
  <c r="E107" i="13" s="1"/>
  <c r="E108" i="13" s="1"/>
  <c r="E109" i="13" s="1"/>
  <c r="E110" i="13" s="1"/>
  <c r="E111" i="13" s="1"/>
  <c r="E112" i="13" s="1"/>
  <c r="L119" i="7"/>
  <c r="F158" i="7" a="1"/>
  <c r="L120" i="7" a="1"/>
  <c r="O158" i="7" a="1"/>
  <c r="I158" i="7" a="1"/>
  <c r="E158" i="7" a="1"/>
  <c r="G158" i="7" a="1"/>
  <c r="S158" i="7" a="1"/>
  <c r="R158" i="7" a="1"/>
  <c r="B158" i="7" a="1"/>
  <c r="C158" i="7" a="1"/>
  <c r="Q158" i="7" a="1"/>
  <c r="M158" i="7" a="1"/>
  <c r="J157" i="7" a="1"/>
  <c r="P158" i="7" a="1"/>
  <c r="S158" i="7" l="1"/>
  <c r="M158" i="7"/>
  <c r="I158" i="7"/>
  <c r="Q158" i="7"/>
  <c r="P158" i="7"/>
  <c r="G158" i="7"/>
  <c r="R158" i="7"/>
  <c r="J157" i="7"/>
  <c r="E158" i="7"/>
  <c r="O158" i="7"/>
  <c r="F158" i="7"/>
  <c r="B158" i="7"/>
  <c r="C158" i="7"/>
  <c r="E113" i="13"/>
  <c r="E114" i="13" s="1"/>
  <c r="E115" i="13" s="1"/>
  <c r="E117" i="13" s="1"/>
  <c r="E118" i="13" s="1"/>
  <c r="E119" i="13" s="1"/>
  <c r="E120" i="13" s="1"/>
  <c r="E121" i="13" s="1"/>
  <c r="E122" i="13" s="1"/>
  <c r="E123" i="13" s="1"/>
  <c r="E124" i="13" s="1"/>
  <c r="L120" i="7"/>
  <c r="F159" i="7" a="1"/>
  <c r="C159" i="7" a="1"/>
  <c r="J158" i="7" a="1"/>
  <c r="M159" i="7" a="1"/>
  <c r="L121" i="7" a="1"/>
  <c r="P159" i="7" a="1"/>
  <c r="R159" i="7" a="1"/>
  <c r="B159" i="7" a="1"/>
  <c r="I159" i="7" a="1"/>
  <c r="O159" i="7" a="1"/>
  <c r="E159" i="7" a="1"/>
  <c r="S159" i="7" a="1"/>
  <c r="Q159" i="7" a="1"/>
  <c r="G159" i="7" a="1"/>
  <c r="C159" i="7" l="1"/>
  <c r="B159" i="7"/>
  <c r="F159" i="7"/>
  <c r="O159" i="7"/>
  <c r="E159" i="7"/>
  <c r="J158" i="7"/>
  <c r="R159" i="7"/>
  <c r="G159" i="7"/>
  <c r="P159" i="7"/>
  <c r="Q159" i="7"/>
  <c r="I159" i="7"/>
  <c r="M159" i="7"/>
  <c r="S159" i="7"/>
  <c r="L121" i="7"/>
  <c r="I160" i="7" a="1"/>
  <c r="M160" i="7" a="1"/>
  <c r="B160" i="7" a="1"/>
  <c r="E160" i="7" a="1"/>
  <c r="L122" i="7" a="1"/>
  <c r="F160" i="7" a="1"/>
  <c r="J159" i="7" a="1"/>
  <c r="S160" i="7" a="1"/>
  <c r="R160" i="7" a="1"/>
  <c r="P160" i="7" a="1"/>
  <c r="C160" i="7" a="1"/>
  <c r="O160" i="7" a="1"/>
  <c r="Q160" i="7" a="1"/>
  <c r="G160" i="7" a="1"/>
  <c r="S160" i="7" l="1"/>
  <c r="M160" i="7"/>
  <c r="I160" i="7"/>
  <c r="Q160" i="7"/>
  <c r="P160" i="7"/>
  <c r="G160" i="7"/>
  <c r="R160" i="7"/>
  <c r="J159" i="7"/>
  <c r="E160" i="7"/>
  <c r="O160" i="7"/>
  <c r="F160" i="7"/>
  <c r="B160" i="7"/>
  <c r="C160" i="7"/>
  <c r="L122" i="7"/>
  <c r="M161" i="7" a="1"/>
  <c r="I161" i="7" a="1"/>
  <c r="S161" i="7" a="1"/>
  <c r="F161" i="7" a="1"/>
  <c r="Q161" i="7" a="1"/>
  <c r="P161" i="7" a="1"/>
  <c r="C161" i="7" a="1"/>
  <c r="G161" i="7" a="1"/>
  <c r="L123" i="7" a="1"/>
  <c r="R161" i="7" a="1"/>
  <c r="O161" i="7" a="1"/>
  <c r="J160" i="7" a="1"/>
  <c r="B161" i="7" a="1"/>
  <c r="C161" i="7" l="1"/>
  <c r="B161" i="7"/>
  <c r="F161" i="7"/>
  <c r="O161" i="7"/>
  <c r="J160" i="7"/>
  <c r="R161" i="7"/>
  <c r="G161" i="7"/>
  <c r="P161" i="7"/>
  <c r="Q161" i="7"/>
  <c r="I161" i="7"/>
  <c r="M161" i="7"/>
  <c r="S161" i="7"/>
  <c r="L123" i="7"/>
  <c r="I162" i="7" a="1"/>
  <c r="C162" i="7" a="1"/>
  <c r="R162" i="7" a="1"/>
  <c r="O162" i="7" a="1"/>
  <c r="G162" i="7" a="1"/>
  <c r="L124" i="7" a="1"/>
  <c r="P162" i="7" a="1"/>
  <c r="M162" i="7" a="1"/>
  <c r="B162" i="7" a="1"/>
  <c r="F162" i="7" a="1"/>
  <c r="S162" i="7" a="1"/>
  <c r="J161" i="7" a="1"/>
  <c r="Q162" i="7" a="1"/>
  <c r="M162" i="7" l="1"/>
  <c r="Q162" i="7"/>
  <c r="P162" i="7"/>
  <c r="J161" i="7"/>
  <c r="O162" i="7"/>
  <c r="B162" i="7"/>
  <c r="S162" i="7"/>
  <c r="I162" i="7"/>
  <c r="G162" i="7"/>
  <c r="R162" i="7"/>
  <c r="F162" i="7"/>
  <c r="C162" i="7"/>
  <c r="L124" i="7"/>
  <c r="O163" i="7" a="1"/>
  <c r="Q163" i="7" a="1"/>
  <c r="B163" i="7" a="1"/>
  <c r="P163" i="7" a="1"/>
  <c r="J162" i="7" a="1"/>
  <c r="S163" i="7" a="1"/>
  <c r="M163" i="7" a="1"/>
  <c r="C163" i="7" a="1"/>
  <c r="G163" i="7" a="1"/>
  <c r="L125" i="7" a="1"/>
  <c r="F163" i="7" a="1"/>
  <c r="R163" i="7" a="1"/>
  <c r="I163" i="7" a="1"/>
  <c r="C163" i="7" l="1"/>
  <c r="F163" i="7"/>
  <c r="R163" i="7"/>
  <c r="G163" i="7"/>
  <c r="I163" i="7"/>
  <c r="S163" i="7"/>
  <c r="B163" i="7"/>
  <c r="O163" i="7"/>
  <c r="J162" i="7"/>
  <c r="P163" i="7"/>
  <c r="Q163" i="7"/>
  <c r="M163" i="7"/>
  <c r="L125" i="7"/>
  <c r="P164" i="7" a="1"/>
  <c r="F164" i="7" a="1"/>
  <c r="S164" i="7" a="1"/>
  <c r="J163" i="7" a="1"/>
  <c r="C164" i="7" a="1"/>
  <c r="I164" i="7" a="1"/>
  <c r="O164" i="7" a="1"/>
  <c r="B164" i="7" a="1"/>
  <c r="G164" i="7" a="1"/>
  <c r="Q164" i="7" a="1"/>
  <c r="L126" i="7" a="1"/>
  <c r="M164" i="7" a="1"/>
  <c r="R164" i="7" a="1"/>
  <c r="P164" i="7" l="1"/>
  <c r="M164" i="7"/>
  <c r="Q164" i="7"/>
  <c r="J163" i="7"/>
  <c r="O164" i="7"/>
  <c r="B164" i="7"/>
  <c r="S164" i="7"/>
  <c r="I164" i="7"/>
  <c r="G164" i="7"/>
  <c r="R164" i="7"/>
  <c r="F164" i="7"/>
  <c r="C164" i="7"/>
  <c r="L126" i="7"/>
  <c r="L127" i="7" a="1"/>
  <c r="J164" i="7" a="1"/>
  <c r="S165" i="7" a="1"/>
  <c r="F165" i="7" a="1"/>
  <c r="M165" i="7" a="1"/>
  <c r="B165" i="7" a="1"/>
  <c r="Q165" i="7" a="1"/>
  <c r="I165" i="7" a="1"/>
  <c r="O165" i="7" a="1"/>
  <c r="G165" i="7" a="1"/>
  <c r="C165" i="7" a="1"/>
  <c r="R165" i="7" a="1"/>
  <c r="P165" i="7" a="1"/>
  <c r="C165" i="7" l="1"/>
  <c r="F165" i="7"/>
  <c r="R165" i="7"/>
  <c r="G165" i="7"/>
  <c r="I165" i="7"/>
  <c r="S165" i="7"/>
  <c r="B165" i="7"/>
  <c r="O165" i="7"/>
  <c r="J164" i="7"/>
  <c r="Q165" i="7"/>
  <c r="M165" i="7"/>
  <c r="P165" i="7"/>
  <c r="L127" i="7"/>
  <c r="Q166" i="7" a="1"/>
  <c r="P166" i="7" a="1"/>
  <c r="F166" i="7" a="1"/>
  <c r="G166" i="7" a="1"/>
  <c r="B166" i="7" a="1"/>
  <c r="S166" i="7" a="1"/>
  <c r="M166" i="7" a="1"/>
  <c r="L128" i="7" a="1"/>
  <c r="O166" i="7" a="1"/>
  <c r="C166" i="7" a="1"/>
  <c r="R166" i="7" a="1"/>
  <c r="J165" i="7" a="1"/>
  <c r="I166" i="7" a="1"/>
  <c r="C166" i="7" l="1"/>
  <c r="P166" i="7"/>
  <c r="M166" i="7"/>
  <c r="Q166" i="7"/>
  <c r="J165" i="7"/>
  <c r="O166" i="7"/>
  <c r="B166" i="7"/>
  <c r="S166" i="7"/>
  <c r="I166" i="7"/>
  <c r="G166" i="7"/>
  <c r="R166" i="7"/>
  <c r="F166" i="7"/>
  <c r="L128" i="7"/>
  <c r="I167" i="7" a="1"/>
  <c r="L129" i="7" a="1"/>
  <c r="R167" i="7" a="1"/>
  <c r="Q167" i="7" a="1"/>
  <c r="F167" i="7" a="1"/>
  <c r="M167" i="7" a="1"/>
  <c r="S167" i="7" a="1"/>
  <c r="G167" i="7" a="1"/>
  <c r="J166" i="7" a="1"/>
  <c r="B167" i="7" a="1"/>
  <c r="P167" i="7" a="1"/>
  <c r="C167" i="7" a="1"/>
  <c r="O167" i="7" a="1"/>
  <c r="F167" i="7" l="1"/>
  <c r="R167" i="7"/>
  <c r="G167" i="7"/>
  <c r="I167" i="7"/>
  <c r="S167" i="7"/>
  <c r="B167" i="7"/>
  <c r="O167" i="7"/>
  <c r="J166" i="7"/>
  <c r="Q167" i="7"/>
  <c r="M167" i="7"/>
  <c r="P167" i="7"/>
  <c r="C167" i="7"/>
  <c r="L129" i="7"/>
  <c r="I168" i="7" a="1"/>
  <c r="C168" i="7" a="1"/>
  <c r="B168" i="7" a="1"/>
  <c r="O168" i="7" a="1"/>
  <c r="F168" i="7" a="1"/>
  <c r="G168" i="7" a="1"/>
  <c r="P168" i="7" a="1"/>
  <c r="L130" i="7" a="1"/>
  <c r="J167" i="7" a="1"/>
  <c r="M168" i="7" a="1"/>
  <c r="R168" i="7" a="1"/>
  <c r="S168" i="7" a="1"/>
  <c r="Q168" i="7" a="1"/>
  <c r="Q168" i="7" l="1"/>
  <c r="C168" i="7"/>
  <c r="P168" i="7"/>
  <c r="M168" i="7"/>
  <c r="J167" i="7"/>
  <c r="O168" i="7"/>
  <c r="B168" i="7"/>
  <c r="S168" i="7"/>
  <c r="I168" i="7"/>
  <c r="G168" i="7"/>
  <c r="R168" i="7"/>
  <c r="F168" i="7"/>
  <c r="L130" i="7"/>
  <c r="L131" i="7" a="1"/>
  <c r="J168" i="7" a="1"/>
  <c r="J168" i="7" l="1"/>
  <c r="L131" i="7"/>
  <c r="L132" i="7" a="1"/>
  <c r="L132" i="7" l="1"/>
  <c r="L133" i="7" a="1"/>
  <c r="L133" i="7" l="1"/>
  <c r="L134" i="7" a="1"/>
  <c r="L134" i="7" l="1"/>
  <c r="L135" i="7" a="1"/>
  <c r="L135" i="7" l="1"/>
  <c r="L136" i="7" a="1"/>
  <c r="L136" i="7" l="1"/>
  <c r="L137" i="7" a="1"/>
  <c r="L137" i="7" l="1"/>
  <c r="L138" i="7" a="1"/>
  <c r="L138" i="7" l="1"/>
  <c r="L139" i="7" a="1"/>
  <c r="L139" i="7" l="1"/>
  <c r="L140" i="7" a="1"/>
  <c r="L140" i="7" l="1"/>
  <c r="L141" i="7" a="1"/>
  <c r="L141" i="7" l="1"/>
  <c r="L142" i="7" a="1"/>
  <c r="L142" i="7" l="1"/>
  <c r="L143" i="7" a="1"/>
  <c r="L143" i="7" l="1"/>
  <c r="L144" i="7" a="1"/>
  <c r="L144" i="7" l="1"/>
  <c r="L145" i="7" a="1"/>
  <c r="L145" i="7" l="1"/>
  <c r="L146" i="7" a="1"/>
  <c r="L146" i="7" l="1"/>
  <c r="L147" i="7" a="1"/>
  <c r="L147" i="7" l="1"/>
  <c r="L148" i="7" a="1"/>
  <c r="L148" i="7" l="1"/>
  <c r="L149" i="7" a="1"/>
  <c r="L149" i="7" l="1"/>
  <c r="L150" i="7" a="1"/>
  <c r="L150" i="7" l="1"/>
  <c r="L151" i="7" a="1"/>
  <c r="L151" i="7" l="1"/>
  <c r="L152" i="7" a="1"/>
  <c r="L152" i="7" l="1"/>
  <c r="L153" i="7" a="1"/>
  <c r="L153" i="7" l="1"/>
  <c r="L154" i="7" a="1"/>
  <c r="L154" i="7" l="1"/>
  <c r="L155" i="7" a="1"/>
  <c r="L155" i="7" l="1"/>
  <c r="L156" i="7" a="1"/>
  <c r="L156" i="7" l="1"/>
  <c r="L157" i="7" a="1"/>
  <c r="L157" i="7" l="1"/>
  <c r="L158" i="7" a="1"/>
  <c r="L158" i="7" l="1"/>
  <c r="L159" i="7" a="1"/>
  <c r="L159" i="7" l="1"/>
  <c r="L160" i="7" a="1"/>
  <c r="L160" i="7" l="1"/>
  <c r="L161" i="7" a="1"/>
  <c r="L161" i="7" l="1"/>
  <c r="L162" i="7" a="1"/>
  <c r="L162" i="7" l="1"/>
  <c r="L163" i="7" a="1"/>
  <c r="L163" i="7" l="1"/>
  <c r="L164" i="7" a="1"/>
  <c r="L164" i="7" l="1"/>
  <c r="L165" i="7" a="1"/>
  <c r="L165" i="7" l="1"/>
  <c r="L166" i="7" a="1"/>
  <c r="L166" i="7" l="1"/>
  <c r="L167" i="7" a="1"/>
  <c r="L167" i="7" l="1"/>
  <c r="L168" i="7" a="1"/>
  <c r="L168" i="7"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<sst xmlns="http://schemas.openxmlformats.org/spreadsheetml/2006/main" count="5638" uniqueCount="2570">
  <si>
    <t>日期</t>
    <phoneticPr fontId="6" type="noConversion"/>
  </si>
  <si>
    <t>现金流类型</t>
    <phoneticPr fontId="6" type="noConversion"/>
  </si>
  <si>
    <t>现金流入</t>
    <phoneticPr fontId="6" type="noConversion"/>
  </si>
  <si>
    <t>现金流出</t>
    <phoneticPr fontId="6" type="noConversion"/>
  </si>
  <si>
    <t>期末余额</t>
    <phoneticPr fontId="6" type="noConversion"/>
  </si>
  <si>
    <t>元康盛景26号</t>
    <phoneticPr fontId="6" type="noConversion"/>
  </si>
  <si>
    <t>元康盛景20号</t>
    <phoneticPr fontId="6" type="noConversion"/>
  </si>
  <si>
    <t>元康盛景28号</t>
    <phoneticPr fontId="6" type="noConversion"/>
  </si>
  <si>
    <t>普险29B</t>
  </si>
  <si>
    <t>盛煜015C</t>
  </si>
  <si>
    <t>泓晟1号3期优先B级</t>
  </si>
  <si>
    <t>五矿赎回</t>
  </si>
  <si>
    <t>25乐信1C</t>
  </si>
  <si>
    <t>炽诚3A3</t>
  </si>
  <si>
    <t>DY03优3</t>
  </si>
  <si>
    <t>归还回购</t>
  </si>
  <si>
    <t>证券名称</t>
  </si>
  <si>
    <t>证券名称</t>
    <phoneticPr fontId="6" type="noConversion"/>
  </si>
  <si>
    <t>备注</t>
    <phoneticPr fontId="6" type="noConversion"/>
  </si>
  <si>
    <t>外贸信托_元康盛景1号</t>
    <phoneticPr fontId="6" type="noConversion"/>
  </si>
  <si>
    <t>合作方</t>
  </si>
  <si>
    <t>券收益率</t>
  </si>
  <si>
    <t>成本</t>
  </si>
  <si>
    <t>合作方买入时间</t>
  </si>
  <si>
    <t>买入规模</t>
  </si>
  <si>
    <t>净价</t>
  </si>
  <si>
    <t>全价</t>
  </si>
  <si>
    <t>剩余规模</t>
  </si>
  <si>
    <t>计划</t>
  </si>
  <si>
    <t>时间</t>
  </si>
  <si>
    <t>可买入</t>
  </si>
  <si>
    <t>实际买入</t>
  </si>
  <si>
    <t>买入价格</t>
  </si>
  <si>
    <t>前手期间盈利（含期间分配）</t>
  </si>
  <si>
    <t>前手持有期xirr</t>
  </si>
  <si>
    <t>焜皓8A3</t>
    <phoneticPr fontId="10" type="noConversion"/>
  </si>
  <si>
    <t>国泰君安</t>
  </si>
  <si>
    <t>平价</t>
  </si>
  <si>
    <t>荟臻032C</t>
  </si>
  <si>
    <t>4.9%xirr</t>
  </si>
  <si>
    <t>-</t>
  </si>
  <si>
    <t>元康28</t>
  </si>
  <si>
    <t>元康28、外贸1、元康20</t>
  </si>
  <si>
    <t>苏信</t>
  </si>
  <si>
    <t>外贸1、元康20</t>
  </si>
  <si>
    <t>21建元13C</t>
  </si>
  <si>
    <t>中信建投</t>
  </si>
  <si>
    <t>6-7%</t>
  </si>
  <si>
    <t>4.5%xirr</t>
  </si>
  <si>
    <t>元康20</t>
  </si>
  <si>
    <t>2月中下旬</t>
  </si>
  <si>
    <t>23惠民2B</t>
  </si>
  <si>
    <t>元康26、28、外贸1、元康20</t>
  </si>
  <si>
    <t>24易鑫恒通ABN001优先B</t>
  </si>
  <si>
    <t>外贸1</t>
  </si>
  <si>
    <t>24启赢1ABN002次</t>
  </si>
  <si>
    <t>5%xirr</t>
  </si>
  <si>
    <t>25东樾3号ABN001中间</t>
  </si>
  <si>
    <t>元康22</t>
  </si>
  <si>
    <t>25启赢2号ABN002中间</t>
    <phoneticPr fontId="10" type="noConversion"/>
  </si>
  <si>
    <t>25启赢2号ABN002中间[082500907.IB]，700w，100净价，11-20，国泰海通 冉雅婷 to 外贸信托朗瑞1号 孟亚琪</t>
    <phoneticPr fontId="10" type="noConversion"/>
  </si>
  <si>
    <t>25东裕2伯裕ABN001中间</t>
    <phoneticPr fontId="10" type="noConversion"/>
  </si>
  <si>
    <t>到期了</t>
    <phoneticPr fontId="10" type="noConversion"/>
  </si>
  <si>
    <t>耘睿192C</t>
  </si>
  <si>
    <t>君集13号</t>
  </si>
  <si>
    <t>耘睿195C</t>
  </si>
  <si>
    <t>25鑫驰1B</t>
  </si>
  <si>
    <t>苏信-已买</t>
  </si>
  <si>
    <t>25东樾1号ABN001中间</t>
  </si>
  <si>
    <t>中信投顾</t>
  </si>
  <si>
    <t>平价-3.28w</t>
  </si>
  <si>
    <t>朗瑞1号5期</t>
  </si>
  <si>
    <t>25和赢易鑫ABN001BC优先B</t>
    <phoneticPr fontId="10" type="noConversion"/>
  </si>
  <si>
    <t>元康22，外贸1</t>
    <phoneticPr fontId="10" type="noConversion"/>
  </si>
  <si>
    <t>盛煜015C</t>
    <phoneticPr fontId="10" type="noConversion"/>
  </si>
  <si>
    <t>元康22</t>
    <phoneticPr fontId="10" type="noConversion"/>
  </si>
  <si>
    <t>外贸1</t>
    <phoneticPr fontId="10" type="noConversion"/>
  </si>
  <si>
    <t>荟享19号第5期中间级</t>
    <phoneticPr fontId="10" type="noConversion"/>
  </si>
  <si>
    <t>元康21</t>
    <phoneticPr fontId="10" type="noConversion"/>
  </si>
  <si>
    <t>25东樾1号ABN001中间</t>
    <phoneticPr fontId="10" type="noConversion"/>
  </si>
  <si>
    <t>25东樾1号ABN001中间[082580036.IB]，1000w，100净价，11-20，国泰海通 冉雅婷 to 外贸信托朗瑞1号 孟亚琪</t>
    <phoneticPr fontId="10" type="noConversion"/>
  </si>
  <si>
    <t>盛煜013C</t>
  </si>
  <si>
    <t>苏信26</t>
  </si>
  <si>
    <t>鑫诚4B</t>
  </si>
  <si>
    <t>金薇</t>
  </si>
  <si>
    <t>睿铭3B</t>
  </si>
  <si>
    <t>星灿6A3</t>
  </si>
  <si>
    <t>诚惠1B</t>
  </si>
  <si>
    <t>鑫沅资产</t>
  </si>
  <si>
    <t>朗煜1A3</t>
  </si>
  <si>
    <t>耘睿192C</t>
    <phoneticPr fontId="10" type="noConversion"/>
  </si>
  <si>
    <t>24惠元ABN002优先A3</t>
    <phoneticPr fontId="10" type="noConversion"/>
  </si>
  <si>
    <t>24惠元ABN001优先A3</t>
    <phoneticPr fontId="10" type="noConversion"/>
  </si>
  <si>
    <t>23和赢易鑫ABN002BC优先B</t>
    <phoneticPr fontId="10" type="noConversion"/>
  </si>
  <si>
    <t>铁建081C</t>
    <phoneticPr fontId="10" type="noConversion"/>
  </si>
  <si>
    <t>铁建081C[265587.SH] ,700w,100.11,11月5日，国泰海通 樊文娟 to 苏州信托苏信财富组合添利Z2502集合资金信托计划 徐健 xuj@trustsz.com</t>
    <phoneticPr fontId="10" type="noConversion"/>
  </si>
  <si>
    <t>铁建081C[265587.SH] ,2000w,100.11,11月5日，国泰海通 樊文娟 to 元康盛景28号 刘靖涛</t>
    <phoneticPr fontId="10" type="noConversion"/>
  </si>
  <si>
    <t xml:space="preserve">铁建051C </t>
    <phoneticPr fontId="10" type="noConversion"/>
  </si>
  <si>
    <t>铁建051C (199768.SH),8月22日，1000w，109.161元， 国泰海通 樊文娟2885347044 to 昆仑宝石花稳信增利2号标品投资固定收益类信托计划   崔笛 qq297797112</t>
    <phoneticPr fontId="10" type="noConversion"/>
  </si>
  <si>
    <t>铁建051C (199768.SH)，9月5日，285w面值，109.412，国泰海通 樊文娟 to 元康盛景28号 刘靖涛</t>
    <phoneticPr fontId="10" type="noConversion"/>
  </si>
  <si>
    <t xml:space="preserve">铁建051C (199768.SH)，9月16日，910w面值，109.609，国泰海通 樊文娟 to 元康盛景28号 刘靖涛 </t>
    <phoneticPr fontId="10" type="noConversion"/>
  </si>
  <si>
    <t>铁建051C (199768.SH)，9月26日，1000w面值，109.778，国泰海通 樊文娟 to 苏州信托苏信财富组合添利Z2502集合资金信托计划 徐健 xuj@trustsz.com</t>
    <phoneticPr fontId="10" type="noConversion"/>
  </si>
  <si>
    <t>铁建051C (199768.SH)，10月16日，360w面值，110.12，国泰海通 樊文娟 2885347044  to 元康盛景22号 to 马欢 110.165</t>
    <phoneticPr fontId="10" type="noConversion"/>
  </si>
  <si>
    <t>铁建051C (199768.SH)，10月17日，540w面值，110.137，国泰海通 樊文娟 2885347044  to 元康盛景20号 to 马欢 110.165,540w</t>
    <phoneticPr fontId="10" type="noConversion"/>
  </si>
  <si>
    <t>铁建051C (199768.SH)，1705w，110.242，10-23，国泰海通 樊文娟 to 元康盛景28号 刘靖涛</t>
    <phoneticPr fontId="10" type="noConversion"/>
  </si>
  <si>
    <t>24和赢易鑫ABN001BC优先B</t>
    <phoneticPr fontId="10" type="noConversion"/>
  </si>
  <si>
    <t>24易鑫恒通ABN001优先</t>
    <phoneticPr fontId="10" type="noConversion"/>
  </si>
  <si>
    <t>25鼎柚3次级</t>
    <phoneticPr fontId="10" type="noConversion"/>
  </si>
  <si>
    <t>25鼎柚3次级，2589212.IB，2025-8-27,1400w，101.0131， 国泰海通刘一荻 to 外贸信托-元康盛景1号 赵婷婷</t>
    <phoneticPr fontId="10" type="noConversion"/>
  </si>
  <si>
    <t>24京能3号ABN001次</t>
    <phoneticPr fontId="10" type="noConversion"/>
  </si>
  <si>
    <t>24京能3号ABN001次 (082482325.IB)，1550w,101.078，2025-10-30， 国泰海通 刘一荻2881471294 to 外贸信托元康盛景1号 赵婷婷 qt2850551246</t>
    <phoneticPr fontId="10" type="noConversion"/>
  </si>
  <si>
    <t xml:space="preserve">	泓晟1号3期优先B级</t>
    <phoneticPr fontId="10" type="noConversion"/>
  </si>
  <si>
    <t>泓晟1号3期优先B级[146872.SZ]，430w，100净价，11-19，国泰海通樊文娟 to 元康盛景26号 刘靖涛</t>
    <phoneticPr fontId="10" type="noConversion"/>
  </si>
  <si>
    <t xml:space="preserve">	泓晟1号3期优先C级</t>
    <phoneticPr fontId="10" type="noConversion"/>
  </si>
  <si>
    <t>泓晟1号3期优先C级[146873.SZ] ，535w，净价100,11-19，国泰海通樊文娟 to 元康盛景26号 刘靖涛</t>
    <phoneticPr fontId="10" type="noConversion"/>
  </si>
  <si>
    <t>泓晟013D</t>
    <phoneticPr fontId="10" type="noConversion"/>
  </si>
  <si>
    <t>泓晟1号3期次级[146874.SZ] ,915w,100.468,10月20日，国泰海通 樊文娟 to 苏州信托苏信财富组合添利Z2502集合资金信托计划 徐健 xuj@trustsz.com</t>
    <phoneticPr fontId="10" type="noConversion"/>
  </si>
  <si>
    <t>5.5-6%</t>
    <phoneticPr fontId="10" type="noConversion"/>
  </si>
  <si>
    <t>25美团美好ABN002次</t>
    <phoneticPr fontId="10" type="noConversion"/>
  </si>
  <si>
    <t>25美团美好ABN002次，082580682.IB，1400w，101.0482,11-3， 国泰海通 刘一荻 2881471294 to 外贸信托元康盛景1号 赵婷婷</t>
    <phoneticPr fontId="10" type="noConversion"/>
  </si>
  <si>
    <t>23和赢易鑫ABN004BC优先B</t>
    <phoneticPr fontId="10" type="noConversion"/>
  </si>
  <si>
    <t>华宝</t>
    <phoneticPr fontId="10" type="noConversion"/>
  </si>
  <si>
    <t>25和赢蔚能ABN001BC优先A2(科创)</t>
    <phoneticPr fontId="10" type="noConversion"/>
  </si>
  <si>
    <t>广发国际</t>
    <phoneticPr fontId="10" type="noConversion"/>
  </si>
  <si>
    <t>25东裕7叔裕ABN001次</t>
    <phoneticPr fontId="10" type="noConversion"/>
  </si>
  <si>
    <t>惠享4优A</t>
    <phoneticPr fontId="10" type="noConversion"/>
  </si>
  <si>
    <t xml:space="preserve">惠享4优A (146946.SZ),800w, 净价100.001, 11-19, 华宝证券XXXX to 苏信财富Z2501集合资金信托计划 徐健 xuj@trustsz.com qq455768073 </t>
    <phoneticPr fontId="10" type="noConversion"/>
  </si>
  <si>
    <t>惠享4优B</t>
    <phoneticPr fontId="10" type="noConversion"/>
  </si>
  <si>
    <t>惠享4优B (146947.SZ),1500w, 净价100.001, 11-19, 华宝证券XXXX to 苏信财富Z2501集合资金信托计划 徐健 xuj@trustsz.com qq455768073</t>
    <phoneticPr fontId="10" type="noConversion"/>
  </si>
  <si>
    <t>狮桥 61B</t>
    <phoneticPr fontId="10" type="noConversion"/>
  </si>
  <si>
    <t>渣打证券</t>
    <phoneticPr fontId="10" type="noConversion"/>
  </si>
  <si>
    <t>狮桥61B[500038.SZ] ，1000w，净价100.001,11-24，中信证券赵恒昆 qt3004076439  to 苏信财富Z2501集合资金信托计划 徐健 xuj@trustsz.com qq455768073</t>
    <phoneticPr fontId="10" type="noConversion"/>
  </si>
  <si>
    <t>25DC3B</t>
    <phoneticPr fontId="10" type="noConversion"/>
  </si>
  <si>
    <t>中金</t>
    <phoneticPr fontId="10" type="noConversion"/>
  </si>
  <si>
    <t>富民银行</t>
    <phoneticPr fontId="10" type="noConversion"/>
  </si>
  <si>
    <t>25京能4号ABN001次（绿色）</t>
    <phoneticPr fontId="10" type="noConversion"/>
  </si>
  <si>
    <t>国泰君安</t>
    <phoneticPr fontId="10" type="noConversion"/>
  </si>
  <si>
    <t>博远044D</t>
    <phoneticPr fontId="10" type="noConversion"/>
  </si>
  <si>
    <r>
      <rPr>
        <sz val="10"/>
        <color theme="1"/>
        <rFont val="宋体"/>
        <family val="2"/>
        <charset val="134"/>
      </rPr>
      <t>博远</t>
    </r>
    <r>
      <rPr>
        <sz val="10"/>
        <color theme="1"/>
        <rFont val="Arial"/>
        <family val="2"/>
        <charset val="134"/>
      </rPr>
      <t>044D (265106.SH)</t>
    </r>
    <r>
      <rPr>
        <sz val="10"/>
        <color theme="1"/>
        <rFont val="宋体"/>
        <family val="2"/>
        <charset val="134"/>
      </rPr>
      <t>，</t>
    </r>
    <r>
      <rPr>
        <sz val="10"/>
        <color theme="1"/>
        <rFont val="Arial"/>
        <family val="2"/>
      </rPr>
      <t>1000</t>
    </r>
    <r>
      <rPr>
        <sz val="10"/>
        <color theme="1"/>
        <rFont val="Arial"/>
        <family val="2"/>
        <charset val="134"/>
      </rPr>
      <t>w</t>
    </r>
    <r>
      <rPr>
        <sz val="10"/>
        <color theme="1"/>
        <rFont val="宋体"/>
        <family val="2"/>
        <charset val="134"/>
      </rPr>
      <t>，</t>
    </r>
    <r>
      <rPr>
        <sz val="10"/>
        <color theme="1"/>
        <rFont val="Arial"/>
        <family val="2"/>
      </rPr>
      <t>112.473,11</t>
    </r>
    <r>
      <rPr>
        <sz val="10"/>
        <color theme="1"/>
        <rFont val="宋体"/>
        <family val="2"/>
        <charset val="134"/>
      </rPr>
      <t>月</t>
    </r>
    <r>
      <rPr>
        <sz val="10"/>
        <color theme="1"/>
        <rFont val="Arial"/>
        <family val="2"/>
      </rPr>
      <t>24</t>
    </r>
    <r>
      <rPr>
        <sz val="10"/>
        <color theme="1"/>
        <rFont val="宋体"/>
        <family val="2"/>
        <charset val="134"/>
      </rPr>
      <t>日，</t>
    </r>
    <r>
      <rPr>
        <sz val="10"/>
        <color theme="1"/>
        <rFont val="Arial"/>
        <family val="2"/>
      </rPr>
      <t xml:space="preserve"> </t>
    </r>
    <r>
      <rPr>
        <sz val="10"/>
        <color theme="1"/>
        <rFont val="宋体"/>
        <family val="2"/>
        <charset val="134"/>
      </rPr>
      <t>国泰海通</t>
    </r>
    <r>
      <rPr>
        <sz val="10"/>
        <color theme="1"/>
        <rFont val="Arial"/>
        <family val="2"/>
      </rPr>
      <t xml:space="preserve"> </t>
    </r>
    <r>
      <rPr>
        <sz val="10"/>
        <color theme="1"/>
        <rFont val="宋体"/>
        <family val="2"/>
        <charset val="134"/>
      </rPr>
      <t>樊文娟</t>
    </r>
    <r>
      <rPr>
        <sz val="10"/>
        <color theme="1"/>
        <rFont val="Arial"/>
        <family val="2"/>
      </rPr>
      <t xml:space="preserve">qt2885347044 to </t>
    </r>
    <r>
      <rPr>
        <sz val="10"/>
        <color theme="1"/>
        <rFont val="宋体"/>
        <family val="2"/>
        <charset val="134"/>
      </rPr>
      <t>天风证券</t>
    </r>
    <r>
      <rPr>
        <sz val="10"/>
        <color theme="1"/>
        <rFont val="Arial"/>
        <family val="2"/>
      </rPr>
      <t xml:space="preserve"> </t>
    </r>
    <r>
      <rPr>
        <sz val="10"/>
        <color theme="1"/>
        <rFont val="宋体"/>
        <family val="2"/>
        <charset val="134"/>
      </rPr>
      <t>唐德婷</t>
    </r>
    <r>
      <rPr>
        <sz val="10"/>
        <color theme="1"/>
        <rFont val="Arial"/>
        <family val="2"/>
      </rPr>
      <t xml:space="preserve"> qt 2885078648</t>
    </r>
    <r>
      <rPr>
        <sz val="10"/>
        <color theme="1"/>
        <rFont val="宋体"/>
        <family val="2"/>
        <charset val="134"/>
      </rPr>
      <t>；</t>
    </r>
    <r>
      <rPr>
        <sz val="10"/>
        <color theme="1"/>
        <rFont val="Arial"/>
        <family val="2"/>
      </rPr>
      <t xml:space="preserve">      </t>
    </r>
    <r>
      <rPr>
        <sz val="10"/>
        <color theme="1"/>
        <rFont val="宋体"/>
        <family val="2"/>
        <charset val="134"/>
      </rPr>
      <t>博远</t>
    </r>
    <r>
      <rPr>
        <sz val="10"/>
        <color theme="1"/>
        <rFont val="Arial"/>
        <family val="2"/>
      </rPr>
      <t>044D (265106.SH)</t>
    </r>
    <r>
      <rPr>
        <sz val="10"/>
        <color theme="1"/>
        <rFont val="宋体"/>
        <family val="2"/>
        <charset val="134"/>
      </rPr>
      <t>，</t>
    </r>
    <r>
      <rPr>
        <sz val="10"/>
        <color theme="1"/>
        <rFont val="Arial"/>
        <family val="2"/>
      </rPr>
      <t>1000w</t>
    </r>
    <r>
      <rPr>
        <sz val="10"/>
        <color theme="1"/>
        <rFont val="宋体"/>
        <family val="2"/>
        <charset val="134"/>
      </rPr>
      <t>，</t>
    </r>
    <r>
      <rPr>
        <sz val="10"/>
        <color theme="1"/>
        <rFont val="Arial"/>
        <family val="2"/>
      </rPr>
      <t>112.483,11</t>
    </r>
    <r>
      <rPr>
        <sz val="10"/>
        <color theme="1"/>
        <rFont val="宋体"/>
        <family val="2"/>
        <charset val="134"/>
      </rPr>
      <t>月</t>
    </r>
    <r>
      <rPr>
        <sz val="10"/>
        <color theme="1"/>
        <rFont val="Arial"/>
        <family val="2"/>
      </rPr>
      <t>24</t>
    </r>
    <r>
      <rPr>
        <sz val="10"/>
        <color theme="1"/>
        <rFont val="宋体"/>
        <family val="2"/>
        <charset val="134"/>
      </rPr>
      <t>日，</t>
    </r>
    <r>
      <rPr>
        <sz val="10"/>
        <color theme="1"/>
        <rFont val="Arial"/>
        <family val="2"/>
      </rPr>
      <t xml:space="preserve"> </t>
    </r>
    <r>
      <rPr>
        <sz val="10"/>
        <color theme="1"/>
        <rFont val="宋体"/>
        <family val="2"/>
        <charset val="134"/>
      </rPr>
      <t>天风证券</t>
    </r>
    <r>
      <rPr>
        <sz val="10"/>
        <color theme="1"/>
        <rFont val="Arial"/>
        <family val="2"/>
      </rPr>
      <t xml:space="preserve"> </t>
    </r>
    <r>
      <rPr>
        <sz val="10"/>
        <color theme="1"/>
        <rFont val="宋体"/>
        <family val="2"/>
        <charset val="134"/>
      </rPr>
      <t>唐德婷</t>
    </r>
    <r>
      <rPr>
        <sz val="10"/>
        <color theme="1"/>
        <rFont val="Arial"/>
        <family val="2"/>
      </rPr>
      <t xml:space="preserve"> qt 2885078648 to </t>
    </r>
    <r>
      <rPr>
        <sz val="10"/>
        <color theme="1"/>
        <rFont val="宋体"/>
        <family val="2"/>
        <charset val="134"/>
      </rPr>
      <t>苏信财富</t>
    </r>
    <r>
      <rPr>
        <sz val="10"/>
        <color theme="1"/>
        <rFont val="Arial"/>
        <family val="2"/>
      </rPr>
      <t xml:space="preserve">Z2502 </t>
    </r>
    <r>
      <rPr>
        <sz val="10"/>
        <color theme="1"/>
        <rFont val="宋体"/>
        <family val="2"/>
        <charset val="134"/>
      </rPr>
      <t>徐健</t>
    </r>
    <r>
      <rPr>
        <sz val="10"/>
        <color theme="1"/>
        <rFont val="Arial"/>
        <family val="2"/>
      </rPr>
      <t xml:space="preserve"> xuj@trustsz.com 455768073</t>
    </r>
    <phoneticPr fontId="15" type="noConversion"/>
  </si>
  <si>
    <t>禾昱六4D</t>
    <phoneticPr fontId="10" type="noConversion"/>
  </si>
  <si>
    <r>
      <rPr>
        <sz val="10"/>
        <color theme="1"/>
        <rFont val="宋体"/>
        <family val="2"/>
        <charset val="134"/>
      </rPr>
      <t>禾昱六</t>
    </r>
    <r>
      <rPr>
        <sz val="10"/>
        <color theme="1"/>
        <rFont val="Arial"/>
        <family val="2"/>
        <charset val="134"/>
      </rPr>
      <t>4D (265409.SH)</t>
    </r>
    <r>
      <rPr>
        <sz val="10"/>
        <color theme="1"/>
        <rFont val="宋体"/>
        <family val="2"/>
        <charset val="134"/>
      </rPr>
      <t>，</t>
    </r>
    <r>
      <rPr>
        <sz val="10"/>
        <color theme="1"/>
        <rFont val="Arial"/>
        <family val="2"/>
      </rPr>
      <t>1000</t>
    </r>
    <r>
      <rPr>
        <sz val="10"/>
        <color theme="1"/>
        <rFont val="Arial"/>
        <family val="2"/>
        <charset val="134"/>
      </rPr>
      <t>w</t>
    </r>
    <r>
      <rPr>
        <sz val="10"/>
        <color theme="1"/>
        <rFont val="宋体"/>
        <family val="2"/>
        <charset val="134"/>
      </rPr>
      <t>，</t>
    </r>
    <r>
      <rPr>
        <sz val="10"/>
        <color theme="1"/>
        <rFont val="Arial"/>
        <family val="2"/>
      </rPr>
      <t>102.185,11</t>
    </r>
    <r>
      <rPr>
        <sz val="10"/>
        <color theme="1"/>
        <rFont val="宋体"/>
        <family val="2"/>
        <charset val="134"/>
      </rPr>
      <t>月</t>
    </r>
    <r>
      <rPr>
        <sz val="10"/>
        <color theme="1"/>
        <rFont val="Arial"/>
        <family val="2"/>
      </rPr>
      <t>24</t>
    </r>
    <r>
      <rPr>
        <sz val="10"/>
        <color theme="1"/>
        <rFont val="宋体"/>
        <family val="2"/>
        <charset val="134"/>
      </rPr>
      <t>日，</t>
    </r>
    <r>
      <rPr>
        <sz val="10"/>
        <color theme="1"/>
        <rFont val="Arial"/>
        <family val="2"/>
      </rPr>
      <t xml:space="preserve"> </t>
    </r>
    <r>
      <rPr>
        <sz val="10"/>
        <color theme="1"/>
        <rFont val="宋体"/>
        <family val="2"/>
        <charset val="134"/>
      </rPr>
      <t>国泰海通</t>
    </r>
    <r>
      <rPr>
        <sz val="10"/>
        <color theme="1"/>
        <rFont val="Arial"/>
        <family val="2"/>
      </rPr>
      <t xml:space="preserve"> </t>
    </r>
    <r>
      <rPr>
        <sz val="10"/>
        <color theme="1"/>
        <rFont val="宋体"/>
        <family val="2"/>
        <charset val="134"/>
      </rPr>
      <t>樊文娟</t>
    </r>
    <r>
      <rPr>
        <sz val="10"/>
        <color theme="1"/>
        <rFont val="Arial"/>
        <family val="2"/>
      </rPr>
      <t xml:space="preserve">qt2885347044 to </t>
    </r>
    <r>
      <rPr>
        <sz val="10"/>
        <color theme="1"/>
        <rFont val="宋体"/>
        <family val="2"/>
        <charset val="134"/>
      </rPr>
      <t>天风证券</t>
    </r>
    <r>
      <rPr>
        <sz val="10"/>
        <color theme="1"/>
        <rFont val="Arial"/>
        <family val="2"/>
      </rPr>
      <t xml:space="preserve"> </t>
    </r>
    <r>
      <rPr>
        <sz val="10"/>
        <color theme="1"/>
        <rFont val="宋体"/>
        <family val="2"/>
        <charset val="134"/>
      </rPr>
      <t>唐德婷</t>
    </r>
    <r>
      <rPr>
        <sz val="10"/>
        <color theme="1"/>
        <rFont val="Arial"/>
        <family val="2"/>
      </rPr>
      <t xml:space="preserve"> qt 2885078648</t>
    </r>
    <r>
      <rPr>
        <sz val="10"/>
        <color theme="1"/>
        <rFont val="宋体"/>
        <family val="2"/>
        <charset val="134"/>
      </rPr>
      <t>；     禾昱六</t>
    </r>
    <r>
      <rPr>
        <sz val="10"/>
        <color theme="1"/>
        <rFont val="Arial"/>
        <family val="2"/>
      </rPr>
      <t>4D (265409.SH)</t>
    </r>
    <r>
      <rPr>
        <sz val="10"/>
        <color theme="1"/>
        <rFont val="宋体"/>
        <family val="2"/>
        <charset val="134"/>
      </rPr>
      <t>，</t>
    </r>
    <r>
      <rPr>
        <sz val="10"/>
        <color theme="1"/>
        <rFont val="Arial"/>
        <family val="2"/>
      </rPr>
      <t>1000w</t>
    </r>
    <r>
      <rPr>
        <sz val="10"/>
        <color theme="1"/>
        <rFont val="宋体"/>
        <family val="2"/>
        <charset val="134"/>
      </rPr>
      <t>，</t>
    </r>
    <r>
      <rPr>
        <sz val="10"/>
        <color theme="1"/>
        <rFont val="Arial"/>
        <family val="2"/>
      </rPr>
      <t>102.195,11</t>
    </r>
    <r>
      <rPr>
        <sz val="10"/>
        <color theme="1"/>
        <rFont val="宋体"/>
        <family val="2"/>
        <charset val="134"/>
      </rPr>
      <t>月</t>
    </r>
    <r>
      <rPr>
        <sz val="10"/>
        <color theme="1"/>
        <rFont val="Arial"/>
        <family val="2"/>
      </rPr>
      <t>24</t>
    </r>
    <r>
      <rPr>
        <sz val="10"/>
        <color theme="1"/>
        <rFont val="宋体"/>
        <family val="2"/>
        <charset val="134"/>
      </rPr>
      <t>日，</t>
    </r>
    <r>
      <rPr>
        <sz val="10"/>
        <color theme="1"/>
        <rFont val="Arial"/>
        <family val="2"/>
      </rPr>
      <t xml:space="preserve"> </t>
    </r>
    <r>
      <rPr>
        <sz val="10"/>
        <color theme="1"/>
        <rFont val="宋体"/>
        <family val="2"/>
        <charset val="134"/>
      </rPr>
      <t>天风证券</t>
    </r>
    <r>
      <rPr>
        <sz val="10"/>
        <color theme="1"/>
        <rFont val="Arial"/>
        <family val="2"/>
      </rPr>
      <t xml:space="preserve"> </t>
    </r>
    <r>
      <rPr>
        <sz val="10"/>
        <color theme="1"/>
        <rFont val="宋体"/>
        <family val="2"/>
        <charset val="134"/>
      </rPr>
      <t>唐德婷</t>
    </r>
    <r>
      <rPr>
        <sz val="10"/>
        <color theme="1"/>
        <rFont val="Arial"/>
        <family val="2"/>
      </rPr>
      <t xml:space="preserve"> qt 2885078648 to </t>
    </r>
    <r>
      <rPr>
        <sz val="10"/>
        <color theme="1"/>
        <rFont val="宋体"/>
        <family val="2"/>
        <charset val="134"/>
      </rPr>
      <t>苏信财富</t>
    </r>
    <r>
      <rPr>
        <sz val="10"/>
        <color theme="1"/>
        <rFont val="Arial"/>
        <family val="2"/>
      </rPr>
      <t xml:space="preserve">Z2502 </t>
    </r>
    <r>
      <rPr>
        <sz val="10"/>
        <color theme="1"/>
        <rFont val="宋体"/>
        <family val="2"/>
        <charset val="134"/>
      </rPr>
      <t>徐健</t>
    </r>
    <r>
      <rPr>
        <sz val="10"/>
        <color theme="1"/>
        <rFont val="Arial"/>
        <family val="2"/>
      </rPr>
      <t xml:space="preserve"> xuj@trustsz.com 455768073</t>
    </r>
    <phoneticPr fontId="15" type="noConversion"/>
  </si>
  <si>
    <t xml:space="preserve">荟臻032C </t>
    <phoneticPr fontId="10" type="noConversion"/>
  </si>
  <si>
    <r>
      <rPr>
        <sz val="10"/>
        <color theme="1"/>
        <rFont val="宋体"/>
        <family val="2"/>
        <charset val="134"/>
      </rPr>
      <t>荟臻</t>
    </r>
    <r>
      <rPr>
        <sz val="10"/>
        <color theme="1"/>
        <rFont val="Arial"/>
        <family val="2"/>
        <charset val="134"/>
      </rPr>
      <t>032C (144302.SZ)</t>
    </r>
    <r>
      <rPr>
        <sz val="10"/>
        <color theme="1"/>
        <rFont val="宋体"/>
        <family val="2"/>
        <charset val="134"/>
      </rPr>
      <t>，</t>
    </r>
    <r>
      <rPr>
        <sz val="10"/>
        <color theme="1"/>
        <rFont val="Arial"/>
        <family val="2"/>
      </rPr>
      <t>1150</t>
    </r>
    <r>
      <rPr>
        <sz val="10"/>
        <color theme="1"/>
        <rFont val="Arial"/>
        <family val="2"/>
        <charset val="134"/>
      </rPr>
      <t>w</t>
    </r>
    <r>
      <rPr>
        <sz val="10"/>
        <color theme="1"/>
        <rFont val="宋体"/>
        <family val="2"/>
        <charset val="134"/>
      </rPr>
      <t>，</t>
    </r>
    <r>
      <rPr>
        <sz val="10"/>
        <color theme="1"/>
        <rFont val="Arial"/>
        <family val="2"/>
      </rPr>
      <t>135.359,11</t>
    </r>
    <r>
      <rPr>
        <sz val="10"/>
        <color theme="1"/>
        <rFont val="宋体"/>
        <family val="2"/>
        <charset val="134"/>
      </rPr>
      <t xml:space="preserve">月24日，国泰海通樊文娟 </t>
    </r>
    <r>
      <rPr>
        <sz val="10"/>
        <color theme="1"/>
        <rFont val="Arial"/>
        <family val="2"/>
      </rPr>
      <t xml:space="preserve">to </t>
    </r>
    <r>
      <rPr>
        <sz val="10"/>
        <color theme="1"/>
        <rFont val="宋体"/>
        <family val="2"/>
        <charset val="134"/>
      </rPr>
      <t>苏信财富</t>
    </r>
    <r>
      <rPr>
        <sz val="10"/>
        <color theme="1"/>
        <rFont val="Arial"/>
        <family val="2"/>
      </rPr>
      <t xml:space="preserve">Z2502 </t>
    </r>
    <r>
      <rPr>
        <sz val="10"/>
        <color theme="1"/>
        <rFont val="微软雅黑"/>
        <family val="2"/>
        <charset val="134"/>
      </rPr>
      <t>徐健</t>
    </r>
    <r>
      <rPr>
        <sz val="10"/>
        <color theme="1"/>
        <rFont val="Arial"/>
        <family val="2"/>
      </rPr>
      <t xml:space="preserve"> xuj@trustsz.com 455768073</t>
    </r>
    <phoneticPr fontId="15" type="noConversion"/>
  </si>
  <si>
    <t>炽诚3A3 266980.SH</t>
    <phoneticPr fontId="10" type="noConversion"/>
  </si>
  <si>
    <t>炽诚3A3 266980.SH，1000w，100.001，3.6%，11-17缴款，11-18起息，渣打证券代缴（上市净价100接回）</t>
    <phoneticPr fontId="10" type="noConversion"/>
  </si>
  <si>
    <t>苏信</t>
    <phoneticPr fontId="10" type="noConversion"/>
  </si>
  <si>
    <t>荟臻032C (144302.SZ)，1600w，135.8976,12月22日， 国泰海通 樊文娟 to 苏信Z2502</t>
    <phoneticPr fontId="10" type="noConversion"/>
  </si>
  <si>
    <t>狮桥62A2</t>
    <phoneticPr fontId="10" type="noConversion"/>
  </si>
  <si>
    <t>25熠顺ABN001优先A3</t>
    <phoneticPr fontId="10" type="noConversion"/>
  </si>
  <si>
    <t>25弗迪租赁ABN001次级(绿色)</t>
    <phoneticPr fontId="10" type="noConversion"/>
  </si>
  <si>
    <t>中金投顾</t>
    <phoneticPr fontId="10" type="noConversion"/>
  </si>
  <si>
    <t>25光大环保ABN001次</t>
    <phoneticPr fontId="10" type="noConversion"/>
  </si>
  <si>
    <t>25和赢蔚能ABN002BC优先A2(科创)</t>
    <phoneticPr fontId="10" type="noConversion"/>
  </si>
  <si>
    <t>乐信12C  500210.SZ</t>
    <phoneticPr fontId="10" type="noConversion"/>
  </si>
  <si>
    <t>工鑫39次</t>
    <phoneticPr fontId="10" type="noConversion"/>
  </si>
  <si>
    <t>工鑫41次</t>
    <phoneticPr fontId="10" type="noConversion"/>
  </si>
  <si>
    <t>35%集中度</t>
  </si>
  <si>
    <t>给苏信</t>
  </si>
  <si>
    <t>评级</t>
  </si>
  <si>
    <t>规模</t>
  </si>
  <si>
    <t>价格</t>
  </si>
  <si>
    <t>交易对手</t>
  </si>
  <si>
    <t>票息</t>
  </si>
  <si>
    <t>预计后手</t>
    <phoneticPr fontId="10" type="noConversion"/>
  </si>
  <si>
    <t>原始权益人</t>
  </si>
  <si>
    <t>资产类型</t>
  </si>
  <si>
    <t>预计到期日</t>
  </si>
  <si>
    <t>交易时间</t>
    <phoneticPr fontId="16" type="noConversion"/>
  </si>
  <si>
    <t>交易净价</t>
    <phoneticPr fontId="16" type="noConversion"/>
  </si>
  <si>
    <t>应计利息</t>
    <phoneticPr fontId="10" type="noConversion"/>
  </si>
  <si>
    <t>预计全价</t>
    <phoneticPr fontId="16" type="noConversion"/>
  </si>
  <si>
    <t>预计规模</t>
    <phoneticPr fontId="16" type="noConversion"/>
  </si>
  <si>
    <t>过桥方</t>
    <phoneticPr fontId="10" type="noConversion"/>
  </si>
  <si>
    <t>过桥价格</t>
    <phoneticPr fontId="16" type="noConversion"/>
  </si>
  <si>
    <t>80% AA</t>
  </si>
  <si>
    <t>工信回报8号</t>
    <phoneticPr fontId="10" type="noConversion"/>
  </si>
  <si>
    <t>鑫诚4B</t>
    <phoneticPr fontId="10" type="noConversion"/>
  </si>
  <si>
    <t>AA+</t>
  </si>
  <si>
    <t>扬讯</t>
    <phoneticPr fontId="10" type="noConversion"/>
  </si>
  <si>
    <t>易鑫</t>
  </si>
  <si>
    <t>汽车分期</t>
  </si>
  <si>
    <t>双25%</t>
    <phoneticPr fontId="10" type="noConversion"/>
  </si>
  <si>
    <t>睿铭3B</t>
    <phoneticPr fontId="10" type="noConversion"/>
  </si>
  <si>
    <t>金城银行</t>
  </si>
  <si>
    <t>小微贷</t>
  </si>
  <si>
    <t>星灿6A3</t>
    <phoneticPr fontId="10" type="noConversion"/>
  </si>
  <si>
    <t>AAA</t>
  </si>
  <si>
    <t>平安普惠</t>
  </si>
  <si>
    <t>鑫诚4B (264990.SH)，800w，净价100,2025-7-24，工信回报8号 2852821667 李欣欣 to 芜湖扬讯信息科技有限公司 瞿可歆qq 595189321</t>
    <phoneticPr fontId="10" type="noConversion"/>
  </si>
  <si>
    <t>鑫诚4B (264990.SH)，800w，净价100.005,2025-7-24，扬讯 to 苏信财富·组合添利Z2501集合资金信托计划，询价人：徐健，qq455768073；上交所交易商代码：063，交易员代码：Z06308； 约定号241</t>
    <phoneticPr fontId="10" type="noConversion"/>
  </si>
  <si>
    <t>睿铭3B (264170.SH),800w，净价100,2025-7-24，工信回报8号 2852821667 李欣欣 to 芜湖扬讯信息科技有限公司 瞿可歆qq 595189321</t>
    <phoneticPr fontId="10" type="noConversion"/>
  </si>
  <si>
    <t>睿铭3B (264170.SH),800w，净价100.005,2025-7-24，扬讯 to 苏信财富·组合添利Z2501集合资金信托计划，询价人：徐健，qq455768073；上交所交易商代码：063，交易员代码：Z06308； 约定号242</t>
    <phoneticPr fontId="10" type="noConversion"/>
  </si>
  <si>
    <t>星灿6A3 (146087.SZ),820w, 净价100,2025-7-24，工信回报8号 2852821667 李欣欣 to 芜湖扬讯信息科技有限公司 瞿可歆qq 595189321</t>
    <phoneticPr fontId="10" type="noConversion"/>
  </si>
  <si>
    <t>星灿6A3 (146087.SZ),820w, 净价100.005,2025-7-24，扬讯 to 苏信财富·组合添利Z2501集合资金信托计划，询价人：徐健，qq455768073；深交所交易商代码：000262，交易员代码：007A0001，交易主体代码：3600000001； 约定号257242</t>
    <phoneticPr fontId="10" type="noConversion"/>
  </si>
  <si>
    <t>百瑞君集10号</t>
    <phoneticPr fontId="10" type="noConversion"/>
  </si>
  <si>
    <t>外贸</t>
    <phoneticPr fontId="10" type="noConversion"/>
  </si>
  <si>
    <t>国泰海通</t>
  </si>
  <si>
    <t>盛煜013C</t>
    <phoneticPr fontId="10" type="noConversion"/>
  </si>
  <si>
    <t>BBB</t>
  </si>
  <si>
    <t>京东</t>
  </si>
  <si>
    <t>企业主贷</t>
  </si>
  <si>
    <t>星灿6A3 (146087.SZ)，1680w，净价100,2025-7-24，百瑞信托君集10号 2881268916 张闪闪  to 苏信财富·组合添利Z2501集合资金信托计划，询价人：徐健，qq455768073；深交所交易商代码：000262，交易员代码：007A0001，交易主体代码：3600000001； 约定号257243</t>
    <phoneticPr fontId="10" type="noConversion"/>
  </si>
  <si>
    <t>盛煜013C (264731.SH),2000w，净价99.5，2025-7-24，国泰海通 樊文娟qt2885347044 to 苏信财富·组合添利Z2501集合资金信托计划，询价人：徐健，qq455768073；上交所交易商代码：063，交易员代码：Z06308； 约定号243</t>
    <phoneticPr fontId="10" type="noConversion"/>
  </si>
  <si>
    <t>A+</t>
  </si>
  <si>
    <t>金条</t>
  </si>
  <si>
    <t>鑫沅资产</t>
    <phoneticPr fontId="10" type="noConversion"/>
  </si>
  <si>
    <t>诚惠1B</t>
    <phoneticPr fontId="10" type="noConversion"/>
  </si>
  <si>
    <t>诚泰租赁</t>
  </si>
  <si>
    <t>小微租赁</t>
  </si>
  <si>
    <t>粤开</t>
    <phoneticPr fontId="16" type="noConversion"/>
  </si>
  <si>
    <t>巍茂辉旺6号</t>
    <phoneticPr fontId="10" type="noConversion"/>
  </si>
  <si>
    <t>朗煜1A3</t>
    <phoneticPr fontId="10" type="noConversion"/>
  </si>
  <si>
    <t>百瑞</t>
  </si>
  <si>
    <t>A-</t>
    <phoneticPr fontId="10" type="noConversion"/>
  </si>
  <si>
    <t>白条</t>
    <phoneticPr fontId="10" type="noConversion"/>
  </si>
  <si>
    <t>耘睿195C</t>
    <phoneticPr fontId="10" type="noConversion"/>
  </si>
  <si>
    <t>诚惠1B (263867.SH)，1500w，101.645, 7-24，t+0，鑫沅资产鑫梅花635号 qt：胡竹影2355401515 to 粤开证券询价qt 2881647849</t>
    <phoneticPr fontId="10" type="noConversion"/>
  </si>
  <si>
    <t>诚惠1B (263867.SH)，1500w，101.65, 7-24，t+0，粤开证券询价qt 2881647849 to 苏信财富·组合添利Z2501集合资金信托计划，询价人：徐健，qq455768073；上交所交易商代码：063，交易员代码：Z06308； 约定号244</t>
    <phoneticPr fontId="10" type="noConversion"/>
  </si>
  <si>
    <t>朗煜1A3 (264213.SH)，1000w，净价100,7-24，t+0，巍茂辉旺6号 3004235366关思朴 to 苏信财富·组合添利Z2501集合资金信托计划，询价人：徐健，qq455768073；上交所交易商代码：063，交易员代码：Z06308； 约定号245</t>
    <phoneticPr fontId="10" type="noConversion"/>
  </si>
  <si>
    <t>耘睿192C (264355.SH)，1000w，净价100.5，7-24，国泰海通 樊文娟qt2885347044 to 苏信财富·组合添利Z2501集合资金信托计划，询价人：徐健，qq455768073；上交所交易商代码：063，交易员代码：Z06308； 约定号246</t>
    <phoneticPr fontId="10" type="noConversion"/>
  </si>
  <si>
    <t>耘睿195C (264540.SH)，1000w，净价100.5，7-24，国泰海通 樊文娟qt2885347044 to 苏信财富·组合添利Z2501集合资金信托计划，询价人：徐健，qq455768073；上交所交易商代码：063，交易员代码：Z06308； 约定号247</t>
    <phoneticPr fontId="10" type="noConversion"/>
  </si>
  <si>
    <t>元康20号</t>
    <phoneticPr fontId="10" type="noConversion"/>
  </si>
  <si>
    <t>基于估值</t>
    <phoneticPr fontId="10" type="noConversion"/>
  </si>
  <si>
    <t>23惠民3B</t>
    <phoneticPr fontId="10" type="noConversion"/>
  </si>
  <si>
    <t>AAA</t>
    <phoneticPr fontId="10" type="noConversion"/>
  </si>
  <si>
    <t>预计103</t>
    <phoneticPr fontId="10" type="noConversion"/>
  </si>
  <si>
    <t>过桥方待定</t>
  </si>
  <si>
    <t>洮利5号</t>
    <phoneticPr fontId="10" type="noConversion"/>
  </si>
  <si>
    <t>基于估值</t>
  </si>
  <si>
    <t>安康3C</t>
    <phoneticPr fontId="10" type="noConversion"/>
  </si>
  <si>
    <t>平安银行</t>
  </si>
  <si>
    <t>熠然05A3</t>
    <phoneticPr fontId="10" type="noConversion"/>
  </si>
  <si>
    <t>100.4预计</t>
    <phoneticPr fontId="10" type="noConversion"/>
  </si>
  <si>
    <t>23惠民2B</t>
    <phoneticPr fontId="10" type="noConversion"/>
  </si>
  <si>
    <t>预计102</t>
    <phoneticPr fontId="10" type="noConversion"/>
  </si>
  <si>
    <t>海云2A</t>
    <phoneticPr fontId="10" type="noConversion"/>
  </si>
  <si>
    <t>一级簿记</t>
    <phoneticPr fontId="10" type="noConversion"/>
  </si>
  <si>
    <t>海富租赁</t>
    <phoneticPr fontId="10" type="noConversion"/>
  </si>
  <si>
    <t>车主贷</t>
    <phoneticPr fontId="10" type="noConversion"/>
  </si>
  <si>
    <t>海云2B</t>
    <phoneticPr fontId="10" type="noConversion"/>
  </si>
  <si>
    <t>AA+</t>
    <phoneticPr fontId="10" type="noConversion"/>
  </si>
  <si>
    <t>25OCC1B</t>
    <phoneticPr fontId="10" type="noConversion"/>
  </si>
  <si>
    <t>欧力士租赁</t>
    <phoneticPr fontId="10" type="noConversion"/>
  </si>
  <si>
    <t>小微租赁</t>
    <phoneticPr fontId="10" type="noConversion"/>
  </si>
  <si>
    <t>加权平均</t>
    <phoneticPr fontId="10" type="noConversion"/>
  </si>
  <si>
    <t>交易对手</t>
    <phoneticPr fontId="10" type="noConversion"/>
  </si>
  <si>
    <t>交易日期</t>
    <phoneticPr fontId="10" type="noConversion"/>
  </si>
  <si>
    <t>交易确定情况</t>
    <phoneticPr fontId="10" type="noConversion"/>
  </si>
  <si>
    <t>预计后手收益率</t>
    <phoneticPr fontId="10" type="noConversion"/>
  </si>
  <si>
    <t>票息</t>
    <phoneticPr fontId="10" type="noConversion"/>
  </si>
  <si>
    <t>确定</t>
    <phoneticPr fontId="10" type="noConversion"/>
  </si>
  <si>
    <t>缴款日</t>
    <phoneticPr fontId="10" type="noConversion"/>
  </si>
  <si>
    <t>待定时间</t>
    <phoneticPr fontId="10" type="noConversion"/>
  </si>
  <si>
    <t>数量(万元面值)</t>
    <phoneticPr fontId="10" type="noConversion"/>
  </si>
  <si>
    <t>中债估值（717）</t>
    <phoneticPr fontId="10" type="noConversion"/>
  </si>
  <si>
    <t>中证估值（717）</t>
    <phoneticPr fontId="16" type="noConversion"/>
  </si>
  <si>
    <t>证券名称及代码</t>
    <phoneticPr fontId="16" type="noConversion"/>
  </si>
  <si>
    <t>to君创时间</t>
    <phoneticPr fontId="10" type="noConversion"/>
  </si>
  <si>
    <t>净价</t>
    <phoneticPr fontId="10" type="noConversion"/>
  </si>
  <si>
    <t>全价</t>
    <phoneticPr fontId="10" type="noConversion"/>
  </si>
  <si>
    <t>净价规模</t>
    <phoneticPr fontId="16" type="noConversion"/>
  </si>
  <si>
    <t>全价规模</t>
    <phoneticPr fontId="16" type="noConversion"/>
  </si>
  <si>
    <t>to下家时间</t>
    <phoneticPr fontId="10" type="noConversion"/>
  </si>
  <si>
    <t>全价差额</t>
    <phoneticPr fontId="10" type="noConversion"/>
  </si>
  <si>
    <t>后手收益率-dm</t>
    <phoneticPr fontId="10" type="noConversion"/>
  </si>
  <si>
    <t>3.0040(102.6221)</t>
    <phoneticPr fontId="16" type="noConversion"/>
  </si>
  <si>
    <t xml:space="preserve"> 2.6730(103.5972)</t>
    <phoneticPr fontId="16" type="noConversion"/>
  </si>
  <si>
    <t>23惠民3B,143845.SZ</t>
    <phoneticPr fontId="10" type="noConversion"/>
  </si>
  <si>
    <t>4.9142(101.7177)</t>
    <phoneticPr fontId="16" type="noConversion"/>
  </si>
  <si>
    <t>3.1273(103.5382)</t>
    <phoneticPr fontId="16" type="noConversion"/>
  </si>
  <si>
    <t>安康3C,143258.SZ</t>
    <phoneticPr fontId="10" type="noConversion"/>
  </si>
  <si>
    <t>7月24日兑付</t>
    <phoneticPr fontId="10" type="noConversion"/>
  </si>
  <si>
    <t>4.3349(99.9078)</t>
    <phoneticPr fontId="16" type="noConversion"/>
  </si>
  <si>
    <t>4.0380(100.4091)</t>
    <phoneticPr fontId="16" type="noConversion"/>
  </si>
  <si>
    <t>熠然05A3,146382.SZ</t>
    <phoneticPr fontId="10" type="noConversion"/>
  </si>
  <si>
    <t>2.9207(101.8280)</t>
    <phoneticPr fontId="16" type="noConversion"/>
  </si>
  <si>
    <t xml:space="preserve"> 2.9414(102.8668)</t>
  </si>
  <si>
    <t>23惠民2B,143399.SZ</t>
    <phoneticPr fontId="10" type="noConversion"/>
  </si>
  <si>
    <t>7-28兑付</t>
    <phoneticPr fontId="10" type="noConversion"/>
  </si>
  <si>
    <t>合计</t>
    <phoneticPr fontId="16" type="noConversion"/>
  </si>
  <si>
    <t>上家：元康盛景20号，询价qt 刘靖涛3003993899</t>
    <phoneticPr fontId="16" type="noConversion"/>
  </si>
  <si>
    <t>补差金额</t>
    <phoneticPr fontId="16" type="noConversion"/>
  </si>
  <si>
    <t>下家：苏州信托，询价qq徐健455768073</t>
    <phoneticPr fontId="16" type="noConversion"/>
  </si>
  <si>
    <t>五矿</t>
    <phoneticPr fontId="10" type="noConversion"/>
  </si>
  <si>
    <t>国君</t>
    <phoneticPr fontId="10" type="noConversion"/>
  </si>
  <si>
    <t>10-22应计利息</t>
    <phoneticPr fontId="10" type="noConversion"/>
  </si>
  <si>
    <t>剩余面值</t>
    <phoneticPr fontId="10" type="noConversion"/>
  </si>
  <si>
    <t>证券</t>
    <phoneticPr fontId="6" type="noConversion"/>
  </si>
  <si>
    <t>类型</t>
    <phoneticPr fontId="6" type="noConversion"/>
  </si>
  <si>
    <t>层级</t>
    <phoneticPr fontId="6" type="noConversion"/>
  </si>
  <si>
    <t>项目</t>
    <phoneticPr fontId="6" type="noConversion"/>
  </si>
  <si>
    <t>发行规模</t>
    <phoneticPr fontId="6" type="noConversion"/>
  </si>
  <si>
    <t>预计投资规模</t>
    <phoneticPr fontId="6" type="noConversion"/>
  </si>
  <si>
    <t>收益率</t>
    <phoneticPr fontId="6" type="noConversion"/>
  </si>
  <si>
    <t>对接券商</t>
    <phoneticPr fontId="6" type="noConversion"/>
  </si>
  <si>
    <t>对接其他人</t>
    <phoneticPr fontId="6" type="noConversion"/>
  </si>
  <si>
    <t>预计交易户</t>
    <phoneticPr fontId="6" type="noConversion"/>
  </si>
  <si>
    <t>一级/二级</t>
    <phoneticPr fontId="6" type="noConversion"/>
  </si>
  <si>
    <t>簿记日</t>
    <phoneticPr fontId="6" type="noConversion"/>
  </si>
  <si>
    <t>缴款日/交易日</t>
    <phoneticPr fontId="6" type="noConversion"/>
  </si>
  <si>
    <t>元康1号</t>
    <phoneticPr fontId="6" type="noConversion"/>
  </si>
  <si>
    <t>元康9号</t>
    <phoneticPr fontId="6" type="noConversion"/>
  </si>
  <si>
    <t>元康17号</t>
    <phoneticPr fontId="6" type="noConversion"/>
  </si>
  <si>
    <t>朗瑞1_5</t>
    <phoneticPr fontId="6" type="noConversion"/>
  </si>
  <si>
    <t>朗瑞1_8</t>
    <phoneticPr fontId="6" type="noConversion"/>
  </si>
  <si>
    <r>
      <rPr>
        <sz val="11"/>
        <color theme="1"/>
        <rFont val="宋体"/>
        <family val="3"/>
        <charset val="134"/>
      </rPr>
      <t>荟煜</t>
    </r>
    <r>
      <rPr>
        <sz val="11"/>
        <color theme="1"/>
        <rFont val="Arial"/>
        <family val="2"/>
      </rPr>
      <t>035D</t>
    </r>
    <phoneticPr fontId="20" type="noConversion"/>
  </si>
  <si>
    <t>25君惠融ABN001优先B</t>
    <phoneticPr fontId="20" type="noConversion"/>
  </si>
  <si>
    <t>锦新26-1次级</t>
    <phoneticPr fontId="20" type="noConversion"/>
  </si>
  <si>
    <t>元康盛景17号赎回</t>
    <phoneticPr fontId="20" type="noConversion"/>
  </si>
  <si>
    <r>
      <rPr>
        <sz val="11"/>
        <color theme="1"/>
        <rFont val="微软雅黑"/>
        <family val="2"/>
        <charset val="134"/>
      </rPr>
      <t>美歆</t>
    </r>
    <r>
      <rPr>
        <sz val="11"/>
        <color theme="1"/>
        <rFont val="Arial"/>
        <family val="2"/>
      </rPr>
      <t>8</t>
    </r>
    <r>
      <rPr>
        <sz val="11"/>
        <color theme="1"/>
        <rFont val="微软雅黑"/>
        <family val="2"/>
        <charset val="134"/>
      </rPr>
      <t>期</t>
    </r>
    <phoneticPr fontId="20" type="noConversion"/>
  </si>
  <si>
    <t>雪球申购</t>
    <phoneticPr fontId="20" type="noConversion"/>
  </si>
  <si>
    <t>诚瑞1A2</t>
    <phoneticPr fontId="20" type="noConversion"/>
  </si>
  <si>
    <t>新增申购</t>
    <phoneticPr fontId="20" type="noConversion"/>
  </si>
  <si>
    <t>赎回朗瑞1-5</t>
    <phoneticPr fontId="20" type="noConversion"/>
  </si>
  <si>
    <t>赎回</t>
    <phoneticPr fontId="20" type="noConversion"/>
  </si>
  <si>
    <t>归还熠安02A3回购</t>
    <phoneticPr fontId="20" type="noConversion"/>
  </si>
  <si>
    <t>熠安02A3</t>
    <phoneticPr fontId="20" type="noConversion"/>
  </si>
  <si>
    <t>鑫沅代持</t>
    <phoneticPr fontId="6" type="noConversion"/>
  </si>
  <si>
    <t>元康盛景1号申购</t>
    <phoneticPr fontId="20" type="noConversion"/>
  </si>
  <si>
    <t>元康17号申购</t>
    <phoneticPr fontId="20" type="noConversion"/>
  </si>
  <si>
    <t>元康20赎回</t>
    <phoneticPr fontId="20" type="noConversion"/>
  </si>
  <si>
    <t>泸州</t>
    <phoneticPr fontId="20" type="noConversion"/>
  </si>
  <si>
    <t>荟享244C</t>
    <phoneticPr fontId="20" type="noConversion"/>
  </si>
  <si>
    <t>一冶</t>
    <phoneticPr fontId="15" type="noConversion"/>
  </si>
  <si>
    <t>待定</t>
    <phoneticPr fontId="6" type="noConversion"/>
  </si>
  <si>
    <r>
      <rPr>
        <sz val="11"/>
        <color theme="1"/>
        <rFont val="宋体"/>
        <family val="3"/>
        <charset val="134"/>
      </rPr>
      <t>铁建</t>
    </r>
    <r>
      <rPr>
        <sz val="11"/>
        <color theme="1"/>
        <rFont val="Arial"/>
        <family val="2"/>
      </rPr>
      <t>051C</t>
    </r>
    <phoneticPr fontId="20" type="noConversion"/>
  </si>
  <si>
    <t>卖出给苏信</t>
    <phoneticPr fontId="20" type="noConversion"/>
  </si>
  <si>
    <t>启悦16次</t>
    <phoneticPr fontId="20" type="noConversion"/>
  </si>
  <si>
    <t>熹焱03A3</t>
    <phoneticPr fontId="20" type="noConversion"/>
  </si>
  <si>
    <t>熹焱07A3</t>
    <phoneticPr fontId="20" type="noConversion"/>
  </si>
  <si>
    <t>归还回购</t>
    <phoneticPr fontId="20" type="noConversion"/>
  </si>
  <si>
    <t>兑付赎回</t>
    <phoneticPr fontId="15" type="noConversion"/>
  </si>
  <si>
    <t>新增申购</t>
    <phoneticPr fontId="15" type="noConversion"/>
  </si>
  <si>
    <t>赎回元康1</t>
    <phoneticPr fontId="15" type="noConversion"/>
  </si>
  <si>
    <t>1-16发起</t>
    <phoneticPr fontId="6" type="noConversion"/>
  </si>
  <si>
    <t>申购朗瑞1-8</t>
    <phoneticPr fontId="20" type="noConversion"/>
  </si>
  <si>
    <t>元康29申购</t>
    <phoneticPr fontId="20" type="noConversion"/>
  </si>
  <si>
    <r>
      <t>22</t>
    </r>
    <r>
      <rPr>
        <sz val="11"/>
        <color theme="1"/>
        <rFont val="宋体"/>
        <family val="3"/>
        <charset val="134"/>
      </rPr>
      <t>臻金</t>
    </r>
    <r>
      <rPr>
        <sz val="11"/>
        <color theme="1"/>
        <rFont val="Arial"/>
        <family val="3"/>
      </rPr>
      <t>3</t>
    </r>
    <r>
      <rPr>
        <sz val="11"/>
        <color theme="1"/>
        <rFont val="Arial"/>
        <family val="2"/>
      </rPr>
      <t>C</t>
    </r>
    <phoneticPr fontId="20" type="noConversion"/>
  </si>
  <si>
    <r>
      <t>25</t>
    </r>
    <r>
      <rPr>
        <sz val="11"/>
        <color theme="1"/>
        <rFont val="微软雅黑"/>
        <family val="2"/>
        <charset val="134"/>
      </rPr>
      <t>臻金</t>
    </r>
    <r>
      <rPr>
        <sz val="11"/>
        <color theme="1"/>
        <rFont val="Arial"/>
        <family val="2"/>
      </rPr>
      <t>4C</t>
    </r>
    <phoneticPr fontId="20" type="noConversion"/>
  </si>
  <si>
    <r>
      <t>4</t>
    </r>
    <r>
      <rPr>
        <sz val="10"/>
        <color theme="1"/>
        <rFont val="微软雅黑"/>
        <family val="2"/>
        <charset val="134"/>
      </rPr>
      <t>美意6次</t>
    </r>
    <phoneticPr fontId="15" type="noConversion"/>
  </si>
  <si>
    <t>已发要素</t>
    <phoneticPr fontId="6" type="noConversion"/>
  </si>
  <si>
    <t>苏信优先级Z2501</t>
    <phoneticPr fontId="6" type="noConversion"/>
  </si>
  <si>
    <t>苏信次级Z2502</t>
    <phoneticPr fontId="6" type="noConversion"/>
  </si>
  <si>
    <t>元康盛景29号</t>
    <phoneticPr fontId="6" type="noConversion"/>
  </si>
  <si>
    <t>25工元至诚普银6C</t>
  </si>
  <si>
    <t>23工元至诚8C</t>
  </si>
  <si>
    <t>25中誉至诚5C</t>
  </si>
  <si>
    <t>25臻金3C</t>
  </si>
  <si>
    <t>25浦鑫归航7C</t>
  </si>
  <si>
    <t>25邮盈惠泽9C</t>
  </si>
  <si>
    <t>25浦鑫归航1C</t>
  </si>
  <si>
    <t>25工元至诚惠银2C</t>
  </si>
  <si>
    <t>25中誉至诚4C</t>
  </si>
  <si>
    <t>25惠元2C</t>
  </si>
  <si>
    <t>24浦鑫归航8C</t>
  </si>
  <si>
    <t>25兴瑞1C</t>
  </si>
  <si>
    <t>25浦鑫归航4C</t>
  </si>
  <si>
    <t>25建欣1C</t>
  </si>
  <si>
    <t>25橙益4C</t>
  </si>
  <si>
    <t>25中誉至诚6C</t>
  </si>
  <si>
    <t>25浦鑫归航8C</t>
  </si>
  <si>
    <t>25建欣17C</t>
  </si>
  <si>
    <t>25建欣7C</t>
  </si>
  <si>
    <t>25工元至诚普银3C</t>
  </si>
  <si>
    <t>25中誉至诚3C</t>
  </si>
  <si>
    <t>25橙益23C</t>
  </si>
  <si>
    <t>25橙益22C</t>
  </si>
  <si>
    <t>25橙益15C</t>
  </si>
  <si>
    <t>25工元至诚普银7C</t>
  </si>
  <si>
    <t>25工元至诚惠银5C</t>
  </si>
  <si>
    <t>25橙益21C</t>
  </si>
  <si>
    <t>25中誉至诚1C</t>
  </si>
  <si>
    <t>24建欣4C</t>
  </si>
  <si>
    <t>24浦鑫归航2优先</t>
  </si>
  <si>
    <t>24惠元3优先</t>
  </si>
  <si>
    <t>25建欣7优先</t>
  </si>
  <si>
    <t>25橙益8优先</t>
  </si>
  <si>
    <t>24中誉至诚2优先</t>
  </si>
  <si>
    <t>23浦鑫归航5C</t>
  </si>
  <si>
    <t>20工元至诚4C</t>
  </si>
  <si>
    <t>20工元至诚5C</t>
  </si>
  <si>
    <t>20工元至诚7C</t>
  </si>
  <si>
    <t>20建鑫3C</t>
  </si>
  <si>
    <t>21工元至诚2C</t>
  </si>
  <si>
    <t>21工元至诚6C</t>
  </si>
  <si>
    <t>21建鑫7C</t>
  </si>
  <si>
    <t>21交诚2C</t>
  </si>
  <si>
    <t>21中誉3C</t>
  </si>
  <si>
    <t>21中誉4C</t>
  </si>
  <si>
    <t>22工元至诚2C</t>
  </si>
  <si>
    <t>22建鑫4C</t>
  </si>
  <si>
    <t>23工元至诚2C</t>
  </si>
  <si>
    <t>23工元至诚7C</t>
  </si>
  <si>
    <t>23建鑫12C</t>
  </si>
  <si>
    <t>23建鑫2C</t>
  </si>
  <si>
    <t>23建鑫5C</t>
  </si>
  <si>
    <t>23建鑫8C</t>
  </si>
  <si>
    <t>23浦鑫归航1C</t>
  </si>
  <si>
    <t>23浦鑫归航2C</t>
  </si>
  <si>
    <t>23浦鑫归航4C</t>
  </si>
  <si>
    <t>23浦鑫归航6C</t>
  </si>
  <si>
    <t>23兴瑞4C</t>
  </si>
  <si>
    <t>23邮盈惠泽4C</t>
  </si>
  <si>
    <t>23邮盈惠泽5C</t>
  </si>
  <si>
    <t>23邮盈惠泽8C</t>
  </si>
  <si>
    <t>23中誉1C</t>
  </si>
  <si>
    <t>23中誉3C</t>
  </si>
  <si>
    <t>23中誉至诚1C</t>
  </si>
  <si>
    <t>23中誉至诚3C</t>
  </si>
  <si>
    <t>23中誉至诚4C</t>
  </si>
  <si>
    <t>24工元至诚1C</t>
  </si>
  <si>
    <t>24惠元3C</t>
  </si>
  <si>
    <t>24浦鑫归航1C</t>
  </si>
  <si>
    <t>24浦鑫归航2C</t>
  </si>
  <si>
    <t>24兴瑞1C</t>
  </si>
  <si>
    <t>24中誉至诚1C</t>
  </si>
  <si>
    <t>24中誉至诚2C</t>
  </si>
  <si>
    <t>24臻粹3C</t>
  </si>
  <si>
    <t>24橙益11C</t>
  </si>
  <si>
    <t>24兴瑞5C</t>
  </si>
  <si>
    <t>24邮盈惠兴6C</t>
  </si>
  <si>
    <t>24浦鑫归航5C</t>
  </si>
  <si>
    <t>24惠元8C</t>
  </si>
  <si>
    <t>24工元至诚3C</t>
  </si>
  <si>
    <t>24兴瑞8C</t>
  </si>
  <si>
    <t>24邮盈惠兴8C</t>
  </si>
  <si>
    <t>24建欣12C</t>
  </si>
  <si>
    <t>24橙益17优先</t>
  </si>
  <si>
    <t>24工元至诚4C</t>
  </si>
  <si>
    <t>国泰海通</t>
    <phoneticPr fontId="6" type="noConversion"/>
  </si>
  <si>
    <t>资产类别</t>
    <phoneticPr fontId="6" type="noConversion"/>
  </si>
  <si>
    <t>微小企业贷款</t>
  </si>
  <si>
    <t>住房抵押贷款</t>
  </si>
  <si>
    <t>信用卡消费贷款</t>
  </si>
  <si>
    <t>一般消费贷款</t>
  </si>
  <si>
    <t>个人汽车贷款</t>
  </si>
  <si>
    <t>企业贷款</t>
  </si>
  <si>
    <t>持仓规模</t>
    <phoneticPr fontId="6" type="noConversion"/>
  </si>
  <si>
    <t>合作方最早买入时间</t>
    <phoneticPr fontId="6" type="noConversion"/>
  </si>
  <si>
    <t>24建欣12优先</t>
  </si>
  <si>
    <t>24邮盈惠兴4C</t>
  </si>
  <si>
    <t>25橙益15优先</t>
  </si>
  <si>
    <t>25橙益23优先</t>
  </si>
  <si>
    <t>剩余本金</t>
    <phoneticPr fontId="6" type="noConversion"/>
  </si>
  <si>
    <t>22建鑫6C</t>
  </si>
  <si>
    <t>22建鑫9C</t>
  </si>
  <si>
    <t>22浦鑫归航3C</t>
  </si>
  <si>
    <t>22浦鑫归航4C</t>
  </si>
  <si>
    <t>22浦鑫归航5C</t>
  </si>
  <si>
    <t>22臻金2C</t>
  </si>
  <si>
    <t>23建鑫11C</t>
  </si>
  <si>
    <t>23臻金1C</t>
  </si>
  <si>
    <t>24建欣1C</t>
  </si>
  <si>
    <t>24中誉至诚6C</t>
  </si>
  <si>
    <t>中信建投</t>
    <phoneticPr fontId="6" type="noConversion"/>
  </si>
  <si>
    <t>24建欣8C</t>
  </si>
  <si>
    <t>24邮盈惠兴5C</t>
  </si>
  <si>
    <t>银河</t>
    <phoneticPr fontId="6" type="noConversion"/>
  </si>
  <si>
    <t>24建欣3C</t>
  </si>
  <si>
    <t>25建欣3C</t>
  </si>
  <si>
    <t>25建欣3优先</t>
  </si>
  <si>
    <t>25建欣4C</t>
  </si>
  <si>
    <t>24邮盈惠兴2C</t>
  </si>
  <si>
    <t>25臻金4C</t>
  </si>
  <si>
    <t>建投投顾</t>
    <phoneticPr fontId="6" type="noConversion"/>
  </si>
  <si>
    <t>24兴瑞3C</t>
  </si>
  <si>
    <t>24中誉至诚5C</t>
  </si>
  <si>
    <t>24橙益12C</t>
  </si>
  <si>
    <t>24中誉至诚9C</t>
  </si>
  <si>
    <t>国联</t>
    <phoneticPr fontId="6" type="noConversion"/>
  </si>
  <si>
    <t>卞崟 4.5%</t>
  </si>
  <si>
    <t>SUM</t>
    <phoneticPr fontId="6" type="noConversion"/>
  </si>
  <si>
    <t>卖出时间</t>
    <phoneticPr fontId="6" type="noConversion"/>
  </si>
  <si>
    <t>4美意6次 (262764.SH)，100w，全价108.648，2026-1-9，国泰海通 樊文娟 to 苏信财富组合添利Z2502集合资金信托计划 徐健</t>
    <phoneticPr fontId="6" type="noConversion"/>
  </si>
  <si>
    <t>1、25熠顺ABN001优先A3[082580640.IB] ，1000w，100净价，应计利息0.26301，1月8日，云南信托云乾10号 云南信托 陈文利3004414705 to 天风证券 唐德婷qt 2885078648
2、25熠顺ABN001优先A3[082580640.IB] ，1000w，100净价，应计利息0.26301，1月8日，天风证券 唐德婷qt 2885078648 to 外贸信托-元康盛景1号 赵婷婷</t>
    <phoneticPr fontId="6" type="noConversion"/>
  </si>
  <si>
    <t>3、25和赢蔚能ABN001BC优先A2(科创)[082580537.IB]，2500w，100净价，应计利息0.30137，1月8日，云南信托云乾10号 云南信托 陈文利3004414705  to 天风证券 唐德婷qt 2885078648
4、25和赢蔚能ABN001BC优先A2(科创)[082580537.IB]，2500w，100.01净价，应计利息0.30137，1月8日，天风证券 唐德婷qt 2885078648 to 外贸信托-元康盛景1号 赵婷婷</t>
    <phoneticPr fontId="6" type="noConversion"/>
  </si>
  <si>
    <t>次级</t>
    <phoneticPr fontId="6" type="noConversion"/>
  </si>
  <si>
    <t>央企应收</t>
    <phoneticPr fontId="6" type="noConversion"/>
  </si>
  <si>
    <t>一冶次级</t>
    <phoneticPr fontId="6" type="noConversion"/>
  </si>
  <si>
    <t>一级</t>
    <phoneticPr fontId="6" type="noConversion"/>
  </si>
  <si>
    <t>一冶</t>
    <phoneticPr fontId="6" type="noConversion"/>
  </si>
  <si>
    <t>苏信</t>
    <phoneticPr fontId="6" type="noConversion"/>
  </si>
  <si>
    <t>户已定，已过会</t>
    <phoneticPr fontId="6" type="noConversion"/>
  </si>
  <si>
    <t>中建基础</t>
    <phoneticPr fontId="6" type="noConversion"/>
  </si>
  <si>
    <t>收益率低，概率小</t>
    <phoneticPr fontId="6" type="noConversion"/>
  </si>
  <si>
    <t>美歆8期abs</t>
    <phoneticPr fontId="6" type="noConversion"/>
  </si>
  <si>
    <t>美团</t>
    <phoneticPr fontId="6" type="noConversion"/>
  </si>
  <si>
    <t>外贸1</t>
    <phoneticPr fontId="6" type="noConversion"/>
  </si>
  <si>
    <t>自持要求，搭售待定</t>
    <phoneticPr fontId="6" type="noConversion"/>
  </si>
  <si>
    <t>消金</t>
    <phoneticPr fontId="6" type="noConversion"/>
  </si>
  <si>
    <t>锦新2026-1ABN</t>
    <phoneticPr fontId="6" type="noConversion"/>
  </si>
  <si>
    <t>新网</t>
    <phoneticPr fontId="6" type="noConversion"/>
  </si>
  <si>
    <t>自持要求</t>
    <phoneticPr fontId="6" type="noConversion"/>
  </si>
  <si>
    <t>蔚能持有型不动产</t>
    <phoneticPr fontId="6" type="noConversion"/>
  </si>
  <si>
    <t>中信</t>
    <phoneticPr fontId="6" type="noConversion"/>
  </si>
  <si>
    <t>蔚能</t>
    <phoneticPr fontId="6" type="noConversion"/>
  </si>
  <si>
    <r>
      <rPr>
        <sz val="9"/>
        <color theme="1"/>
        <rFont val="宋体"/>
        <family val="2"/>
        <charset val="134"/>
      </rPr>
      <t>分期乐</t>
    </r>
    <r>
      <rPr>
        <sz val="9"/>
        <color theme="1"/>
        <rFont val="Arial"/>
        <family val="2"/>
      </rPr>
      <t>1</t>
    </r>
    <r>
      <rPr>
        <sz val="9"/>
        <color theme="1"/>
        <rFont val="宋体"/>
        <family val="2"/>
        <charset val="134"/>
      </rPr>
      <t>号</t>
    </r>
    <r>
      <rPr>
        <sz val="9"/>
        <color theme="1"/>
        <rFont val="Arial"/>
        <family val="2"/>
      </rPr>
      <t>3</t>
    </r>
    <r>
      <rPr>
        <sz val="9"/>
        <color theme="1"/>
        <rFont val="宋体"/>
        <family val="2"/>
        <charset val="134"/>
      </rPr>
      <t>期</t>
    </r>
    <phoneticPr fontId="20" type="noConversion"/>
  </si>
  <si>
    <r>
      <rPr>
        <sz val="9"/>
        <color theme="1"/>
        <rFont val="宋体"/>
        <family val="2"/>
        <charset val="134"/>
      </rPr>
      <t>惠农2号1</t>
    </r>
    <r>
      <rPr>
        <sz val="9"/>
        <color theme="1"/>
        <rFont val="Arial"/>
        <family val="2"/>
      </rPr>
      <t>1</t>
    </r>
    <r>
      <rPr>
        <sz val="9"/>
        <color theme="1"/>
        <rFont val="宋体"/>
        <family val="2"/>
        <charset val="134"/>
      </rPr>
      <t>期</t>
    </r>
    <phoneticPr fontId="20" type="noConversion"/>
  </si>
  <si>
    <t>华泰</t>
    <phoneticPr fontId="6" type="noConversion"/>
  </si>
  <si>
    <t>中金</t>
    <phoneticPr fontId="6" type="noConversion"/>
  </si>
  <si>
    <t>小微</t>
    <phoneticPr fontId="6" type="noConversion"/>
  </si>
  <si>
    <t>泸融3期</t>
    <phoneticPr fontId="6" type="noConversion"/>
  </si>
  <si>
    <t>华福</t>
    <phoneticPr fontId="6" type="noConversion"/>
  </si>
  <si>
    <t>泸州银行</t>
    <phoneticPr fontId="6" type="noConversion"/>
  </si>
  <si>
    <t>首创证券-潍信惟行2期</t>
    <phoneticPr fontId="6" type="noConversion"/>
  </si>
  <si>
    <t>首创</t>
    <phoneticPr fontId="6" type="noConversion"/>
  </si>
  <si>
    <t>潍坊银行</t>
    <phoneticPr fontId="6" type="noConversion"/>
  </si>
  <si>
    <t>保函</t>
    <phoneticPr fontId="6" type="noConversion"/>
  </si>
  <si>
    <t>汽车消费</t>
    <phoneticPr fontId="6" type="noConversion"/>
  </si>
  <si>
    <t>渣打代投</t>
    <phoneticPr fontId="6" type="noConversion"/>
  </si>
  <si>
    <t>乐信</t>
    <phoneticPr fontId="6" type="noConversion"/>
  </si>
  <si>
    <t>狮桥</t>
    <phoneticPr fontId="6" type="noConversion"/>
  </si>
  <si>
    <t>3.1%-3.3%</t>
    <phoneticPr fontId="6" type="noConversion"/>
  </si>
  <si>
    <t>新发行：优先级/非不良</t>
    <phoneticPr fontId="6" type="noConversion"/>
  </si>
  <si>
    <t>新发行：次级/非不良（含搭售）</t>
    <phoneticPr fontId="6" type="noConversion"/>
  </si>
  <si>
    <t>新发行：次级/不良（含搭售）</t>
    <phoneticPr fontId="6" type="noConversion"/>
  </si>
  <si>
    <t>优先A3-AA+</t>
    <phoneticPr fontId="6" type="noConversion"/>
  </si>
  <si>
    <t>优先C-A</t>
    <phoneticPr fontId="6" type="noConversion"/>
  </si>
  <si>
    <t>平层-AAA</t>
    <phoneticPr fontId="6" type="noConversion"/>
  </si>
  <si>
    <t>优先A-AAA</t>
    <phoneticPr fontId="6" type="noConversion"/>
  </si>
  <si>
    <t>夹层-AA+</t>
    <phoneticPr fontId="6" type="noConversion"/>
  </si>
  <si>
    <t>二级</t>
    <phoneticPr fontId="6" type="noConversion"/>
  </si>
  <si>
    <t>海云3A</t>
    <phoneticPr fontId="6" type="noConversion"/>
  </si>
  <si>
    <t>国金</t>
    <phoneticPr fontId="6" type="noConversion"/>
  </si>
  <si>
    <t>1月份排券计划</t>
    <phoneticPr fontId="6" type="noConversion"/>
  </si>
  <si>
    <t>代码</t>
    <phoneticPr fontId="6" type="noConversion"/>
  </si>
  <si>
    <t>数量</t>
    <phoneticPr fontId="6" type="noConversion"/>
  </si>
  <si>
    <t>净价</t>
    <phoneticPr fontId="6" type="noConversion"/>
  </si>
  <si>
    <t>全价</t>
    <phoneticPr fontId="6" type="noConversion"/>
  </si>
  <si>
    <t>规模</t>
    <phoneticPr fontId="6" type="noConversion"/>
  </si>
  <si>
    <t>交易日期</t>
    <phoneticPr fontId="6" type="noConversion"/>
  </si>
  <si>
    <t>申购</t>
    <phoneticPr fontId="6" type="noConversion"/>
  </si>
  <si>
    <t>后手收益率</t>
  </si>
  <si>
    <t>上家</t>
  </si>
  <si>
    <t>过桥</t>
  </si>
  <si>
    <t>过桥费</t>
  </si>
  <si>
    <t>估值后手收益率</t>
  </si>
  <si>
    <t>最新评级</t>
  </si>
  <si>
    <t>上个付息日</t>
  </si>
  <si>
    <t>应计利息</t>
  </si>
  <si>
    <t>起息日</t>
  </si>
  <si>
    <t>本金开始摊还日</t>
  </si>
  <si>
    <t>剩余面值</t>
  </si>
  <si>
    <t>票息（预期）</t>
    <phoneticPr fontId="6" type="noConversion"/>
  </si>
  <si>
    <t>铁建Y28C</t>
    <phoneticPr fontId="10" type="noConversion"/>
  </si>
  <si>
    <t>铁建Y28C</t>
    <phoneticPr fontId="6" type="noConversion"/>
  </si>
  <si>
    <t>267372.SH</t>
    <phoneticPr fontId="6" type="noConversion"/>
  </si>
  <si>
    <t>启悦16次</t>
    <phoneticPr fontId="6" type="noConversion"/>
  </si>
  <si>
    <t>熹焱03A3</t>
    <phoneticPr fontId="6" type="noConversion"/>
  </si>
  <si>
    <t>熹焱07A3</t>
    <phoneticPr fontId="6" type="noConversion"/>
  </si>
  <si>
    <t>工鑫39次</t>
    <phoneticPr fontId="6" type="noConversion"/>
  </si>
  <si>
    <t>工鑫41次</t>
    <phoneticPr fontId="6" type="noConversion"/>
  </si>
  <si>
    <t>熠安02A3</t>
    <phoneticPr fontId="6" type="noConversion"/>
  </si>
  <si>
    <t>28号</t>
    <phoneticPr fontId="6" type="noConversion"/>
  </si>
  <si>
    <t>20号</t>
    <phoneticPr fontId="6" type="noConversion"/>
  </si>
  <si>
    <t>中债估值</t>
    <phoneticPr fontId="6" type="noConversion"/>
  </si>
  <si>
    <t>按预计估值，平价出</t>
    <phoneticPr fontId="6" type="noConversion"/>
  </si>
  <si>
    <t>根据估值出</t>
    <phoneticPr fontId="6" type="noConversion"/>
  </si>
  <si>
    <t>中金代持期间5.5%</t>
    <phoneticPr fontId="6" type="noConversion"/>
  </si>
  <si>
    <t>国泰代持期间4.5%</t>
    <phoneticPr fontId="6" type="noConversion"/>
  </si>
  <si>
    <t>分期乐1号3期</t>
  </si>
  <si>
    <t>A</t>
    <phoneticPr fontId="6" type="noConversion"/>
  </si>
  <si>
    <t>富民</t>
    <phoneticPr fontId="6" type="noConversion"/>
  </si>
  <si>
    <t>26号</t>
    <phoneticPr fontId="6" type="noConversion"/>
  </si>
  <si>
    <t>渣打</t>
    <phoneticPr fontId="6" type="noConversion"/>
  </si>
  <si>
    <t>底层回款</t>
    <phoneticPr fontId="6" type="noConversion"/>
  </si>
  <si>
    <t>雪球申购</t>
    <phoneticPr fontId="6" type="noConversion"/>
  </si>
  <si>
    <t>朗瑞1-5</t>
    <phoneticPr fontId="15" type="noConversion"/>
  </si>
  <si>
    <t>申购朗瑞1-5</t>
    <phoneticPr fontId="15" type="noConversion"/>
  </si>
  <si>
    <t>铁建051C (199768.SH)，365w，111.025，1月12日，方田远见2号 Z06704 （方田资本陈兴宇1519091045 ）to 元康盛景28号 刘靖涛，约定号：592</t>
    <phoneticPr fontId="6" type="noConversion"/>
  </si>
  <si>
    <t>新增申购</t>
    <phoneticPr fontId="6" type="noConversion"/>
  </si>
  <si>
    <t>赎回</t>
    <phoneticPr fontId="6" type="noConversion"/>
  </si>
  <si>
    <t>元康12号</t>
    <phoneticPr fontId="6" type="noConversion"/>
  </si>
  <si>
    <t>500193.SZ</t>
    <phoneticPr fontId="6" type="noConversion"/>
  </si>
  <si>
    <t>乐信12C</t>
    <phoneticPr fontId="6" type="noConversion"/>
  </si>
  <si>
    <t>500210.SZ</t>
    <phoneticPr fontId="6" type="noConversion"/>
  </si>
  <si>
    <t>264610.SH</t>
    <phoneticPr fontId="6" type="noConversion"/>
  </si>
  <si>
    <t>266980.SH</t>
    <phoneticPr fontId="6" type="noConversion"/>
  </si>
  <si>
    <t>266192.SH</t>
    <phoneticPr fontId="6" type="noConversion"/>
  </si>
  <si>
    <t>AA+</t>
    <phoneticPr fontId="6" type="noConversion"/>
  </si>
  <si>
    <t>AAA</t>
    <phoneticPr fontId="6" type="noConversion"/>
  </si>
  <si>
    <t>五矿申购</t>
    <phoneticPr fontId="6" type="noConversion"/>
  </si>
  <si>
    <t>25臻金4C[2589445.IB] ,1000w,100.644, 1月12日，t+0, 中金 王东岳 to 外贸信托朗瑞1号8期，孟亚琪</t>
    <phoneticPr fontId="6" type="noConversion"/>
  </si>
  <si>
    <t>熠然02A3</t>
    <phoneticPr fontId="6" type="noConversion"/>
  </si>
  <si>
    <t>1-8申请</t>
    <phoneticPr fontId="6" type="noConversion"/>
  </si>
  <si>
    <t>能否提前到1-8的开放日赎回？；然后周一中午到账？</t>
    <phoneticPr fontId="6" type="noConversion"/>
  </si>
  <si>
    <t>A-待定</t>
    <phoneticPr fontId="6" type="noConversion"/>
  </si>
  <si>
    <t>铁建058C</t>
    <phoneticPr fontId="6" type="noConversion"/>
  </si>
  <si>
    <t>G铁建82C</t>
    <phoneticPr fontId="6" type="noConversion"/>
  </si>
  <si>
    <t>铁建051C</t>
    <phoneticPr fontId="6" type="noConversion"/>
  </si>
  <si>
    <t>帮代持，代持成本6%</t>
    <phoneticPr fontId="6" type="noConversion"/>
  </si>
  <si>
    <t>卖断后手6%</t>
    <phoneticPr fontId="6" type="noConversion"/>
  </si>
  <si>
    <t>价格按公允</t>
    <phoneticPr fontId="6" type="noConversion"/>
  </si>
  <si>
    <t>NA</t>
    <phoneticPr fontId="6" type="noConversion"/>
  </si>
  <si>
    <t>扬讯</t>
    <phoneticPr fontId="6" type="noConversion"/>
  </si>
  <si>
    <t>最新估值</t>
    <phoneticPr fontId="6" type="noConversion"/>
  </si>
  <si>
    <t>估值日期</t>
    <phoneticPr fontId="6" type="noConversion"/>
  </si>
  <si>
    <t>na</t>
    <phoneticPr fontId="6" type="noConversion"/>
  </si>
  <si>
    <t>待上市</t>
    <phoneticPr fontId="6" type="noConversion"/>
  </si>
  <si>
    <t>20建鑫6C</t>
    <phoneticPr fontId="6" type="noConversion"/>
  </si>
  <si>
    <t>1-26之前</t>
    <phoneticPr fontId="6" type="noConversion"/>
  </si>
  <si>
    <t>建信信托</t>
    <phoneticPr fontId="6" type="noConversion"/>
  </si>
  <si>
    <t>铁建058C[260655.SH]，279w，109.225,1月13日，方田远见9号 to 元康盛景28号 刘靖涛</t>
    <phoneticPr fontId="6" type="noConversion"/>
  </si>
  <si>
    <t>元康盛景1号申购</t>
    <phoneticPr fontId="6" type="noConversion"/>
  </si>
  <si>
    <t>外贸元康1</t>
    <phoneticPr fontId="6" type="noConversion"/>
  </si>
  <si>
    <t>打新</t>
    <phoneticPr fontId="6" type="noConversion"/>
  </si>
  <si>
    <t>归还回购</t>
    <phoneticPr fontId="6" type="noConversion"/>
  </si>
  <si>
    <t>云意电气</t>
    <phoneticPr fontId="6" type="noConversion"/>
  </si>
  <si>
    <t>25光大环保ABN001次</t>
  </si>
  <si>
    <t>待定蔚能持有型不动产</t>
    <phoneticPr fontId="6" type="noConversion"/>
  </si>
  <si>
    <t>回购归还</t>
    <phoneticPr fontId="6" type="noConversion"/>
  </si>
  <si>
    <t>熠然5A3</t>
    <phoneticPr fontId="6" type="noConversion"/>
  </si>
  <si>
    <t>涉及回来多少钱</t>
    <phoneticPr fontId="6" type="noConversion"/>
  </si>
  <si>
    <t>回款</t>
    <phoneticPr fontId="6" type="noConversion"/>
  </si>
  <si>
    <t>申购朗瑞1-1</t>
    <phoneticPr fontId="6" type="noConversion"/>
  </si>
  <si>
    <t>按此金额</t>
    <phoneticPr fontId="6" type="noConversion"/>
  </si>
  <si>
    <t>25光大环保ABN001次(碳中和债)[082581155.IB] ,3905w,100.5562,1月14日，t+0，国泰海通 xx to 朗瑞1号1期 孟亚琪</t>
    <phoneticPr fontId="6" type="noConversion"/>
  </si>
  <si>
    <t>25光大环保ABN001次(碳中和债)[082581155.IB] ,95w,100.5562,1月14日，t+0，国泰海通 xx to 外贸元康盛景1号 赵婷婷</t>
    <phoneticPr fontId="6" type="noConversion"/>
  </si>
  <si>
    <t>金城</t>
    <phoneticPr fontId="6" type="noConversion"/>
  </si>
  <si>
    <t>兑付</t>
    <phoneticPr fontId="6" type="noConversion"/>
  </si>
  <si>
    <t>朗瑞1-5</t>
    <phoneticPr fontId="6" type="noConversion"/>
  </si>
  <si>
    <t>元康28</t>
    <phoneticPr fontId="6" type="noConversion"/>
  </si>
  <si>
    <t>元康20</t>
    <phoneticPr fontId="6" type="noConversion"/>
  </si>
  <si>
    <t>元康20申购</t>
    <phoneticPr fontId="6" type="noConversion"/>
  </si>
  <si>
    <t>倒算-110.075</t>
    <phoneticPr fontId="6" type="noConversion"/>
  </si>
  <si>
    <t>1、熠然5A3[263739.SH]，500w，净价100元，1月14日，国泰海通 樊文娟 to 元康盛景20号 刘靖涛</t>
    <phoneticPr fontId="6" type="noConversion"/>
  </si>
  <si>
    <t>熠安02A3[144651.SZ]，100w，净价100元，1月14日，国泰海通 樊文娟 to 苏信财富组合添利Z2501集合资金信托计划 徐健</t>
    <phoneticPr fontId="6" type="noConversion"/>
  </si>
  <si>
    <t>注意买入的熠然02A3也会有兑付</t>
    <phoneticPr fontId="6" type="noConversion"/>
  </si>
  <si>
    <t>G铁建82C[266500.SH]，326w，102.048,1月16日，方田维纳3号 方田资本陈兴宇1519091045 to 元康盛景20号 刘靖涛</t>
    <phoneticPr fontId="6" type="noConversion"/>
  </si>
  <si>
    <t>盘下1月15日的回款，注意质押</t>
    <phoneticPr fontId="6" type="noConversion"/>
  </si>
  <si>
    <t>宝冶兑付</t>
    <phoneticPr fontId="6" type="noConversion"/>
  </si>
  <si>
    <t>释放回款</t>
    <phoneticPr fontId="6" type="noConversion"/>
  </si>
  <si>
    <t>东吴申购</t>
    <phoneticPr fontId="6" type="noConversion"/>
  </si>
  <si>
    <t>铁建051C[199768.SH]，665w，111.075,1月16日，方田启航9号 to 元康盛景20号 刘靖涛</t>
    <phoneticPr fontId="6" type="noConversion"/>
  </si>
  <si>
    <t>熠安02A3归还回购</t>
    <phoneticPr fontId="6" type="noConversion"/>
  </si>
  <si>
    <t>兑付回款</t>
    <phoneticPr fontId="6" type="noConversion"/>
  </si>
  <si>
    <t>兑付赎回</t>
    <phoneticPr fontId="6" type="noConversion"/>
  </si>
  <si>
    <t>支付管理费</t>
    <phoneticPr fontId="6" type="noConversion"/>
  </si>
  <si>
    <t>苏信Z2501</t>
    <phoneticPr fontId="6" type="noConversion"/>
  </si>
  <si>
    <t>卖家交易员</t>
    <phoneticPr fontId="6" type="noConversion"/>
  </si>
  <si>
    <t>买家交易员</t>
    <phoneticPr fontId="6" type="noConversion"/>
  </si>
  <si>
    <t>交易要素</t>
    <phoneticPr fontId="6" type="noConversion"/>
  </si>
  <si>
    <t>芜湖扬讯 Z11825</t>
    <phoneticPr fontId="6" type="noConversion"/>
  </si>
  <si>
    <t>渣打（）</t>
    <phoneticPr fontId="6" type="noConversion"/>
  </si>
  <si>
    <t>富民（）</t>
    <phoneticPr fontId="6" type="noConversion"/>
  </si>
  <si>
    <t>元康9申购</t>
    <phoneticPr fontId="6" type="noConversion"/>
  </si>
  <si>
    <t>24中誉至诚9C</t>
    <phoneticPr fontId="6" type="noConversion"/>
  </si>
  <si>
    <t>元康1号赎回</t>
    <phoneticPr fontId="6" type="noConversion"/>
  </si>
  <si>
    <t>下个本金兑付日</t>
    <phoneticPr fontId="6" type="noConversion"/>
  </si>
  <si>
    <t>证券代码</t>
    <phoneticPr fontId="6" type="noConversion"/>
  </si>
  <si>
    <t>下个本金兑付日 
=@b_anal_nxcupn(L12)</t>
    <phoneticPr fontId="6" type="noConversion"/>
  </si>
  <si>
    <t>2389064.IB</t>
  </si>
  <si>
    <t>2389076.IB</t>
  </si>
  <si>
    <t>2389087.IB</t>
  </si>
  <si>
    <t>2389095.IB</t>
  </si>
  <si>
    <t>2389105.IB</t>
  </si>
  <si>
    <t>2389132.IB</t>
  </si>
  <si>
    <t>2389216.IB</t>
  </si>
  <si>
    <t>2389200.IB</t>
  </si>
  <si>
    <t>2389222.IB</t>
  </si>
  <si>
    <t>2389111.IB</t>
  </si>
  <si>
    <t>2389323.IB</t>
  </si>
  <si>
    <t>2389325.IB</t>
  </si>
  <si>
    <t>2389347.IB</t>
  </si>
  <si>
    <t>2389341.IB</t>
  </si>
  <si>
    <t>2389353.IB</t>
  </si>
  <si>
    <t>2389426.IB</t>
  </si>
  <si>
    <t>2389428.IB</t>
  </si>
  <si>
    <t>2389432.IB</t>
  </si>
  <si>
    <t>2389441.IB</t>
  </si>
  <si>
    <t>2389446.IB</t>
  </si>
  <si>
    <t>2389456.IB</t>
  </si>
  <si>
    <t>2389474.IB</t>
  </si>
  <si>
    <t>2389470.IB</t>
  </si>
  <si>
    <t>2389487.IB</t>
  </si>
  <si>
    <t>2489074.IB</t>
  </si>
  <si>
    <t>2489050.IB</t>
  </si>
  <si>
    <t>2489044.IB</t>
  </si>
  <si>
    <t>2189555.IB</t>
  </si>
  <si>
    <t>2189410.IB</t>
  </si>
  <si>
    <t>2489090.IB</t>
  </si>
  <si>
    <t>2489134.IB</t>
  </si>
  <si>
    <t>2489147.IB</t>
  </si>
  <si>
    <t>2489146.IB</t>
  </si>
  <si>
    <t>2489192.IB</t>
  </si>
  <si>
    <t>2489191.IB</t>
  </si>
  <si>
    <t>2489200.IB</t>
  </si>
  <si>
    <t>2489162.IB</t>
  </si>
  <si>
    <t>2489161.IB</t>
  </si>
  <si>
    <t>2489229.IB</t>
  </si>
  <si>
    <t>2489237.IB</t>
  </si>
  <si>
    <t>2489253.IB</t>
  </si>
  <si>
    <t>2489257.IB</t>
  </si>
  <si>
    <t>2489284.IB</t>
  </si>
  <si>
    <t>2489335.IB</t>
  </si>
  <si>
    <t>2489337.IB</t>
  </si>
  <si>
    <t>2489382.IB</t>
  </si>
  <si>
    <t>2489376.IB</t>
  </si>
  <si>
    <t>2489390.IB</t>
  </si>
  <si>
    <t>2489418.IB</t>
  </si>
  <si>
    <t>2489417.IB</t>
  </si>
  <si>
    <t>2489414.IB</t>
  </si>
  <si>
    <t>2489413.IB</t>
  </si>
  <si>
    <t>2489436.IB</t>
  </si>
  <si>
    <t>2589025.IB</t>
  </si>
  <si>
    <t>2589031.IB</t>
  </si>
  <si>
    <t>2589012.IB</t>
  </si>
  <si>
    <t>2589029.IB</t>
  </si>
  <si>
    <t>2589057.IB</t>
  </si>
  <si>
    <t>2489264.IB</t>
  </si>
  <si>
    <t>2589087.IB</t>
  </si>
  <si>
    <t>2589115.IB</t>
  </si>
  <si>
    <t>2589114.IB</t>
  </si>
  <si>
    <t>2489188.IB</t>
  </si>
  <si>
    <t>2589127.IB</t>
  </si>
  <si>
    <t>2589168.IB</t>
  </si>
  <si>
    <t>2589157.IB</t>
  </si>
  <si>
    <t>2589216.IB</t>
  </si>
  <si>
    <t>2589215.IB</t>
  </si>
  <si>
    <t>2589222.IB</t>
  </si>
  <si>
    <t>2589208.IB</t>
  </si>
  <si>
    <t>2589243.IB</t>
  </si>
  <si>
    <t>2589242.IB</t>
  </si>
  <si>
    <t>2589249.IB</t>
  </si>
  <si>
    <t>2589290.IB</t>
  </si>
  <si>
    <t>2589292.IB</t>
  </si>
  <si>
    <t>2589330.IB</t>
  </si>
  <si>
    <t>2589350.IB</t>
  </si>
  <si>
    <t>2589364.IB</t>
  </si>
  <si>
    <t>2589366.IB</t>
  </si>
  <si>
    <t>2589368.IB</t>
  </si>
  <si>
    <t>2589367.IB</t>
  </si>
  <si>
    <t>2589318.IB</t>
  </si>
  <si>
    <t>2589451.IB</t>
  </si>
  <si>
    <t>2589507.IB</t>
  </si>
  <si>
    <t>2589511.IB</t>
  </si>
  <si>
    <t>2589499.IB</t>
  </si>
  <si>
    <t>2589521.IB</t>
  </si>
  <si>
    <t>2089144.IB</t>
  </si>
  <si>
    <t>2289261.IB</t>
  </si>
  <si>
    <t>2289384.IB</t>
  </si>
  <si>
    <t>2289273.IB</t>
  </si>
  <si>
    <t>2289380.IB</t>
  </si>
  <si>
    <t>2289382.IB</t>
  </si>
  <si>
    <t>2289237.IB</t>
  </si>
  <si>
    <t>2389458.IB</t>
  </si>
  <si>
    <t>2389043.IB</t>
  </si>
  <si>
    <t>2489082.IB</t>
  </si>
  <si>
    <t>2489288.IB</t>
  </si>
  <si>
    <t>2489080.IB</t>
  </si>
  <si>
    <t>2589435.IB</t>
  </si>
  <si>
    <t>2589445.IB</t>
  </si>
  <si>
    <t>2026-07-26</t>
  </si>
  <si>
    <t>2489235.IB</t>
  </si>
  <si>
    <t>2589233.IB</t>
  </si>
  <si>
    <t>2489255.IB</t>
  </si>
  <si>
    <t>2489088.IB</t>
  </si>
  <si>
    <t>2589100.IB</t>
  </si>
  <si>
    <t>2589099.IB</t>
  </si>
  <si>
    <t>2589121.IB</t>
  </si>
  <si>
    <t>2589247.IB</t>
  </si>
  <si>
    <t>2489145.IB</t>
  </si>
  <si>
    <t>2489174.IB</t>
  </si>
  <si>
    <t>2489290.IB</t>
  </si>
  <si>
    <t>2489430.IB</t>
  </si>
  <si>
    <t>面值 
=@b_info_latestpar(l12,"")</t>
    <phoneticPr fontId="6" type="noConversion"/>
  </si>
  <si>
    <t>资产类别</t>
  </si>
  <si>
    <t>合作方最早买入时间</t>
  </si>
  <si>
    <t>持仓规模</t>
  </si>
  <si>
    <t>剩余本金</t>
  </si>
  <si>
    <t>银河</t>
  </si>
  <si>
    <t xml:space="preserve">面值 </t>
    <phoneticPr fontId="6" type="noConversion"/>
  </si>
  <si>
    <t>待买回证券</t>
    <phoneticPr fontId="6" type="noConversion"/>
  </si>
  <si>
    <t>预计交易日期</t>
    <phoneticPr fontId="6" type="noConversion"/>
  </si>
  <si>
    <t>预期交易价格</t>
    <phoneticPr fontId="6" type="noConversion"/>
  </si>
  <si>
    <t>补23建鑫8C收益</t>
    <phoneticPr fontId="6" type="noConversion"/>
  </si>
  <si>
    <t>23建鑫8C需补收益</t>
    <phoneticPr fontId="6" type="noConversion"/>
  </si>
  <si>
    <t>24兴瑞8C补</t>
    <phoneticPr fontId="6" type="noConversion"/>
  </si>
  <si>
    <t>剩余待补收益</t>
    <phoneticPr fontId="6" type="noConversion"/>
  </si>
  <si>
    <t>预计交易金额</t>
    <phoneticPr fontId="6" type="noConversion"/>
  </si>
  <si>
    <t>月付，可推迟到下个月兑付前交易</t>
    <phoneticPr fontId="6" type="noConversion"/>
  </si>
  <si>
    <t>有可能本期本金兑付完毕</t>
    <phoneticPr fontId="6" type="noConversion"/>
  </si>
  <si>
    <t>本期必须买回</t>
    <phoneticPr fontId="6" type="noConversion"/>
  </si>
  <si>
    <t>雪球申购</t>
  </si>
  <si>
    <t>支付增值税</t>
    <phoneticPr fontId="6" type="noConversion"/>
  </si>
  <si>
    <t>新增申购-爱建</t>
    <phoneticPr fontId="6" type="noConversion"/>
  </si>
  <si>
    <t>国联</t>
  </si>
  <si>
    <t>申购朗瑞1-8</t>
    <phoneticPr fontId="6" type="noConversion"/>
  </si>
  <si>
    <t>元康29申购</t>
    <phoneticPr fontId="6" type="noConversion"/>
  </si>
  <si>
    <t>云信5美好3次</t>
    <phoneticPr fontId="6" type="noConversion"/>
  </si>
  <si>
    <t>云信</t>
    <phoneticPr fontId="6" type="noConversion"/>
  </si>
  <si>
    <t>5美好3次</t>
    <phoneticPr fontId="6" type="noConversion"/>
  </si>
  <si>
    <t>24美团美玥ABN001次</t>
    <phoneticPr fontId="6" type="noConversion"/>
  </si>
  <si>
    <t>未中</t>
    <phoneticPr fontId="6" type="noConversion"/>
  </si>
  <si>
    <t>23建鑫4C</t>
    <phoneticPr fontId="6" type="noConversion"/>
  </si>
  <si>
    <t>潍坊保函</t>
    <phoneticPr fontId="6" type="noConversion"/>
  </si>
  <si>
    <t>烟台银行次级</t>
    <phoneticPr fontId="6" type="noConversion"/>
  </si>
  <si>
    <t>乐信12C[500210.SZ]，1500w，净价100，1月16日，富民王雪乔 to 苏信财富组合添利Z2501集合资金信托计划 徐健 qq455768073 邮箱xuj@trustsz.com</t>
    <phoneticPr fontId="6" type="noConversion"/>
  </si>
  <si>
    <t>25乐信1C[264610.SH]，600w，100，1月16日，元康盛景26号 to 芜湖扬讯 Z11825</t>
  </si>
  <si>
    <t>炽诚3A3[266980.SH]，1000w，99.5，1月16日，元康盛景26号 to 芜湖扬讯 Z11825</t>
  </si>
  <si>
    <t>DY03优3[266192.SH]，1000w，100，1月16日，元康盛景26号 to 芜湖扬讯 Z11825</t>
  </si>
  <si>
    <t>银河证券</t>
    <phoneticPr fontId="6" type="noConversion"/>
  </si>
  <si>
    <t>银河证券</t>
  </si>
  <si>
    <t>信达证券</t>
    <phoneticPr fontId="6" type="noConversion"/>
  </si>
  <si>
    <t>信达证券</t>
  </si>
  <si>
    <t>中泰证券</t>
    <phoneticPr fontId="6" type="noConversion"/>
  </si>
  <si>
    <t>国联证券</t>
    <phoneticPr fontId="6" type="noConversion"/>
  </si>
  <si>
    <t>23中誉1C</t>
    <phoneticPr fontId="6" type="noConversion"/>
  </si>
  <si>
    <t>24臻粹3C</t>
    <phoneticPr fontId="6" type="noConversion"/>
  </si>
  <si>
    <t>24邮盈惠兴4C</t>
    <phoneticPr fontId="6" type="noConversion"/>
  </si>
  <si>
    <t>24邮盈惠兴5C</t>
    <phoneticPr fontId="6" type="noConversion"/>
  </si>
  <si>
    <t>24臻粹3C[2489229.IB]，7w，全价57.1,1月16日，t+0，国泰海通 冉雅婷 to 外贸信托朗瑞1号8期 孟亚琪</t>
    <phoneticPr fontId="6" type="noConversion"/>
  </si>
  <si>
    <t>24邮盈惠兴4C[2489188.IB]，400w，全价35.9,1月16日，t+0，国泰海通 冉雅婷 to 外贸信托朗瑞1号8期 孟亚琪</t>
    <phoneticPr fontId="6" type="noConversion"/>
  </si>
  <si>
    <t>总规模</t>
    <phoneticPr fontId="6" type="noConversion"/>
  </si>
  <si>
    <t>加权收益</t>
    <phoneticPr fontId="6" type="noConversion"/>
  </si>
  <si>
    <t>熠安02A3[144651.SZ]，600w，净价94.95，1月16日，元康22 to 扬讯</t>
    <phoneticPr fontId="6" type="noConversion"/>
  </si>
  <si>
    <t>已发</t>
    <phoneticPr fontId="6" type="noConversion"/>
  </si>
  <si>
    <t>量太小，不考虑买回了</t>
    <phoneticPr fontId="6" type="noConversion"/>
  </si>
  <si>
    <t>自持；26锦新小微ABN001次，082680037，800w，5.7%，1-19日缴款，1-20起息，外贸信托-元康盛景1号一级缴款。</t>
    <phoneticPr fontId="20" type="noConversion"/>
  </si>
  <si>
    <t>朗瑞1-7</t>
    <phoneticPr fontId="6" type="noConversion"/>
  </si>
  <si>
    <t>朗瑞1-5赎回</t>
    <phoneticPr fontId="6" type="noConversion"/>
  </si>
  <si>
    <t>24邮盈惠兴5C[2489255.IB]，140w，全价47.9555, 1月19日，t+0，银河 赵恩聪 to 外贸信托朗瑞1号8期 孟亚琪</t>
    <phoneticPr fontId="6" type="noConversion"/>
  </si>
  <si>
    <t>联储赎回</t>
    <phoneticPr fontId="6" type="noConversion"/>
  </si>
  <si>
    <t>5美好3次[263313.SH]，1500w面值，107.743,1月19日，云南信托QT3004414706  to 元康盛景28号 刘靖涛qt3003993899</t>
    <phoneticPr fontId="6" type="noConversion"/>
  </si>
  <si>
    <t>24美团美玥ABN001次[082481199.IB]，2000w面值，107.4225,1月19日，中信证券 林秋益QT 3004157238 to 外贸信托朗瑞1号5期 孟亚琪</t>
    <phoneticPr fontId="6" type="noConversion"/>
  </si>
  <si>
    <t>2、24邮盈惠兴4C[2489188.IB]，400w，全价35.9,1月16日，t+0，国泰海通 冉雅婷 to 外贸信托朗瑞1号8期 孟亚琪</t>
  </si>
  <si>
    <t>1/19+0，荟享244C，146608.SZ，353w，净价100.159元，扬讯 出 元康盛景20号 刘靖涛</t>
    <phoneticPr fontId="6" type="noConversion"/>
  </si>
  <si>
    <t>1/20+0，荟享244C，146608.SZ，966w，净价100.209元， 苏信财富组合添利Z2502集合资金信托计划 徐健qq455768073 to 粤开证券（许逸潇）</t>
    <phoneticPr fontId="6" type="noConversion"/>
  </si>
  <si>
    <t>144671.SZ</t>
    <phoneticPr fontId="6" type="noConversion"/>
  </si>
  <si>
    <t>146761.SZ</t>
    <phoneticPr fontId="6" type="noConversion"/>
  </si>
  <si>
    <t>144237.SZ</t>
    <phoneticPr fontId="6" type="noConversion"/>
  </si>
  <si>
    <t>265852.SH</t>
  </si>
  <si>
    <t>266482.SH</t>
  </si>
  <si>
    <t>144651.SZ</t>
  </si>
  <si>
    <t>启悦16次,146761.SZ,300w,全价102.689，1月19日，芜湖扬讯 to 苏信Z2502</t>
    <phoneticPr fontId="6" type="noConversion"/>
  </si>
  <si>
    <t>熹焱03A3,144237.SZ,1000w,净价38.56，1月19日，芜湖扬讯 to 苏信Z2502</t>
    <phoneticPr fontId="6" type="noConversion"/>
  </si>
  <si>
    <t>工鑫39次,265852.SH,1100w,全价103.418，1月23日，厦门信托鑫鹭1号李丹萍3003775644 to 苏信财富组合添利Z2502，徐健qq455768073</t>
    <phoneticPr fontId="6" type="noConversion"/>
  </si>
  <si>
    <t>工鑫41次,266482.SH,1260w,全价102.825，1月23日，厦门信托鑫鹭1号李丹萍3003775644 to 苏信财富组合添利Z2502，徐健qq455768073</t>
    <phoneticPr fontId="6" type="noConversion"/>
  </si>
  <si>
    <t>启悦16次,146761.SZ,300w,全价102.679，1月19日，元康28号 to 扬讯</t>
    <phoneticPr fontId="6" type="noConversion"/>
  </si>
  <si>
    <t>熹焱03A3,144237.SZ,1000w,净价38.55，1月19日，元康28号 to 扬讯</t>
    <phoneticPr fontId="6" type="noConversion"/>
  </si>
  <si>
    <t>熹焱07A3,144671.SZ,2310w,净价80.65，1月19日，芜湖扬讯 to 苏信Z2502</t>
    <phoneticPr fontId="6" type="noConversion"/>
  </si>
  <si>
    <t>熹焱07A3,144671.SZ,2310w,净价80.65，1月19日，元康28号 to 扬讯</t>
    <phoneticPr fontId="6" type="noConversion"/>
  </si>
  <si>
    <t>启悦15次</t>
  </si>
  <si>
    <r>
      <rPr>
        <sz val="11"/>
        <color theme="1"/>
        <rFont val="宋体"/>
        <family val="3"/>
        <charset val="134"/>
      </rPr>
      <t>启悦</t>
    </r>
    <r>
      <rPr>
        <sz val="11"/>
        <color theme="1"/>
        <rFont val="Arial"/>
        <family val="3"/>
        <charset val="134"/>
      </rPr>
      <t>15</t>
    </r>
    <r>
      <rPr>
        <sz val="11"/>
        <color theme="1"/>
        <rFont val="宋体"/>
        <family val="3"/>
        <charset val="134"/>
      </rPr>
      <t>次</t>
    </r>
    <phoneticPr fontId="6" type="noConversion"/>
  </si>
  <si>
    <t>146285.SZ</t>
    <phoneticPr fontId="6" type="noConversion"/>
  </si>
  <si>
    <t>启悦15次，146285.SZ,500w，全价103.616,1月19日，芜湖扬讯 to 苏信Z2502</t>
    <phoneticPr fontId="6" type="noConversion"/>
  </si>
  <si>
    <t>启悦15次，146285.SZ,500w，全价103.606,1月19日，元康28号to 扬讯</t>
    <phoneticPr fontId="6" type="noConversion"/>
  </si>
  <si>
    <t>等等一些二级交易谈判</t>
    <phoneticPr fontId="6" type="noConversion"/>
  </si>
  <si>
    <t>铁建Y28C,267372.SH,2860w,全价100.481</t>
    <phoneticPr fontId="6" type="noConversion"/>
  </si>
  <si>
    <t xml:space="preserve"> </t>
    <phoneticPr fontId="6" type="noConversion"/>
  </si>
  <si>
    <t>荟享244C</t>
    <phoneticPr fontId="6" type="noConversion"/>
  </si>
  <si>
    <t>熠安02A3,144651.SZ,1172w,净价94.89, 1月19日，元康20号 to 扬讯</t>
    <phoneticPr fontId="6" type="noConversion"/>
  </si>
  <si>
    <t>熠安02A3,144651.SZ,1172w,净价94.9，1月19日，芜湖扬讯 to 苏信Z2502</t>
    <phoneticPr fontId="6" type="noConversion"/>
  </si>
  <si>
    <t>熠安02A3[144651.SZ]，600w，净价94.9548，1月16日， 扬讯 to 元康26</t>
    <phoneticPr fontId="6" type="noConversion"/>
  </si>
  <si>
    <t>1、24臻粹3C[2489229.IB]，7w，全价57.1,1月16日，t+0，国泰海通 冉雅婷 to 外贸信托朗瑞1号8期 孟亚琪</t>
    <phoneticPr fontId="6" type="noConversion"/>
  </si>
  <si>
    <t>3、24邮盈惠兴5C[2489255.IB]，140w，全价47.9555, 1月19日，t+0，银河 赵恩聪 to 外贸信托朗瑞1号8期 孟亚琪</t>
    <phoneticPr fontId="6" type="noConversion"/>
  </si>
  <si>
    <t>狮桥62A2[500193.SZ]，600w，净价100.003，1月19日，中信证券 3004076439 to 苏信财富组合添利Z2501集合资金信托计划 徐健 qq455768073 邮箱xuj@trustsz.com </t>
  </si>
  <si>
    <t>盛煜015C</t>
    <phoneticPr fontId="6" type="noConversion"/>
  </si>
  <si>
    <t>狮桥62A2[500193.SZ]，600w，净价100.003，1月19日，中信证券 3004076439 to 苏信财富组合添利Z2501集合资金信托计划 徐健 qq455768073 邮箱xuj@trustsz.com </t>
    <phoneticPr fontId="6" type="noConversion"/>
  </si>
  <si>
    <t>4美意6次</t>
    <phoneticPr fontId="6" type="noConversion"/>
  </si>
  <si>
    <t>5美意3次</t>
    <phoneticPr fontId="6" type="noConversion"/>
  </si>
  <si>
    <t>京诚153B回款</t>
    <phoneticPr fontId="6" type="noConversion"/>
  </si>
  <si>
    <t>归还回购-铁建</t>
    <phoneticPr fontId="6" type="noConversion"/>
  </si>
  <si>
    <t>回购利息</t>
    <phoneticPr fontId="6" type="noConversion"/>
  </si>
  <si>
    <t>已摘牌</t>
    <phoneticPr fontId="6" type="noConversion"/>
  </si>
  <si>
    <t>G铁建82C[266500.SH]，1960w，101.973，1月21日，元康盛景28号 Z06308 to xxxx</t>
    <phoneticPr fontId="6" type="noConversion"/>
  </si>
  <si>
    <t>广汽3次</t>
    <phoneticPr fontId="6" type="noConversion"/>
  </si>
  <si>
    <t>已发--“26潍信2C”：500363，100w.6.5%预期，1-22一级缴款，元康盛景28号</t>
    <phoneticPr fontId="6" type="noConversion"/>
  </si>
  <si>
    <t>狮桥62A2</t>
    <phoneticPr fontId="6" type="noConversion"/>
  </si>
  <si>
    <t>23工元至诚8C  2026/1/26兑付后超集中度，2026/1/26（下周一）前至少要减持1300万</t>
  </si>
  <si>
    <t>25兴瑞1C  2026/1/26兑付后超集中度，2026/1/26（下周一）前至少要减持180万</t>
  </si>
  <si>
    <t>25橙益4C 需要减持130W</t>
  </si>
  <si>
    <t>还有24浦鑫归航8C，超了350w</t>
  </si>
  <si>
    <t>23工元至诚8C</t>
    <phoneticPr fontId="6" type="noConversion"/>
  </si>
  <si>
    <t>交易份额</t>
    <phoneticPr fontId="6" type="noConversion"/>
  </si>
  <si>
    <t>交易金额</t>
    <phoneticPr fontId="6" type="noConversion"/>
  </si>
  <si>
    <t>25兴瑞1C</t>
    <phoneticPr fontId="6" type="noConversion"/>
  </si>
  <si>
    <t>24浦鑫归航8C</t>
    <phoneticPr fontId="6" type="noConversion"/>
  </si>
  <si>
    <t>打新</t>
    <phoneticPr fontId="6" type="noConversion"/>
  </si>
  <si>
    <t>打新回款</t>
    <phoneticPr fontId="6" type="noConversion"/>
  </si>
  <si>
    <t>雪球申购</t>
    <phoneticPr fontId="6" type="noConversion"/>
  </si>
  <si>
    <t>底层回款</t>
    <phoneticPr fontId="6" type="noConversion"/>
  </si>
  <si>
    <t>申购朗瑞1-8</t>
    <phoneticPr fontId="6" type="noConversion"/>
  </si>
  <si>
    <t>代持买回</t>
    <phoneticPr fontId="6" type="noConversion"/>
  </si>
  <si>
    <t>25橙益4C</t>
    <phoneticPr fontId="6" type="noConversion"/>
  </si>
  <si>
    <t>24中誉至诚9C[2489430.IB]，68w，全价106.33,1月16日，t+0，国联 to 外贸信托朗瑞1号8期 孟亚琪（未成交）</t>
    <phoneticPr fontId="6" type="noConversion"/>
  </si>
  <si>
    <t>25橙益4C[2589087.IB] ，130w，108.12,1月22日，t+0，国泰海通 冉雅婷 to 外贸信托朗瑞1号8期 孟亚琪</t>
    <phoneticPr fontId="6" type="noConversion"/>
  </si>
  <si>
    <t>25兴瑞1C[2589025.IB] ，180w，108.48,1月22日，t+0，国泰海通 冉雅婷 to 外贸信托朗瑞1号8期 孟亚琪</t>
    <phoneticPr fontId="6" type="noConversion"/>
  </si>
  <si>
    <t>23中誉1C</t>
    <phoneticPr fontId="6" type="noConversion"/>
  </si>
  <si>
    <t>未交易</t>
    <phoneticPr fontId="6" type="noConversion"/>
  </si>
  <si>
    <t>23工元至诚8C[2389487.IB] ，1300w，126.90,1月22日，t+0，国泰海通 冉雅婷 to 外贸信托朗瑞1号8期 孟亚琪</t>
    <phoneticPr fontId="6" type="noConversion"/>
  </si>
  <si>
    <t>增加回购</t>
    <phoneticPr fontId="6" type="noConversion"/>
  </si>
  <si>
    <t>温兴</t>
    <phoneticPr fontId="6" type="noConversion"/>
  </si>
  <si>
    <t>申购朗瑞1-5</t>
    <phoneticPr fontId="6" type="noConversion"/>
  </si>
  <si>
    <t>元康29申购</t>
    <phoneticPr fontId="6" type="noConversion"/>
  </si>
  <si>
    <t>押券熠然03A3，2250*60%=1350；盛煜014D，1000*70%=700</t>
    <phoneticPr fontId="6" type="noConversion"/>
  </si>
  <si>
    <t>4美意6次 (262764.SH)，470w，全价108.874，2026-1-23，国泰海通 樊文娟 to 元康盛景28号 刘靖涛</t>
    <phoneticPr fontId="6" type="noConversion"/>
  </si>
  <si>
    <t>5美意3次[263710.SH] ,350w，全价106.951，2026-1-23，国泰海通 樊文娟 to 元康盛景28号 刘靖涛</t>
    <phoneticPr fontId="6" type="noConversion"/>
  </si>
  <si>
    <t>赎回朗瑞1-5</t>
    <phoneticPr fontId="6" type="noConversion"/>
  </si>
  <si>
    <t>底层兑付</t>
    <phoneticPr fontId="6" type="noConversion"/>
  </si>
  <si>
    <t>回款</t>
    <phoneticPr fontId="6" type="noConversion"/>
  </si>
  <si>
    <t>底层回款</t>
    <phoneticPr fontId="6" type="noConversion"/>
  </si>
  <si>
    <t>元康29申购追加</t>
    <phoneticPr fontId="6" type="noConversion"/>
  </si>
  <si>
    <t>25温兴1次级[2589143.IB] ，1月22日，1000w，100.3，t+0，国泰海通 冉雅婷 to 外贸信托元康盛景1号 赵婷婷</t>
    <phoneticPr fontId="6" type="noConversion"/>
  </si>
  <si>
    <t>25温兴1次级[2589143.IB] ，1月22日，800w，100.3，t+0，国泰海通 冉雅婷 to 外贸信托朗瑞1号5期 孟亚琪</t>
    <phoneticPr fontId="6" type="noConversion"/>
  </si>
  <si>
    <t>财达</t>
    <phoneticPr fontId="6" type="noConversion"/>
  </si>
  <si>
    <t>265418.SH，诚瑞1A2，1000W，净价100.15  1月22日，元康盛景20号 刘靖涛 to 新华日报基金：李旭彤2500116861</t>
    <phoneticPr fontId="6" type="noConversion"/>
  </si>
  <si>
    <t>1月22日，082580061.IB，25君惠融ABN001优先B，1000W，100.48净价，应计利息0.28422；外贸信托：赵婷婷qt2850551246 to 招商证券：3007229341 赵漂琳</t>
    <phoneticPr fontId="6" type="noConversion"/>
  </si>
  <si>
    <t>24浦鑫归航8C[2489436.IB]，500w，104.29,1月22日，t+0，国泰海通 冉雅婷 to 外贸信托朗瑞1号8期 孟亚琪</t>
    <phoneticPr fontId="6" type="noConversion"/>
  </si>
  <si>
    <t>买券</t>
    <phoneticPr fontId="6" type="noConversion"/>
  </si>
  <si>
    <t>1/22+0，荟享244C，146608.SZ，353w，净价100.159元，元康盛景20号 刘靖涛 出 粤开证券（许逸潇）</t>
    <phoneticPr fontId="6" type="noConversion"/>
  </si>
  <si>
    <t>美歆8C（267647），1000w，4.8%，1月26日缴款，1月27日起息，外贸信托元康盛景1号缴款</t>
    <phoneticPr fontId="6" type="noConversion"/>
  </si>
  <si>
    <t>赎回-五矿</t>
    <phoneticPr fontId="6" type="noConversion"/>
  </si>
  <si>
    <t>25福鑫4C[2589218.IB],42w,102.8904,1月23日，国泰海通田飞凡 to 外贸信托朗瑞1号8期 孟亚琪2881131472</t>
    <phoneticPr fontId="6" type="noConversion"/>
  </si>
  <si>
    <t>广汽3次[180987.SH]，400w，122.349,1月26日，国元证券 to 元康盛景28号 刘靖涛 qt3003993899</t>
    <phoneticPr fontId="6" type="noConversion"/>
  </si>
  <si>
    <t>铁建081C</t>
    <phoneticPr fontId="6" type="noConversion"/>
  </si>
  <si>
    <t>263710.SH</t>
    <phoneticPr fontId="6" type="noConversion"/>
  </si>
  <si>
    <t>港融6C</t>
  </si>
  <si>
    <t>五矿追加</t>
    <phoneticPr fontId="6" type="noConversion"/>
  </si>
  <si>
    <t>元康26</t>
    <phoneticPr fontId="6" type="noConversion"/>
  </si>
  <si>
    <t>元康20号赎回</t>
    <phoneticPr fontId="6" type="noConversion"/>
  </si>
  <si>
    <t>付管理费</t>
    <phoneticPr fontId="6" type="noConversion"/>
  </si>
  <si>
    <t>五矿赎回</t>
    <phoneticPr fontId="6" type="noConversion"/>
  </si>
  <si>
    <t>铁建081C[265587.SH] ,1500w,100.02,1月28日，国泰海通 樊文娟 to 元康盛景28号 刘靖涛</t>
    <phoneticPr fontId="10" type="noConversion"/>
  </si>
  <si>
    <t>元康29号赎回</t>
    <phoneticPr fontId="20" type="noConversion"/>
  </si>
  <si>
    <t>24鸿富5C</t>
    <phoneticPr fontId="6" type="noConversion"/>
  </si>
  <si>
    <t>25建欣8C</t>
    <phoneticPr fontId="6" type="noConversion"/>
  </si>
  <si>
    <t>25建欣11C</t>
    <phoneticPr fontId="6" type="noConversion"/>
  </si>
  <si>
    <t>元康17号申购</t>
    <phoneticPr fontId="6" type="noConversion"/>
  </si>
  <si>
    <t>鹏雅119</t>
    <phoneticPr fontId="6" type="noConversion"/>
  </si>
  <si>
    <t>鹏雅120</t>
    <phoneticPr fontId="6" type="noConversion"/>
  </si>
  <si>
    <t>元康1申购</t>
    <phoneticPr fontId="6" type="noConversion"/>
  </si>
  <si>
    <t>25东裕7叔裕ABN001次</t>
    <phoneticPr fontId="6" type="noConversion"/>
  </si>
  <si>
    <t>24建欣6C</t>
    <phoneticPr fontId="6" type="noConversion"/>
  </si>
  <si>
    <t>24橙益17C</t>
    <phoneticPr fontId="6" type="noConversion"/>
  </si>
  <si>
    <t>25中誉至诚1C</t>
    <phoneticPr fontId="6" type="noConversion"/>
  </si>
  <si>
    <t>25橙益8C</t>
    <phoneticPr fontId="6" type="noConversion"/>
  </si>
  <si>
    <t>22臻金2C</t>
    <phoneticPr fontId="6" type="noConversion"/>
  </si>
  <si>
    <t>21工元至诚5C</t>
    <phoneticPr fontId="6" type="noConversion"/>
  </si>
  <si>
    <t>20中誉2C</t>
    <phoneticPr fontId="6" type="noConversion"/>
  </si>
  <si>
    <t>G铁建82C[266500.SH]，670w，102.104，1月29日，元康盛景20号 Z06308 to 鹏石启航9号 Z13506，约定号：222</t>
  </si>
  <si>
    <t>G铁建82C[266500.SH]，200w，102.104，1月29日，元康盛景20号 Z06308 to 鹏石启航9号 Z13506，约定号：333</t>
  </si>
  <si>
    <t>铁建058C[260655.SH]，279w，109.494,1月28日，元康盛景28号 刘靖涛 to 方田远见9号 Z06704，约定号：617</t>
  </si>
  <si>
    <t>铁建081C[265587.SH], 1010w, 100.381,1月28日，元康盛景28号 刘靖涛 to方田远见8号 Z06704，约定号：618</t>
  </si>
  <si>
    <t>铁建081C[265587.SH], 290w, 100.381,1月28日，元康盛景28号 刘靖涛 to方田远见8号 Z06704，约定号：619</t>
  </si>
  <si>
    <t>全景1号</t>
    <phoneticPr fontId="6" type="noConversion"/>
  </si>
  <si>
    <t>东吴代销成立</t>
    <phoneticPr fontId="6" type="noConversion"/>
  </si>
  <si>
    <t>购买货基</t>
    <phoneticPr fontId="6" type="noConversion"/>
  </si>
  <si>
    <t>增加回购</t>
    <phoneticPr fontId="6" type="noConversion"/>
  </si>
  <si>
    <t>熠然5A3</t>
    <phoneticPr fontId="6" type="noConversion"/>
  </si>
  <si>
    <t>要求3-2之前买回</t>
    <phoneticPr fontId="6" type="noConversion"/>
  </si>
  <si>
    <t>中建投</t>
    <phoneticPr fontId="6" type="noConversion"/>
  </si>
  <si>
    <t>小微</t>
    <phoneticPr fontId="6" type="noConversion"/>
  </si>
  <si>
    <t>一级</t>
    <phoneticPr fontId="6" type="noConversion"/>
  </si>
  <si>
    <t>锦新26-2ABN</t>
    <phoneticPr fontId="6" type="noConversion"/>
  </si>
  <si>
    <t>市场化</t>
    <phoneticPr fontId="6" type="noConversion"/>
  </si>
  <si>
    <t>锦新26-3ABN</t>
    <phoneticPr fontId="6" type="noConversion"/>
  </si>
  <si>
    <t>2000+1000</t>
    <phoneticPr fontId="6" type="noConversion"/>
  </si>
  <si>
    <t>自持2000</t>
    <phoneticPr fontId="6" type="noConversion"/>
  </si>
  <si>
    <t>锦盛3号abs</t>
    <phoneticPr fontId="6" type="noConversion"/>
  </si>
  <si>
    <t>夹层-AA+</t>
    <phoneticPr fontId="6" type="noConversion"/>
  </si>
  <si>
    <t>远东普惠</t>
    <phoneticPr fontId="6" type="noConversion"/>
  </si>
  <si>
    <t>苏信户</t>
    <phoneticPr fontId="6" type="noConversion"/>
  </si>
  <si>
    <t>元康盛景30号</t>
    <phoneticPr fontId="6" type="noConversion"/>
  </si>
  <si>
    <t>鹏雅119</t>
    <phoneticPr fontId="6" type="noConversion"/>
  </si>
  <si>
    <t>鹏雅120</t>
    <phoneticPr fontId="6" type="noConversion"/>
  </si>
  <si>
    <t>新增申购</t>
  </si>
  <si>
    <t>汽车</t>
    <phoneticPr fontId="6" type="noConversion"/>
  </si>
  <si>
    <t>小鹏ABS次级</t>
    <phoneticPr fontId="6" type="noConversion"/>
  </si>
  <si>
    <t>小鹏abs夹层</t>
    <phoneticPr fontId="6" type="noConversion"/>
  </si>
  <si>
    <t>对公租赁</t>
    <phoneticPr fontId="6" type="noConversion"/>
  </si>
  <si>
    <t>3月中上旬</t>
    <phoneticPr fontId="6" type="noConversion"/>
  </si>
  <si>
    <t>远东租赁2026-3absA2</t>
    <phoneticPr fontId="6" type="noConversion"/>
  </si>
  <si>
    <t>远东租赁</t>
    <phoneticPr fontId="6" type="noConversion"/>
  </si>
  <si>
    <t>赎回货基</t>
    <phoneticPr fontId="6" type="noConversion"/>
  </si>
  <si>
    <t>25建欣11C</t>
  </si>
  <si>
    <t>24建欣6C</t>
  </si>
  <si>
    <t>24橙益17C</t>
  </si>
  <si>
    <t>交易价格</t>
    <phoneticPr fontId="6" type="noConversion"/>
  </si>
  <si>
    <t>补收益</t>
    <phoneticPr fontId="6" type="noConversion"/>
  </si>
  <si>
    <r>
      <t xml:space="preserve">1. </t>
    </r>
    <r>
      <rPr>
        <sz val="11"/>
        <color theme="1"/>
        <rFont val="宋体"/>
        <family val="3"/>
        <charset val="134"/>
      </rPr>
      <t>方向：百瑞君集</t>
    </r>
    <r>
      <rPr>
        <sz val="10"/>
        <color theme="1"/>
        <rFont val="微软雅黑"/>
        <family val="2"/>
        <charset val="134"/>
      </rPr>
      <t xml:space="preserve">1-3 to </t>
    </r>
    <r>
      <rPr>
        <sz val="11"/>
        <color theme="1"/>
        <rFont val="宋体"/>
        <family val="3"/>
        <charset val="134"/>
      </rPr>
      <t>中信证券</t>
    </r>
    <r>
      <rPr>
        <sz val="10"/>
        <color theme="1"/>
        <rFont val="微软雅黑"/>
        <family val="2"/>
        <charset val="134"/>
      </rPr>
      <t xml:space="preserve">
</t>
    </r>
    <r>
      <rPr>
        <sz val="11"/>
        <color theme="1"/>
        <rFont val="宋体"/>
        <family val="3"/>
        <charset val="134"/>
      </rPr>
      <t>交易日期：</t>
    </r>
    <r>
      <rPr>
        <sz val="10"/>
        <color theme="1"/>
        <rFont val="微软雅黑"/>
        <family val="2"/>
        <charset val="134"/>
      </rPr>
      <t>2026</t>
    </r>
    <r>
      <rPr>
        <sz val="11"/>
        <color theme="1"/>
        <rFont val="宋体"/>
        <family val="3"/>
        <charset val="134"/>
      </rPr>
      <t>年</t>
    </r>
    <r>
      <rPr>
        <sz val="10"/>
        <color theme="1"/>
        <rFont val="微软雅黑"/>
        <family val="2"/>
        <charset val="134"/>
      </rPr>
      <t>1</t>
    </r>
    <r>
      <rPr>
        <sz val="11"/>
        <color theme="1"/>
        <rFont val="宋体"/>
        <family val="3"/>
        <charset val="134"/>
      </rPr>
      <t>月</t>
    </r>
    <r>
      <rPr>
        <sz val="10"/>
        <color theme="1"/>
        <rFont val="微软雅黑"/>
        <family val="2"/>
        <charset val="134"/>
      </rPr>
      <t>9</t>
    </r>
    <r>
      <rPr>
        <sz val="11"/>
        <color theme="1"/>
        <rFont val="宋体"/>
        <family val="3"/>
        <charset val="134"/>
      </rPr>
      <t>日</t>
    </r>
    <r>
      <rPr>
        <sz val="10"/>
        <color theme="1"/>
        <rFont val="微软雅黑"/>
        <family val="2"/>
        <charset val="134"/>
      </rPr>
      <t xml:space="preserve">
</t>
    </r>
    <r>
      <rPr>
        <sz val="11"/>
        <color theme="1"/>
        <rFont val="宋体"/>
        <family val="3"/>
        <charset val="134"/>
      </rPr>
      <t>债券代码：</t>
    </r>
    <r>
      <rPr>
        <sz val="10"/>
        <color theme="1"/>
        <rFont val="微软雅黑"/>
        <family val="2"/>
        <charset val="134"/>
      </rPr>
      <t xml:space="preserve">2289370.IB
</t>
    </r>
    <r>
      <rPr>
        <sz val="11"/>
        <color theme="1"/>
        <rFont val="宋体"/>
        <family val="3"/>
        <charset val="134"/>
      </rPr>
      <t>债券简称：</t>
    </r>
    <r>
      <rPr>
        <sz val="10"/>
        <color theme="1"/>
        <rFont val="微软雅黑"/>
        <family val="2"/>
        <charset val="134"/>
      </rPr>
      <t>22</t>
    </r>
    <r>
      <rPr>
        <sz val="11"/>
        <color theme="1"/>
        <rFont val="宋体"/>
        <family val="3"/>
        <charset val="134"/>
      </rPr>
      <t>臻金</t>
    </r>
    <r>
      <rPr>
        <sz val="10"/>
        <color theme="1"/>
        <rFont val="微软雅黑"/>
        <family val="2"/>
        <charset val="134"/>
      </rPr>
      <t xml:space="preserve">3C
</t>
    </r>
    <r>
      <rPr>
        <sz val="11"/>
        <color theme="1"/>
        <rFont val="宋体"/>
        <family val="3"/>
        <charset val="134"/>
      </rPr>
      <t>交易净价：</t>
    </r>
    <r>
      <rPr>
        <sz val="10"/>
        <color theme="1"/>
        <rFont val="微软雅黑"/>
        <family val="2"/>
        <charset val="134"/>
      </rPr>
      <t>71.239</t>
    </r>
    <r>
      <rPr>
        <sz val="11"/>
        <color theme="1"/>
        <rFont val="宋体"/>
        <family val="3"/>
        <charset val="134"/>
      </rPr>
      <t>元</t>
    </r>
    <r>
      <rPr>
        <sz val="10"/>
        <color theme="1"/>
        <rFont val="微软雅黑"/>
        <family val="2"/>
        <charset val="134"/>
      </rPr>
      <t>/</t>
    </r>
    <r>
      <rPr>
        <sz val="11"/>
        <color theme="1"/>
        <rFont val="宋体"/>
        <family val="3"/>
        <charset val="134"/>
      </rPr>
      <t>百元面值</t>
    </r>
    <r>
      <rPr>
        <sz val="10"/>
        <color theme="1"/>
        <rFont val="微软雅黑"/>
        <family val="2"/>
        <charset val="134"/>
      </rPr>
      <t xml:space="preserve">
</t>
    </r>
    <r>
      <rPr>
        <sz val="11"/>
        <color theme="1"/>
        <rFont val="宋体"/>
        <family val="3"/>
        <charset val="134"/>
      </rPr>
      <t>交易数量：</t>
    </r>
    <r>
      <rPr>
        <sz val="10"/>
        <color theme="1"/>
        <rFont val="微软雅黑"/>
        <family val="2"/>
        <charset val="134"/>
      </rPr>
      <t>3000</t>
    </r>
    <r>
      <rPr>
        <sz val="11"/>
        <color theme="1"/>
        <rFont val="宋体"/>
        <family val="3"/>
        <charset val="134"/>
      </rPr>
      <t>万面值（</t>
    </r>
    <r>
      <rPr>
        <sz val="10"/>
        <color theme="1"/>
        <rFont val="微软雅黑"/>
        <family val="2"/>
        <charset val="134"/>
      </rPr>
      <t>30</t>
    </r>
    <r>
      <rPr>
        <sz val="11"/>
        <color theme="1"/>
        <rFont val="宋体"/>
        <family val="3"/>
        <charset val="134"/>
      </rPr>
      <t>万张，</t>
    </r>
    <r>
      <rPr>
        <sz val="10"/>
        <color theme="1"/>
        <rFont val="微软雅黑"/>
        <family val="2"/>
        <charset val="134"/>
      </rPr>
      <t>3</t>
    </r>
    <r>
      <rPr>
        <sz val="11"/>
        <color theme="1"/>
        <rFont val="宋体"/>
        <family val="3"/>
        <charset val="134"/>
      </rPr>
      <t>万手）</t>
    </r>
    <r>
      <rPr>
        <sz val="10"/>
        <color theme="1"/>
        <rFont val="微软雅黑"/>
        <family val="2"/>
        <charset val="134"/>
      </rPr>
      <t xml:space="preserve">
</t>
    </r>
    <r>
      <rPr>
        <sz val="11"/>
        <color theme="1"/>
        <rFont val="宋体"/>
        <family val="3"/>
        <charset val="134"/>
      </rPr>
      <t>卖方：百瑞信托君集</t>
    </r>
    <r>
      <rPr>
        <sz val="10"/>
        <color theme="1"/>
        <rFont val="微软雅黑"/>
        <family val="2"/>
        <charset val="134"/>
      </rPr>
      <t>1</t>
    </r>
    <r>
      <rPr>
        <sz val="11"/>
        <color theme="1"/>
        <rFont val="宋体"/>
        <family val="3"/>
        <charset val="134"/>
      </rPr>
      <t>号集合资金信托计划</t>
    </r>
    <r>
      <rPr>
        <sz val="10"/>
        <color theme="1"/>
        <rFont val="微软雅黑"/>
        <family val="2"/>
        <charset val="134"/>
      </rPr>
      <t xml:space="preserve">
</t>
    </r>
    <r>
      <rPr>
        <sz val="11"/>
        <color theme="1"/>
        <rFont val="宋体"/>
        <family val="3"/>
        <charset val="134"/>
      </rPr>
      <t>卖方询价</t>
    </r>
    <r>
      <rPr>
        <sz val="10"/>
        <color theme="1"/>
        <rFont val="微软雅黑"/>
        <family val="2"/>
        <charset val="134"/>
      </rPr>
      <t>QQ</t>
    </r>
    <r>
      <rPr>
        <sz val="11"/>
        <color theme="1"/>
        <rFont val="宋体"/>
        <family val="3"/>
        <charset val="134"/>
      </rPr>
      <t>：杨越</t>
    </r>
    <r>
      <rPr>
        <sz val="10"/>
        <color theme="1"/>
        <rFont val="微软雅黑"/>
        <family val="2"/>
        <charset val="134"/>
      </rPr>
      <t xml:space="preserve"> 3004259924
</t>
    </r>
    <r>
      <rPr>
        <sz val="11"/>
        <color theme="1"/>
        <rFont val="宋体"/>
        <family val="3"/>
        <charset val="134"/>
      </rPr>
      <t>买方：中信证券</t>
    </r>
    <r>
      <rPr>
        <sz val="10"/>
        <color theme="1"/>
        <rFont val="微软雅黑"/>
        <family val="2"/>
        <charset val="134"/>
      </rPr>
      <t xml:space="preserve">
</t>
    </r>
    <r>
      <rPr>
        <sz val="11"/>
        <color theme="1"/>
        <rFont val="宋体"/>
        <family val="3"/>
        <charset val="134"/>
      </rPr>
      <t>买方询价留痕</t>
    </r>
    <r>
      <rPr>
        <sz val="10"/>
        <color theme="1"/>
        <rFont val="微软雅黑"/>
        <family val="2"/>
        <charset val="134"/>
      </rPr>
      <t>QQ</t>
    </r>
    <r>
      <rPr>
        <sz val="11"/>
        <color theme="1"/>
        <rFont val="宋体"/>
        <family val="3"/>
        <charset val="134"/>
      </rPr>
      <t>：【</t>
    </r>
    <r>
      <rPr>
        <sz val="10"/>
        <color theme="1"/>
        <rFont val="微软雅黑"/>
        <family val="2"/>
        <charset val="134"/>
      </rPr>
      <t xml:space="preserve">3004413757 </t>
    </r>
    <r>
      <rPr>
        <sz val="11"/>
        <color theme="1"/>
        <rFont val="宋体"/>
        <family val="3"/>
        <charset val="134"/>
      </rPr>
      <t>张正昊】</t>
    </r>
    <r>
      <rPr>
        <sz val="10"/>
        <color theme="1"/>
        <rFont val="微软雅黑"/>
        <family val="2"/>
        <charset val="134"/>
      </rPr>
      <t xml:space="preserve">
2. </t>
    </r>
    <r>
      <rPr>
        <sz val="11"/>
        <color theme="1"/>
        <rFont val="宋体"/>
        <family val="3"/>
        <charset val="134"/>
      </rPr>
      <t>方向：中信证券</t>
    </r>
    <r>
      <rPr>
        <sz val="10"/>
        <color theme="1"/>
        <rFont val="微软雅黑"/>
        <family val="2"/>
        <charset val="134"/>
      </rPr>
      <t xml:space="preserve"> to </t>
    </r>
    <r>
      <rPr>
        <sz val="11"/>
        <color theme="1"/>
        <rFont val="宋体"/>
        <family val="3"/>
        <charset val="134"/>
      </rPr>
      <t>外贸信托朗瑞</t>
    </r>
    <r>
      <rPr>
        <sz val="10"/>
        <color theme="1"/>
        <rFont val="微软雅黑"/>
        <family val="2"/>
        <charset val="134"/>
      </rPr>
      <t>1</t>
    </r>
    <r>
      <rPr>
        <sz val="11"/>
        <color theme="1"/>
        <rFont val="宋体"/>
        <family val="3"/>
        <charset val="134"/>
      </rPr>
      <t>号</t>
    </r>
    <r>
      <rPr>
        <sz val="10"/>
        <color theme="1"/>
        <rFont val="微软雅黑"/>
        <family val="2"/>
        <charset val="134"/>
      </rPr>
      <t>8</t>
    </r>
    <r>
      <rPr>
        <sz val="11"/>
        <color theme="1"/>
        <rFont val="宋体"/>
        <family val="3"/>
        <charset val="134"/>
      </rPr>
      <t>期</t>
    </r>
    <r>
      <rPr>
        <sz val="10"/>
        <color theme="1"/>
        <rFont val="微软雅黑"/>
        <family val="2"/>
        <charset val="134"/>
      </rPr>
      <t xml:space="preserve">
</t>
    </r>
    <r>
      <rPr>
        <sz val="11"/>
        <color theme="1"/>
        <rFont val="宋体"/>
        <family val="3"/>
        <charset val="134"/>
      </rPr>
      <t>交易日期：</t>
    </r>
    <r>
      <rPr>
        <sz val="10"/>
        <color theme="1"/>
        <rFont val="微软雅黑"/>
        <family val="2"/>
        <charset val="134"/>
      </rPr>
      <t>2026</t>
    </r>
    <r>
      <rPr>
        <sz val="11"/>
        <color theme="1"/>
        <rFont val="宋体"/>
        <family val="3"/>
        <charset val="134"/>
      </rPr>
      <t>年</t>
    </r>
    <r>
      <rPr>
        <sz val="10"/>
        <color theme="1"/>
        <rFont val="微软雅黑"/>
        <family val="2"/>
        <charset val="134"/>
      </rPr>
      <t>1</t>
    </r>
    <r>
      <rPr>
        <sz val="11"/>
        <color theme="1"/>
        <rFont val="宋体"/>
        <family val="3"/>
        <charset val="134"/>
      </rPr>
      <t>月</t>
    </r>
    <r>
      <rPr>
        <sz val="10"/>
        <color theme="1"/>
        <rFont val="微软雅黑"/>
        <family val="2"/>
        <charset val="134"/>
      </rPr>
      <t>9</t>
    </r>
    <r>
      <rPr>
        <sz val="11"/>
        <color theme="1"/>
        <rFont val="宋体"/>
        <family val="3"/>
        <charset val="134"/>
      </rPr>
      <t>日</t>
    </r>
    <r>
      <rPr>
        <sz val="10"/>
        <color theme="1"/>
        <rFont val="微软雅黑"/>
        <family val="2"/>
        <charset val="134"/>
      </rPr>
      <t xml:space="preserve">
</t>
    </r>
    <r>
      <rPr>
        <sz val="11"/>
        <color theme="1"/>
        <rFont val="宋体"/>
        <family val="3"/>
        <charset val="134"/>
      </rPr>
      <t>债券代码：</t>
    </r>
    <r>
      <rPr>
        <sz val="10"/>
        <color theme="1"/>
        <rFont val="微软雅黑"/>
        <family val="2"/>
        <charset val="134"/>
      </rPr>
      <t xml:space="preserve">2289370.IB
</t>
    </r>
    <r>
      <rPr>
        <sz val="11"/>
        <color theme="1"/>
        <rFont val="宋体"/>
        <family val="3"/>
        <charset val="134"/>
      </rPr>
      <t>债券简称：</t>
    </r>
    <r>
      <rPr>
        <sz val="10"/>
        <color theme="1"/>
        <rFont val="微软雅黑"/>
        <family val="2"/>
        <charset val="134"/>
      </rPr>
      <t>22</t>
    </r>
    <r>
      <rPr>
        <sz val="11"/>
        <color theme="1"/>
        <rFont val="宋体"/>
        <family val="3"/>
        <charset val="134"/>
      </rPr>
      <t>臻金</t>
    </r>
    <r>
      <rPr>
        <sz val="10"/>
        <color theme="1"/>
        <rFont val="微软雅黑"/>
        <family val="2"/>
        <charset val="134"/>
      </rPr>
      <t xml:space="preserve">3C
</t>
    </r>
    <r>
      <rPr>
        <sz val="11"/>
        <color theme="1"/>
        <rFont val="宋体"/>
        <family val="3"/>
        <charset val="134"/>
      </rPr>
      <t>交易净价：</t>
    </r>
    <r>
      <rPr>
        <sz val="10"/>
        <color theme="1"/>
        <rFont val="微软雅黑"/>
        <family val="2"/>
        <charset val="134"/>
      </rPr>
      <t>71.245</t>
    </r>
    <r>
      <rPr>
        <sz val="11"/>
        <color theme="1"/>
        <rFont val="宋体"/>
        <family val="3"/>
        <charset val="134"/>
      </rPr>
      <t>元</t>
    </r>
    <r>
      <rPr>
        <sz val="10"/>
        <color theme="1"/>
        <rFont val="微软雅黑"/>
        <family val="2"/>
        <charset val="134"/>
      </rPr>
      <t>/</t>
    </r>
    <r>
      <rPr>
        <sz val="11"/>
        <color theme="1"/>
        <rFont val="宋体"/>
        <family val="3"/>
        <charset val="134"/>
      </rPr>
      <t>百元面值</t>
    </r>
    <r>
      <rPr>
        <sz val="10"/>
        <color theme="1"/>
        <rFont val="微软雅黑"/>
        <family val="2"/>
        <charset val="134"/>
      </rPr>
      <t xml:space="preserve">
</t>
    </r>
    <r>
      <rPr>
        <sz val="11"/>
        <color theme="1"/>
        <rFont val="宋体"/>
        <family val="3"/>
        <charset val="134"/>
      </rPr>
      <t>交易数量：</t>
    </r>
    <r>
      <rPr>
        <sz val="10"/>
        <color theme="1"/>
        <rFont val="微软雅黑"/>
        <family val="2"/>
        <charset val="134"/>
      </rPr>
      <t>3000</t>
    </r>
    <r>
      <rPr>
        <sz val="11"/>
        <color theme="1"/>
        <rFont val="宋体"/>
        <family val="3"/>
        <charset val="134"/>
      </rPr>
      <t>万面值（</t>
    </r>
    <r>
      <rPr>
        <sz val="10"/>
        <color theme="1"/>
        <rFont val="微软雅黑"/>
        <family val="2"/>
        <charset val="134"/>
      </rPr>
      <t>30</t>
    </r>
    <r>
      <rPr>
        <sz val="11"/>
        <color theme="1"/>
        <rFont val="宋体"/>
        <family val="3"/>
        <charset val="134"/>
      </rPr>
      <t>万张，</t>
    </r>
    <r>
      <rPr>
        <sz val="10"/>
        <color theme="1"/>
        <rFont val="微软雅黑"/>
        <family val="2"/>
        <charset val="134"/>
      </rPr>
      <t>3</t>
    </r>
    <r>
      <rPr>
        <sz val="11"/>
        <color theme="1"/>
        <rFont val="宋体"/>
        <family val="3"/>
        <charset val="134"/>
      </rPr>
      <t>万手）</t>
    </r>
    <r>
      <rPr>
        <sz val="10"/>
        <color theme="1"/>
        <rFont val="微软雅黑"/>
        <family val="2"/>
        <charset val="134"/>
      </rPr>
      <t xml:space="preserve">
</t>
    </r>
    <r>
      <rPr>
        <sz val="11"/>
        <color theme="1"/>
        <rFont val="宋体"/>
        <family val="3"/>
        <charset val="134"/>
      </rPr>
      <t>卖方：中信证券</t>
    </r>
    <r>
      <rPr>
        <sz val="10"/>
        <color theme="1"/>
        <rFont val="微软雅黑"/>
        <family val="2"/>
        <charset val="134"/>
      </rPr>
      <t xml:space="preserve">
</t>
    </r>
    <r>
      <rPr>
        <sz val="11"/>
        <color theme="1"/>
        <rFont val="宋体"/>
        <family val="3"/>
        <charset val="134"/>
      </rPr>
      <t>卖方询价留痕</t>
    </r>
    <r>
      <rPr>
        <sz val="10"/>
        <color theme="1"/>
        <rFont val="微软雅黑"/>
        <family val="2"/>
        <charset val="134"/>
      </rPr>
      <t>QQ</t>
    </r>
    <r>
      <rPr>
        <sz val="11"/>
        <color theme="1"/>
        <rFont val="宋体"/>
        <family val="3"/>
        <charset val="134"/>
      </rPr>
      <t>：【</t>
    </r>
    <r>
      <rPr>
        <sz val="10"/>
        <color theme="1"/>
        <rFont val="微软雅黑"/>
        <family val="2"/>
        <charset val="134"/>
      </rPr>
      <t xml:space="preserve">3004413757 </t>
    </r>
    <r>
      <rPr>
        <sz val="11"/>
        <color theme="1"/>
        <rFont val="宋体"/>
        <family val="3"/>
        <charset val="134"/>
      </rPr>
      <t>张正昊】</t>
    </r>
    <r>
      <rPr>
        <sz val="10"/>
        <color theme="1"/>
        <rFont val="微软雅黑"/>
        <family val="2"/>
        <charset val="134"/>
      </rPr>
      <t xml:space="preserve">
</t>
    </r>
    <r>
      <rPr>
        <sz val="11"/>
        <color theme="1"/>
        <rFont val="宋体"/>
        <family val="3"/>
        <charset val="134"/>
      </rPr>
      <t>买方：外贸信托朗瑞</t>
    </r>
    <r>
      <rPr>
        <sz val="10"/>
        <color theme="1"/>
        <rFont val="微软雅黑"/>
        <family val="2"/>
        <charset val="134"/>
      </rPr>
      <t>1</t>
    </r>
    <r>
      <rPr>
        <sz val="11"/>
        <color theme="1"/>
        <rFont val="宋体"/>
        <family val="3"/>
        <charset val="134"/>
      </rPr>
      <t>号集合资金信托计划</t>
    </r>
    <r>
      <rPr>
        <sz val="10"/>
        <color theme="1"/>
        <rFont val="微软雅黑"/>
        <family val="2"/>
        <charset val="134"/>
      </rPr>
      <t xml:space="preserve">
</t>
    </r>
    <r>
      <rPr>
        <sz val="11"/>
        <color theme="1"/>
        <rFont val="宋体"/>
        <family val="3"/>
        <charset val="134"/>
      </rPr>
      <t>买方询价</t>
    </r>
    <r>
      <rPr>
        <sz val="10"/>
        <color theme="1"/>
        <rFont val="微软雅黑"/>
        <family val="2"/>
        <charset val="134"/>
      </rPr>
      <t>QQ</t>
    </r>
    <r>
      <rPr>
        <sz val="11"/>
        <color theme="1"/>
        <rFont val="宋体"/>
        <family val="3"/>
        <charset val="134"/>
      </rPr>
      <t>：孟亚琪</t>
    </r>
    <r>
      <rPr>
        <sz val="10"/>
        <color theme="1"/>
        <rFont val="微软雅黑"/>
        <family val="2"/>
        <charset val="134"/>
      </rPr>
      <t xml:space="preserve"> 2881131472</t>
    </r>
    <phoneticPr fontId="20" type="noConversion"/>
  </si>
  <si>
    <t>美市申购</t>
    <phoneticPr fontId="6" type="noConversion"/>
  </si>
  <si>
    <t>25工元至诚普银3C</t>
    <phoneticPr fontId="6" type="noConversion"/>
  </si>
  <si>
    <t>25建欣11C，2589247.IB，1-30，t+0,700w，104.5575，天风证券 唐德婷2885078648 to 外贸信托朗瑞1号 孟亚琪</t>
    <phoneticPr fontId="6" type="noConversion"/>
  </si>
  <si>
    <t>24建欣6C，2489200.IB，1-30，t+0,76w，106.96，国泰海通 冉雅婷 to 外贸信托朗瑞1号 孟亚琪</t>
    <phoneticPr fontId="6" type="noConversion"/>
  </si>
  <si>
    <t>24橙益17C，2489414.IB，1-30，t+0，182w,97.22,国泰海通 冉雅婷 to 外贸信托朗瑞1号 孟亚琪</t>
    <phoneticPr fontId="6" type="noConversion"/>
  </si>
  <si>
    <t>熠然5A3[263739.SH],500w,100.237净价，1-30，元康盛景20号 to 扬讯</t>
    <phoneticPr fontId="6" type="noConversion"/>
  </si>
  <si>
    <t>熠然5A3[263739.SH],500w,100.247净价，1-30，扬讯 to 元康盛景26号</t>
    <phoneticPr fontId="6" type="noConversion"/>
  </si>
  <si>
    <t>朗瑞1-5期</t>
    <phoneticPr fontId="6" type="noConversion"/>
  </si>
  <si>
    <t>元康9号申购</t>
    <phoneticPr fontId="6" type="noConversion"/>
  </si>
  <si>
    <t>小鹏次级</t>
    <phoneticPr fontId="6" type="noConversion"/>
  </si>
  <si>
    <t>启恒1期abs</t>
    <phoneticPr fontId="6" type="noConversion"/>
  </si>
  <si>
    <t>25工元至诚普银3C，2589168.IB，2-3，t+0，182w，113.4147，银河证券 赵恩聪 3007251238 to 粤财信托鹏雅10号120期 王同博 QT员工号：3004238546</t>
    <phoneticPr fontId="6" type="noConversion"/>
  </si>
  <si>
    <t>元康29追加</t>
    <phoneticPr fontId="6" type="noConversion"/>
  </si>
  <si>
    <t xml:space="preserve">25浦鑫归航9C </t>
    <phoneticPr fontId="6" type="noConversion"/>
  </si>
  <si>
    <t>25建欣8C,2589233.IB，1-30, t+0，417w，107.8479，银河证券 刘成立 2853268300 to 外贸信托朗瑞1号 孟亚琪</t>
    <phoneticPr fontId="6" type="noConversion"/>
  </si>
  <si>
    <t>25建欣11C，2589247.IB，1-30，t+0,700w，104.5375，信达证券 3007461572 张诗玥 to 天风证券 唐德婷2885078648</t>
    <phoneticPr fontId="6" type="noConversion"/>
  </si>
  <si>
    <t>2/2 2589513.IB 25浦鑫归航9C  200W 100.691  天风证券 2850302347TO  外贸信托-朗瑞1号8期 孟亚琪</t>
    <phoneticPr fontId="6" type="noConversion"/>
  </si>
  <si>
    <t>25工元至诚普银3C，2589168.IB，2-3，t+0，182w，113.4147，银河证券 刘成立 2853268300 to 粤财信托鹏雅10号120期 xxx</t>
    <phoneticPr fontId="6" type="noConversion"/>
  </si>
  <si>
    <t>元康22申购</t>
    <phoneticPr fontId="6" type="noConversion"/>
  </si>
  <si>
    <t>追加鹏雅120</t>
    <phoneticPr fontId="6" type="noConversion"/>
  </si>
  <si>
    <t>广汽2C</t>
    <phoneticPr fontId="6" type="noConversion"/>
  </si>
  <si>
    <t>荟臻032C卖出</t>
    <phoneticPr fontId="6" type="noConversion"/>
  </si>
  <si>
    <t>5美意1次</t>
    <phoneticPr fontId="6" type="noConversion"/>
  </si>
  <si>
    <t>25兴瑞10C</t>
    <phoneticPr fontId="6" type="noConversion"/>
  </si>
  <si>
    <t>23工元至诚1C</t>
    <phoneticPr fontId="6" type="noConversion"/>
  </si>
  <si>
    <t>24惠元8C</t>
    <phoneticPr fontId="6" type="noConversion"/>
  </si>
  <si>
    <t>“乐信13C”代码：500421，1500w，3.5%，2-5缴款，2-6起息，元康盛景26号</t>
    <phoneticPr fontId="6" type="noConversion"/>
  </si>
  <si>
    <t>回款打新</t>
    <phoneticPr fontId="6" type="noConversion"/>
  </si>
  <si>
    <t>尚亦017D回款</t>
    <phoneticPr fontId="6" type="noConversion"/>
  </si>
  <si>
    <t>需在226之前买回</t>
    <phoneticPr fontId="6" type="noConversion"/>
  </si>
  <si>
    <t>226开始兑付次级本金</t>
    <phoneticPr fontId="6" type="noConversion"/>
  </si>
  <si>
    <t>泸州银行保函</t>
    <phoneticPr fontId="6" type="noConversion"/>
  </si>
  <si>
    <t>期权补款</t>
    <phoneticPr fontId="6" type="noConversion"/>
  </si>
  <si>
    <t>合计连同期权户的27w，=50w投资期权</t>
    <phoneticPr fontId="6" type="noConversion"/>
  </si>
  <si>
    <t>24惠元8C</t>
    <phoneticPr fontId="6" type="noConversion"/>
  </si>
  <si>
    <t>24工元至诚4C</t>
    <phoneticPr fontId="6" type="noConversion"/>
  </si>
  <si>
    <t>24工元至诚4C</t>
    <phoneticPr fontId="6" type="noConversion"/>
  </si>
  <si>
    <t>1、25东裕7叔裕ABN001次,082501056.IB,190w,103.2454,2-3，t+0，国泰海通 夏雪 QT号：3007305611to 粤财信托鹏雅10号119期 王同博 QT员工号：3004238546</t>
    <phoneticPr fontId="6" type="noConversion"/>
  </si>
  <si>
    <t>24京能3号ABN001次</t>
    <phoneticPr fontId="6" type="noConversion"/>
  </si>
  <si>
    <t>铁建081C[265587.SH], 1000w, 100.456，2月2日，元康盛景28号 Z06308 to方田维纳3号 Z13506，约定号：621</t>
    <phoneticPr fontId="6" type="noConversion"/>
  </si>
  <si>
    <t>1、铁建081C[265587.SH]，920w，100.486，2月4日</t>
  </si>
  <si>
    <t>2、G铁建82C[266500.SH]，620w，102.203，2月4日</t>
  </si>
  <si>
    <t>3、铁建081C[265587.SH]，410w，100.501，2月5日</t>
  </si>
  <si>
    <t>支付赎回款</t>
    <phoneticPr fontId="6" type="noConversion"/>
  </si>
  <si>
    <t xml:space="preserve"> </t>
    <phoneticPr fontId="6" type="noConversion"/>
  </si>
  <si>
    <t>25鼎柚3次级</t>
    <phoneticPr fontId="6" type="noConversion"/>
  </si>
  <si>
    <t>25中誉至诚3C</t>
    <phoneticPr fontId="6" type="noConversion"/>
  </si>
  <si>
    <t>无法买回，关注后续收益率</t>
    <phoneticPr fontId="6" type="noConversion"/>
  </si>
  <si>
    <t>小鹏B</t>
    <phoneticPr fontId="6" type="noConversion"/>
  </si>
  <si>
    <t>长期</t>
    <phoneticPr fontId="6" type="noConversion"/>
  </si>
  <si>
    <t>1个月左右</t>
    <phoneticPr fontId="6" type="noConversion"/>
  </si>
  <si>
    <t>涉及新签协议</t>
    <phoneticPr fontId="6" type="noConversion"/>
  </si>
  <si>
    <t>中航信托收款</t>
    <phoneticPr fontId="6" type="noConversion"/>
  </si>
  <si>
    <t>已沟通，正常排</t>
    <phoneticPr fontId="6" type="noConversion"/>
  </si>
  <si>
    <t>25浦鑫归航1C</t>
    <phoneticPr fontId="6" type="noConversion"/>
  </si>
  <si>
    <t>2589127.IB</t>
    <phoneticPr fontId="6" type="noConversion"/>
  </si>
  <si>
    <t>2589031.IB</t>
    <phoneticPr fontId="6" type="noConversion"/>
  </si>
  <si>
    <t>2589025.IB</t>
    <phoneticPr fontId="6" type="noConversion"/>
  </si>
  <si>
    <t>2389064.IB</t>
    <phoneticPr fontId="6" type="noConversion"/>
  </si>
  <si>
    <t>yuank 26</t>
    <phoneticPr fontId="6" type="noConversion"/>
  </si>
  <si>
    <t>yuank 28</t>
    <phoneticPr fontId="6" type="noConversion"/>
  </si>
  <si>
    <t>中金李欣月</t>
    <phoneticPr fontId="6" type="noConversion"/>
  </si>
  <si>
    <t>21邮赢惠泽2C</t>
    <phoneticPr fontId="6" type="noConversion"/>
  </si>
  <si>
    <t>22臻金1C</t>
    <phoneticPr fontId="6" type="noConversion"/>
  </si>
  <si>
    <t>德银3期优先B</t>
    <phoneticPr fontId="6" type="noConversion"/>
  </si>
  <si>
    <t>华鑫证券</t>
    <phoneticPr fontId="6" type="noConversion"/>
  </si>
  <si>
    <t>25中誉至诚3C,2589127.IB,238w,104.445,46058</t>
    <phoneticPr fontId="6" type="noConversion"/>
  </si>
  <si>
    <t>25中誉至诚3C,2589127.IB,238w,104.458,2月6日，国泰海通 夏雪 to 外贸信托朗瑞1号8期 孟亚琪</t>
    <phoneticPr fontId="6" type="noConversion"/>
  </si>
  <si>
    <t>1、24惠元8C，2489337.IB，1500w，112.0948，2月5日，T+0，银河证券 赵恩聪 to 天风 唐德婷2885078648</t>
  </si>
  <si>
    <t>2、24惠元8C，2489337.IB，1500w，112.1248，2月5日，T+0，天风 唐德婷2885078648 to 外贸信托朗瑞1号8期 孟亚琪2881131472</t>
  </si>
  <si>
    <t>3、24工元至诚4C，2489376.IB，1000w，117.1441, 2月5日，T+0，银河证券 赵恩聪 to 天风 唐德婷2885078648</t>
  </si>
  <si>
    <t>4、24工元至诚4C，2489376.IB，1000w，117.1441, 2月5日，T+0，天风 唐德婷2885078648 to 外贸信托朗瑞1号8期 孟亚琪2881131472</t>
  </si>
  <si>
    <t>待定。先不打款</t>
    <phoneticPr fontId="6" type="noConversion"/>
  </si>
  <si>
    <t>荟臻032C (144302.SZ)，1600w，136.80,2月6日， 元康盛景28号 刘靖涛 to 中金 王思路2881374727</t>
    <phoneticPr fontId="6" type="noConversion"/>
  </si>
  <si>
    <t>25鼎柚3次级，2589212.IB，2-6, 1200w，101.8227，国泰海通 夏雪 to 外贸信托朗瑞1号5期 孟亚琪</t>
    <phoneticPr fontId="6" type="noConversion"/>
  </si>
  <si>
    <t>25鼎柚3次级，2589212.IB，2-6, 1200w，101.8227，国泰海通 夏雪 to 外贸信托朗瑞1号5期 孟亚琪</t>
    <phoneticPr fontId="6" type="noConversion"/>
  </si>
  <si>
    <t>ZJCF08C</t>
    <phoneticPr fontId="6" type="noConversion"/>
  </si>
  <si>
    <t>GC广汽次[180718.SH]，700w，97.423，2月5日，粤开证券 to 元康盛景28号</t>
    <phoneticPr fontId="6" type="noConversion"/>
  </si>
  <si>
    <t>欧士力夹层</t>
    <phoneticPr fontId="6" type="noConversion"/>
  </si>
  <si>
    <t>3月初</t>
    <phoneticPr fontId="6" type="noConversion"/>
  </si>
  <si>
    <t>小微租赁</t>
    <phoneticPr fontId="6" type="noConversion"/>
  </si>
  <si>
    <t>天风</t>
    <phoneticPr fontId="6" type="noConversion"/>
  </si>
  <si>
    <t>普洛斯夹层</t>
    <phoneticPr fontId="6" type="noConversion"/>
  </si>
  <si>
    <t>盈峰车险</t>
    <phoneticPr fontId="6" type="noConversion"/>
  </si>
  <si>
    <t>2、20飞驰建普2C，2089421.IB，1975w，0.2926元/百元面值，2月6日，外贸信托朗瑞1号5期 孟亚琪2881131472</t>
  </si>
  <si>
    <t>1、20飞驰建普2C，2089421.IB，1975w，0.2826元/百元面值，2月6日，中诚信托固益人生18号集合资金信托计划殷锋 QT号：2885822426   to 天风证券 唐德婷qt2885078648</t>
    <phoneticPr fontId="6" type="noConversion"/>
  </si>
  <si>
    <t>20飞驰建普2C</t>
    <phoneticPr fontId="6" type="noConversion"/>
  </si>
  <si>
    <t>22臻金1C，2289055.IB，100w，25元/百元面值，2月6日，天风证券 唐德婷qt2885078648   to 外贸信托朗瑞1号8期 孟亚琪2881131472</t>
    <phoneticPr fontId="6" type="noConversion"/>
  </si>
  <si>
    <t>朗瑞1-5申购</t>
    <phoneticPr fontId="6" type="noConversion"/>
  </si>
  <si>
    <t>宝冶</t>
    <phoneticPr fontId="6" type="noConversion"/>
  </si>
  <si>
    <t>5美意4次</t>
    <phoneticPr fontId="6" type="noConversion"/>
  </si>
  <si>
    <t>不拿</t>
    <phoneticPr fontId="6" type="noConversion"/>
  </si>
  <si>
    <t>春节后申购</t>
    <phoneticPr fontId="6" type="noConversion"/>
  </si>
  <si>
    <t>dtj</t>
    <phoneticPr fontId="6" type="noConversion"/>
  </si>
  <si>
    <t>阳光金科赎回兑付</t>
    <phoneticPr fontId="6" type="noConversion"/>
  </si>
  <si>
    <t>元康盛景1号赎回</t>
    <phoneticPr fontId="6" type="noConversion"/>
  </si>
  <si>
    <t>1、25东裕7叔裕ABN001次,082501056.IB,410w,103.3333, 2-10，t+0，国泰海通 夏雪 QT号：3007305611to 外贸信托元康盛景1号 赵婷婷</t>
    <phoneticPr fontId="6" type="noConversion"/>
  </si>
  <si>
    <t>小鹏5B”代码：500446，2000w，3.3%，2月12日缴款，2月13日起息，元康盛景26号</t>
    <phoneticPr fontId="6" type="noConversion"/>
  </si>
  <si>
    <t>“小鹏5次”代码：500447，7505w，6.8%（单利）。2月12日缴款，2月13日起息，元康盛景28号</t>
    <phoneticPr fontId="6" type="noConversion"/>
  </si>
  <si>
    <t>1、082480881.IB 24和赢众鑫ABN002优先B，500w 净价100.005 应计利息 0.19589，中信证券 to 外贸信托朗瑞1号5期（孟亚琪，2881131472），发中信证券（林秋益，3004157238）请求</t>
    <phoneticPr fontId="6" type="noConversion"/>
  </si>
  <si>
    <t>24和赢众鑫ABN002优先B</t>
    <phoneticPr fontId="6" type="noConversion"/>
  </si>
  <si>
    <t>2、082480882.IB 24和赢众鑫ABN002次A 1350w 净价=全价108.795 中信证券 to 外贸信托朗瑞1号5期（孟亚琪，2881131472），发中信证券（林秋益，3004157238）请求</t>
    <phoneticPr fontId="6" type="noConversion"/>
  </si>
  <si>
    <t>24和赢众鑫ABN002次A</t>
    <phoneticPr fontId="6" type="noConversion"/>
  </si>
  <si>
    <t>23工元至诚1C,2389064.IB,200w,58.9,2月10日，t+0，国泰海通 夏雪 to 粤财信托鹏雅10号120期 王同博 QT员工号：3004238546</t>
    <phoneticPr fontId="6" type="noConversion"/>
  </si>
  <si>
    <t>25兴瑞1C,2589025.IB,720w,77.24,,2月10日，t+0，国泰海通 夏雪 to 粤财信托鹏雅10号120期 王同博 QT员工号：3004238546</t>
    <phoneticPr fontId="6" type="noConversion"/>
  </si>
  <si>
    <t>25浦鑫归航1C,2589031.IB,1200w,103.6393,,2月10日，t+0，国泰海通 夏雪 to 粤财信托鹏雅10号120期 王同博 QT员工号：3004238546</t>
    <phoneticPr fontId="6" type="noConversion"/>
  </si>
  <si>
    <t>24京能3号ABN001次 (082482325.IB)，1100w，100.12元/百元面值，2月10日，24京能3号ABN001次 (082482325.IB)，100w，100元/百元面值，12月30日，五矿信托和玉系列-元康盛景系列【2】号集合资金信托计划 to 国泰海通 冉雅婷</t>
    <phoneticPr fontId="6" type="noConversion"/>
  </si>
  <si>
    <t>24京能3号ABN001次 (082482325.IB)，1100w，100.12元/百元面值，2月10日，24京能3号ABN001次 (082482325.IB)，100w，100元/百元面值，12月30日，五矿信托和玉系列-元康盛景系列【2】号集合资金信托计划 to 国泰海通 冉雅婷</t>
    <phoneticPr fontId="6" type="noConversion"/>
  </si>
  <si>
    <t>磐宙自有申购</t>
    <phoneticPr fontId="6" type="noConversion"/>
  </si>
  <si>
    <t>元康1号申购</t>
    <phoneticPr fontId="6" type="noConversion"/>
  </si>
  <si>
    <t>潍坊次级</t>
    <phoneticPr fontId="6" type="noConversion"/>
  </si>
  <si>
    <t>“潍坊01C”267941，100w，2月12期缴款，2月13日起息，元康盛景28号</t>
    <phoneticPr fontId="6" type="noConversion"/>
  </si>
  <si>
    <t>启恒次级</t>
    <phoneticPr fontId="6" type="noConversion"/>
  </si>
  <si>
    <t>泸融3C(500471)，100w，7%（单利），2月11日缴款，2月12期起息，元康盛景28号</t>
    <phoneticPr fontId="6" type="noConversion"/>
  </si>
  <si>
    <t>不良信用卡</t>
    <phoneticPr fontId="6" type="noConversion"/>
  </si>
  <si>
    <t>3月下旬</t>
    <phoneticPr fontId="6" type="noConversion"/>
  </si>
  <si>
    <t>兴瑞26-1</t>
    <phoneticPr fontId="6" type="noConversion"/>
  </si>
  <si>
    <t>0.82/0.34</t>
    <phoneticPr fontId="6" type="noConversion"/>
  </si>
  <si>
    <t>招证、兴业、中信、国君</t>
    <phoneticPr fontId="6" type="noConversion"/>
  </si>
  <si>
    <t>不良房贷</t>
    <phoneticPr fontId="6" type="noConversion"/>
  </si>
  <si>
    <t>福鑫26-2</t>
    <phoneticPr fontId="6" type="noConversion"/>
  </si>
  <si>
    <t>福鑫26-1</t>
    <phoneticPr fontId="6" type="noConversion"/>
  </si>
  <si>
    <t>3.6/1.0</t>
    <phoneticPr fontId="6" type="noConversion"/>
  </si>
  <si>
    <t>2.2/0.6</t>
    <phoneticPr fontId="6" type="noConversion"/>
  </si>
  <si>
    <t>有材料</t>
    <phoneticPr fontId="6" type="noConversion"/>
  </si>
  <si>
    <t>王笛</t>
    <phoneticPr fontId="6" type="noConversion"/>
  </si>
  <si>
    <t>3月第1周</t>
    <phoneticPr fontId="6" type="noConversion"/>
  </si>
  <si>
    <t>大业申购</t>
    <phoneticPr fontId="6" type="noConversion"/>
  </si>
  <si>
    <t>归还回购-熠安02A3</t>
    <phoneticPr fontId="6" type="noConversion"/>
  </si>
  <si>
    <t>铁建交易</t>
    <phoneticPr fontId="6" type="noConversion"/>
  </si>
  <si>
    <t>铁建交易卖出</t>
    <phoneticPr fontId="6" type="noConversion"/>
  </si>
  <si>
    <t>爱建新增申购</t>
    <phoneticPr fontId="6" type="noConversion"/>
  </si>
  <si>
    <t>走加急打款流程</t>
    <phoneticPr fontId="6" type="noConversion"/>
  </si>
  <si>
    <t>新增回购</t>
    <phoneticPr fontId="6" type="noConversion"/>
  </si>
  <si>
    <t>星灿5A3</t>
    <phoneticPr fontId="6" type="noConversion"/>
  </si>
  <si>
    <t>星灿5A3,144780.SZ,18w, 净价100,2月12日，国泰海通樊文娟 to 元康盛景26号 刘靖涛</t>
    <phoneticPr fontId="6" type="noConversion"/>
  </si>
  <si>
    <t>熠然5A3，263739.SH，895w，净价100,2月12日，国泰海通 樊文娟 to 元康盛景28号 刘靖涛</t>
    <phoneticPr fontId="6" type="noConversion"/>
  </si>
  <si>
    <t>借600w，3.5%，14d，2026-2-12~2026-2-26；押券G光环1次，146092.SZ，750w，80%；正回购方：元康盛景28号 刘靖涛，逆回购方：安远 赵英明qq2929561305</t>
    <phoneticPr fontId="6" type="noConversion"/>
  </si>
  <si>
    <t>5美意3次[263710.SH] ,120w，全价107.274，2026-2-12，国泰海通 樊文娟 to 外贸信托元康盛景1号 吕韩晶 2853866770</t>
    <phoneticPr fontId="6" type="noConversion"/>
  </si>
  <si>
    <t>4美意6次 (262764.SH)，300w，全价109.914，2026-2-12，国泰海通 樊文娟 to 元康盛景20号 刘靖涛</t>
    <phoneticPr fontId="6" type="noConversion"/>
  </si>
  <si>
    <t>16中盈1C</t>
    <phoneticPr fontId="6" type="noConversion"/>
  </si>
  <si>
    <t>16中盈2C</t>
    <phoneticPr fontId="6" type="noConversion"/>
  </si>
  <si>
    <t>25YH1A2</t>
    <phoneticPr fontId="6" type="noConversion"/>
  </si>
  <si>
    <t>16中盈2C 1689234.IB 45万份</t>
    <phoneticPr fontId="6" type="noConversion"/>
  </si>
  <si>
    <t>16中盈1C 1689186.IB 60万份</t>
    <phoneticPr fontId="6" type="noConversion"/>
  </si>
  <si>
    <t>25鑫驰1B</t>
    <phoneticPr fontId="6" type="noConversion"/>
  </si>
  <si>
    <t>金薇</t>
    <phoneticPr fontId="6" type="noConversion"/>
  </si>
  <si>
    <t>招元和萃2026-1</t>
    <phoneticPr fontId="6" type="noConversion"/>
  </si>
  <si>
    <t>2/0.72</t>
    <phoneticPr fontId="6" type="noConversion"/>
  </si>
  <si>
    <t>惠元26-1期</t>
    <phoneticPr fontId="6" type="noConversion"/>
  </si>
  <si>
    <t>不良经营贷</t>
    <phoneticPr fontId="6" type="noConversion"/>
  </si>
  <si>
    <t>3/1.26</t>
    <phoneticPr fontId="6" type="noConversion"/>
  </si>
  <si>
    <t>建投、中信、中金、兴业</t>
    <phoneticPr fontId="6" type="noConversion"/>
  </si>
  <si>
    <t>华泰、招商、建投</t>
    <phoneticPr fontId="6" type="noConversion"/>
  </si>
  <si>
    <t>提取至元康29号</t>
    <phoneticPr fontId="6" type="noConversion"/>
  </si>
  <si>
    <t>鹏雅120提取</t>
    <phoneticPr fontId="6" type="noConversion"/>
  </si>
  <si>
    <t>22兴瑞4优先</t>
    <phoneticPr fontId="6" type="noConversion"/>
  </si>
  <si>
    <t>2289264.IB，22兴瑞4优先，1000w，净价20.23,2月26日，中信证券杨赟 to 外贸信托朗瑞1号8期 孟亚琪</t>
    <phoneticPr fontId="6" type="noConversion"/>
  </si>
  <si>
    <t>元康盛景30号</t>
    <phoneticPr fontId="6" type="noConversion"/>
  </si>
  <si>
    <t>外贸元康盛景1号赎回</t>
    <phoneticPr fontId="6" type="noConversion"/>
  </si>
  <si>
    <t>元康17号赎回</t>
    <phoneticPr fontId="6" type="noConversion"/>
  </si>
  <si>
    <t>今天先沟通提供空白合同</t>
    <phoneticPr fontId="6" type="noConversion"/>
  </si>
  <si>
    <t>元康盛景30号申购</t>
    <phoneticPr fontId="6" type="noConversion"/>
  </si>
  <si>
    <t>熠安02A3回款兑付</t>
    <phoneticPr fontId="6" type="noConversion"/>
  </si>
  <si>
    <t>回款</t>
    <phoneticPr fontId="6" type="noConversion"/>
  </si>
  <si>
    <t>温州回款</t>
    <phoneticPr fontId="6" type="noConversion"/>
  </si>
  <si>
    <t>回款</t>
    <phoneticPr fontId="6" type="noConversion"/>
  </si>
  <si>
    <t>剩余539w质押中</t>
    <phoneticPr fontId="6" type="noConversion"/>
  </si>
  <si>
    <t>回购归还</t>
    <phoneticPr fontId="6" type="noConversion"/>
  </si>
  <si>
    <t>熠然5A3续作的时候，由于面值减少14元，回购续作本金金额会减少184.8</t>
    <phoneticPr fontId="6" type="noConversion"/>
  </si>
  <si>
    <t>25YH1A2[264411.SH]，净价79.218，2-25，元康盛景26号 刘靖涛3003993899 to 中信证券 xxx</t>
    <phoneticPr fontId="6" type="noConversion"/>
  </si>
  <si>
    <t>熠安02A3回购续作减少</t>
    <phoneticPr fontId="6" type="noConversion"/>
  </si>
  <si>
    <t>释放回款-熠安02A3</t>
    <phoneticPr fontId="6" type="noConversion"/>
  </si>
  <si>
    <t>朗瑞1-8赎回</t>
    <phoneticPr fontId="6" type="noConversion"/>
  </si>
  <si>
    <t>全景1号</t>
    <phoneticPr fontId="6" type="noConversion"/>
  </si>
  <si>
    <t>3月份募集目标</t>
    <phoneticPr fontId="6" type="noConversion"/>
  </si>
  <si>
    <t>回购释放-星灿5A3</t>
    <phoneticPr fontId="6" type="noConversion"/>
  </si>
  <si>
    <t>归还回购-星灿5A3</t>
    <phoneticPr fontId="6" type="noConversion"/>
  </si>
  <si>
    <t>25号碰要素</t>
    <phoneticPr fontId="6" type="noConversion"/>
  </si>
  <si>
    <t>回款</t>
    <phoneticPr fontId="6" type="noConversion"/>
  </si>
  <si>
    <t>归还熠然5A3回购</t>
    <phoneticPr fontId="6" type="noConversion"/>
  </si>
  <si>
    <t>德银簿记</t>
    <phoneticPr fontId="6" type="noConversion"/>
  </si>
  <si>
    <t>海云3优A</t>
    <phoneticPr fontId="6" type="noConversion"/>
  </si>
  <si>
    <t>卖出25浦鑫归航9C</t>
    <phoneticPr fontId="6" type="noConversion"/>
  </si>
  <si>
    <t>提前归还回购</t>
    <phoneticPr fontId="6" type="noConversion"/>
  </si>
  <si>
    <t>浩澜2026-1ABN</t>
    <phoneticPr fontId="6" type="noConversion"/>
  </si>
  <si>
    <t>马上</t>
    <phoneticPr fontId="6" type="noConversion"/>
  </si>
  <si>
    <t>2/26 2589513.IB 25浦鑫归航9C 200W 全价100.9719 外贸信托-朗瑞1号8期 孟亚琪 T0 中金（黄兴）QT号：2850290224</t>
    <phoneticPr fontId="6" type="noConversion"/>
  </si>
  <si>
    <t>元康29号提取赎回</t>
    <phoneticPr fontId="6" type="noConversion"/>
  </si>
  <si>
    <t>诚远3期优先B</t>
    <phoneticPr fontId="6" type="noConversion"/>
  </si>
  <si>
    <t>无材料</t>
    <phoneticPr fontId="6" type="noConversion"/>
  </si>
  <si>
    <t>惠元2026-2</t>
    <phoneticPr fontId="6" type="noConversion"/>
  </si>
  <si>
    <t>惠元2026-3</t>
    <phoneticPr fontId="6" type="noConversion"/>
  </si>
  <si>
    <t>3.7/1.2</t>
    <phoneticPr fontId="6" type="noConversion"/>
  </si>
  <si>
    <t>2.17/0.63</t>
    <phoneticPr fontId="6" type="noConversion"/>
  </si>
  <si>
    <t>中信、兴业</t>
    <phoneticPr fontId="6" type="noConversion"/>
  </si>
  <si>
    <t>不良个人经营（房抵）</t>
    <phoneticPr fontId="6" type="noConversion"/>
  </si>
  <si>
    <t xml:space="preserve">25鑫驰1B[146026.SZ]，800w，净价101.5，2月26日，元康盛景26号 刘靖涛 to 粤开许逸潇 </t>
    <phoneticPr fontId="6" type="noConversion"/>
  </si>
  <si>
    <t>5美意1次</t>
  </si>
  <si>
    <t>4美意6次</t>
  </si>
  <si>
    <t>交易日</t>
    <phoneticPr fontId="6" type="noConversion"/>
  </si>
  <si>
    <t>马欢代持买回铁建081C</t>
    <phoneticPr fontId="6" type="noConversion"/>
  </si>
  <si>
    <t>启恒1次，500486，500w。5.98%预期收益率，3月2日缴款，3月3日起息，元康盛景28号</t>
    <phoneticPr fontId="6" type="noConversion"/>
  </si>
  <si>
    <t>2026-08-26</t>
  </si>
  <si>
    <t>2026-05-26</t>
  </si>
  <si>
    <t>1、铁建081C（265587.SH），240w，100.833，2月27日，元康盛景28号 Z06308 to方田远见5号 Z13506，约定号：631</t>
  </si>
  <si>
    <t>2、铁建081C（265587.SH），830w，100.833，2月27日，元康盛景28号 Z06308 to方田远见8号 Z06704，约定号：632</t>
  </si>
  <si>
    <t>3、铁建081C（265587.SH），515w，100.833，2月27日，元康盛景28号 Z06308 to鹏石启航9号 Z13506，约定号：633</t>
  </si>
  <si>
    <t>G光环1次回款</t>
    <phoneticPr fontId="6" type="noConversion"/>
  </si>
  <si>
    <t>元康20号申购</t>
    <phoneticPr fontId="6" type="noConversion"/>
  </si>
  <si>
    <t>申购朗瑞1-7</t>
    <phoneticPr fontId="6" type="noConversion"/>
  </si>
  <si>
    <t>25美团美好ABN002次，082580682.IB，370w，103.101, 3-2，国泰海通 冉雅婷 QT号：2881971956 to 粤财信托鹏雅10号集合资金信托计划119期 王同博 QT员工号：3004238546</t>
    <phoneticPr fontId="6" type="noConversion"/>
  </si>
  <si>
    <t>25美团美好ABN002次</t>
    <phoneticPr fontId="6" type="noConversion"/>
  </si>
  <si>
    <t>首创/财达/国金</t>
    <phoneticPr fontId="6" type="noConversion"/>
  </si>
  <si>
    <t>福鑫26-3</t>
    <phoneticPr fontId="6" type="noConversion"/>
  </si>
  <si>
    <t>1.93/0.8</t>
    <phoneticPr fontId="6" type="noConversion"/>
  </si>
  <si>
    <t>招证、光大</t>
    <phoneticPr fontId="6" type="noConversion"/>
  </si>
  <si>
    <t>交诚2026-1</t>
    <phoneticPr fontId="6" type="noConversion"/>
  </si>
  <si>
    <t>4.65/1.55</t>
    <phoneticPr fontId="6" type="noConversion"/>
  </si>
  <si>
    <t>招商、银河</t>
    <phoneticPr fontId="6" type="noConversion"/>
  </si>
  <si>
    <t>2/5+0</t>
  </si>
  <si>
    <t>净价100.55，1100w</t>
  </si>
  <si>
    <t>ZJCF08C，266715.SH，</t>
    <phoneticPr fontId="6" type="noConversion"/>
  </si>
  <si>
    <t>ZJCF08C，266715.SH，1100w，100.894全价，3/2，元康盛景22号 to 扬讯</t>
    <phoneticPr fontId="6" type="noConversion"/>
  </si>
  <si>
    <t>ZJCF08C，266715.SH，1100w，100.904全价，3/2，扬讯 to 元康盛景28号</t>
    <phoneticPr fontId="6" type="noConversion"/>
  </si>
  <si>
    <t>流动性诉求</t>
    <phoneticPr fontId="6" type="noConversion"/>
  </si>
  <si>
    <t>2/27赎回</t>
    <phoneticPr fontId="6" type="noConversion"/>
  </si>
  <si>
    <t>蔚能ABN2026-1</t>
    <phoneticPr fontId="6" type="noConversion"/>
  </si>
  <si>
    <t>元康盛景9号赎回</t>
    <phoneticPr fontId="6" type="noConversion"/>
  </si>
  <si>
    <t>晨惠2期</t>
    <phoneticPr fontId="6" type="noConversion"/>
  </si>
  <si>
    <t>平安证券</t>
    <phoneticPr fontId="6" type="noConversion"/>
  </si>
  <si>
    <t>浦鑫归航2026-1</t>
    <phoneticPr fontId="6" type="noConversion"/>
  </si>
  <si>
    <t>2.55/0.97</t>
    <phoneticPr fontId="6" type="noConversion"/>
  </si>
  <si>
    <t>建投、中金、国泰海通、招证</t>
    <phoneticPr fontId="6" type="noConversion"/>
  </si>
  <si>
    <t>搭售，有材料，未安排</t>
    <phoneticPr fontId="6" type="noConversion"/>
  </si>
  <si>
    <t>已沟通</t>
    <phoneticPr fontId="6" type="noConversion"/>
  </si>
  <si>
    <t>铁建085C</t>
    <phoneticPr fontId="6" type="noConversion"/>
  </si>
  <si>
    <t>gtht</t>
    <phoneticPr fontId="6" type="noConversion"/>
  </si>
  <si>
    <t>2026年度美好生活第一期定向资产支持票据</t>
    <phoneticPr fontId="6" type="noConversion"/>
  </si>
  <si>
    <t>招商</t>
    <phoneticPr fontId="6" type="noConversion"/>
  </si>
  <si>
    <t>搭售优先2倍</t>
    <phoneticPr fontId="6" type="noConversion"/>
  </si>
  <si>
    <t>工元至诚惠银2026-2</t>
    <phoneticPr fontId="6" type="noConversion"/>
  </si>
  <si>
    <t>12/3.9</t>
    <phoneticPr fontId="6" type="noConversion"/>
  </si>
  <si>
    <t>国泰/广发</t>
    <phoneticPr fontId="6" type="noConversion"/>
  </si>
  <si>
    <t>工元至诚惠银2026-1</t>
    <phoneticPr fontId="6" type="noConversion"/>
  </si>
  <si>
    <t>熠安02A3[144651.SZ]，1100w，净价69.39, 3/2，元康盛景20号 to 扬讯；熠安02A3[144651.SZ]，1100w，净价69.4, 3/2，扬讯 to 苏信财富Z2502；</t>
    <phoneticPr fontId="6" type="noConversion"/>
  </si>
  <si>
    <t>铁建051C（199768.SH），665w，111.89，3/2，元康盛景20号  to 扬讯；铁建051C（199768.SH），665w，111.90，3/2，扬讯 to 苏信财富Z2502；</t>
    <phoneticPr fontId="6" type="noConversion"/>
  </si>
  <si>
    <t>5美意1次[263091.SH] ，2000w，108.814,3/2，元康盛景20号 to 扬讯；5美意1次[263091.SH] ，2000w，108.824,3/2，元康盛景20号 to 扬讯</t>
    <phoneticPr fontId="6" type="noConversion"/>
  </si>
  <si>
    <t>144651.SZ</t>
    <phoneticPr fontId="6" type="noConversion"/>
  </si>
  <si>
    <t>199768.SH</t>
    <phoneticPr fontId="6" type="noConversion"/>
  </si>
  <si>
    <t>263091.SH</t>
    <phoneticPr fontId="6" type="noConversion"/>
  </si>
  <si>
    <t>5美意3次[263710.SH] ，2100w，107.565,3/2，西藏信托君集2号 2850981264钟振涛 to 苏信财富组合添利Z2502集合资金信托计划，徐健qq455768073</t>
    <phoneticPr fontId="6" type="noConversion"/>
  </si>
  <si>
    <t>5美意4次，263707.SH，1250w，107.549,3/2, 西藏信托君集2号 2850981264钟振涛 to 元康盛景28号 刘靖涛</t>
    <phoneticPr fontId="6" type="noConversion"/>
  </si>
  <si>
    <t>西藏信托</t>
    <phoneticPr fontId="6" type="noConversion"/>
  </si>
  <si>
    <t>-</t>
    <phoneticPr fontId="6" type="noConversion"/>
  </si>
  <si>
    <t>加权收益率</t>
    <phoneticPr fontId="6" type="noConversion"/>
  </si>
  <si>
    <t>无</t>
    <phoneticPr fontId="6" type="noConversion"/>
  </si>
  <si>
    <t>铁建Y28C，267372.SH，2860w，100.962,3/3，国泰海通 樊文娟 to 苏信财富组合添利Z2502集合资金信托计划，徐健qq455768073</t>
    <phoneticPr fontId="6" type="noConversion"/>
  </si>
  <si>
    <t>德银07B/267906，200w，2.8%，3/2缴款，3/3起息，元康盛景26号</t>
    <phoneticPr fontId="6" type="noConversion"/>
  </si>
  <si>
    <t>262764.SH</t>
    <phoneticPr fontId="6" type="noConversion"/>
  </si>
  <si>
    <t>4美意6次[262764.SH] ,300w,109.42全价，3月2日，元康盛景20号 to 扬讯；4美意6次[262764.SH] ,300w,109.43全价，3月2日，扬讯 to 苏信Z2502；</t>
    <phoneticPr fontId="6" type="noConversion"/>
  </si>
  <si>
    <t>langrui 1-7</t>
    <phoneticPr fontId="6" type="noConversion"/>
  </si>
  <si>
    <t>元康30号申购</t>
    <phoneticPr fontId="6" type="noConversion"/>
  </si>
  <si>
    <t>睿昕1次</t>
  </si>
  <si>
    <t>睿昕1次</t>
    <phoneticPr fontId="6" type="noConversion"/>
  </si>
  <si>
    <t>144259.SZ</t>
    <phoneticPr fontId="6" type="noConversion"/>
  </si>
  <si>
    <t>23号</t>
    <phoneticPr fontId="6" type="noConversion"/>
  </si>
  <si>
    <t>3/2+0,  25弗迪租赁ABN001次级(绿色)[082580900.IB],3000w,全价100.7898 百瑞信托瑞鑫17号【百瑞信托 张丽莹2881268916】 卖出 天风证券 唐德婷qt2885078648 
3/2+0,  25弗迪租赁ABN001次级(绿色)[082580900.IB],3000w,全价100.8098 天风证券 唐德婷qt2885078648 卖出  粤财信托吴海滨 2880690705</t>
    <phoneticPr fontId="6" type="noConversion"/>
  </si>
  <si>
    <t>京诚155B回款到期</t>
    <phoneticPr fontId="20" type="noConversion"/>
  </si>
  <si>
    <t>小鹏5次</t>
  </si>
  <si>
    <t>元康26号</t>
    <phoneticPr fontId="6" type="noConversion"/>
  </si>
  <si>
    <t>鑫驰4期</t>
    <phoneticPr fontId="6" type="noConversion"/>
  </si>
  <si>
    <t>G蔚能1科</t>
    <phoneticPr fontId="6" type="noConversion"/>
  </si>
  <si>
    <t>渣打证券</t>
    <phoneticPr fontId="6" type="noConversion"/>
  </si>
  <si>
    <t>熹焱07A3[144671.SZ] ，450w，净价72.803，3/2，元康26号 to 扬讯；熹焱07A3[144671.SZ] ，450w，净价72.813，3/2， 扬讯 to 苏信Z2502；</t>
    <phoneticPr fontId="6" type="noConversion"/>
  </si>
  <si>
    <t>睿昕1次 (144259.SZ)，400w，63.993全价，3/2，元康盛景23号 to 扬讯；睿昕1次 (144259.SZ)，400w，64.003全价，3/2，扬讯 to 苏信Z2502；</t>
    <phoneticPr fontId="6" type="noConversion"/>
  </si>
  <si>
    <t>5美意1次[263091.SH] ，2000w，108.814,3/2，元康盛景20号 to 扬讯；5美意1次[263091.SH] ，2000w，108.824,3/2，扬讯to 苏信Z2502</t>
    <phoneticPr fontId="6" type="noConversion"/>
  </si>
  <si>
    <t>信保基金</t>
    <phoneticPr fontId="6" type="noConversion"/>
  </si>
  <si>
    <t>2/27 16中盈1C 60万份（6000w面值） 21.9792元 天风to 外贸信托朗瑞1号5期（孟亚琪，2881131472）</t>
  </si>
  <si>
    <t>2/27 16中盈2C 45万份（4500万面值） 27.6614元 天风 to 外贸信托朗瑞1号5期（孟亚琪，2881131472）</t>
  </si>
  <si>
    <t>提前归还回购DY03优3</t>
    <phoneticPr fontId="6" type="noConversion"/>
  </si>
  <si>
    <t>新增回购DY03优3</t>
    <phoneticPr fontId="6" type="noConversion"/>
  </si>
  <si>
    <t>2589025.IB  25兴瑞1C 310W 净价/全价  51.8511 天风证券 TO外贸信托朗瑞1号8期  孟亚琪qt 2881131472</t>
    <phoneticPr fontId="6" type="noConversion"/>
  </si>
  <si>
    <t>新增回购-玮盈</t>
    <phoneticPr fontId="6" type="noConversion"/>
  </si>
  <si>
    <t>朗瑞1-8</t>
    <phoneticPr fontId="6" type="noConversion"/>
  </si>
  <si>
    <t>朗瑞1-1</t>
    <phoneticPr fontId="6" type="noConversion"/>
  </si>
  <si>
    <t>朗瑞1-2</t>
    <phoneticPr fontId="6" type="noConversion"/>
  </si>
  <si>
    <t>朗瑞1-3</t>
    <phoneticPr fontId="6" type="noConversion"/>
  </si>
  <si>
    <t>朗瑞1-4</t>
    <phoneticPr fontId="6" type="noConversion"/>
  </si>
  <si>
    <t>朗瑞1-6</t>
    <phoneticPr fontId="6" type="noConversion"/>
  </si>
  <si>
    <t>中航基金</t>
    <phoneticPr fontId="6" type="noConversion"/>
  </si>
  <si>
    <t>元康1</t>
    <phoneticPr fontId="6" type="noConversion"/>
  </si>
  <si>
    <t>元康9</t>
    <phoneticPr fontId="6" type="noConversion"/>
  </si>
  <si>
    <t>元康17</t>
    <phoneticPr fontId="6" type="noConversion"/>
  </si>
  <si>
    <t>元康29</t>
    <phoneticPr fontId="6" type="noConversion"/>
  </si>
  <si>
    <t>元康30</t>
    <phoneticPr fontId="6" type="noConversion"/>
  </si>
  <si>
    <t>急迫</t>
    <phoneticPr fontId="6" type="noConversion"/>
  </si>
  <si>
    <t>已完成</t>
    <phoneticPr fontId="6" type="noConversion"/>
  </si>
  <si>
    <t>基金净资产</t>
    <phoneticPr fontId="6" type="noConversion"/>
  </si>
  <si>
    <t>改造计划</t>
    <phoneticPr fontId="6" type="noConversion"/>
  </si>
  <si>
    <t>x</t>
    <phoneticPr fontId="6" type="noConversion"/>
  </si>
  <si>
    <t>正常</t>
    <phoneticPr fontId="6" type="noConversion"/>
  </si>
  <si>
    <t>不良</t>
    <phoneticPr fontId="6" type="noConversion"/>
  </si>
  <si>
    <t>元康28号</t>
    <phoneticPr fontId="6" type="noConversion"/>
  </si>
  <si>
    <t>浦鑫归航2026-2</t>
  </si>
  <si>
    <t>3.77/0.98</t>
    <phoneticPr fontId="6" type="noConversion"/>
  </si>
  <si>
    <t>中金、招证、建投、海通</t>
    <phoneticPr fontId="6" type="noConversion"/>
  </si>
  <si>
    <t>浦鑫归航2026-3</t>
  </si>
  <si>
    <t>0.27/0.098</t>
    <phoneticPr fontId="6" type="noConversion"/>
  </si>
  <si>
    <t>2.9/0.96</t>
    <phoneticPr fontId="6" type="noConversion"/>
  </si>
  <si>
    <t>宝冶25次（265833.SH），101.026,900w，3/3，芜湖元康出给国民信托</t>
    <phoneticPr fontId="6" type="noConversion"/>
  </si>
  <si>
    <t>欧力士缴款</t>
    <phoneticPr fontId="6" type="noConversion"/>
  </si>
  <si>
    <t>9月到期</t>
    <phoneticPr fontId="6" type="noConversion"/>
  </si>
  <si>
    <t>25和赢蔚能ABN001BC优先A2(科创)</t>
    <phoneticPr fontId="6" type="noConversion"/>
  </si>
  <si>
    <t>元康9赎回</t>
    <phoneticPr fontId="6" type="noConversion"/>
  </si>
  <si>
    <t>国金保理第二期</t>
    <phoneticPr fontId="6" type="noConversion"/>
  </si>
  <si>
    <t>央企供应链</t>
    <phoneticPr fontId="6" type="noConversion"/>
  </si>
  <si>
    <t>3.5%-3.8%</t>
    <phoneticPr fontId="6" type="noConversion"/>
  </si>
  <si>
    <t>24和赢众鑫ABN001优先B</t>
  </si>
  <si>
    <t>24惠元7C</t>
    <phoneticPr fontId="6" type="noConversion"/>
  </si>
  <si>
    <t>配置资产</t>
    <phoneticPr fontId="6" type="noConversion"/>
  </si>
  <si>
    <t>鑫驰4B</t>
    <phoneticPr fontId="6" type="noConversion"/>
  </si>
  <si>
    <t>25惠元2C</t>
    <phoneticPr fontId="6" type="noConversion"/>
  </si>
  <si>
    <t>25鑫驰1B</t>
    <phoneticPr fontId="20" type="noConversion"/>
  </si>
  <si>
    <t>华宝（厦门）</t>
    <phoneticPr fontId="10" type="noConversion"/>
  </si>
  <si>
    <t>3/6，盛煜015C，2000w，净价100, 国泰海通 樊文娟2885347044 to 中建投信托 臻泉2号</t>
    <phoneticPr fontId="6" type="noConversion"/>
  </si>
  <si>
    <t xml:space="preserve">3/6,  5美意3次[263710.SH] ，1000w，107.625，元康盛景20号 刘靖涛 to 粤开证券 许逸潇2881647849 </t>
    <phoneticPr fontId="6" type="noConversion"/>
  </si>
  <si>
    <t xml:space="preserve">3/6,  5美意3次[263710.SH] ，700w，107.625，元康盛景28号 刘靖涛 to 粤开证券 许逸潇2881647849 </t>
    <phoneticPr fontId="6" type="noConversion"/>
  </si>
  <si>
    <t xml:space="preserve">3/6,  5美意3次[263710.SH] ，120w，107.625，外贸元康盛景1号赵婷婷 to 粤开证券 许逸潇2881647849 </t>
    <phoneticPr fontId="6" type="noConversion"/>
  </si>
  <si>
    <t>3/6,  5美意3次[263710.SH] ，1820w，107.63，粤开证券 许逸潇2881647849 to 中建投信托 臻泉2号李思韵 3003354775。</t>
    <phoneticPr fontId="6" type="noConversion"/>
  </si>
  <si>
    <t>日期</t>
  </si>
  <si>
    <t>朗瑞1号8期</t>
  </si>
  <si>
    <t>元康29号赎回</t>
    <phoneticPr fontId="6" type="noConversion"/>
  </si>
  <si>
    <t>25锦新小微ABN002次</t>
    <phoneticPr fontId="6" type="noConversion"/>
  </si>
  <si>
    <t>从外贸元康盛景1号赎回的资金</t>
    <phoneticPr fontId="6" type="noConversion"/>
  </si>
  <si>
    <t>元康盛景29号申购</t>
    <phoneticPr fontId="6" type="noConversion"/>
  </si>
  <si>
    <t>鑫驰4B</t>
    <phoneticPr fontId="6" type="noConversion"/>
  </si>
  <si>
    <t>朗瑞1-7</t>
    <phoneticPr fontId="6" type="noConversion"/>
  </si>
  <si>
    <t>外贸元康1赎回</t>
    <phoneticPr fontId="6" type="noConversion"/>
  </si>
  <si>
    <t>元康17赎回</t>
    <phoneticPr fontId="6" type="noConversion"/>
  </si>
  <si>
    <t>周五定</t>
    <phoneticPr fontId="6" type="noConversion"/>
  </si>
  <si>
    <t>1000w中建投，2000w苏信。1000w渣打</t>
    <phoneticPr fontId="6" type="noConversion"/>
  </si>
  <si>
    <t>西南证券</t>
    <phoneticPr fontId="6" type="noConversion"/>
  </si>
  <si>
    <t>26锦新小微ABN002次</t>
    <phoneticPr fontId="6" type="noConversion"/>
  </si>
  <si>
    <t>26锦新小微ABN003次</t>
    <phoneticPr fontId="6" type="noConversion"/>
  </si>
  <si>
    <t>蔚能A3</t>
    <phoneticPr fontId="6" type="noConversion"/>
  </si>
  <si>
    <t>蔚能优B</t>
    <phoneticPr fontId="6" type="noConversion"/>
  </si>
  <si>
    <t>蔚能次A</t>
    <phoneticPr fontId="6" type="noConversion"/>
  </si>
  <si>
    <t>苏信/元康28</t>
    <phoneticPr fontId="6" type="noConversion"/>
  </si>
  <si>
    <t>5.98%-50bp</t>
    <phoneticPr fontId="6" type="noConversion"/>
  </si>
  <si>
    <t>利曦</t>
    <phoneticPr fontId="6" type="noConversion"/>
  </si>
  <si>
    <t>邮盈惠丰2026-1</t>
    <phoneticPr fontId="6" type="noConversion"/>
  </si>
  <si>
    <t>9.7/2.8</t>
    <phoneticPr fontId="6" type="noConversion"/>
  </si>
  <si>
    <t>中金、建投、中邮</t>
    <phoneticPr fontId="6" type="noConversion"/>
  </si>
  <si>
    <t>工元至诚惠银2026-3</t>
    <phoneticPr fontId="6" type="noConversion"/>
  </si>
  <si>
    <t>不良消费</t>
    <phoneticPr fontId="6" type="noConversion"/>
  </si>
  <si>
    <t>1.15/0.445</t>
    <phoneticPr fontId="6" type="noConversion"/>
  </si>
  <si>
    <t>苏誉2026-1</t>
    <phoneticPr fontId="6" type="noConversion"/>
  </si>
  <si>
    <t>680/300</t>
    <phoneticPr fontId="6" type="noConversion"/>
  </si>
  <si>
    <t>不参与</t>
    <phoneticPr fontId="6" type="noConversion"/>
  </si>
  <si>
    <t>3/9，5美好3次[263313.SH] ，50w，108.535，国泰海通樊文娟 to元康盛景28号 刘靖涛</t>
    <phoneticPr fontId="6" type="noConversion"/>
  </si>
  <si>
    <t>3/9，5美意3次[263710.SH] ，150w，107.678，国泰海通樊文娟 to元康盛景28号 刘靖涛</t>
    <phoneticPr fontId="6" type="noConversion"/>
  </si>
  <si>
    <t>归还回购-朗煜1A3</t>
    <phoneticPr fontId="6" type="noConversion"/>
  </si>
  <si>
    <t>归还回购-25鑫驰2B</t>
    <phoneticPr fontId="6" type="noConversion"/>
  </si>
  <si>
    <t>3/9,鑫驰4B，500492, 1000w一级缴款，利率3.15%， 中建投信托 臻泉2号，3-10起息</t>
    <phoneticPr fontId="6" type="noConversion"/>
  </si>
  <si>
    <t>3/9,鑫驰4B，500492, 2000w一级缴款，利率3.15%， 苏信财富Z2501，3-10起息</t>
    <phoneticPr fontId="6" type="noConversion"/>
  </si>
  <si>
    <t>3/4，26OCC1B，267846.SH,苏信Z2501一级缴款 ，500w，发行利率【3.0】%</t>
    <phoneticPr fontId="6" type="noConversion"/>
  </si>
  <si>
    <t>1、26锦新小微ABN003次，082680149，3月10日缴款，1000w，中金分销，朗瑞1-7缴款，单利5.7%，期限10个月左右非现</t>
  </si>
  <si>
    <t>2、26锦新小微ABN003次，082680149，3月10日缴款，2000w，自持部分，朗瑞1-7缴款，单利5.7%，期限10个月左右非现</t>
  </si>
  <si>
    <t>回收差，卖断</t>
    <phoneticPr fontId="6" type="noConversion"/>
  </si>
  <si>
    <t xml:space="preserve">工鑫41次 </t>
    <phoneticPr fontId="6" type="noConversion"/>
  </si>
  <si>
    <t>待定的东方电气</t>
    <phoneticPr fontId="6" type="noConversion"/>
  </si>
  <si>
    <t>工元至诚普银2026-1</t>
    <phoneticPr fontId="6" type="noConversion"/>
  </si>
  <si>
    <t>7.5/2.5</t>
    <phoneticPr fontId="6" type="noConversion"/>
  </si>
  <si>
    <t>100-可以搭售。搭售6.3%</t>
    <phoneticPr fontId="6" type="noConversion"/>
  </si>
  <si>
    <t>申购开放</t>
    <phoneticPr fontId="6" type="noConversion"/>
  </si>
  <si>
    <t>1、4、7、10月初5个工作日</t>
    <phoneticPr fontId="6" type="noConversion"/>
  </si>
  <si>
    <t>赎回开放</t>
    <phoneticPr fontId="6" type="noConversion"/>
  </si>
  <si>
    <t>1、4、7、10月初第5个工作日</t>
    <phoneticPr fontId="6" type="noConversion"/>
  </si>
  <si>
    <t>赎回预约</t>
    <phoneticPr fontId="6" type="noConversion"/>
  </si>
  <si>
    <t>T-90日至T-20日（工作日）</t>
    <phoneticPr fontId="6" type="noConversion"/>
  </si>
  <si>
    <t>赎回费</t>
    <phoneticPr fontId="6" type="noConversion"/>
  </si>
  <si>
    <t>3个月内0.5%</t>
    <phoneticPr fontId="6" type="noConversion"/>
  </si>
  <si>
    <t>3-6个月0.2%</t>
    <phoneticPr fontId="6" type="noConversion"/>
  </si>
  <si>
    <t>管理费</t>
    <phoneticPr fontId="6" type="noConversion"/>
  </si>
  <si>
    <t>carry</t>
    <phoneticPr fontId="6" type="noConversion"/>
  </si>
  <si>
    <t>A类</t>
    <phoneticPr fontId="6" type="noConversion"/>
  </si>
  <si>
    <t>B类</t>
    <phoneticPr fontId="6" type="noConversion"/>
  </si>
  <si>
    <t>管理人及其从业人员、管理人关联方及其员工为B类份额的委托人</t>
    <phoneticPr fontId="6" type="noConversion"/>
  </si>
  <si>
    <t>0以上10%</t>
    <phoneticPr fontId="6" type="noConversion"/>
  </si>
  <si>
    <t>ABS策略</t>
    <phoneticPr fontId="10" type="noConversion"/>
  </si>
  <si>
    <t>全天候策略</t>
    <phoneticPr fontId="10" type="noConversion"/>
  </si>
  <si>
    <t>期权策略</t>
    <phoneticPr fontId="10" type="noConversion"/>
  </si>
  <si>
    <t>REITs策略</t>
    <phoneticPr fontId="10" type="noConversion"/>
  </si>
  <si>
    <t>ABS-NPL策略</t>
    <phoneticPr fontId="10" type="noConversion"/>
  </si>
  <si>
    <t>大类资产指数期权</t>
    <phoneticPr fontId="10" type="noConversion"/>
  </si>
  <si>
    <t>元康17申购</t>
    <phoneticPr fontId="6" type="noConversion"/>
  </si>
  <si>
    <t>1、4、7、10月10号</t>
    <phoneticPr fontId="6" type="noConversion"/>
  </si>
  <si>
    <t>T-30日至T-20日（工作日）</t>
  </si>
  <si>
    <t>锁定期</t>
    <phoneticPr fontId="6" type="noConversion"/>
  </si>
  <si>
    <t>180d</t>
    <phoneticPr fontId="6" type="noConversion"/>
  </si>
  <si>
    <t>申购费A类</t>
    <phoneticPr fontId="6" type="noConversion"/>
  </si>
  <si>
    <t>300w优先0.25%</t>
    <phoneticPr fontId="6" type="noConversion"/>
  </si>
  <si>
    <t>180d以内1%</t>
    <phoneticPr fontId="6" type="noConversion"/>
  </si>
  <si>
    <t>3.5以上35%</t>
    <phoneticPr fontId="6" type="noConversion"/>
  </si>
  <si>
    <t>3.5以上28%</t>
    <phoneticPr fontId="6" type="noConversion"/>
  </si>
  <si>
    <t>本基金管理人及其从业人员、本基金管理人关联方及其员工、专业机构投资者为B类份额的委托人</t>
  </si>
  <si>
    <t>慧聚领航1号</t>
    <phoneticPr fontId="6" type="noConversion"/>
  </si>
  <si>
    <t>慧聚领航1号配置</t>
    <phoneticPr fontId="6" type="noConversion"/>
  </si>
  <si>
    <t>支付费用</t>
    <phoneticPr fontId="6" type="noConversion"/>
  </si>
  <si>
    <t>招元和萃2026-2</t>
    <phoneticPr fontId="6" type="noConversion"/>
  </si>
  <si>
    <t>中誉至诚2026-1</t>
    <phoneticPr fontId="6" type="noConversion"/>
  </si>
  <si>
    <t>9.5/2.8</t>
    <phoneticPr fontId="6" type="noConversion"/>
  </si>
  <si>
    <t>招商、中信、银河、国泰</t>
    <phoneticPr fontId="6" type="noConversion"/>
  </si>
  <si>
    <t>慧聚领航</t>
    <phoneticPr fontId="6" type="noConversion"/>
  </si>
  <si>
    <t>磐宙提起</t>
    <phoneticPr fontId="6" type="noConversion"/>
  </si>
  <si>
    <t>新增1笔小回购</t>
    <phoneticPr fontId="6" type="noConversion"/>
  </si>
  <si>
    <t>调整</t>
    <phoneticPr fontId="6" type="noConversion"/>
  </si>
  <si>
    <t>调整后</t>
    <phoneticPr fontId="6" type="noConversion"/>
  </si>
  <si>
    <t>外贸信托-元康盛景1号证券投资集合资金信托计划</t>
  </si>
  <si>
    <t>外贸信托-朗瑞1号集合资金信托计划第5期信托单元</t>
  </si>
  <si>
    <t>银行存款</t>
  </si>
  <si>
    <t>比例</t>
    <phoneticPr fontId="6" type="noConversion"/>
  </si>
  <si>
    <t>元康9追加</t>
    <phoneticPr fontId="6" type="noConversion"/>
  </si>
  <si>
    <t>朗瑞1-7追加</t>
    <phoneticPr fontId="6" type="noConversion"/>
  </si>
  <si>
    <t>远东普惠2026-1ABS夹层</t>
    <phoneticPr fontId="6" type="noConversion"/>
  </si>
  <si>
    <t>蔚能夹层A3或优先B</t>
    <phoneticPr fontId="6" type="noConversion"/>
  </si>
  <si>
    <t>优先级户</t>
    <phoneticPr fontId="6" type="noConversion"/>
  </si>
  <si>
    <t>蔚能ABS次A级</t>
    <phoneticPr fontId="6" type="noConversion"/>
  </si>
  <si>
    <t>26号+28号</t>
    <phoneticPr fontId="6" type="noConversion"/>
  </si>
  <si>
    <t>中誉至诚2026-2</t>
  </si>
  <si>
    <t>1.75/0.63</t>
    <phoneticPr fontId="6" type="noConversion"/>
  </si>
  <si>
    <t>招商、中金、银河、国泰</t>
    <phoneticPr fontId="6" type="noConversion"/>
  </si>
  <si>
    <t>赎回外贸1</t>
    <phoneticPr fontId="6" type="noConversion"/>
  </si>
  <si>
    <t>慧聚领航1号申购</t>
    <phoneticPr fontId="6" type="noConversion"/>
  </si>
  <si>
    <t>每份信托单位的封闭期为该份单位成立日（即T日，含该日）起6个月</t>
  </si>
  <si>
    <t>持有时间不足12个月的，赎回费率为0.05%。</t>
  </si>
  <si>
    <t>按月开放申购、赎回</t>
    <phoneticPr fontId="6" type="noConversion"/>
  </si>
  <si>
    <t>申赎频率</t>
    <phoneticPr fontId="6" type="noConversion"/>
  </si>
  <si>
    <t>定期申购开放日为信托计划存续期内每个自然月的第三个周四（如遇非交易日则顺延至下一个交易日）</t>
    <phoneticPr fontId="6" type="noConversion"/>
  </si>
  <si>
    <t>定期赎回开放日指该份信托单位的封闭期届满之日后的每自然月度最后一个交易日</t>
    <phoneticPr fontId="6" type="noConversion"/>
  </si>
  <si>
    <t>开放日</t>
    <phoneticPr fontId="6" type="noConversion"/>
  </si>
  <si>
    <t>赎回日</t>
    <phoneticPr fontId="6" type="noConversion"/>
  </si>
  <si>
    <t>提前20个工作日</t>
    <phoneticPr fontId="6" type="noConversion"/>
  </si>
  <si>
    <t>信托报酬</t>
    <phoneticPr fontId="6" type="noConversion"/>
  </si>
  <si>
    <t>投顾费</t>
    <phoneticPr fontId="6" type="noConversion"/>
  </si>
  <si>
    <t>业绩基准</t>
    <phoneticPr fontId="6" type="noConversion"/>
  </si>
  <si>
    <t>3个月2.8%，6个月3%</t>
    <phoneticPr fontId="6" type="noConversion"/>
  </si>
  <si>
    <t>硬锁6个月+软锁12个月</t>
    <phoneticPr fontId="6" type="noConversion"/>
  </si>
  <si>
    <t>30%，其中18%归投顾</t>
    <phoneticPr fontId="6" type="noConversion"/>
  </si>
  <si>
    <t>3/13+0, 24惠元8C[2489337.IB] ，1545w，112.48，外贸信托朗瑞1号8期  孟亚琪qt 2881131472 to 华林证券（信唐 郁正良 2885267029）</t>
    <phoneticPr fontId="6" type="noConversion"/>
  </si>
  <si>
    <t>徐工机械应收5期</t>
    <phoneticPr fontId="6" type="noConversion"/>
  </si>
  <si>
    <t>中金华泰</t>
    <phoneticPr fontId="6" type="noConversion"/>
  </si>
  <si>
    <t>3/12 2589025.IB  25兴瑞1C  310W 净价/全价  51.9150 外贸信托朗瑞1号8期( 孟亚琪qt 2881131472） TO中金黄兴</t>
    <phoneticPr fontId="6" type="noConversion"/>
  </si>
  <si>
    <t>宝冶25次（265833.SH），101.157,  800w，3/11，芜湖元康出 给 国民信托津民1号债券投资集合资金信托计划</t>
    <phoneticPr fontId="6" type="noConversion"/>
  </si>
  <si>
    <t xml:space="preserve">311定 </t>
    <phoneticPr fontId="6" type="noConversion"/>
  </si>
  <si>
    <t>臻金2026-1</t>
    <phoneticPr fontId="6" type="noConversion"/>
  </si>
  <si>
    <t>2.4/0.63</t>
    <phoneticPr fontId="6" type="noConversion"/>
  </si>
  <si>
    <t>中金、中信、建投、国泰</t>
    <phoneticPr fontId="6" type="noConversion"/>
  </si>
  <si>
    <t>680w份额3/13,25鑫驰1B[146026.SZ]，680w，净价101.5，厦门信托 李丹萍 3003775644+华宝投顾马路遥3007680164 to 中建投信托 臻泉2号李思韵 3003354775。</t>
    <phoneticPr fontId="6" type="noConversion"/>
  </si>
  <si>
    <t>元康20号追加</t>
    <phoneticPr fontId="6" type="noConversion"/>
  </si>
  <si>
    <t>1、3/13,25鑫驰1B[146026.SZ]，120w，净价101.5，询价是：厦门信托 李丹萍 3003775644+华宝投顾马路遥3007680164  to 中信证券 林秋益3004157238。</t>
  </si>
  <si>
    <t>2、3/13,25鑫驰1B[146026.SZ]，120w，净价101.503，中信证券 林秋益3004157238  to 元康盛景26号 刘靖涛3003993899</t>
  </si>
  <si>
    <t>借100w，押券玮盈6B，200w，50%，3.5%，3-13~3-18，到期归还，正回购方：元康26号，逆回购方：粤财信托 吴海滨3007696781</t>
    <phoneticPr fontId="6" type="noConversion"/>
  </si>
  <si>
    <t>渣打证券</t>
    <phoneticPr fontId="6" type="noConversion"/>
  </si>
  <si>
    <t>0426开始兑付本金</t>
    <phoneticPr fontId="6" type="noConversion"/>
  </si>
  <si>
    <t>0420关注</t>
    <phoneticPr fontId="6" type="noConversion"/>
  </si>
  <si>
    <t>0426兑付本金</t>
  </si>
  <si>
    <t>性价比高，至少110,114--优先级性价比很好</t>
    <phoneticPr fontId="6" type="noConversion"/>
  </si>
  <si>
    <t>无超额念想</t>
    <phoneticPr fontId="6" type="noConversion"/>
  </si>
  <si>
    <t>110边际，5%多；服务费递增</t>
    <phoneticPr fontId="6" type="noConversion"/>
  </si>
  <si>
    <t>106边际，5%多；服务费递增</t>
    <phoneticPr fontId="6" type="noConversion"/>
  </si>
  <si>
    <t>107左右，估计需要搭售，及时清仓，性价比差</t>
    <phoneticPr fontId="6" type="noConversion"/>
  </si>
  <si>
    <t>尚泽壹3C</t>
    <phoneticPr fontId="6" type="noConversion"/>
  </si>
  <si>
    <t>睿铭3次</t>
    <phoneticPr fontId="6" type="noConversion"/>
  </si>
  <si>
    <t>玮盈5次</t>
    <phoneticPr fontId="6" type="noConversion"/>
  </si>
  <si>
    <t>启宸6次</t>
  </si>
  <si>
    <t>启宸6次</t>
    <phoneticPr fontId="6" type="noConversion"/>
  </si>
  <si>
    <t>苏信，28号</t>
    <phoneticPr fontId="6" type="noConversion"/>
  </si>
  <si>
    <t>借1500w，xd，3.5%，押券工鑫42次，1875w,80%,正回购方：元康盛景28号 刘靖涛；逆回购方：安远投资xx</t>
    <phoneticPr fontId="6" type="noConversion"/>
  </si>
  <si>
    <t>4月下旬</t>
    <phoneticPr fontId="6" type="noConversion"/>
  </si>
  <si>
    <t>中交租赁1期、3期</t>
    <phoneticPr fontId="6" type="noConversion"/>
  </si>
  <si>
    <t>5.x%</t>
    <phoneticPr fontId="6" type="noConversion"/>
  </si>
  <si>
    <t>睿铭3次 (264171.SH)，600w，105.481全价，3/13，西藏君集2号 to 苏信Z2502</t>
    <phoneticPr fontId="6" type="noConversion"/>
  </si>
  <si>
    <t>睿铭3次 (264171.SH)，534w，105.54全价，3/16，西藏君达5号 to 苏信Z2502</t>
    <phoneticPr fontId="6" type="noConversion"/>
  </si>
  <si>
    <t>睿铭3次 (264171.SH)，193w，105.481全价，3/13，西藏君集2号 to 元康盛景28号</t>
    <phoneticPr fontId="6" type="noConversion"/>
  </si>
  <si>
    <t>玮盈5次 (144775.SZ)，985w，106.507全价，3/16，外贸君达1号 to 元康盛景28号</t>
    <phoneticPr fontId="6" type="noConversion"/>
  </si>
  <si>
    <t>尚泽壹3C (264810.SH)，2005w，134.922全价，3/16，元康19号 to 芜湖扬讯；尚泽壹3C (264810.SH)，2005w，134.932全价，3/16，芜湖扬讯 to 元康盛景28号</t>
    <phoneticPr fontId="6" type="noConversion"/>
  </si>
  <si>
    <t>启宸6次 (262537.SH)，540w，82.512全价，3/16，西藏君达4号 to 元康盛景20号</t>
    <phoneticPr fontId="6" type="noConversion"/>
  </si>
  <si>
    <t>元康29号提取</t>
    <phoneticPr fontId="6" type="noConversion"/>
  </si>
  <si>
    <t>五矿申购</t>
    <phoneticPr fontId="6" type="noConversion"/>
  </si>
  <si>
    <t>蔚能abs次A</t>
    <phoneticPr fontId="6" type="noConversion"/>
  </si>
  <si>
    <t>朗瑞1-7</t>
    <phoneticPr fontId="6" type="noConversion"/>
  </si>
  <si>
    <t>不投</t>
    <phoneticPr fontId="6" type="noConversion"/>
  </si>
  <si>
    <t>重点参与，2-8分成</t>
    <phoneticPr fontId="6" type="noConversion"/>
  </si>
  <si>
    <t>3月20日或23日</t>
    <phoneticPr fontId="6" type="noConversion"/>
  </si>
  <si>
    <t>3月24日或25日</t>
    <phoneticPr fontId="6" type="noConversion"/>
  </si>
  <si>
    <t>招行RMBS</t>
    <phoneticPr fontId="6" type="noConversion"/>
  </si>
  <si>
    <t>400w</t>
    <phoneticPr fontId="6" type="noConversion"/>
  </si>
  <si>
    <t>RMBS</t>
    <phoneticPr fontId="6" type="noConversion"/>
  </si>
  <si>
    <t>3/17, 25和赢蔚能ABN001BC优先A2(科创)[082580537.IB] ，4000w，净价100.29，应计利息
0.27397，外贸信托元康盛景1号 赵婷婷  to 天风证券 唐德婷2885078648</t>
    <phoneticPr fontId="6" type="noConversion"/>
  </si>
  <si>
    <t>3/17, 25和赢蔚能ABN001BC优先A2(科创)[082580537.IB] ，2500w，净价100.30，应计利息
0.27397， 天风证券 唐德婷2885078648 to 粤财信托 杭雅1号 吴海滨 2880690705+华宝投顾 马路遥3007680164</t>
    <phoneticPr fontId="6" type="noConversion"/>
  </si>
  <si>
    <t>3/17, 25和赢蔚能ABN001BC优先A2(科创)[082580537.IB] ，1500w，净价100.30，应计利息
0.27397，天风证券 唐德婷2885078648 to 云南信托 云乾10号 陈文利3004414705</t>
    <phoneticPr fontId="6" type="noConversion"/>
  </si>
  <si>
    <t>五矿</t>
    <phoneticPr fontId="6" type="noConversion"/>
  </si>
  <si>
    <t>国君</t>
    <phoneticPr fontId="6" type="noConversion"/>
  </si>
  <si>
    <t>蔚能夹层A3或优先B</t>
  </si>
  <si>
    <t>远东普惠2026-1ABS夹层</t>
  </si>
  <si>
    <t>星灿5A3</t>
  </si>
  <si>
    <t>熠然5A3</t>
  </si>
  <si>
    <t>144780.SZ</t>
    <phoneticPr fontId="6" type="noConversion"/>
  </si>
  <si>
    <t>263739.SH</t>
    <phoneticPr fontId="6" type="noConversion"/>
  </si>
  <si>
    <t>华宝（粤财）</t>
    <phoneticPr fontId="10" type="noConversion"/>
  </si>
  <si>
    <t>华宝（云南）</t>
    <phoneticPr fontId="10" type="noConversion"/>
  </si>
  <si>
    <t>苏信2501</t>
    <phoneticPr fontId="6" type="noConversion"/>
  </si>
  <si>
    <t>建欣26-1</t>
    <phoneticPr fontId="6" type="noConversion"/>
  </si>
  <si>
    <t>4.4/2.27</t>
    <phoneticPr fontId="6" type="noConversion"/>
  </si>
  <si>
    <t>信达</t>
    <phoneticPr fontId="6" type="noConversion"/>
  </si>
  <si>
    <t>信达代缴</t>
    <phoneticPr fontId="6" type="noConversion"/>
  </si>
  <si>
    <t>小鹏5次</t>
    <phoneticPr fontId="6" type="noConversion"/>
  </si>
  <si>
    <t>芜湖扬讯</t>
    <phoneticPr fontId="6" type="noConversion"/>
  </si>
  <si>
    <t>星灿5A3[144780.SZ]，1400w，70.68，3月17日，芜湖扬讯 to 苏信Z2501</t>
    <phoneticPr fontId="6" type="noConversion"/>
  </si>
  <si>
    <t>星灿5A3[144780.SZ]，1118w，70.68，3月17日，芜湖扬讯 to 苏信Z2501</t>
    <phoneticPr fontId="6" type="noConversion"/>
  </si>
  <si>
    <t>熠然5A3[263739.SH]，1300w，75.87，3月17日，芜湖扬讯 to 苏信Z2501</t>
    <phoneticPr fontId="6" type="noConversion"/>
  </si>
  <si>
    <t>熠然5A3[263739.SH]，1200w，75.87，3月17日，芜湖扬讯 to 苏信Z2501</t>
    <phoneticPr fontId="6" type="noConversion"/>
  </si>
  <si>
    <t>熠然5A3[263739.SH]，500w，75.87，3月17日，芜湖扬讯 to 苏信Z2501</t>
    <phoneticPr fontId="6" type="noConversion"/>
  </si>
  <si>
    <t>3月交易安排</t>
    <phoneticPr fontId="6" type="noConversion"/>
  </si>
  <si>
    <t>4月中</t>
    <phoneticPr fontId="6" type="noConversion"/>
  </si>
  <si>
    <t>蔚能A2</t>
    <phoneticPr fontId="6" type="noConversion"/>
  </si>
  <si>
    <t>新增申购-中建投</t>
    <phoneticPr fontId="6" type="noConversion"/>
  </si>
  <si>
    <t>20招银和家7C</t>
    <phoneticPr fontId="6" type="noConversion"/>
  </si>
  <si>
    <t>100，犹豫中</t>
    <phoneticPr fontId="6" type="noConversion"/>
  </si>
  <si>
    <t>100，犹豫中，偏好多于26-1</t>
    <phoneticPr fontId="6" type="noConversion"/>
  </si>
  <si>
    <t>107，但超额少，服务费递增；有回收变差风险</t>
    <phoneticPr fontId="6" type="noConversion"/>
  </si>
  <si>
    <t>106，但超额少，服务费递增；有回收变差风险</t>
    <phoneticPr fontId="6" type="noConversion"/>
  </si>
  <si>
    <t>100，回收还行</t>
    <phoneticPr fontId="6" type="noConversion"/>
  </si>
  <si>
    <t>不参与，区位差，估值高</t>
    <phoneticPr fontId="6" type="noConversion"/>
  </si>
  <si>
    <t>兴业</t>
    <phoneticPr fontId="6" type="noConversion"/>
  </si>
  <si>
    <t>走的券商</t>
    <phoneticPr fontId="6" type="noConversion"/>
  </si>
  <si>
    <t>国泰</t>
    <phoneticPr fontId="6" type="noConversion"/>
  </si>
  <si>
    <t>建投</t>
    <phoneticPr fontId="6" type="noConversion"/>
  </si>
  <si>
    <t>23中誉2C</t>
    <phoneticPr fontId="6" type="noConversion"/>
  </si>
  <si>
    <t>熠然5A3[263739.SH]，700w，75.87，3月18日，芜湖扬讯 to 苏信Z2501</t>
  </si>
  <si>
    <t>熠然5A3[263739.SH]，685w，75.87，3月18日，芜湖扬讯 to 苏信Z2501</t>
  </si>
  <si>
    <t>3-18 20招银和家7C（2089441.IB） 400万份（40000万面值） 141.9元 国泰海通 冉雅婷 2881971956 to 外贸信托朗瑞1号5期（孟亚琪，2881131472）</t>
    <phoneticPr fontId="6" type="noConversion"/>
  </si>
  <si>
    <t>25锦新小微ABN002次兑付</t>
    <phoneticPr fontId="6" type="noConversion"/>
  </si>
  <si>
    <t>国联-奇富小贷消费2号2期优先B</t>
    <phoneticPr fontId="6" type="noConversion"/>
  </si>
  <si>
    <t>国联-奇富小贷消费2号1期</t>
    <phoneticPr fontId="6" type="noConversion"/>
  </si>
  <si>
    <t>蔚能ABN次A</t>
    <phoneticPr fontId="6" type="noConversion"/>
  </si>
  <si>
    <t>元康盛景20号赎回</t>
    <phoneticPr fontId="6" type="noConversion"/>
  </si>
  <si>
    <t>外贸元康1号赎回</t>
    <phoneticPr fontId="6" type="noConversion"/>
  </si>
  <si>
    <t>107及时清仓；券商敏感性有问题-超额递增</t>
    <phoneticPr fontId="6" type="noConversion"/>
  </si>
  <si>
    <t>100，尽可能多的拿</t>
    <phoneticPr fontId="6" type="noConversion"/>
  </si>
  <si>
    <t>启橙2-1</t>
    <phoneticPr fontId="6" type="noConversion"/>
  </si>
  <si>
    <t>中信证券</t>
    <phoneticPr fontId="6" type="noConversion"/>
  </si>
  <si>
    <t>惠橙1-2</t>
    <phoneticPr fontId="6" type="noConversion"/>
  </si>
  <si>
    <t>铁建081C（265587.SH）</t>
    <phoneticPr fontId="6" type="noConversion"/>
  </si>
  <si>
    <t>国泰海通</t>
    <phoneticPr fontId="6" type="noConversion"/>
  </si>
  <si>
    <t>G铁建82C（266500.SH）</t>
    <phoneticPr fontId="6" type="noConversion"/>
  </si>
  <si>
    <t>参与搭售</t>
    <phoneticPr fontId="6" type="noConversion"/>
  </si>
  <si>
    <t>京东</t>
    <phoneticPr fontId="6" type="noConversion"/>
  </si>
  <si>
    <t>易鑫</t>
    <phoneticPr fontId="6" type="noConversion"/>
  </si>
  <si>
    <t>单一债券</t>
    <phoneticPr fontId="6" type="noConversion"/>
  </si>
  <si>
    <t>次级占比</t>
    <phoneticPr fontId="6" type="noConversion"/>
  </si>
  <si>
    <t>不超过</t>
    <phoneticPr fontId="6" type="noConversion"/>
  </si>
  <si>
    <t>AA+以上占比</t>
    <phoneticPr fontId="6" type="noConversion"/>
  </si>
  <si>
    <t>不低于</t>
    <phoneticPr fontId="6" type="noConversion"/>
  </si>
  <si>
    <t>ok</t>
    <phoneticPr fontId="6" type="noConversion"/>
  </si>
  <si>
    <t>缺口</t>
    <phoneticPr fontId="6" type="noConversion"/>
  </si>
  <si>
    <t>23惠民3B</t>
    <phoneticPr fontId="6" type="noConversion"/>
  </si>
  <si>
    <t>3/24，5美意3次[263710.SH] ，200w，107.921，国泰海通樊文娟 to元康盛景28号 刘靖涛</t>
    <phoneticPr fontId="6" type="noConversion"/>
  </si>
  <si>
    <t>3/24，26锦新小微ABN002次，082680162,1000w，5.7%，一级缴款，鹏雅10期119号；ideal麻烦发粤财信托刘硕 13650996026</t>
    <phoneticPr fontId="6" type="noConversion"/>
  </si>
  <si>
    <t>26蔚能电池ABN001BC次A(绿色)，082680178，3500w，3-23缴款，3-24起息，9%单利，朗瑞1号7期ideal孟亚琪</t>
    <phoneticPr fontId="6" type="noConversion"/>
  </si>
  <si>
    <t xml:space="preserve">26浩澜ABN001次[082680155.IB] </t>
    <phoneticPr fontId="6" type="noConversion"/>
  </si>
  <si>
    <t>360优先B</t>
    <phoneticPr fontId="6" type="noConversion"/>
  </si>
  <si>
    <t>熠然03A3</t>
  </si>
  <si>
    <t>24易鑫恒通ABN001优先B</t>
    <phoneticPr fontId="6" type="noConversion"/>
  </si>
  <si>
    <t>元康29号申购</t>
    <phoneticPr fontId="6" type="noConversion"/>
  </si>
  <si>
    <t>25邮盈惠泽5C</t>
    <phoneticPr fontId="6" type="noConversion"/>
  </si>
  <si>
    <t>25邮盈惠泽5C</t>
    <phoneticPr fontId="6" type="noConversion"/>
  </si>
  <si>
    <t>鹏雅120追加</t>
    <phoneticPr fontId="6" type="noConversion"/>
  </si>
  <si>
    <t>中建投TOF申购</t>
    <phoneticPr fontId="6" type="noConversion"/>
  </si>
  <si>
    <t>性价比差，110授权</t>
    <phoneticPr fontId="6" type="noConversion"/>
  </si>
  <si>
    <t>元康盛景1号外贸赎回</t>
    <phoneticPr fontId="6" type="noConversion"/>
  </si>
  <si>
    <t>3/24， 082481523.IB  24易鑫恒通ABN001优先B 300W 净价  101.36 国泰海通 to 外贸信托朗瑞1号5期  孟亚琪qt 2881131472</t>
    <phoneticPr fontId="6" type="noConversion"/>
  </si>
  <si>
    <t>3/24，2589249.IB  25邮盈惠泽5C 490W 净价/全价  106.9 国泰海通 to 粤财信托鹏雅10号120期 王同博 QT员工号：3004238546</t>
    <phoneticPr fontId="6" type="noConversion"/>
  </si>
  <si>
    <t>3/24， 26浩澜ABN001次[082680155.IB]  2000W 净价/全价  101.08  xx to 外贸信托朗瑞1号5期  孟亚琪qt 2881131472</t>
    <phoneticPr fontId="6" type="noConversion"/>
  </si>
  <si>
    <t>朗瑞1-7申购</t>
    <phoneticPr fontId="6" type="noConversion"/>
  </si>
  <si>
    <t>朗瑞1-5</t>
    <phoneticPr fontId="6" type="noConversion"/>
  </si>
  <si>
    <t>熠安02A3</t>
  </si>
  <si>
    <t>粤开、天风</t>
    <phoneticPr fontId="6" type="noConversion"/>
  </si>
  <si>
    <t>500447.SZ</t>
    <phoneticPr fontId="6" type="noConversion"/>
  </si>
  <si>
    <t>上家</t>
    <phoneticPr fontId="6" type="noConversion"/>
  </si>
  <si>
    <t>过券1</t>
    <phoneticPr fontId="6" type="noConversion"/>
  </si>
  <si>
    <t>过券2</t>
    <phoneticPr fontId="6" type="noConversion"/>
  </si>
  <si>
    <t>6美意2次</t>
  </si>
  <si>
    <t>中证</t>
    <phoneticPr fontId="6" type="noConversion"/>
  </si>
  <si>
    <t>小鹏5次[500447.SZ]，2000w，101.11，3月24日，天风证券 唐德婷qt 2885078648 to 苏信2502</t>
    <phoneticPr fontId="6" type="noConversion"/>
  </si>
  <si>
    <t>熠安02A3[144651.SZ]，3200w，61.43，3月24日，天风证券 唐德婷qt 2885078648 to 苏信2502</t>
    <phoneticPr fontId="6" type="noConversion"/>
  </si>
  <si>
    <t>蔚能优先A1</t>
    <phoneticPr fontId="6" type="noConversion"/>
  </si>
  <si>
    <t>熠安02A3[144651.SZ]，3200w，61.42，3月24日，元康盛景28号 to 粤开证券</t>
    <phoneticPr fontId="6" type="noConversion"/>
  </si>
  <si>
    <t>小鹏5次[500447.SZ]，2000w，101.1，3月24日，元康盛景28号 to 粤开证券</t>
    <phoneticPr fontId="6" type="noConversion"/>
  </si>
  <si>
    <t>6美意2次</t>
    <phoneticPr fontId="6" type="noConversion"/>
  </si>
  <si>
    <t>锦盛3号次级</t>
    <phoneticPr fontId="6" type="noConversion"/>
  </si>
  <si>
    <t>3/24，23惠民3B，143845.SZ，600w，净价100.2，国泰海通 to 中建投信托 臻泉2号李思韵 3003354775</t>
    <phoneticPr fontId="6" type="noConversion"/>
  </si>
  <si>
    <t>熠安02A3[144651.SZ]，3200w，61.425，3月24日，粤开证券 许逸潇2881647849 to 天风证券 唐德婷qt 2885078648</t>
    <phoneticPr fontId="6" type="noConversion"/>
  </si>
  <si>
    <t>小鹏5次[500447.SZ]，2000w，101.105，3月24日，粤开证券 许逸潇2881647849 to 天风证券 唐德婷qt 2885078648</t>
    <phoneticPr fontId="6" type="noConversion"/>
  </si>
  <si>
    <t>自持5个月</t>
    <phoneticPr fontId="6" type="noConversion"/>
  </si>
  <si>
    <t>4月底</t>
    <phoneticPr fontId="6" type="noConversion"/>
  </si>
  <si>
    <t>锦新26-4ABN</t>
    <phoneticPr fontId="6" type="noConversion"/>
  </si>
  <si>
    <t>每个月都有</t>
    <phoneticPr fontId="6" type="noConversion"/>
  </si>
  <si>
    <t>建投、银河</t>
    <phoneticPr fontId="6" type="noConversion"/>
  </si>
  <si>
    <t>26福鑫1C</t>
    <phoneticPr fontId="6" type="noConversion"/>
  </si>
  <si>
    <t>26福鑫2C</t>
    <phoneticPr fontId="6" type="noConversion"/>
  </si>
  <si>
    <t>诚惠3B</t>
  </si>
  <si>
    <t>小鹏5B</t>
  </si>
  <si>
    <t>26工元至诚惠银1C</t>
    <phoneticPr fontId="6" type="noConversion"/>
  </si>
  <si>
    <t>2689016.IB</t>
    <phoneticPr fontId="6" type="noConversion"/>
  </si>
  <si>
    <t>26工元至诚普银1C</t>
    <phoneticPr fontId="6" type="noConversion"/>
  </si>
  <si>
    <t>中金自营</t>
    <phoneticPr fontId="6" type="noConversion"/>
  </si>
  <si>
    <t>个人经营贷</t>
    <phoneticPr fontId="6" type="noConversion"/>
  </si>
  <si>
    <t>2689034.IB</t>
    <phoneticPr fontId="6" type="noConversion"/>
  </si>
  <si>
    <t>元康17追加</t>
    <phoneticPr fontId="6" type="noConversion"/>
  </si>
  <si>
    <t>小鹏</t>
    <phoneticPr fontId="6" type="noConversion"/>
  </si>
  <si>
    <t>给中建投</t>
    <phoneticPr fontId="6" type="noConversion"/>
  </si>
  <si>
    <t>远东夹层</t>
    <phoneticPr fontId="6" type="noConversion"/>
  </si>
  <si>
    <t>0726之前买回</t>
    <phoneticPr fontId="6" type="noConversion"/>
  </si>
  <si>
    <t>小鹏次</t>
    <phoneticPr fontId="6" type="noConversion"/>
  </si>
  <si>
    <t>乐信回款</t>
    <phoneticPr fontId="6" type="noConversion"/>
  </si>
  <si>
    <t>苏信Z2502</t>
    <phoneticPr fontId="6" type="noConversion"/>
  </si>
  <si>
    <t>to 苏信Z2501</t>
    <phoneticPr fontId="6" type="noConversion"/>
  </si>
  <si>
    <t>to 元康26&amp;28号</t>
    <phoneticPr fontId="6" type="noConversion"/>
  </si>
  <si>
    <t>国联-奇富小贷消费2号2期</t>
    <phoneticPr fontId="6" type="noConversion"/>
  </si>
  <si>
    <t>3/25，6美意2次，265347.SH，990w，净价/全价 104.719，粤开证券 许逸潇2881647849 to 中建投信托 臻泉2号李思韵 3003354775</t>
    <phoneticPr fontId="6" type="noConversion"/>
  </si>
  <si>
    <t>3/25，6美意2次，265347.SH，990w，净价/全价 104.714，元康盛景28号 to 粤开证券 许逸潇2881647849</t>
    <phoneticPr fontId="6" type="noConversion"/>
  </si>
  <si>
    <t>中建投？</t>
    <phoneticPr fontId="6" type="noConversion"/>
  </si>
  <si>
    <t>爱建追加</t>
    <phoneticPr fontId="6" type="noConversion"/>
  </si>
  <si>
    <t>熠然03A3</t>
    <phoneticPr fontId="6" type="noConversion"/>
  </si>
  <si>
    <t>26惠元1C</t>
    <phoneticPr fontId="6" type="noConversion"/>
  </si>
  <si>
    <t>2689040.IB</t>
    <phoneticPr fontId="6" type="noConversion"/>
  </si>
  <si>
    <t>26建欣1C</t>
    <phoneticPr fontId="6" type="noConversion"/>
  </si>
  <si>
    <t>2589486.IB</t>
    <phoneticPr fontId="6" type="noConversion"/>
  </si>
  <si>
    <t>2689062.IB</t>
    <phoneticPr fontId="6" type="noConversion"/>
  </si>
  <si>
    <t>26工元至诚惠银2C</t>
    <phoneticPr fontId="6" type="noConversion"/>
  </si>
  <si>
    <t>2689018.IB</t>
    <phoneticPr fontId="6" type="noConversion"/>
  </si>
  <si>
    <t>26福鑫3C</t>
    <phoneticPr fontId="6" type="noConversion"/>
  </si>
  <si>
    <t>2689032.IB</t>
    <phoneticPr fontId="6" type="noConversion"/>
  </si>
  <si>
    <t>26惠元2C</t>
    <phoneticPr fontId="6" type="noConversion"/>
  </si>
  <si>
    <t>2689042.IB</t>
    <phoneticPr fontId="6" type="noConversion"/>
  </si>
  <si>
    <t>苏信4月份计划</t>
    <phoneticPr fontId="6" type="noConversion"/>
  </si>
  <si>
    <t>Z2603</t>
    <phoneticPr fontId="6" type="noConversion"/>
  </si>
  <si>
    <t>8000abs</t>
    <phoneticPr fontId="6" type="noConversion"/>
  </si>
  <si>
    <t>1700w港华</t>
    <phoneticPr fontId="6" type="noConversion"/>
  </si>
  <si>
    <t>300w战配</t>
    <phoneticPr fontId="6" type="noConversion"/>
  </si>
  <si>
    <t>Z2501优先级</t>
    <phoneticPr fontId="6" type="noConversion"/>
  </si>
  <si>
    <t>Z2502次级</t>
    <phoneticPr fontId="6" type="noConversion"/>
  </si>
  <si>
    <t>5-7000w</t>
    <phoneticPr fontId="6" type="noConversion"/>
  </si>
  <si>
    <t>Z2601优先级</t>
    <phoneticPr fontId="6" type="noConversion"/>
  </si>
  <si>
    <t>来不及，不募集</t>
    <phoneticPr fontId="6" type="noConversion"/>
  </si>
  <si>
    <t>1.1个亿</t>
    <phoneticPr fontId="6" type="noConversion"/>
  </si>
  <si>
    <t>建欣26-2</t>
    <phoneticPr fontId="6" type="noConversion"/>
  </si>
  <si>
    <t>0.95/0.24</t>
    <phoneticPr fontId="6" type="noConversion"/>
  </si>
  <si>
    <t>国泰、中信、广发、银河</t>
    <phoneticPr fontId="6" type="noConversion"/>
  </si>
  <si>
    <t>远东</t>
    <phoneticPr fontId="6" type="noConversion"/>
  </si>
  <si>
    <t>平安普惠</t>
    <phoneticPr fontId="6" type="noConversion"/>
  </si>
  <si>
    <t>前手</t>
    <phoneticPr fontId="6" type="noConversion"/>
  </si>
  <si>
    <t>后手</t>
    <phoneticPr fontId="6" type="noConversion"/>
  </si>
  <si>
    <t>单一主体</t>
    <phoneticPr fontId="6" type="noConversion"/>
  </si>
  <si>
    <t>要求</t>
    <phoneticPr fontId="6" type="noConversion"/>
  </si>
  <si>
    <t>回款-天启</t>
    <phoneticPr fontId="6" type="noConversion"/>
  </si>
  <si>
    <t>财通资管-国健租赁第11期</t>
    <phoneticPr fontId="6" type="noConversion"/>
  </si>
  <si>
    <t>3.1%-3.8%</t>
    <phoneticPr fontId="6" type="noConversion"/>
  </si>
  <si>
    <t>医药供应链</t>
    <phoneticPr fontId="6" type="noConversion"/>
  </si>
  <si>
    <t>天风证券 唐德婷qt 2885078648</t>
  </si>
  <si>
    <t>苏信Z2501 徐健 qt455768073</t>
    <phoneticPr fontId="6" type="noConversion"/>
  </si>
  <si>
    <t>266186.SH</t>
    <phoneticPr fontId="6" type="noConversion"/>
  </si>
  <si>
    <t>500446.SZ</t>
    <phoneticPr fontId="6" type="noConversion"/>
  </si>
  <si>
    <t>26惠元3C（2689044）</t>
    <phoneticPr fontId="6" type="noConversion"/>
  </si>
  <si>
    <t>苏誉缴款</t>
    <phoneticPr fontId="6" type="noConversion"/>
  </si>
  <si>
    <t>26苏誉1优先，代码2689037，74w，2.05%，3-26缴款，ideal分销外贸信托朗瑞1号8期，孟亚琪；</t>
  </si>
  <si>
    <t>26苏誉1C，代码2689038，43w，100元，3-26缴款，ideal分销外贸信托朗瑞1号8期，孟亚琪；</t>
  </si>
  <si>
    <t>韩亚5000，2.04%</t>
    <phoneticPr fontId="6" type="noConversion"/>
  </si>
  <si>
    <t>‘74/34</t>
    <phoneticPr fontId="6" type="noConversion"/>
  </si>
  <si>
    <t>2.05%/100</t>
    <phoneticPr fontId="6" type="noConversion"/>
  </si>
  <si>
    <t>26浦鑫归航1C</t>
    <phoneticPr fontId="6" type="noConversion"/>
  </si>
  <si>
    <t>诚惠3B[266186.SH]，1000w，100.54，3月27日，元康盛景26号 刘靖涛3003993899 to 粤开证券 许逸潇2881647849</t>
    <phoneticPr fontId="6" type="noConversion"/>
  </si>
  <si>
    <t>26浦鑫归航2C</t>
    <phoneticPr fontId="6" type="noConversion"/>
  </si>
  <si>
    <t>诚惠3B[266186.SH]，1000w，100.545，3月27日，粤开证券 许逸潇2881647849 to 天风证券 唐德婷qt 2885078648</t>
    <phoneticPr fontId="6" type="noConversion"/>
  </si>
  <si>
    <t>小鹏5B[500446.SZ]，1500w，100.207，3月27日，粤开证券 许逸潇2881647849 to 天风证券 唐德婷qt 2885078648</t>
    <phoneticPr fontId="6" type="noConversion"/>
  </si>
  <si>
    <t>小鹏5B[500446.SZ]，1500w，100.217，3月27日，天风证券 唐德婷qt 2885078648 to 苏信Z2501 徐健 qt455768073</t>
    <phoneticPr fontId="6" type="noConversion"/>
  </si>
  <si>
    <t>诚惠3B[266186.SH]，1000w，100.555，3月27日，天风证券 唐德婷qt 2885078648 to 苏信Z2501 徐健 qt455768073</t>
    <phoneticPr fontId="6" type="noConversion"/>
  </si>
  <si>
    <t>2689056.IB</t>
    <phoneticPr fontId="6" type="noConversion"/>
  </si>
  <si>
    <t>2689054.IB</t>
    <phoneticPr fontId="6" type="noConversion"/>
  </si>
  <si>
    <t>国泰海通需补差</t>
    <phoneticPr fontId="6" type="noConversion"/>
  </si>
  <si>
    <t>小鹏5B[500446.SZ]，1500w，100.202，3月27日，元康盛景26号 刘靖涛3003993899 to 粤开证券 许逸潇2881647849</t>
    <phoneticPr fontId="6" type="noConversion"/>
  </si>
  <si>
    <t>元康29赎回</t>
    <phoneticPr fontId="6" type="noConversion"/>
  </si>
  <si>
    <t>3、3-30   铁建051C (199768.SH)   112.488  1755W   粤开证券（QT:2881647849）出 苏信财富Z2502，徐健</t>
    <phoneticPr fontId="6" type="noConversion"/>
  </si>
  <si>
    <t>大类期权</t>
    <phoneticPr fontId="6" type="noConversion"/>
  </si>
  <si>
    <t>现金</t>
    <phoneticPr fontId="6" type="noConversion"/>
  </si>
  <si>
    <t xml:space="preserve">GC港华智慧能源01[121627.SZ] </t>
    <phoneticPr fontId="6" type="noConversion"/>
  </si>
  <si>
    <t>6%（我们是6.5%）</t>
    <phoneticPr fontId="6" type="noConversion"/>
  </si>
  <si>
    <t>申购鹏雅120</t>
    <phoneticPr fontId="6" type="noConversion"/>
  </si>
  <si>
    <t>DC买回</t>
    <phoneticPr fontId="6" type="noConversion"/>
  </si>
  <si>
    <t>大业</t>
    <phoneticPr fontId="6" type="noConversion"/>
  </si>
  <si>
    <t>中交租赁</t>
    <phoneticPr fontId="6" type="noConversion"/>
  </si>
  <si>
    <t>奇消22B 500577，1900w，2.8%，3月30日缴款，国联证券，元康盛景26号缴款</t>
    <phoneticPr fontId="6" type="noConversion"/>
  </si>
  <si>
    <t>1900w</t>
    <phoneticPr fontId="6" type="noConversion"/>
  </si>
  <si>
    <t>晨惠2期优先B</t>
    <phoneticPr fontId="6" type="noConversion"/>
  </si>
  <si>
    <t>23中誉2C</t>
  </si>
  <si>
    <t>25橙益8C</t>
  </si>
  <si>
    <t>4月初交易计划</t>
    <phoneticPr fontId="6" type="noConversion"/>
  </si>
  <si>
    <t>DC成本</t>
    <phoneticPr fontId="6" type="noConversion"/>
  </si>
  <si>
    <t>买入日期</t>
    <phoneticPr fontId="6" type="noConversion"/>
  </si>
  <si>
    <t>买入价格</t>
    <phoneticPr fontId="6" type="noConversion"/>
  </si>
  <si>
    <t>当前面值</t>
    <phoneticPr fontId="6" type="noConversion"/>
  </si>
  <si>
    <t>剩余本金（万元）</t>
    <phoneticPr fontId="6" type="noConversion"/>
  </si>
  <si>
    <t>交易金额（万元）</t>
    <phoneticPr fontId="6" type="noConversion"/>
  </si>
  <si>
    <t>橙益2026-1</t>
    <phoneticPr fontId="6" type="noConversion"/>
  </si>
  <si>
    <t>3.33/0.95</t>
    <phoneticPr fontId="6" type="noConversion"/>
  </si>
  <si>
    <t>中信、国泰、建投</t>
    <phoneticPr fontId="6" type="noConversion"/>
  </si>
  <si>
    <t>个人消费（住房）</t>
    <phoneticPr fontId="6" type="noConversion"/>
  </si>
  <si>
    <t>鸿富26-1</t>
    <phoneticPr fontId="6" type="noConversion"/>
  </si>
  <si>
    <t>鸿富26-2</t>
    <phoneticPr fontId="6" type="noConversion"/>
  </si>
  <si>
    <t>小微企业</t>
    <phoneticPr fontId="6" type="noConversion"/>
  </si>
  <si>
    <t>2.8/1.21</t>
    <phoneticPr fontId="6" type="noConversion"/>
  </si>
  <si>
    <t>1.08/0.42</t>
    <phoneticPr fontId="6" type="noConversion"/>
  </si>
  <si>
    <t>赎回斑羚8号</t>
    <phoneticPr fontId="6" type="noConversion"/>
  </si>
  <si>
    <t>京能</t>
    <phoneticPr fontId="6" type="noConversion"/>
  </si>
  <si>
    <t>东吴追加申购</t>
    <phoneticPr fontId="6" type="noConversion"/>
  </si>
  <si>
    <t>如元康26号有需要，可以转让1-2000w过来</t>
    <phoneticPr fontId="6" type="noConversion"/>
  </si>
  <si>
    <t>26中誉至诚1C</t>
    <phoneticPr fontId="6" type="noConversion"/>
  </si>
  <si>
    <t>个人经营贷款</t>
    <phoneticPr fontId="6" type="noConversion"/>
  </si>
  <si>
    <t>25建欣16C-信达</t>
    <phoneticPr fontId="6" type="noConversion"/>
  </si>
  <si>
    <t>赎回全景1号</t>
    <phoneticPr fontId="6" type="noConversion"/>
  </si>
  <si>
    <t>赎回100w份额</t>
    <phoneticPr fontId="6" type="noConversion"/>
  </si>
  <si>
    <t>yh</t>
    <phoneticPr fontId="6" type="noConversion"/>
  </si>
  <si>
    <t>熠然04A3</t>
  </si>
  <si>
    <t>146002.SZ</t>
    <phoneticPr fontId="6" type="noConversion"/>
  </si>
  <si>
    <t>臻萃26-2</t>
    <phoneticPr fontId="6" type="noConversion"/>
  </si>
  <si>
    <t>4月中旬</t>
    <phoneticPr fontId="6" type="noConversion"/>
  </si>
  <si>
    <t>1.32/0.50</t>
    <phoneticPr fontId="6" type="noConversion"/>
  </si>
  <si>
    <t>西南证券申购</t>
    <phoneticPr fontId="6" type="noConversion"/>
  </si>
  <si>
    <t>应收账款保函</t>
    <phoneticPr fontId="6" type="noConversion"/>
  </si>
  <si>
    <t>潍坊潍信1期</t>
    <phoneticPr fontId="6" type="noConversion"/>
  </si>
  <si>
    <t>金采8-1次级</t>
    <phoneticPr fontId="6" type="noConversion"/>
  </si>
  <si>
    <t>金采</t>
    <phoneticPr fontId="6" type="noConversion"/>
  </si>
  <si>
    <t>金采8-1夹层</t>
    <phoneticPr fontId="6" type="noConversion"/>
  </si>
  <si>
    <t>4/1，熠然03A3，144938.SZ，1100w，净价92.077,  中信证券3004076439 to 中建投信托 臻泉2号 李思韵 3003354775</t>
    <phoneticPr fontId="6" type="noConversion"/>
  </si>
  <si>
    <t>爱建申购</t>
    <phoneticPr fontId="6" type="noConversion"/>
  </si>
  <si>
    <r>
      <t>4/1，熠然03A3，144938.SZ，1100w，净价</t>
    </r>
    <r>
      <rPr>
        <sz val="10"/>
        <rFont val="微软雅黑"/>
        <family val="2"/>
        <charset val="134"/>
      </rPr>
      <t>92.074</t>
    </r>
    <r>
      <rPr>
        <sz val="10"/>
        <color theme="1"/>
        <rFont val="微软雅黑"/>
        <family val="2"/>
        <charset val="134"/>
      </rPr>
      <t>,  元康盛景28号 刘靖涛3003993899 to 中信证券3004076439</t>
    </r>
    <phoneticPr fontId="6" type="noConversion"/>
  </si>
  <si>
    <t>25建欣16C</t>
    <phoneticPr fontId="6" type="noConversion"/>
  </si>
  <si>
    <t>波动率</t>
    <phoneticPr fontId="6" type="noConversion"/>
  </si>
  <si>
    <t>5月份</t>
    <phoneticPr fontId="6" type="noConversion"/>
  </si>
  <si>
    <t>475w次级+950wUA</t>
    <phoneticPr fontId="6" type="noConversion"/>
  </si>
  <si>
    <t>3/31估值</t>
    <phoneticPr fontId="6" type="noConversion"/>
  </si>
  <si>
    <t>4-27/28</t>
    <phoneticPr fontId="6" type="noConversion"/>
  </si>
  <si>
    <t>招元和萃2026-3</t>
    <phoneticPr fontId="6" type="noConversion"/>
  </si>
  <si>
    <t>1.68/0.62</t>
    <phoneticPr fontId="6" type="noConversion"/>
  </si>
  <si>
    <t>蔚能4月ABN</t>
    <phoneticPr fontId="6" type="noConversion"/>
  </si>
  <si>
    <t>后续调整仓位，500w到reits战配，1000w到持有型不动产31号</t>
    <phoneticPr fontId="6" type="noConversion"/>
  </si>
  <si>
    <t>铁建061C</t>
    <phoneticPr fontId="6" type="noConversion"/>
  </si>
  <si>
    <t>铁建051/061</t>
    <phoneticPr fontId="6" type="noConversion"/>
  </si>
  <si>
    <t>后手3.5%，价格比估值低</t>
    <phoneticPr fontId="6" type="noConversion"/>
  </si>
  <si>
    <t>滴滴启橙</t>
    <phoneticPr fontId="6" type="noConversion"/>
  </si>
  <si>
    <t>鼎柚25-3</t>
    <phoneticPr fontId="6" type="noConversion"/>
  </si>
  <si>
    <t>25建欣1C[2589057.IB]，558w，109.078，4月1日，国泰海通 冉雅婷 2881971956 to 粤财鹏雅10号第120期 王同博 QT员工号：3004238546；25橙益4C[2589087.IB]，420w，109.898，4月1日，国泰海通 冉雅婷 2881971956 to 粤财鹏雅10号第120期 王同博 QT员工号：3004238546；25橙益8C[2589115.IB]，285w，112.535，4月1日，国泰海通 冉雅婷 2881971956 to 粤财鹏雅10号第120期 王同博 QT员工号：3004238546；25建欣1C[2589057.IB]，716w，112.7075，4月1日，银河证券 to 粤财鹏雅10号第120期 王同博 QT员工号：3004238546</t>
  </si>
  <si>
    <t>2589168.IB</t>
    <phoneticPr fontId="6" type="noConversion"/>
  </si>
  <si>
    <t>2589216.IB</t>
    <phoneticPr fontId="6" type="noConversion"/>
  </si>
  <si>
    <t>2589364.IB</t>
    <phoneticPr fontId="6" type="noConversion"/>
  </si>
  <si>
    <t>25建欣16C</t>
  </si>
  <si>
    <t>25工元至诚普银3C[2589168.IB]，351w，114.33，4月9日，国泰海通 冉雅婷 2881971956 to 粤财鹏雅10号第120期 王同博 QT员工号：3004238546</t>
  </si>
  <si>
    <t>25建欣7C[2589216.IB]，413w，107.03，4月9日，国泰海通 冉雅婷 2881971956 to 粤财鹏雅10号第120期 王同博 QT员工号：3004238546</t>
  </si>
  <si>
    <t>25橙益21C[2589364.IB]，90w，102.39，4月9日，国泰海通 冉雅婷 2881971956 to 粤财鹏雅10号第120期 王同博 QT员工号：3004238546</t>
  </si>
  <si>
    <t>可交债</t>
    <phoneticPr fontId="6" type="noConversion"/>
  </si>
  <si>
    <t>固收</t>
    <phoneticPr fontId="6" type="noConversion"/>
  </si>
  <si>
    <t>权益</t>
    <phoneticPr fontId="6" type="noConversion"/>
  </si>
  <si>
    <t>衍生品</t>
    <phoneticPr fontId="6" type="noConversion"/>
  </si>
  <si>
    <t>25建欣1C[2589057.IB]，558w，109.078，4月1日，国泰海通 冉雅婷 2881971956 to 粤财鹏雅10号第120期 王同博 QT员工号：3004238546</t>
  </si>
  <si>
    <t>25橙益4C[2589087.IB]，420w，109.898，4月1日，国泰海通 冉雅婷 2881971956 to 粤财鹏雅10号第120期 王同博 QT员工号：3004238546</t>
  </si>
  <si>
    <t>25橙益8C[2589115.IB]，285w，112.535，4月1日，国泰海通 冉雅婷 2881971956 to 粤财鹏雅10号第120期 王同博 QT员工号：3004238546</t>
  </si>
  <si>
    <t>25建欣1C[2589057.IB]，716w，112.70754109589，4月1日，银河证券 to 粤财鹏雅10号第120期 王同博 QT员工号：3004238546期</t>
  </si>
  <si>
    <t>23中誉2C[2389095.IB]，1071w，70.0023417366947，4月9日，国泰海通 冉雅婷 2881971956 to 粤财鹏雅10号第120期 王同博 QT员工号：3004238546</t>
  </si>
  <si>
    <t>24浦鑫归航8C[2489436.IB]，500w，72.807，4月9日，国泰海通 冉雅婷 2881971956 to 粤财鹏雅10号第120期 王同博 QT员工号：3004238546</t>
  </si>
  <si>
    <t>25建欣7C</t>
    <phoneticPr fontId="6" type="noConversion"/>
  </si>
  <si>
    <t>25橙益21C</t>
    <phoneticPr fontId="6" type="noConversion"/>
  </si>
  <si>
    <t>25臻金2C</t>
    <phoneticPr fontId="6" type="noConversion"/>
  </si>
  <si>
    <t>应付税费</t>
    <phoneticPr fontId="6" type="noConversion"/>
  </si>
  <si>
    <t>税费</t>
    <phoneticPr fontId="6" type="noConversion"/>
  </si>
  <si>
    <t>未超1.2杠杆</t>
    <phoneticPr fontId="6" type="noConversion"/>
  </si>
  <si>
    <t>缴款</t>
    <phoneticPr fontId="6" type="noConversion"/>
  </si>
  <si>
    <t>估值</t>
    <phoneticPr fontId="6" type="noConversion"/>
  </si>
  <si>
    <t>票面</t>
    <phoneticPr fontId="6" type="noConversion"/>
  </si>
  <si>
    <t>韩亚2470;2.08%</t>
    <phoneticPr fontId="6" type="noConversion"/>
  </si>
  <si>
    <t>4月上旬</t>
    <phoneticPr fontId="6" type="noConversion"/>
  </si>
  <si>
    <t>臻金2026-2</t>
    <phoneticPr fontId="6" type="noConversion"/>
  </si>
  <si>
    <t>1.14/0.39</t>
    <phoneticPr fontId="6" type="noConversion"/>
  </si>
  <si>
    <t>中金、建投、中信、国泰</t>
    <phoneticPr fontId="6" type="noConversion"/>
  </si>
  <si>
    <t>价格</t>
    <phoneticPr fontId="6" type="noConversion"/>
  </si>
  <si>
    <t>金额</t>
    <phoneticPr fontId="6" type="noConversion"/>
  </si>
  <si>
    <t>260663.SH</t>
    <phoneticPr fontId="6" type="noConversion"/>
  </si>
  <si>
    <t>266500.SH</t>
    <phoneticPr fontId="6" type="noConversion"/>
  </si>
  <si>
    <t>元康盛景28号 刘靖涛3003993899</t>
    <phoneticPr fontId="6" type="noConversion"/>
  </si>
  <si>
    <t>外贸信托-元康盛景1号 赵婷婷 qt2850551246</t>
    <phoneticPr fontId="6" type="noConversion"/>
  </si>
  <si>
    <t>铁建051C[199768.SH]，337w，112.603，4月8日，【】 to 元康盛景28号 刘靖涛3003993899</t>
  </si>
  <si>
    <t>铁建061C[260663.SH]，320w，111.938，4月8日，【】 to 元康盛景28号 刘靖涛3003993899</t>
  </si>
  <si>
    <t>G铁建82C[266500.SH]，750w，100.461，4月8日，【】 to 元康盛景28号 刘靖涛3003993899</t>
  </si>
  <si>
    <t>铁建061C[260663.SH]，655w，111.938，4月8日，【】 to 外贸信托-元康盛景1号 赵婷婷 qt2850551246</t>
  </si>
  <si>
    <t>G铁建82C[266500.SH]，1025w，100.461，4月8日，【】 to 外贸信托-元康盛景1号 赵婷婷 qt2850551246</t>
  </si>
  <si>
    <t>2026-4-8，24京能3号ABN001次 (082482325.IB)，2950w，100.020元，【】 to 朗瑞1号7期 孟亚琪 2881131472</t>
    <phoneticPr fontId="6" type="noConversion"/>
  </si>
  <si>
    <t>铁建061C</t>
  </si>
  <si>
    <t>G铁建82C</t>
  </si>
  <si>
    <r>
      <t>4/10，5美意4次，263707.SH，100w，净价</t>
    </r>
    <r>
      <rPr>
        <sz val="10"/>
        <rFont val="微软雅黑"/>
        <family val="2"/>
        <charset val="134"/>
      </rPr>
      <t>107.902</t>
    </r>
    <r>
      <rPr>
        <sz val="10"/>
        <color theme="1"/>
        <rFont val="微软雅黑"/>
        <family val="2"/>
        <charset val="134"/>
      </rPr>
      <t>,  国泰海通樊文娟 to 元康盛景28号 刘靖涛3003993899</t>
    </r>
    <phoneticPr fontId="6" type="noConversion"/>
  </si>
  <si>
    <t>2589247.IB</t>
    <phoneticPr fontId="6" type="noConversion"/>
  </si>
  <si>
    <t>25建欣11C[2589247.IB]，30w，105.52，4月9日，信达证券 to 粤财鹏雅10号第120期 王同博 QT员工号：3004238546</t>
    <phoneticPr fontId="6" type="noConversion"/>
  </si>
  <si>
    <t>暂不交易</t>
    <phoneticPr fontId="6" type="noConversion"/>
  </si>
  <si>
    <t>25建欣16C[2589486.IB]，768w，105.582，4月9日，信达证券 to 粤财鹏雅10号第120期 王同博 QT员工号：3004238546</t>
    <phoneticPr fontId="6" type="noConversion"/>
  </si>
  <si>
    <t>管理费</t>
  </si>
  <si>
    <t>应付税费</t>
  </si>
  <si>
    <t>阳光金科稳健11赎回</t>
    <phoneticPr fontId="6" type="noConversion"/>
  </si>
  <si>
    <t>阳光金科配置3号赎回</t>
    <phoneticPr fontId="6" type="noConversion"/>
  </si>
  <si>
    <t>4月10买入</t>
    <phoneticPr fontId="6" type="noConversion"/>
  </si>
  <si>
    <t>申购外贸元康1</t>
    <phoneticPr fontId="6" type="noConversion"/>
  </si>
  <si>
    <t>25鼎柚3次级</t>
  </si>
  <si>
    <t>大业信托</t>
    <phoneticPr fontId="6" type="noConversion"/>
  </si>
  <si>
    <t>还回购荟臻032C</t>
    <phoneticPr fontId="6" type="noConversion"/>
  </si>
  <si>
    <t>25美团美好ABN002次</t>
  </si>
  <si>
    <t>考虑归还回购</t>
    <phoneticPr fontId="6" type="noConversion"/>
  </si>
  <si>
    <t>诚惠1B、狮桥60A2归还</t>
    <phoneticPr fontId="6" type="noConversion"/>
  </si>
  <si>
    <t>次级（26美团美好ABN001次，082680129）</t>
    <phoneticPr fontId="6" type="noConversion"/>
  </si>
  <si>
    <t>25鼎柚3次级[2589212.IB]，2400w，101.827，4月10日，国泰海通 冉雅婷 2881971956 to 外贸信托-元康盛景1号 赵婷婷 qt2850551246</t>
    <phoneticPr fontId="6" type="noConversion"/>
  </si>
  <si>
    <t>惠鑫1-6次级</t>
    <phoneticPr fontId="6" type="noConversion"/>
  </si>
  <si>
    <t>5美意3、5美意4</t>
    <phoneticPr fontId="6" type="noConversion"/>
  </si>
  <si>
    <t>XIRR</t>
    <phoneticPr fontId="6" type="noConversion"/>
  </si>
  <si>
    <t>通合新能源</t>
    <phoneticPr fontId="6" type="noConversion"/>
  </si>
  <si>
    <t>元康29号追加</t>
    <phoneticPr fontId="6" type="noConversion"/>
  </si>
  <si>
    <t>23中誉2C[2389095.IB]，1071w，70.002，4月9日，国泰海通 冉雅婷 2881971956 to 粤财鹏雅10号第120期 王同博 QT员工号：3004238546；</t>
    <phoneticPr fontId="6" type="noConversion"/>
  </si>
  <si>
    <t>25东裕7叔裕ABN001次</t>
    <phoneticPr fontId="20" type="noConversion"/>
  </si>
  <si>
    <t>25鼎柚3次级[2589212.IB]，400w，101.827，4月10日，国泰海通 冉雅婷 2881971956 to 外贸信托朗瑞1号5期  孟亚琪qt 2881131472</t>
    <phoneticPr fontId="6" type="noConversion"/>
  </si>
  <si>
    <t>25建欣16C[2589486.IB]，768w，105.58，4月9日，信达证券 to 粤财鹏雅10号第120期 王同博 QT员工号：3004238546</t>
    <phoneticPr fontId="6" type="noConversion"/>
  </si>
  <si>
    <t>衡景1号</t>
    <phoneticPr fontId="6" type="noConversion"/>
  </si>
  <si>
    <t>108，性价比一般</t>
    <phoneticPr fontId="6" type="noConversion"/>
  </si>
  <si>
    <t>回收好，可考虑105价格，防范及时清仓风险</t>
    <phoneticPr fontId="6" type="noConversion"/>
  </si>
  <si>
    <t>建欣26-3</t>
  </si>
  <si>
    <t>建欣26-4</t>
  </si>
  <si>
    <t>鑫驰5期</t>
    <phoneticPr fontId="6" type="noConversion"/>
  </si>
  <si>
    <t>4月17后</t>
    <phoneticPr fontId="6" type="noConversion"/>
  </si>
  <si>
    <t>鑫驰5优B</t>
    <phoneticPr fontId="6" type="noConversion"/>
  </si>
  <si>
    <t>通合新能源</t>
  </si>
  <si>
    <t>小鹏5B</t>
    <phoneticPr fontId="6" type="noConversion"/>
  </si>
  <si>
    <t>小鹏4次</t>
  </si>
  <si>
    <t>小鹏4次</t>
    <phoneticPr fontId="6" type="noConversion"/>
  </si>
  <si>
    <t>玮盈2次</t>
  </si>
  <si>
    <t>玮盈3次</t>
  </si>
  <si>
    <t>元康9号赎回</t>
    <phoneticPr fontId="6" type="noConversion"/>
  </si>
  <si>
    <t>外贸-元康1号赎回</t>
    <phoneticPr fontId="6" type="noConversion"/>
  </si>
  <si>
    <t>25美团美好ABN002次[082580682.IB]，580w，103.52，4月10日，国泰海通 冉雅婷 2881971956 to 外贸信托朗瑞1号5期  孟亚琪qt 2881131472</t>
    <phoneticPr fontId="6" type="noConversion"/>
  </si>
  <si>
    <t>25美团美好ABN002次[082580682.IB]，450w，103.52，4月10日，国泰海通 冉雅婷 2881971956 to 粤财信托鹏雅10号119期 王同博 QT员工号：3004238546</t>
    <phoneticPr fontId="6" type="noConversion"/>
  </si>
  <si>
    <t>4/9日缴款，26启橙2号ABN001次（082601458.IB）475w，6%单利，朗瑞1号5期缴款</t>
    <phoneticPr fontId="6" type="noConversion"/>
  </si>
  <si>
    <t>需加急</t>
    <phoneticPr fontId="6" type="noConversion"/>
  </si>
  <si>
    <t>鑫驰5优B</t>
  </si>
  <si>
    <t>蔚能A2</t>
  </si>
  <si>
    <t>蔚能A3</t>
  </si>
  <si>
    <t>安远回购换券</t>
    <phoneticPr fontId="6" type="noConversion"/>
  </si>
  <si>
    <t>中建投_臻泉2号</t>
    <phoneticPr fontId="6" type="noConversion"/>
  </si>
  <si>
    <t>托管行政费</t>
    <phoneticPr fontId="6" type="noConversion"/>
  </si>
  <si>
    <t>平安普惠兑付</t>
    <phoneticPr fontId="6" type="noConversion"/>
  </si>
  <si>
    <t>熠然03A3兑付</t>
    <phoneticPr fontId="6" type="noConversion"/>
  </si>
  <si>
    <t>托管费</t>
    <phoneticPr fontId="6" type="noConversion"/>
  </si>
  <si>
    <t>2026/4/10+0  25臻金2C (2589159.IB)  交易面额1000w  价格112.0143  中信证券 出给粤财信托 王同博</t>
    <phoneticPr fontId="6" type="noConversion"/>
  </si>
  <si>
    <t>26潍信3C【500668】，100w，413缴款，414起息，票面收益6.5%，元康盛景28号</t>
    <phoneticPr fontId="6" type="noConversion"/>
  </si>
  <si>
    <t>锦盛3次，268081.SH，4/13一级缴款，预期收益率5.70%，1600w</t>
    <phoneticPr fontId="6" type="noConversion"/>
  </si>
  <si>
    <t>G铁建82C[266500.SH]，1082w，101.074，4月13日，【方田维纳3号 Z13506】to 元康盛景28号 Z06308，约定号：663</t>
    <phoneticPr fontId="6" type="noConversion"/>
  </si>
  <si>
    <t>泓晟1号3期次级回款</t>
    <phoneticPr fontId="6" type="noConversion"/>
  </si>
  <si>
    <t>5美意1次回款</t>
    <phoneticPr fontId="6" type="noConversion"/>
  </si>
  <si>
    <t>诚惠1B</t>
    <phoneticPr fontId="6" type="noConversion"/>
  </si>
  <si>
    <t>美团惠鑫6</t>
    <phoneticPr fontId="6" type="noConversion"/>
  </si>
  <si>
    <t>启臻1次</t>
  </si>
  <si>
    <t>外贸元康1号申购</t>
    <phoneticPr fontId="6" type="noConversion"/>
  </si>
  <si>
    <t>元康20号</t>
    <phoneticPr fontId="6" type="noConversion"/>
  </si>
  <si>
    <t>5.5%dd</t>
    <phoneticPr fontId="6" type="noConversion"/>
  </si>
  <si>
    <t>4/10估值</t>
    <phoneticPr fontId="6" type="noConversion"/>
  </si>
  <si>
    <t>衡景1号</t>
  </si>
  <si>
    <t>1st</t>
    <phoneticPr fontId="6" type="noConversion"/>
  </si>
  <si>
    <t>2nd</t>
    <phoneticPr fontId="6" type="noConversion"/>
  </si>
  <si>
    <t>启恒1次</t>
  </si>
  <si>
    <t>中正达广申购</t>
    <phoneticPr fontId="6" type="noConversion"/>
  </si>
  <si>
    <t>264213.SH</t>
    <phoneticPr fontId="6" type="noConversion"/>
  </si>
  <si>
    <t>质押G铁建82C</t>
    <phoneticPr fontId="6" type="noConversion"/>
  </si>
  <si>
    <t>25东裕7叔裕ABN001次</t>
  </si>
  <si>
    <t>荟臻032C归还回购</t>
    <phoneticPr fontId="6" type="noConversion"/>
  </si>
  <si>
    <t>盛煜014归还回购</t>
    <phoneticPr fontId="6" type="noConversion"/>
  </si>
  <si>
    <t>1、4/15 小鹏4次 146862.SZ 150,000.00  101.2000 粤财信托·鹏雅8号（交易商代码：000170   交易员代码：004Q0001  交易主体代码：3600000004）to 【元康盛景28号 （交易商代码：000262；交易主体代码: 3600000001；交易员代码：007A0001 ）】</t>
    <phoneticPr fontId="6" type="noConversion"/>
  </si>
  <si>
    <t>2、4/15 小鹏4次 146862.SZ 50,000.00  101.2000 粤财信托·鹏雅8号（交易商代码：000170   交易员代码：004Q0001  交易主体代码：3600000004）to 【外贸信托-元康盛景1号 （交易商代码：【000680】；交易主体代码：【3600003118】；交易员代码：【00IW0011 机构经纪1】 ）】</t>
    <phoneticPr fontId="6" type="noConversion"/>
  </si>
  <si>
    <t>光大保德信赎回兑付</t>
    <phoneticPr fontId="6" type="noConversion"/>
  </si>
  <si>
    <t>光大保德信赎回</t>
    <phoneticPr fontId="6" type="noConversion"/>
  </si>
  <si>
    <t>4/14，铁建081C（265587.SH），295w，102.332，【清哲清信21号 Z13506 qq：1549350975，李韧】to 元康盛景20号 Z06308，约定号：664--dd5.5%</t>
    <phoneticPr fontId="6" type="noConversion"/>
  </si>
  <si>
    <t>1、借550.4w，3.5%，2d，2026-4-15~2026-4-17；押券工鑫42次，267033.SH，688w，80%；正回购方：元康盛景28号 Z06308，逆回购方：【】</t>
    <phoneticPr fontId="6" type="noConversion"/>
  </si>
  <si>
    <t>已投一丢丢</t>
    <phoneticPr fontId="6" type="noConversion"/>
  </si>
  <si>
    <t>263867.SH</t>
    <phoneticPr fontId="6" type="noConversion"/>
  </si>
  <si>
    <t>4-16交易</t>
    <phoneticPr fontId="6" type="noConversion"/>
  </si>
  <si>
    <t>NR</t>
    <phoneticPr fontId="6" type="noConversion"/>
  </si>
  <si>
    <t>【】</t>
    <phoneticPr fontId="6" type="noConversion"/>
  </si>
  <si>
    <t>弗迪26-2次级</t>
    <phoneticPr fontId="6" type="noConversion"/>
  </si>
  <si>
    <t>诚惠1B[263867.SH]，300w，101.41，4月16日，元康盛景26号 刘靖涛3003993899  to 中信证券 赵恒昆3004076439</t>
    <phoneticPr fontId="6" type="noConversion"/>
  </si>
  <si>
    <t>诚惠1B[263867.SH]，300w，101.415，4月16日，中信证券 赵恒昆3004076439  to 粤开证券 许逸潇2881647849</t>
    <phoneticPr fontId="6" type="noConversion"/>
  </si>
  <si>
    <t>诚惠1B[263867.SH]，300w，101.42，4月16日，粤开证券 许逸潇2881647849 to 苏信Z2501 徐健 qt455768073</t>
    <phoneticPr fontId="6" type="noConversion"/>
  </si>
  <si>
    <t>5美意3次兑付</t>
    <phoneticPr fontId="6" type="noConversion"/>
  </si>
  <si>
    <t>6美意2次兑付</t>
    <phoneticPr fontId="6" type="noConversion"/>
  </si>
  <si>
    <t>铁建061C[260663.SH]，655w，112.015，4月16日，中信证券 赵恒昆3004076439 to 粤开证券 许逸潇2881647849</t>
    <phoneticPr fontId="6" type="noConversion"/>
  </si>
  <si>
    <t>铁建061C[260663.SH]，655w，112.02，4月16日，粤开证券 许逸潇2881647849 to 苏信Z2502  徐健 qt455768073</t>
    <phoneticPr fontId="6" type="noConversion"/>
  </si>
  <si>
    <t>铁建061C[260663.SH]，655w，112.01，4月16日，【外贸信托-元康盛景1号  赵婷婷 qt2850551246】 to 中信证券 赵恒昆3004076439</t>
    <phoneticPr fontId="6" type="noConversion"/>
  </si>
  <si>
    <t>5月底</t>
    <phoneticPr fontId="6" type="noConversion"/>
  </si>
  <si>
    <t>苏信次级2000w+中建投2000w</t>
    <phoneticPr fontId="6" type="noConversion"/>
  </si>
  <si>
    <t>1500w优B，渣打，后续给苏信优先级或新户；</t>
    <phoneticPr fontId="6" type="noConversion"/>
  </si>
  <si>
    <t>266524.SH</t>
    <phoneticPr fontId="6" type="noConversion"/>
  </si>
  <si>
    <t>500486.SZ</t>
    <phoneticPr fontId="6" type="noConversion"/>
  </si>
  <si>
    <t>4/20交易</t>
    <phoneticPr fontId="6" type="noConversion"/>
  </si>
  <si>
    <t>蔚能ABS优B</t>
    <phoneticPr fontId="6" type="noConversion"/>
  </si>
  <si>
    <t>启悦11次</t>
    <phoneticPr fontId="6" type="noConversion"/>
  </si>
  <si>
    <t xml:space="preserve">24京能3号ABN001次 </t>
    <phoneticPr fontId="6" type="noConversion"/>
  </si>
  <si>
    <t>管理费&amp;业绩报酬</t>
    <phoneticPr fontId="6" type="noConversion"/>
  </si>
  <si>
    <t>外贸信托-朗瑞1号集合资金信托计划第7期信托单元</t>
  </si>
  <si>
    <t>粤财信托·鹏雅10号集合资金信托计划（YCXTJG-鹏雅第10号-XT119-002）</t>
  </si>
  <si>
    <t>粤财信托·鹏雅10号集合资金信托计划（第119期）</t>
  </si>
  <si>
    <t>中航基金瑞华1号单一资产管理计划</t>
  </si>
  <si>
    <t>元康盛景1号</t>
    <phoneticPr fontId="6" type="noConversion"/>
  </si>
  <si>
    <t>有合同，未签署</t>
    <phoneticPr fontId="6" type="noConversion"/>
  </si>
  <si>
    <t>诚远3B</t>
    <phoneticPr fontId="6" type="noConversion"/>
  </si>
  <si>
    <t>支付业绩报酬</t>
    <phoneticPr fontId="6" type="noConversion"/>
  </si>
  <si>
    <t>性价比不高，再和银行沟通下疑问</t>
    <phoneticPr fontId="6" type="noConversion"/>
  </si>
  <si>
    <t>授权110，回收不错</t>
    <phoneticPr fontId="6" type="noConversion"/>
  </si>
  <si>
    <t>性价比可以，建议参与</t>
    <phoneticPr fontId="6" type="noConversion"/>
  </si>
  <si>
    <t>苏信2502</t>
    <phoneticPr fontId="6" type="noConversion"/>
  </si>
  <si>
    <t>待沟通</t>
    <phoneticPr fontId="6" type="noConversion"/>
  </si>
  <si>
    <t>4-21交易</t>
    <phoneticPr fontId="6" type="noConversion"/>
  </si>
  <si>
    <t>待确定要素</t>
    <phoneticPr fontId="6" type="noConversion"/>
  </si>
  <si>
    <t>加权平均利率</t>
    <phoneticPr fontId="6" type="noConversion"/>
  </si>
  <si>
    <t>慧聚领航申购</t>
    <phoneticPr fontId="6" type="noConversion"/>
  </si>
  <si>
    <t>新增申购中正达广</t>
    <phoneticPr fontId="6" type="noConversion"/>
  </si>
  <si>
    <t>小鹏5B[500446.SZ]，500w，101.475，4月17日，天风证券 李泽堃3007354220  to 中建投信托 臻泉2号 李思韵 3003354775</t>
    <phoneticPr fontId="6" type="noConversion"/>
  </si>
  <si>
    <t>9.75/2.95</t>
    <phoneticPr fontId="6" type="noConversion"/>
  </si>
  <si>
    <t>中信、国泰、兴业、信达、广发</t>
    <phoneticPr fontId="6" type="noConversion"/>
  </si>
  <si>
    <t>\</t>
    <phoneticPr fontId="6" type="noConversion"/>
  </si>
  <si>
    <t>元康盛景20号</t>
  </si>
  <si>
    <t>元康盛景17号</t>
  </si>
  <si>
    <t>元康盛景9号</t>
  </si>
  <si>
    <t>元康盛景1号</t>
  </si>
  <si>
    <t>元康盛景28号A</t>
  </si>
  <si>
    <t>元康盛景22号</t>
  </si>
  <si>
    <t>元康盛景29号私募证券投资基金</t>
  </si>
  <si>
    <t>2026/05/18</t>
  </si>
  <si>
    <t>赎回:美市:1,410,000份</t>
  </si>
  <si>
    <t>2026/05/26</t>
  </si>
  <si>
    <t>赎回:美市:150,000份</t>
  </si>
  <si>
    <t>（内容由AI生成，仅供参考）</t>
  </si>
  <si>
    <t>熠然04A3[146002.SZ]，2940w，93.671，4月17日，天风证券 李泽堃3007354220 to 苏信Z2502 徐健 qt455768073</t>
    <phoneticPr fontId="6" type="noConversion"/>
  </si>
  <si>
    <t>熠然04A3[146002.SZ]，2940w，93.656，4月17日，元康盛景28号 刘靖涛3003993899 to 粤开证券 许逸潇2881647849</t>
    <phoneticPr fontId="6" type="noConversion"/>
  </si>
  <si>
    <t>熠然04A3[146002.SZ]，2940w，93.661，4月17日，粤开证券 许逸潇2881647849 to 天风证券 李泽堃3007354220</t>
    <phoneticPr fontId="6" type="noConversion"/>
  </si>
  <si>
    <t>小鹏5B[500446.SZ]，500w，101.46，4月17日，元康盛景26号 刘靖涛3003993899  to 粤开证券 许逸潇2881647849</t>
    <phoneticPr fontId="6" type="noConversion"/>
  </si>
  <si>
    <t>小鹏5B[500446.SZ]，500w，101.465，4月17日，粤开证券 许逸潇2881647849  to 天风证券 李泽堃3007354220</t>
    <phoneticPr fontId="6" type="noConversion"/>
  </si>
  <si>
    <t>小鹏5次[500447.SZ]，500w，101.24，4月17日，天风证券 李泽堃3007354220  to 中建投信托 臻泉2号 李思韵 3003354775</t>
    <phoneticPr fontId="6" type="noConversion"/>
  </si>
  <si>
    <t>小鹏5次[500447.SZ]，500w，101.23，4月17日，粤开证券 许逸潇2881647849  to 天风证券 李泽堃3007354220</t>
    <phoneticPr fontId="6" type="noConversion"/>
  </si>
  <si>
    <t>昆仑信托</t>
    <phoneticPr fontId="6" type="noConversion"/>
  </si>
  <si>
    <t>外贸-元康1号</t>
    <phoneticPr fontId="6" type="noConversion"/>
  </si>
  <si>
    <t>公募reits</t>
    <phoneticPr fontId="6" type="noConversion"/>
  </si>
  <si>
    <t>25弗迪租赁ABN001次级(绿色)</t>
  </si>
  <si>
    <t>元康28号申购</t>
    <phoneticPr fontId="6" type="noConversion"/>
  </si>
  <si>
    <t>鹏雅10号119期申购</t>
    <phoneticPr fontId="6" type="noConversion"/>
  </si>
  <si>
    <t>朗瑞1号5期赎回</t>
    <phoneticPr fontId="6" type="noConversion"/>
  </si>
  <si>
    <t>265587.SH</t>
    <phoneticPr fontId="6" type="noConversion"/>
  </si>
  <si>
    <t>交诚2026-2</t>
    <phoneticPr fontId="6" type="noConversion"/>
  </si>
  <si>
    <t>4.66/1.55</t>
    <phoneticPr fontId="6" type="noConversion"/>
  </si>
  <si>
    <t>5月下旬</t>
    <phoneticPr fontId="6" type="noConversion"/>
  </si>
  <si>
    <t>中金、招证、中信</t>
    <phoneticPr fontId="6" type="noConversion"/>
  </si>
  <si>
    <t>铁建081C</t>
  </si>
  <si>
    <t xml:space="preserve">	申港通合</t>
    <phoneticPr fontId="6" type="noConversion"/>
  </si>
  <si>
    <t>弗迪</t>
    <phoneticPr fontId="6" type="noConversion"/>
  </si>
  <si>
    <t>私募reits（ABS夹层）</t>
    <phoneticPr fontId="6" type="noConversion"/>
  </si>
  <si>
    <t>考虑ABS优先级</t>
    <phoneticPr fontId="6" type="noConversion"/>
  </si>
  <si>
    <t>朗瑞1号5期</t>
    <phoneticPr fontId="6" type="noConversion"/>
  </si>
  <si>
    <t>给鹏雅119</t>
    <phoneticPr fontId="6" type="noConversion"/>
  </si>
  <si>
    <t>元康22号申购</t>
    <phoneticPr fontId="6" type="noConversion"/>
  </si>
  <si>
    <t>鹏雅10号119期</t>
    <phoneticPr fontId="6" type="noConversion"/>
  </si>
  <si>
    <t>蔚能ABN</t>
    <phoneticPr fontId="6" type="noConversion"/>
  </si>
  <si>
    <t>惠鑫壹6B，268306，1200w，1.7%，4-20缴款，4-21起息；元康盛景28号</t>
  </si>
  <si>
    <t>惠鑫壹6C，1000w，4.7%xirr，4-20缴款，4-21起息；元康盛景28号</t>
  </si>
  <si>
    <t>雪球赎回</t>
    <phoneticPr fontId="6" type="noConversion"/>
  </si>
  <si>
    <t>财通</t>
    <phoneticPr fontId="6" type="noConversion"/>
  </si>
  <si>
    <t>每周五开放</t>
    <phoneticPr fontId="6" type="noConversion"/>
  </si>
  <si>
    <t>铁建081C（265587.SH），1045w，102.438，4月20日，清哲清信21号 Z13506 1549350975，李韧 to 苏信2502  徐健 qt455768073；铁建081C（265587.SH），665w，102.438，4月20日，鹏石启航9号 Z13506 3911232885，蔡一茂 to 苏信2502  徐健 qt455768073</t>
    <phoneticPr fontId="6" type="noConversion"/>
  </si>
  <si>
    <t>G铁建82C（266500.SH），115w，101.571，4月20日，鹏石启航9号 Z13506 3911232885，蔡一茂 to 苏信2502  徐健 qt455768073</t>
    <phoneticPr fontId="6" type="noConversion"/>
  </si>
  <si>
    <t xml:space="preserve">启臻1次[266524.SH]，300w，100.986，4月20日， to </t>
    <phoneticPr fontId="6" type="noConversion"/>
  </si>
  <si>
    <t xml:space="preserve">启悦15次[146285.SZ]，300w，104.28，4月20日， to </t>
    <phoneticPr fontId="6" type="noConversion"/>
  </si>
  <si>
    <t xml:space="preserve">启恒1次[500486.SZ]，500w，100.792，4月20日， to </t>
    <phoneticPr fontId="6" type="noConversion"/>
  </si>
  <si>
    <t>小鹏5次[500447.SZ]，500w，101.225，4月17日，元康盛景28号 刘靖涛3003993899  to 粤开证券 许逸潇2881647849</t>
    <phoneticPr fontId="6" type="noConversion"/>
  </si>
  <si>
    <t>启臻1次[266524.SH]，300w，100.975，4月20日，元康盛景28号 刘靖涛3003993899 to 中信证券 赵恒昆3004076439
启臻1次[266524.SH]，300w，100.981，4月20日，中信证券 赵恒昆3004076439 to 粤开证券 许逸潇2881647849</t>
    <phoneticPr fontId="6" type="noConversion"/>
  </si>
  <si>
    <t>启悦15次[146285.SZ]，300w，104.269，4月20日， 元康盛景28号 刘靖涛3003993899 to 中信证券 赵恒昆3004076439
启悦15次[146285.SZ]，300w，104.275，4月20日， 中信证券 赵恒昆3004076439 to 粤开证券 许逸潇2881647849</t>
    <phoneticPr fontId="6" type="noConversion"/>
  </si>
  <si>
    <t>启恒1次[500486.SZ]，500w，100.781，4月20日， 元康盛景28号 刘靖涛3003993899 to 中信证券 赵恒昆3004076439
启恒1次[500486.SZ]，500w，100.787，4月20日， 中信证券 赵恒昆3004076439 to 粤开证券 许逸潇2881647849</t>
    <phoneticPr fontId="6" type="noConversion"/>
  </si>
  <si>
    <t>鹏雅119</t>
  </si>
  <si>
    <t>外贸-元康1号赎回</t>
  </si>
  <si>
    <t>朗瑞1号5、7期赎回</t>
  </si>
  <si>
    <t>元康28号</t>
  </si>
  <si>
    <t>24京能3号ABN001次</t>
  </si>
  <si>
    <t>422开放申购</t>
    <phoneticPr fontId="6" type="noConversion"/>
  </si>
  <si>
    <t>优先级5000</t>
    <phoneticPr fontId="6" type="noConversion"/>
  </si>
  <si>
    <t>新混合1e</t>
    <phoneticPr fontId="6" type="noConversion"/>
  </si>
  <si>
    <t>玮盈兑付</t>
    <phoneticPr fontId="6" type="noConversion"/>
  </si>
  <si>
    <t>启宸6次兑付</t>
    <phoneticPr fontId="6" type="noConversion"/>
  </si>
  <si>
    <t>金城兑付</t>
    <phoneticPr fontId="6" type="noConversion"/>
  </si>
  <si>
    <t>鑫驰5B</t>
    <phoneticPr fontId="6" type="noConversion"/>
  </si>
  <si>
    <t>深能源兑付</t>
    <phoneticPr fontId="6" type="noConversion"/>
  </si>
  <si>
    <t>360优B</t>
  </si>
  <si>
    <t>奇富</t>
    <phoneticPr fontId="6" type="noConversion"/>
  </si>
  <si>
    <t>兑付五矿赎回</t>
    <phoneticPr fontId="6" type="noConversion"/>
  </si>
  <si>
    <t>1、24JZ1C[262949.SH],1325W，103全价，4-21日，国泰海通  to 元康盛景28号 刘靖涛3003993899
2、24JZ3C[262988.SH]，2000w，103全价，4-21日，国泰海通  to 元康盛景28号 刘靖涛3003993899</t>
    <phoneticPr fontId="6" type="noConversion"/>
  </si>
  <si>
    <t>25惠元6C</t>
    <phoneticPr fontId="6" type="noConversion"/>
  </si>
  <si>
    <t>23领航3C</t>
    <phoneticPr fontId="6" type="noConversion"/>
  </si>
  <si>
    <t>23领航4C</t>
    <phoneticPr fontId="6" type="noConversion"/>
  </si>
  <si>
    <t>4/21,+0, 25惠元6C[2589190.IB]，646w，83.6051，银河证券 xx to 外贸信托朗瑞1号8期 孟亚琪2881131472</t>
    <phoneticPr fontId="6" type="noConversion"/>
  </si>
  <si>
    <t>小鹏4B</t>
    <phoneticPr fontId="6" type="noConversion"/>
  </si>
  <si>
    <t>启恒2期abs</t>
    <phoneticPr fontId="6" type="noConversion"/>
  </si>
  <si>
    <t>德银03B</t>
  </si>
  <si>
    <t>德银</t>
    <phoneticPr fontId="6" type="noConversion"/>
  </si>
  <si>
    <t>估值收益率</t>
    <phoneticPr fontId="6" type="noConversion"/>
  </si>
  <si>
    <t>苏信2603</t>
    <phoneticPr fontId="6" type="noConversion"/>
  </si>
  <si>
    <t>盛煜014D到期兑付</t>
    <phoneticPr fontId="6" type="noConversion"/>
  </si>
  <si>
    <t>毓消22B，500693.SZ，1000w，2.8%，4月22日缴款，4月23日起息，元康盛景26号缴款</t>
    <phoneticPr fontId="6" type="noConversion"/>
  </si>
  <si>
    <t>毓消22B，500693.SZ，1000w，2.8%，4月22日缴款，4月23日起息，中建投臻泉2号缴款</t>
    <phoneticPr fontId="6" type="noConversion"/>
  </si>
  <si>
    <t>工鑫38次</t>
    <phoneticPr fontId="6" type="noConversion"/>
  </si>
  <si>
    <t>265651.SH</t>
    <phoneticPr fontId="6" type="noConversion"/>
  </si>
  <si>
    <t>工鑫37次</t>
    <phoneticPr fontId="6" type="noConversion"/>
  </si>
  <si>
    <t>265580.SH</t>
    <phoneticPr fontId="6" type="noConversion"/>
  </si>
  <si>
    <t>启恒2期优先B</t>
    <phoneticPr fontId="6" type="noConversion"/>
  </si>
  <si>
    <t>5000W给苏信或建投</t>
    <phoneticPr fontId="6" type="noConversion"/>
  </si>
  <si>
    <t>启恒2期次级</t>
    <phoneticPr fontId="6" type="noConversion"/>
  </si>
  <si>
    <t>特别</t>
    <phoneticPr fontId="6" type="noConversion"/>
  </si>
  <si>
    <t>一般</t>
    <phoneticPr fontId="6" type="noConversion"/>
  </si>
  <si>
    <t>B</t>
    <phoneticPr fontId="6" type="noConversion"/>
  </si>
  <si>
    <t>A+C</t>
    <phoneticPr fontId="6" type="noConversion"/>
  </si>
  <si>
    <t>工鑫两期</t>
  </si>
  <si>
    <t>0726兑付本金，不涉及利息</t>
    <phoneticPr fontId="6" type="noConversion"/>
  </si>
  <si>
    <t>0726前买回</t>
    <phoneticPr fontId="6" type="noConversion"/>
  </si>
  <si>
    <t>0726开始兑付本金</t>
    <phoneticPr fontId="6" type="noConversion"/>
  </si>
  <si>
    <t>鑫驰5B，500701.SZ，500w，3.15%，4-22缴款，4-23起息，苏信添利2501</t>
    <phoneticPr fontId="6" type="noConversion"/>
  </si>
  <si>
    <t>鑫驰5B，500701.SZ，2200w，3.15%，4-22缴款，4-23起息，中建投臻泉2号</t>
    <phoneticPr fontId="6" type="noConversion"/>
  </si>
  <si>
    <t>25橙益22C</t>
    <phoneticPr fontId="6" type="noConversion"/>
  </si>
  <si>
    <t>25橙益23C</t>
    <phoneticPr fontId="6" type="noConversion"/>
  </si>
  <si>
    <t>25工元至诚惠银2C</t>
    <phoneticPr fontId="6" type="noConversion"/>
  </si>
  <si>
    <t>补优先贴息</t>
    <phoneticPr fontId="6" type="noConversion"/>
  </si>
  <si>
    <t>调整后价格</t>
    <phoneticPr fontId="6" type="noConversion"/>
  </si>
  <si>
    <t>交易规模</t>
    <phoneticPr fontId="6" type="noConversion"/>
  </si>
  <si>
    <t>2589366.IB</t>
    <phoneticPr fontId="6" type="noConversion"/>
  </si>
  <si>
    <t>2589368.IB</t>
    <phoneticPr fontId="6" type="noConversion"/>
  </si>
  <si>
    <t>2589222.IB</t>
    <phoneticPr fontId="6" type="noConversion"/>
  </si>
  <si>
    <t>2589350.IB</t>
    <phoneticPr fontId="6" type="noConversion"/>
  </si>
  <si>
    <t>4/23, 25橙益22C[2589366.IB]，20w，102.785，国泰海通 冉雅婷 to 外贸信托朗瑞1号8期 孟亚琪2881131472</t>
    <phoneticPr fontId="6" type="noConversion"/>
  </si>
  <si>
    <t>4/23, 25橙益23C[2589368.IB]，200w，108.935，国泰海通 冉雅婷 to 外贸信托朗瑞1号8期 孟亚琪2881131472</t>
    <phoneticPr fontId="6" type="noConversion"/>
  </si>
  <si>
    <t>4/23, 25工元至诚惠银2C[2589222.IB]，100w，110.575，国泰海通 冉雅婷 to 外贸信托朗瑞1号8期 孟亚琪2881131472</t>
    <phoneticPr fontId="6" type="noConversion"/>
  </si>
  <si>
    <t>25福鑫4C</t>
    <phoneticPr fontId="6" type="noConversion"/>
  </si>
  <si>
    <t>2589218.IB</t>
    <phoneticPr fontId="6" type="noConversion"/>
  </si>
  <si>
    <t>26臻金1C</t>
    <phoneticPr fontId="6" type="noConversion"/>
  </si>
  <si>
    <t>微小企业贷款</t>
    <phoneticPr fontId="6" type="noConversion"/>
  </si>
  <si>
    <t>2689066.IB</t>
    <phoneticPr fontId="6" type="noConversion"/>
  </si>
  <si>
    <t>买入时间</t>
    <phoneticPr fontId="6" type="noConversion"/>
  </si>
  <si>
    <t>份额</t>
    <phoneticPr fontId="6" type="noConversion"/>
  </si>
  <si>
    <t>期间分配</t>
    <phoneticPr fontId="6" type="noConversion"/>
  </si>
  <si>
    <t>外贸-元康1</t>
    <phoneticPr fontId="6" type="noConversion"/>
  </si>
  <si>
    <t>元康31</t>
    <phoneticPr fontId="6" type="noConversion"/>
  </si>
  <si>
    <t>元康32</t>
    <phoneticPr fontId="6" type="noConversion"/>
  </si>
  <si>
    <t>收益率预期</t>
    <phoneticPr fontId="6" type="noConversion"/>
  </si>
  <si>
    <t>4/22，t+0，25福鑫4C[2589218.IB]，40w，105.7726，国泰海通xx to 外贸信托朗瑞1号8期 孟亚琪2881131472</t>
    <phoneticPr fontId="6" type="noConversion"/>
  </si>
  <si>
    <t>铁建62C</t>
  </si>
  <si>
    <t>工鑫29次</t>
  </si>
  <si>
    <t>铁建62B</t>
  </si>
  <si>
    <t>工鑫33次</t>
  </si>
  <si>
    <t>合计</t>
    <phoneticPr fontId="6" type="noConversion"/>
  </si>
  <si>
    <t>5美好3次</t>
  </si>
  <si>
    <t>24惠民4B</t>
    <phoneticPr fontId="6" type="noConversion"/>
  </si>
  <si>
    <t>上个计息日</t>
    <phoneticPr fontId="6" type="noConversion"/>
  </si>
  <si>
    <t>德银03B归还</t>
    <phoneticPr fontId="6" type="noConversion"/>
  </si>
  <si>
    <t>归还回购-小鹏4B</t>
    <phoneticPr fontId="6" type="noConversion"/>
  </si>
  <si>
    <t>新增回购-中金</t>
    <phoneticPr fontId="6" type="noConversion"/>
  </si>
  <si>
    <t>DY01优3</t>
    <phoneticPr fontId="6" type="noConversion"/>
  </si>
  <si>
    <t>上一计息日</t>
    <phoneticPr fontId="6" type="noConversion"/>
  </si>
  <si>
    <t>金薇的券</t>
    <phoneticPr fontId="6" type="noConversion"/>
  </si>
  <si>
    <t>蔚能优先B</t>
    <phoneticPr fontId="6" type="noConversion"/>
  </si>
  <si>
    <t>4/22，工鑫37次，265580.SH，915w，净价105.158，元康23号 刘靖涛qt3003993899 to 粤开证券 许逸潇2881647849
4/22，工鑫37次，265580.SH，915w，净价105.163，粤开证券 许逸潇2881647849 to 苏信 徐健 qt455768073
4/22，工鑫38次，265651.SH，752w，净价105.687，元康23号 刘靖涛qt3003993899 to 粤开证券 许逸潇2881647849
4/22，工鑫38次，265651.SH，752w，净价105.692，粤开证券 许逸潇2881647849 to 苏信 徐健 qt455768073</t>
    <phoneticPr fontId="6" type="noConversion"/>
  </si>
  <si>
    <t>后手收益率</t>
    <phoneticPr fontId="6" type="noConversion"/>
  </si>
  <si>
    <t>4/20估值</t>
    <phoneticPr fontId="6" type="noConversion"/>
  </si>
  <si>
    <t>起息日</t>
    <phoneticPr fontId="6" type="noConversion"/>
  </si>
  <si>
    <t>约定收益率</t>
    <phoneticPr fontId="6" type="noConversion"/>
  </si>
  <si>
    <t>平价交易价格</t>
    <phoneticPr fontId="6" type="noConversion"/>
  </si>
  <si>
    <t>平价交易金额</t>
    <phoneticPr fontId="6" type="noConversion"/>
  </si>
  <si>
    <t>补差价</t>
    <phoneticPr fontId="6" type="noConversion"/>
  </si>
  <si>
    <t>调整交易金额</t>
    <phoneticPr fontId="6" type="noConversion"/>
  </si>
  <si>
    <t>调整交易价格</t>
    <phoneticPr fontId="6" type="noConversion"/>
  </si>
  <si>
    <t>睿铭3次</t>
  </si>
  <si>
    <t>4/22，睿铭3次，264171.SH，80w，净价105.789，粤开证券 许逸潇2881647849 to 苏信 徐健 qt455768073</t>
    <phoneticPr fontId="6" type="noConversion"/>
  </si>
  <si>
    <t>4/22，睿铭3次，264171.SH，80w，净价105.784，元康28号 刘靖涛qt3003993899 to 粤开证券 许逸潇2881647849</t>
    <phoneticPr fontId="6" type="noConversion"/>
  </si>
  <si>
    <t>2个月买回6/23</t>
    <phoneticPr fontId="6" type="noConversion"/>
  </si>
  <si>
    <t>鹏雅120期</t>
    <phoneticPr fontId="6" type="noConversion"/>
  </si>
  <si>
    <t>4/23, 25浦鑫归航7C[2589350.IB]，150w，102.747，国泰海通 冉雅婷 to 粤财鹏雅10号第120期 王同博 QT员工号：3004238546</t>
  </si>
  <si>
    <t>25浦鑫归航7C</t>
    <phoneticPr fontId="6" type="noConversion"/>
  </si>
  <si>
    <t>4/24，24京能3号ABN001次，2010w，价格99.38，外贸信托-元康盛景1号 赵婷婷 qt2850551246 to 天风证券 李泽堃3007354220
4/24，24京能3号ABN001次，2010w，价格99.40，天风证券 李泽堃3007354220 to 粤财信托·鹏雅10号集合资金信托计划（第127期）  粤财信托：王同博 3004238546</t>
    <phoneticPr fontId="6" type="noConversion"/>
  </si>
  <si>
    <t>25浦鑫归航5优先，20w，票面2.3%</t>
  </si>
  <si>
    <t>4/23，5美好3次，263313.SH，100w，净价109.262，国泰海通 樊文娟 to 元康28号 刘靖涛qt3003993899</t>
    <phoneticPr fontId="6" type="noConversion"/>
  </si>
  <si>
    <t>4/23，24惠民4B，144022.SZ，50w，净价100.5，国泰海通 樊文娟 to 元康28号 刘靖涛qt3003993899</t>
    <phoneticPr fontId="6" type="noConversion"/>
  </si>
  <si>
    <t>4/23，24易鑫恒通ABN001优先B，082481523.IB，100w，净价101.34，国泰海通 樊文娟 to 外贸信托-元康盛景1号 赵婷婷 qt2850551246</t>
    <phoneticPr fontId="6" type="noConversion"/>
  </si>
  <si>
    <t>预期到期日</t>
    <phoneticPr fontId="6" type="noConversion"/>
  </si>
  <si>
    <t>260771.SH</t>
    <phoneticPr fontId="6" type="noConversion"/>
  </si>
  <si>
    <t>262627.SH</t>
    <phoneticPr fontId="6" type="noConversion"/>
  </si>
  <si>
    <t>263363.SH</t>
    <phoneticPr fontId="6" type="noConversion"/>
  </si>
  <si>
    <t>260770.SH</t>
    <phoneticPr fontId="6" type="noConversion"/>
  </si>
  <si>
    <t>尚泽壹3C到期兑付</t>
    <phoneticPr fontId="6" type="noConversion"/>
  </si>
  <si>
    <t>铁建051C</t>
  </si>
  <si>
    <t>给金薇</t>
    <phoneticPr fontId="6" type="noConversion"/>
  </si>
  <si>
    <t>25浦鑫归航5优先</t>
  </si>
  <si>
    <t>25浦鑫归航5优先</t>
    <phoneticPr fontId="6" type="noConversion"/>
  </si>
  <si>
    <t>毛旸</t>
    <phoneticPr fontId="6" type="noConversion"/>
  </si>
  <si>
    <t>2589301.IB</t>
    <phoneticPr fontId="6" type="noConversion"/>
  </si>
  <si>
    <t>25招元和萃5C，50w</t>
    <phoneticPr fontId="6" type="noConversion"/>
  </si>
  <si>
    <t>25招元和萃5优先，65w，票面2.03%</t>
    <phoneticPr fontId="6" type="noConversion"/>
  </si>
  <si>
    <t>25招元和萃5优先</t>
    <phoneticPr fontId="6" type="noConversion"/>
  </si>
  <si>
    <t>25招元和萃5C</t>
    <phoneticPr fontId="6" type="noConversion"/>
  </si>
  <si>
    <t>ZJCF08C</t>
  </si>
  <si>
    <t>预期收益</t>
    <phoneticPr fontId="6" type="noConversion"/>
  </si>
  <si>
    <t>266715.SH</t>
    <phoneticPr fontId="6" type="noConversion"/>
  </si>
  <si>
    <t>期间兑付</t>
    <phoneticPr fontId="6" type="noConversion"/>
  </si>
  <si>
    <t>4/23发出</t>
    <phoneticPr fontId="6" type="noConversion"/>
  </si>
  <si>
    <t>乐信1-4优B</t>
    <phoneticPr fontId="6" type="noConversion"/>
  </si>
  <si>
    <t>乐信1-4优C</t>
    <phoneticPr fontId="6" type="noConversion"/>
  </si>
  <si>
    <t>3-3.5%</t>
    <phoneticPr fontId="6" type="noConversion"/>
  </si>
  <si>
    <t>3.5-4%</t>
    <phoneticPr fontId="6" type="noConversion"/>
  </si>
  <si>
    <t>渣打代拿5000w，苏信A3-4000w；中建投2500w A3+2500wA2</t>
    <phoneticPr fontId="6" type="noConversion"/>
  </si>
  <si>
    <t>优B-苏信次级户7000w+元康28-2000w，渣打代拿1-2000w</t>
    <phoneticPr fontId="6" type="noConversion"/>
  </si>
  <si>
    <t>小鹏5次[500447.SZ]，2000w，101.063，4月23日，元康28号 刘靖涛qt3003993899  to 粤开证券 许逸潇2881647849</t>
    <phoneticPr fontId="6" type="noConversion"/>
  </si>
  <si>
    <t>慧聚领航1号赎回</t>
    <phoneticPr fontId="6" type="noConversion"/>
  </si>
  <si>
    <t>惠元2026-5</t>
    <phoneticPr fontId="6" type="noConversion"/>
  </si>
  <si>
    <t>5.75/2.15</t>
    <phoneticPr fontId="6" type="noConversion"/>
  </si>
  <si>
    <t>5月中下旬</t>
    <phoneticPr fontId="6" type="noConversion"/>
  </si>
  <si>
    <t>蔚能电池兑付</t>
    <phoneticPr fontId="6" type="noConversion"/>
  </si>
  <si>
    <t>致远11号兑付</t>
    <phoneticPr fontId="6" type="noConversion"/>
  </si>
  <si>
    <t>25熠顺ABN001优先A3兑付</t>
    <phoneticPr fontId="6" type="noConversion"/>
  </si>
  <si>
    <t>支付银行间费用</t>
    <phoneticPr fontId="6" type="noConversion"/>
  </si>
  <si>
    <t>优B优先</t>
    <phoneticPr fontId="6" type="noConversion"/>
  </si>
  <si>
    <t>中航瑞华1号赎回</t>
    <phoneticPr fontId="6" type="noConversion"/>
  </si>
  <si>
    <t>国金保理优A</t>
    <phoneticPr fontId="6" type="noConversion"/>
  </si>
  <si>
    <t>元康盛景31号申购</t>
    <phoneticPr fontId="6" type="noConversion"/>
  </si>
  <si>
    <t>元康31号</t>
    <phoneticPr fontId="6" type="noConversion"/>
  </si>
  <si>
    <t>元康31号申购</t>
    <phoneticPr fontId="6" type="noConversion"/>
  </si>
  <si>
    <t>诚远3期</t>
    <phoneticPr fontId="6" type="noConversion"/>
  </si>
  <si>
    <t>23臻金2C</t>
    <phoneticPr fontId="6" type="noConversion"/>
  </si>
  <si>
    <t>联储申购</t>
    <phoneticPr fontId="6" type="noConversion"/>
  </si>
  <si>
    <t>25招元和萃5优先，2589181，65w，20260423，净价11.8477/全价11.8661；国泰海通 田飞凡 to 粤财信托鹏雅10号120期，王同博</t>
    <phoneticPr fontId="6" type="noConversion"/>
  </si>
  <si>
    <t>25招元和萃5C，2589182，50w，20260423，报价112.54；国泰海通 田飞凡 to 粤财信托鹏雅10号120期，王同博</t>
    <phoneticPr fontId="6" type="noConversion"/>
  </si>
  <si>
    <t>4/23, 25浦鑫归航5优先[2589301.IB]，80w，95.07，国泰海通 冉雅婷 to 外贸信托朗瑞1号8期 孟亚琪2881131472；
25浦鑫归航5优先，2589301，20w，20260423，净价95.07/全价96.1423；国泰海通 田飞凡 to 外贸信托朗瑞1号8期，孟亚琪</t>
    <phoneticPr fontId="6" type="noConversion"/>
  </si>
  <si>
    <t>小鹏5次[500447.SZ]，1950w，101.068，4月23日，粤开证券 许逸潇2881647849  to 中建投信托 李思韵 3003354775</t>
    <phoneticPr fontId="6" type="noConversion"/>
  </si>
  <si>
    <t>25臻金3C</t>
    <phoneticPr fontId="6" type="noConversion"/>
  </si>
  <si>
    <t>25浩悦ABN001次兑付</t>
    <phoneticPr fontId="6" type="noConversion"/>
  </si>
  <si>
    <t>和赢蔚能ABN001、和赢蔚能ABN002兑付</t>
    <phoneticPr fontId="6" type="noConversion"/>
  </si>
  <si>
    <t>4/24, 25建欣1C[2589057.IB]，750w，114.4557，粤财鹏雅10号第120期 王同博 QT员工号：3004238546  to 国泰海通 冉雅婷</t>
    <phoneticPr fontId="6" type="noConversion"/>
  </si>
  <si>
    <t>4/24, 25臻金3C[2589318.IB]，800w，102.675，国泰海通 冉雅婷 to 粤财鹏雅10号第120期 王同博 QT员工号：3004238546</t>
    <phoneticPr fontId="6" type="noConversion"/>
  </si>
  <si>
    <t>恒焕2026-1</t>
    <phoneticPr fontId="6" type="noConversion"/>
  </si>
  <si>
    <t>1.6/0.68</t>
    <phoneticPr fontId="6" type="noConversion"/>
  </si>
  <si>
    <t>国泰，招证</t>
    <phoneticPr fontId="6" type="noConversion"/>
  </si>
  <si>
    <t>6月上旬</t>
    <phoneticPr fontId="6" type="noConversion"/>
  </si>
  <si>
    <t>2025/3/26；2026/4/24</t>
    <phoneticPr fontId="6" type="noConversion"/>
  </si>
  <si>
    <t>2689056.IB</t>
    <phoneticPr fontId="6" type="noConversion"/>
  </si>
  <si>
    <t>蜀道可交债</t>
    <phoneticPr fontId="6" type="noConversion"/>
  </si>
  <si>
    <t>国投泰康信托斑羚8号服务信托</t>
  </si>
  <si>
    <t>外贸信托-朗瑞1号集合资金信托计划第8期信托单元</t>
  </si>
  <si>
    <t>中航信托·天成启盈1号集合资金信托计划第15期</t>
  </si>
  <si>
    <t>粤财信托·鹏雅10号集合资金信托计划（第120期）</t>
  </si>
  <si>
    <t>4/24发出</t>
    <phoneticPr fontId="6" type="noConversion"/>
  </si>
  <si>
    <t>毓消22B</t>
  </si>
  <si>
    <t>6月</t>
    <phoneticPr fontId="6" type="noConversion"/>
  </si>
  <si>
    <t>耘睿21号第4期优B</t>
    <phoneticPr fontId="6" type="noConversion"/>
  </si>
  <si>
    <t>2%左右</t>
    <phoneticPr fontId="6" type="noConversion"/>
  </si>
  <si>
    <t>国金，中信</t>
    <phoneticPr fontId="6" type="noConversion"/>
  </si>
  <si>
    <t>走加急划款</t>
    <phoneticPr fontId="6" type="noConversion"/>
  </si>
  <si>
    <t>国金保理国金02A</t>
    <phoneticPr fontId="6" type="noConversion"/>
  </si>
  <si>
    <t>国金保理国金02B</t>
    <phoneticPr fontId="6" type="noConversion"/>
  </si>
  <si>
    <t>GC001</t>
    <phoneticPr fontId="6" type="noConversion"/>
  </si>
  <si>
    <t>买1天逆回购</t>
    <phoneticPr fontId="6" type="noConversion"/>
  </si>
  <si>
    <t>新疆国信</t>
    <phoneticPr fontId="6" type="noConversion"/>
  </si>
  <si>
    <t>外贸-元康1号</t>
  </si>
  <si>
    <t>国金02A</t>
    <phoneticPr fontId="6" type="noConversion"/>
  </si>
  <si>
    <t>小鹏4B</t>
  </si>
  <si>
    <t>长安信托申购</t>
    <phoneticPr fontId="6" type="noConversion"/>
  </si>
  <si>
    <t>信元1号</t>
    <phoneticPr fontId="6" type="noConversion"/>
  </si>
  <si>
    <t>25DC2B--周一碰价格，已谈好</t>
    <phoneticPr fontId="6" type="noConversion"/>
  </si>
  <si>
    <t>这个交易要求尽量在下午2点前完成</t>
    <phoneticPr fontId="6" type="noConversion"/>
  </si>
  <si>
    <t>下午3点前到账</t>
    <phoneticPr fontId="6" type="noConversion"/>
  </si>
  <si>
    <t>23中誉至诚5C</t>
    <phoneticPr fontId="6" type="noConversion"/>
  </si>
  <si>
    <t>146862.SZ</t>
    <phoneticPr fontId="6" type="noConversion"/>
  </si>
  <si>
    <t>263516.SH</t>
    <phoneticPr fontId="6" type="noConversion"/>
  </si>
  <si>
    <t>票面利率</t>
    <phoneticPr fontId="6" type="noConversion"/>
  </si>
  <si>
    <t>证券简称</t>
    <phoneticPr fontId="6" type="noConversion"/>
  </si>
  <si>
    <t>份额（万份）</t>
    <phoneticPr fontId="6" type="noConversion"/>
  </si>
  <si>
    <t>金额（万元）</t>
    <phoneticPr fontId="6" type="noConversion"/>
  </si>
  <si>
    <t>应计利息</t>
    <phoneticPr fontId="6" type="noConversion"/>
  </si>
  <si>
    <t>146861.SZ</t>
    <phoneticPr fontId="6" type="noConversion"/>
  </si>
  <si>
    <t>144378.SZ</t>
    <phoneticPr fontId="6" type="noConversion"/>
  </si>
  <si>
    <t>和赢蔚能兑付</t>
    <phoneticPr fontId="6" type="noConversion"/>
  </si>
  <si>
    <t>144479.SZ</t>
    <phoneticPr fontId="6" type="noConversion"/>
  </si>
  <si>
    <t>和赢蔚能ABN002、浩悦兑付</t>
    <phoneticPr fontId="6" type="noConversion"/>
  </si>
  <si>
    <t>24东裕5仲裕ABN001次</t>
  </si>
  <si>
    <t>24京东东裕3ABN002次</t>
    <phoneticPr fontId="6" type="noConversion"/>
  </si>
  <si>
    <t>粤开证券</t>
    <phoneticPr fontId="6" type="noConversion"/>
  </si>
  <si>
    <t>小鹏4次[146862.SZ]，1400w，101.4266，4月27日，粤开证券 许逸潇2881647849 to 中建投信托 李思韵 3003354775</t>
    <phoneticPr fontId="6" type="noConversion"/>
  </si>
  <si>
    <t>德银03B[263516.SH]，600w，100.005，4月27日，粤开证券 许逸潇2881647849 to 中建投信托 李思韵 3003354775</t>
    <phoneticPr fontId="6" type="noConversion"/>
  </si>
  <si>
    <t>熠安02A3[144651.SZ]，380w，52.5268，4月27日，粤开证券 许逸潇2881647849 to 中建投信托 李思韵 3003354775</t>
    <phoneticPr fontId="6" type="noConversion"/>
  </si>
  <si>
    <t>小鹏4次[146862.SZ]，1400w，101.4216，4月27日，外贸信托-元康盛景1号 赵婷婷 qt2850551246 to 粤开证券 许逸潇2881647849</t>
    <phoneticPr fontId="6" type="noConversion"/>
  </si>
  <si>
    <t>德银03B[263516.SH]，600w，100.000，4月27日，元康盛景26号 刘靖涛3003993899 to 粤开证券 许逸潇2881647849</t>
    <phoneticPr fontId="6" type="noConversion"/>
  </si>
  <si>
    <t>熠安02A3[144651.SZ]，380w，52.5218，4月27日，元康盛景26号 刘靖涛3003993899 to 粤开证券 许逸潇2881647849</t>
    <phoneticPr fontId="6" type="noConversion"/>
  </si>
  <si>
    <t>4/27+0,25弗迪租赁ABN001次级(绿色)[082580900.IB],1100w,全价100.5035   中金 李欣月3007455122 to 外贸信托元康盛景1号 赵婷婷</t>
    <phoneticPr fontId="6" type="noConversion"/>
  </si>
  <si>
    <t>4/27+0,25弗迪租赁ABN001次级(绿色)[082580900.IB],1900w,全价100.5035  中金 李欣月3007455122  to 外贸信托朗瑞1号5期 孟亚琪</t>
    <phoneticPr fontId="6" type="noConversion"/>
  </si>
  <si>
    <t>5美意5次</t>
    <phoneticPr fontId="6" type="noConversion"/>
  </si>
  <si>
    <t>耘睿235C</t>
    <phoneticPr fontId="6" type="noConversion"/>
  </si>
  <si>
    <t>惠民3次</t>
    <phoneticPr fontId="6" type="noConversion"/>
  </si>
  <si>
    <t>4/27，5美意5次，264529.SH，751w，105.606，厦门信托（林晨露） to 元康盛景28号</t>
    <phoneticPr fontId="6" type="noConversion"/>
  </si>
  <si>
    <t>4/27，耘睿235C，266797.SH，149w，净价99.996，厦门信托（林晨露） to 元康盛景28号</t>
    <phoneticPr fontId="6" type="noConversion"/>
  </si>
  <si>
    <t>4/27，惠民3次，146305.SZ，498w，全价105.5295，厦门信托（林晨露） to 元康盛景28号</t>
    <phoneticPr fontId="6" type="noConversion"/>
  </si>
  <si>
    <t>4/27，5美意5次，264529.SH，92w，105.91，粤财信托（吴海滨） to 元康盛景28号</t>
    <phoneticPr fontId="6" type="noConversion"/>
  </si>
  <si>
    <t>4/27，惠民3次，146305.SZ，42w，全价105.6101，厦门信托（林晨露） to 元康盛景28号</t>
    <phoneticPr fontId="6" type="noConversion"/>
  </si>
  <si>
    <t>铁建081C兑付</t>
    <phoneticPr fontId="6" type="noConversion"/>
  </si>
  <si>
    <t>26美团美好ABN001次</t>
  </si>
  <si>
    <t>4/29，23中誉至诚5C，2389446.IB，841w，119.02，国泰海通 冉雅婷 to 粤财鹏雅10号第120期 王同博 QT员工号：3004238546</t>
    <phoneticPr fontId="6" type="noConversion"/>
  </si>
  <si>
    <t>兑付赎回</t>
    <phoneticPr fontId="6" type="noConversion"/>
  </si>
  <si>
    <t>熠安02A3[144651.SZ]，2300w，52.5188，4月27日，苏信 徐健 xuj@trustsz.com to 中信证券 赵恒昆 zhaohengkun@citics.com</t>
    <phoneticPr fontId="6" type="noConversion"/>
  </si>
  <si>
    <t>熠安02A3[144651.SZ]，2300w，52.5268，4月27日，粤开证券 许逸潇2881647849 to 苏信2502 徐健 qt455768073</t>
    <phoneticPr fontId="6" type="noConversion"/>
  </si>
  <si>
    <t>蜀道EB</t>
    <phoneticPr fontId="6" type="noConversion"/>
  </si>
  <si>
    <t>徽商期货</t>
    <phoneticPr fontId="6" type="noConversion"/>
  </si>
  <si>
    <t>4/28, 新疆国信[266682.SH] ，900w，全价100，协鑫 to 元康盛景9号</t>
    <phoneticPr fontId="6" type="noConversion"/>
  </si>
  <si>
    <t>4/28, 新疆国信[266682.SH] ，2500w，全价100，协鑫 to 元康盛景1号</t>
    <phoneticPr fontId="6" type="noConversion"/>
  </si>
  <si>
    <t>5美意3次+5美意1次</t>
    <phoneticPr fontId="6" type="noConversion"/>
  </si>
  <si>
    <t>4/28发出</t>
    <phoneticPr fontId="6" type="noConversion"/>
  </si>
  <si>
    <t>元康星辰量化4号</t>
  </si>
  <si>
    <t>元康全景1号私募证券投资基金B</t>
  </si>
  <si>
    <t>申购:美市:100,000元</t>
  </si>
  <si>
    <t>2026/06/03</t>
  </si>
  <si>
    <t>4/29，23工元至诚8C，2389487.IB，1400w，131.12，国泰海通 冉雅婷 to 粤财鹏雅10号第120期 王同博 QT员工号：3004238546</t>
    <phoneticPr fontId="6" type="noConversion"/>
  </si>
  <si>
    <t>4-24估值</t>
    <phoneticPr fontId="6" type="noConversion"/>
  </si>
  <si>
    <t>平价价格</t>
    <phoneticPr fontId="6" type="noConversion"/>
  </si>
  <si>
    <t>玮盈2次[144378.SZ]，600w，45.4691，4月28日，外贸信托-元康盛景1号 赵婷婷 qt2850551246 to 粤开证券 许逸潇2881647849</t>
    <phoneticPr fontId="6" type="noConversion"/>
  </si>
  <si>
    <t>玮盈3次[144479.SZ]，400w，67.895，4月28日，外贸信托-元康盛景1号 赵婷婷 qt2850551246 to 粤开证券 许逸潇2881647849</t>
    <phoneticPr fontId="6" type="noConversion"/>
  </si>
  <si>
    <t>小鹏4次[146862.SZ]，130w，101.4372，4月28日，外贸信托-元康盛景1号 赵婷婷 qt2850551246 to 粤开证券 许逸潇2881647849</t>
    <phoneticPr fontId="6" type="noConversion"/>
  </si>
  <si>
    <t>小鹏4B[146861.SZ]，600w，100.9112，4月28日，元康盛景26号 刘靖涛3003993899 to 粤开证券 许逸潇2881647849</t>
    <phoneticPr fontId="6" type="noConversion"/>
  </si>
  <si>
    <t>小鹏5次[500447.SZ]，350w，101.157，4月28日，元康28号 刘靖涛qt3003993899 to 粤开证券 许逸潇2881647849</t>
    <phoneticPr fontId="6" type="noConversion"/>
  </si>
  <si>
    <t>玮盈2次[144378.SZ]，600w，45.4741，4月28日，粤开证券 许逸潇2881647849 to 中建投信托 李思韵 3003354775</t>
    <phoneticPr fontId="6" type="noConversion"/>
  </si>
  <si>
    <t>玮盈3次[144479.SZ]，400w，67.9，4月28日，粤开证券 许逸潇2881647849 to 中建投信托 李思韵 3003354775</t>
    <phoneticPr fontId="6" type="noConversion"/>
  </si>
  <si>
    <t>小鹏4次[146862.SZ]，130w，101.4422，4月28日，粤开证券 许逸潇2881647849 to 中建投信托 李思韵 3003354775</t>
    <phoneticPr fontId="6" type="noConversion"/>
  </si>
  <si>
    <t>小鹏4B[146861.SZ]，600w，100.9162，4月28日，粤开证券 许逸潇2881647849 to 中建投信托 李思韵 3003354775</t>
    <phoneticPr fontId="6" type="noConversion"/>
  </si>
  <si>
    <t>小鹏5次[500447.SZ]，350w，101.162，4月28日，粤开证券 许逸潇2881647849 to 中建投信托 李思韵 3003354775</t>
    <phoneticPr fontId="6" type="noConversion"/>
  </si>
  <si>
    <t>3.9/1.48</t>
    <phoneticPr fontId="6" type="noConversion"/>
  </si>
  <si>
    <t>建投、招证、中金、国泰</t>
    <phoneticPr fontId="6" type="noConversion"/>
  </si>
  <si>
    <t>24东裕5仲裕ABN001次</t>
    <phoneticPr fontId="6" type="noConversion"/>
  </si>
  <si>
    <t>4/28估值</t>
    <phoneticPr fontId="6" type="noConversion"/>
  </si>
  <si>
    <t>4/28，24京东东裕3ABN002次[082480853.IB]，700w，105.8796，中信证券 to 粤财信托 王同博 3004238546</t>
    <phoneticPr fontId="6" type="noConversion"/>
  </si>
  <si>
    <t>4/28，24东裕5仲裕ABN001次[082481516.IB]，2000w，104.6666，中信证券 to 粤财信托 王同博 3004238546</t>
    <phoneticPr fontId="6" type="noConversion"/>
  </si>
  <si>
    <t>4/28，24京东东裕3ABN002次[082480853.IB]，700w，105.8696，外贸信托 孟亚琪 2881131472 to 中信证券</t>
    <phoneticPr fontId="6" type="noConversion"/>
  </si>
  <si>
    <t>4/28，24东裕5仲裕ABN001次[082481516.IB]，2000w，104.6566，外贸信托 孟亚琪 2881131472 to 中信证券</t>
    <phoneticPr fontId="6" type="noConversion"/>
  </si>
  <si>
    <t>性价比一般，100.</t>
    <phoneticPr fontId="6" type="noConversion"/>
  </si>
  <si>
    <t>4/29，26美团美好ABN001次，082680129.IB，800w，100.463，国泰海通 冉雅婷 to 粤财信托鹏雅10号119期 王同博 QT员工号：3004238546</t>
    <phoneticPr fontId="6" type="noConversion"/>
  </si>
  <si>
    <t>单一主体（担保）</t>
    <phoneticPr fontId="6" type="noConversion"/>
  </si>
  <si>
    <t>美歆6C</t>
  </si>
  <si>
    <t>1、铁建081C[265587.SH], 1000w, 101.379，4月29日，方田维纳3号 Z13506 to 苏信 徐健 qt455768073，约定号：668</t>
    <phoneticPr fontId="6" type="noConversion"/>
  </si>
  <si>
    <t>2、铁建051C[199768.SH]，230w，112.95，4月29日，方田维纳3号 Z13506 to 苏信 徐健 qt455768073 ，约定号：669</t>
    <phoneticPr fontId="6" type="noConversion"/>
  </si>
  <si>
    <t>144938.SZ</t>
    <phoneticPr fontId="6" type="noConversion"/>
  </si>
  <si>
    <t>267135.SH</t>
    <phoneticPr fontId="6" type="noConversion"/>
  </si>
  <si>
    <t>渣打接蔚能B</t>
    <phoneticPr fontId="6" type="noConversion"/>
  </si>
  <si>
    <t>归还回购DY03优3</t>
    <phoneticPr fontId="6" type="noConversion"/>
  </si>
  <si>
    <t>4.5%（我们是5.5%）</t>
    <phoneticPr fontId="6" type="noConversion"/>
  </si>
  <si>
    <t>G蔚能1B</t>
    <phoneticPr fontId="6" type="noConversion"/>
  </si>
  <si>
    <t>荟臻032回款</t>
    <phoneticPr fontId="6" type="noConversion"/>
  </si>
  <si>
    <t>9.3/2.7</t>
    <phoneticPr fontId="6" type="noConversion"/>
  </si>
  <si>
    <t>天风-圆通小贷中小微企业融资支持资产支持专项计划</t>
    <phoneticPr fontId="6" type="noConversion"/>
  </si>
  <si>
    <t>6月份</t>
    <phoneticPr fontId="6" type="noConversion"/>
  </si>
  <si>
    <t>4/29，铁建085C，267930.SH，550w，100.363，国泰海通 樊文娟 to 外贸信托-元康盛景1号 赵婷婷 qt2850551246</t>
    <phoneticPr fontId="6" type="noConversion"/>
  </si>
  <si>
    <t>诚瑞4期ABS</t>
    <phoneticPr fontId="6" type="noConversion"/>
  </si>
  <si>
    <t>尚乘1期abs</t>
    <phoneticPr fontId="6" type="noConversion"/>
  </si>
  <si>
    <t>&gt;5%</t>
    <phoneticPr fontId="6" type="noConversion"/>
  </si>
  <si>
    <t>熠然03A3[144938.SZ]，1150w，82.2884，4月30日，粤开证券 许逸潇2881647849 to 中建投信托 李思韵 3003354775</t>
    <phoneticPr fontId="6" type="noConversion"/>
  </si>
  <si>
    <t>国健租赁优先B</t>
    <phoneticPr fontId="6" type="noConversion"/>
  </si>
  <si>
    <t>申购外贸-元康1号</t>
    <phoneticPr fontId="6" type="noConversion"/>
  </si>
  <si>
    <t>熠然03A3[144938.SZ]，1150w，82.2834，4月30日，元康28号 刘靖涛qt3003993899 to 粤开证券 许逸潇2881647849</t>
    <phoneticPr fontId="6" type="noConversion"/>
  </si>
  <si>
    <t>启恒2B，500690.SZ，苏信2501，800w，3.0%，4月29日缴款、4月30日设立</t>
    <phoneticPr fontId="6" type="noConversion"/>
  </si>
  <si>
    <t>启恒2次，500691.SZ，苏信2502，1000w，5.88%，4月29日缴款、4月30日设立</t>
    <phoneticPr fontId="6" type="noConversion"/>
  </si>
  <si>
    <t>橙益2026-3</t>
    <phoneticPr fontId="6" type="noConversion"/>
  </si>
  <si>
    <t>1.881/0.589</t>
    <phoneticPr fontId="6" type="noConversion"/>
  </si>
  <si>
    <t>中誉至诚2026-4</t>
    <phoneticPr fontId="6" type="noConversion"/>
  </si>
  <si>
    <t>邮盈惠丰2026-2</t>
    <phoneticPr fontId="6" type="noConversion"/>
  </si>
  <si>
    <t>3.76/1.0</t>
    <phoneticPr fontId="6" type="noConversion"/>
  </si>
  <si>
    <t>银河，国泰，中银</t>
    <phoneticPr fontId="6" type="noConversion"/>
  </si>
  <si>
    <t>元康全景1号私募证券投资基金B类</t>
  </si>
  <si>
    <t>小鹏4B解冻分配款</t>
    <phoneticPr fontId="6" type="noConversion"/>
  </si>
  <si>
    <t>建欣26-6</t>
    <phoneticPr fontId="6" type="noConversion"/>
  </si>
  <si>
    <t>2.5/0.97</t>
    <phoneticPr fontId="6" type="noConversion"/>
  </si>
  <si>
    <t>国泰、中信、招商、银河</t>
    <phoneticPr fontId="6" type="noConversion"/>
  </si>
  <si>
    <t>美歆6C[267135.SH]，300w，101.738，4月30日，粤开证券 许逸潇2881647849 to 中建投信托 李思韵 3003354775</t>
    <phoneticPr fontId="6" type="noConversion"/>
  </si>
  <si>
    <t>美歆6C[267135.SH]，300w，101.733，4月30日，元康28号 刘靖涛qt3003993899 to 粤开证券 许逸潇2881647849</t>
    <phoneticPr fontId="6" type="noConversion"/>
  </si>
  <si>
    <t>4/30发出</t>
    <phoneticPr fontId="6" type="noConversion"/>
  </si>
  <si>
    <t>皓月1号</t>
    <phoneticPr fontId="6" type="noConversion"/>
  </si>
  <si>
    <t>税费+业绩报酬</t>
    <phoneticPr fontId="6" type="noConversion"/>
  </si>
  <si>
    <t>信托利益分配</t>
    <phoneticPr fontId="6" type="noConversion"/>
  </si>
  <si>
    <t>盛赢4-3</t>
    <phoneticPr fontId="6" type="noConversion"/>
  </si>
  <si>
    <t>尚赢2-6</t>
    <phoneticPr fontId="6" type="noConversion"/>
  </si>
  <si>
    <t>新疆国信分配</t>
    <phoneticPr fontId="6" type="noConversion"/>
  </si>
  <si>
    <t>改6月初发行了，而且结构变了</t>
    <phoneticPr fontId="6" type="noConversion"/>
  </si>
  <si>
    <t>远东普惠A2</t>
    <phoneticPr fontId="6" type="noConversion"/>
  </si>
  <si>
    <t>6月初</t>
    <phoneticPr fontId="6" type="noConversion"/>
  </si>
  <si>
    <t>预期底层分配</t>
    <phoneticPr fontId="6" type="noConversion"/>
  </si>
  <si>
    <t>预期底层分配</t>
  </si>
  <si>
    <t>招元和萃2026-5</t>
    <phoneticPr fontId="6" type="noConversion"/>
  </si>
  <si>
    <t>5.26-27</t>
    <phoneticPr fontId="6" type="noConversion"/>
  </si>
  <si>
    <t>3.04/0.79</t>
    <phoneticPr fontId="6" type="noConversion"/>
  </si>
  <si>
    <t>招元和萃2026-4</t>
    <phoneticPr fontId="6" type="noConversion"/>
  </si>
  <si>
    <t>1.68/0.63</t>
    <phoneticPr fontId="6" type="noConversion"/>
  </si>
  <si>
    <t>惠元2026-4</t>
    <phoneticPr fontId="6" type="noConversion"/>
  </si>
  <si>
    <t>4.27/1.39</t>
    <phoneticPr fontId="6" type="noConversion"/>
  </si>
  <si>
    <t>橙益2026-2</t>
    <phoneticPr fontId="6" type="noConversion"/>
  </si>
  <si>
    <t>0.69/0.25</t>
    <phoneticPr fontId="6" type="noConversion"/>
  </si>
  <si>
    <t>个人经营</t>
    <phoneticPr fontId="6" type="noConversion"/>
  </si>
  <si>
    <t>出券</t>
    <phoneticPr fontId="6" type="noConversion"/>
  </si>
  <si>
    <t>惠元2026-6</t>
    <phoneticPr fontId="6" type="noConversion"/>
  </si>
  <si>
    <t>5.0/2.0</t>
    <phoneticPr fontId="6" type="noConversion"/>
  </si>
  <si>
    <t>赎回</t>
    <phoneticPr fontId="6" type="noConversion"/>
  </si>
  <si>
    <t>皓月</t>
    <phoneticPr fontId="6" type="noConversion"/>
  </si>
  <si>
    <t>25建欣12C</t>
    <phoneticPr fontId="6" type="noConversion"/>
  </si>
  <si>
    <t>卖出抵押类资产，买入短久期资产</t>
    <phoneticPr fontId="6" type="noConversion"/>
  </si>
  <si>
    <t>中金买回</t>
    <phoneticPr fontId="6" type="noConversion"/>
  </si>
  <si>
    <t>元康盛景31号私募证券投资基金A</t>
  </si>
  <si>
    <t>申购:美市:1,000,000元</t>
  </si>
  <si>
    <t>2026/05/19</t>
  </si>
  <si>
    <t>赎回:联储:3,831,969份</t>
  </si>
  <si>
    <t>2026/05/20</t>
  </si>
  <si>
    <t>2026/05/21</t>
  </si>
  <si>
    <t>赎回:美市:6,889,278份</t>
  </si>
  <si>
    <t>2026/05/25</t>
  </si>
  <si>
    <t>赎回:美市:1,240,000份</t>
  </si>
  <si>
    <t>赎回:联储:5,899,357份</t>
  </si>
  <si>
    <t>赎回:雪球:1,102,424份,美市:1,324,389份</t>
  </si>
  <si>
    <t>2026/05/27</t>
  </si>
  <si>
    <t>赎回:美市:23,115,175份</t>
  </si>
  <si>
    <t>2026/06/01</t>
  </si>
  <si>
    <t>赎回:美市:2,070,000份</t>
  </si>
  <si>
    <t>2026/06/02</t>
  </si>
  <si>
    <t>赎回:美市:900,000份</t>
  </si>
  <si>
    <t>赎回:美市:1,072,246份</t>
  </si>
  <si>
    <t>2026/06/08</t>
  </si>
  <si>
    <t>赎回:美市:5,950,000份</t>
  </si>
  <si>
    <t>2026/06/09</t>
  </si>
  <si>
    <t>赎回:美市:290,000份</t>
  </si>
  <si>
    <t>2026/06/10</t>
  </si>
  <si>
    <t>赎回:美市:107,225份</t>
  </si>
  <si>
    <t>2026/06/22</t>
  </si>
  <si>
    <t>2026/06/25</t>
  </si>
  <si>
    <t>启赢3-3银行间</t>
    <phoneticPr fontId="6" type="noConversion"/>
  </si>
  <si>
    <t>瑞景3号</t>
    <phoneticPr fontId="6" type="noConversion"/>
  </si>
  <si>
    <t>25鑫驰1B兑付</t>
    <phoneticPr fontId="6" type="noConversion"/>
  </si>
  <si>
    <t>场外期权保证金提取</t>
    <phoneticPr fontId="6" type="noConversion"/>
  </si>
  <si>
    <t>元康盛景28号私募证券投资基金B类</t>
  </si>
  <si>
    <t>新疆国信</t>
  </si>
  <si>
    <t xml:space="preserve">                       </t>
    <phoneticPr fontId="6" type="noConversion"/>
  </si>
  <si>
    <t>兴瑞26-2</t>
    <phoneticPr fontId="6" type="noConversion"/>
  </si>
  <si>
    <t>2.2/0.7</t>
    <phoneticPr fontId="6" type="noConversion"/>
  </si>
  <si>
    <t>招证、国泰、兴业、东方</t>
    <phoneticPr fontId="6" type="noConversion"/>
  </si>
  <si>
    <t>5/11 小鹏4次 146862.SZ 150,000.00  101.1307【元康盛景28号 （交易商代码：000262；交易主体代码: 3600000001；交易员代码：007A0001 ）】 to 粤财信托·鹏雅8号（交易商代码：000170   交易员代码：004Q0001  交易主体代码：3600000004）</t>
    <phoneticPr fontId="6" type="noConversion"/>
  </si>
  <si>
    <t>24山高保理ABN001次</t>
    <phoneticPr fontId="6" type="noConversion"/>
  </si>
  <si>
    <t>25山高保理ABN001次</t>
    <phoneticPr fontId="6" type="noConversion"/>
  </si>
  <si>
    <t>25山高保理ABN002次</t>
    <phoneticPr fontId="6" type="noConversion"/>
  </si>
  <si>
    <t>赎回:雪球:181,620份</t>
  </si>
  <si>
    <t>乐信13C回款</t>
    <phoneticPr fontId="6" type="noConversion"/>
  </si>
  <si>
    <t>爱建赎回</t>
    <phoneticPr fontId="6" type="noConversion"/>
  </si>
  <si>
    <t>搭售优先级</t>
    <phoneticPr fontId="6" type="noConversion"/>
  </si>
  <si>
    <t>荟臻032回购</t>
    <phoneticPr fontId="6" type="noConversion"/>
  </si>
  <si>
    <t>25京能</t>
    <phoneticPr fontId="6" type="noConversion"/>
  </si>
  <si>
    <t>狮桥兑付</t>
    <phoneticPr fontId="6" type="noConversion"/>
  </si>
  <si>
    <t>5/11 小鹏4次 146862.SZ 48,500.00  101.1307 【外贸信托-元康盛景1号 （交易商代码：【000680】；交易主体代码：【3600003118】；交易员代码：【00IW0011 机构经纪1】 ）】 to 粤财信托·鹏雅8号（交易商代码：000170   交易员代码：004Q0001  交易主体代码：3600000004）</t>
    <phoneticPr fontId="6" type="noConversion"/>
  </si>
  <si>
    <t>浩澜2026-2ABN</t>
    <phoneticPr fontId="6" type="noConversion"/>
  </si>
  <si>
    <t>4.3/1.37</t>
    <phoneticPr fontId="6" type="noConversion"/>
  </si>
  <si>
    <t>建欣26-5</t>
  </si>
  <si>
    <t>1.8/0.64</t>
    <phoneticPr fontId="6" type="noConversion"/>
  </si>
  <si>
    <t>招商证券为牵头主承销商、簿记管理人，联主为广发证券、兴业证券、中信建投证券</t>
    <phoneticPr fontId="6" type="noConversion"/>
  </si>
  <si>
    <t>鸿富26-3</t>
    <phoneticPr fontId="6" type="noConversion"/>
  </si>
  <si>
    <t>0.48/0.24</t>
    <phoneticPr fontId="6" type="noConversion"/>
  </si>
  <si>
    <t>中信/招证</t>
    <phoneticPr fontId="6" type="noConversion"/>
  </si>
  <si>
    <t>德银03B兑付</t>
    <phoneticPr fontId="6" type="noConversion"/>
  </si>
  <si>
    <t>中银</t>
    <phoneticPr fontId="6" type="noConversion"/>
  </si>
  <si>
    <t>5-11   24山高保理ABN001次 (082482257.IB)   1740W   全价103.178  山东信托（QT：3004283409，山东信托刘和玉）出  天风证券
5-11   24山高保理ABN001次 (082482257.IB)   1740W   全价103.178  天风证券  出   朗姿</t>
    <phoneticPr fontId="6" type="noConversion"/>
  </si>
  <si>
    <t>5-11   25山高保理ABN001次 (082580823.IB)  1150W   全价104.514  山东信托（QT：3004283409，山东信托刘和玉）出  天风证券
5-11   25山高保理ABN001次 (082580823.IB)  1150W   全价104.549  天风证券  出   朗姿</t>
    <phoneticPr fontId="6" type="noConversion"/>
  </si>
  <si>
    <t>5-11   25山高保理ABN002次 (082581153.IB)   1050W   全价103.462  山东信托（QT：3004283409，山东信托刘和玉）出  天风证券
5-11   25山高保理ABN002次 (082581153.IB)   1050W   全价103.462  天风证券  出   朗姿</t>
    <phoneticPr fontId="6" type="noConversion"/>
  </si>
  <si>
    <t>2589286.IB  25建欣12C  640W  净价/全价108.136元   0515+0   山东信托（QT：3004283409，山东信托刘和玉）出  天风证券 李泽堃3007354220
2589286.IB  25建欣12C  640W  净价/全价108.146元   0515+0   天风证券 李泽堃3007354220  出   粤财鹏雅10号第120期 王同博 QT员工号：3004238546</t>
    <phoneticPr fontId="6" type="noConversion"/>
  </si>
  <si>
    <t>2389064.IB  23工元至诚1C    3200W  净价/全价  73.542元   0515+0   山东信托（QT：3004283409，山东信托刘和玉）出  天风证券 李泽堃3007354220
2389064.IB  23工元至诚1C    3200W  净价/全价  73.552元   0515+0   天风证券 李泽堃3007354220  出   粤财鹏雅10号第120期 王同博 QT员工号：3004238546</t>
    <phoneticPr fontId="6" type="noConversion"/>
  </si>
  <si>
    <t>140赎回撤销</t>
    <phoneticPr fontId="6" type="noConversion"/>
  </si>
  <si>
    <t>美团生意贷</t>
    <phoneticPr fontId="6" type="noConversion"/>
  </si>
  <si>
    <t>搭售2300w</t>
    <phoneticPr fontId="6" type="noConversion"/>
  </si>
  <si>
    <t>建欣26-7</t>
    <phoneticPr fontId="6" type="noConversion"/>
  </si>
  <si>
    <t>13.2/4.0</t>
    <phoneticPr fontId="6" type="noConversion"/>
  </si>
  <si>
    <t>招商牵头，兴业证券、国泰、广发证券</t>
    <phoneticPr fontId="6" type="noConversion"/>
  </si>
  <si>
    <t>5/11 小鹏4次 146862.SZ 1,500.00  101.1307 【中建投信托 李思韵 3003354775 】 to 【粤开证券 000052  3600004059  001G0005 】</t>
    <phoneticPr fontId="6" type="noConversion"/>
  </si>
  <si>
    <t>申购:美市:5,000,000元</t>
  </si>
  <si>
    <t>2026/06/24</t>
  </si>
  <si>
    <t>赎回:美市:59,785,584份</t>
  </si>
  <si>
    <t>外贸信托-朗瑞1号集合资金信托计划第4期信托单元</t>
    <phoneticPr fontId="6" type="noConversion"/>
  </si>
  <si>
    <t>外贸信托-朗瑞1号集合资金信托计划第6期信托单元</t>
    <phoneticPr fontId="6" type="noConversion"/>
  </si>
  <si>
    <t>蔚能ABS2期优A5</t>
    <phoneticPr fontId="6" type="noConversion"/>
  </si>
  <si>
    <t>蔚能持有型不动产2期</t>
    <phoneticPr fontId="6" type="noConversion"/>
  </si>
  <si>
    <t>小鹏4B兑付</t>
    <phoneticPr fontId="6" type="noConversion"/>
  </si>
  <si>
    <t>韩亚</t>
    <phoneticPr fontId="6" type="noConversion"/>
  </si>
  <si>
    <t>中誉至诚2026-3</t>
    <phoneticPr fontId="6" type="noConversion"/>
  </si>
  <si>
    <t>中誉至诚2026-5</t>
  </si>
  <si>
    <t>15.0/4.0</t>
    <phoneticPr fontId="6" type="noConversion"/>
  </si>
  <si>
    <t>国联-奇富小贷消费2号3期</t>
    <phoneticPr fontId="6" type="noConversion"/>
  </si>
  <si>
    <t>臻泉2号</t>
    <phoneticPr fontId="6" type="noConversion"/>
  </si>
  <si>
    <t>优先级搭售</t>
    <phoneticPr fontId="6" type="noConversion"/>
  </si>
  <si>
    <t>小鹏4次兑付</t>
    <phoneticPr fontId="6" type="noConversion"/>
  </si>
  <si>
    <t>小鹏5次兑付</t>
    <phoneticPr fontId="6" type="noConversion"/>
  </si>
  <si>
    <t>惠鑫壹6C</t>
  </si>
  <si>
    <t>财付通</t>
    <phoneticPr fontId="6" type="noConversion"/>
  </si>
  <si>
    <t>注意上市时间</t>
    <phoneticPr fontId="6" type="noConversion"/>
  </si>
  <si>
    <t>锦盛1次</t>
  </si>
  <si>
    <t>7月份</t>
    <phoneticPr fontId="6" type="noConversion"/>
  </si>
  <si>
    <t>惠鑫壹6B</t>
    <phoneticPr fontId="6" type="noConversion"/>
  </si>
  <si>
    <t>待定，看是否有新券，尽快控制归还回购在2000w以内</t>
    <phoneticPr fontId="6" type="noConversion"/>
  </si>
  <si>
    <t>DY01优3</t>
  </si>
  <si>
    <t>朗瑞1-7赎回</t>
    <phoneticPr fontId="6" type="noConversion"/>
  </si>
  <si>
    <t>授权113，回收较好</t>
    <phoneticPr fontId="6" type="noConversion"/>
  </si>
  <si>
    <t>授权106，回收还可以</t>
    <phoneticPr fontId="6" type="noConversion"/>
  </si>
  <si>
    <t>授权109，回收不错</t>
    <phoneticPr fontId="6" type="noConversion"/>
  </si>
  <si>
    <t>需要搭售，性价比一般，次级授权106</t>
    <phoneticPr fontId="6" type="noConversion"/>
  </si>
  <si>
    <t>不参加</t>
    <phoneticPr fontId="6" type="noConversion"/>
  </si>
  <si>
    <t>回收还行，授权价106？</t>
    <phoneticPr fontId="6" type="noConversion"/>
  </si>
  <si>
    <t>元康衡景1号私募证券投资基金B</t>
  </si>
  <si>
    <t>2026/05/15</t>
  </si>
  <si>
    <t>赎回:雪球:681,199份</t>
  </si>
  <si>
    <t>赎回:美市:28,430,000份</t>
  </si>
  <si>
    <t>25京能4号ABN001次（绿色）</t>
    <phoneticPr fontId="6" type="noConversion"/>
  </si>
  <si>
    <t>5/12，25京能4号ABN001次（绿色）[082580987.IB]，3000w，99.825，国泰海通 冉雅婷 to 外贸信托元康盛景1号 赵婷婷</t>
    <phoneticPr fontId="6" type="noConversion"/>
  </si>
  <si>
    <t>国泰、建投、信达</t>
    <phoneticPr fontId="6" type="noConversion"/>
  </si>
  <si>
    <t>2026/5/7估值</t>
    <phoneticPr fontId="6" type="noConversion"/>
  </si>
  <si>
    <t>票面价格</t>
    <phoneticPr fontId="6" type="noConversion"/>
  </si>
  <si>
    <t>畅途ABN26-3优先B</t>
    <phoneticPr fontId="6" type="noConversion"/>
  </si>
  <si>
    <t>3%出头</t>
    <phoneticPr fontId="6" type="noConversion"/>
  </si>
  <si>
    <t>5/12，诚远3期优先B[500665.SZ]，1500w，净价100，渣打证券 to 芜湖元康 Z06308，刘靖涛qt3003993899</t>
    <phoneticPr fontId="6" type="noConversion"/>
  </si>
  <si>
    <t>5/12，诚远3期优先B[500665.SZ]，1500w，净价100，渣打证券 计艳杰 to 芜湖元康 Z06308，刘靖涛qt3003993899</t>
    <phoneticPr fontId="6" type="noConversion"/>
  </si>
  <si>
    <t>弗迪？</t>
    <phoneticPr fontId="6" type="noConversion"/>
  </si>
  <si>
    <t xml:space="preserve">GC港华智慧能源01[121627.SZ] </t>
  </si>
  <si>
    <t>铁建085C</t>
  </si>
  <si>
    <t>可随时交易</t>
    <phoneticPr fontId="6" type="noConversion"/>
  </si>
  <si>
    <t>5月底6月初</t>
    <phoneticPr fontId="6" type="noConversion"/>
  </si>
  <si>
    <t>5月18日簿记</t>
    <phoneticPr fontId="6" type="noConversion"/>
  </si>
  <si>
    <t>尚乘1期次级</t>
    <phoneticPr fontId="6" type="noConversion"/>
  </si>
  <si>
    <t>尚乘1期优先B</t>
    <phoneticPr fontId="6" type="noConversion"/>
  </si>
  <si>
    <t>蔚能ABS次A</t>
    <phoneticPr fontId="6" type="noConversion"/>
  </si>
  <si>
    <t>5月中簿记</t>
    <phoneticPr fontId="6" type="noConversion"/>
  </si>
  <si>
    <t>博枫公寓</t>
    <phoneticPr fontId="6" type="noConversion"/>
  </si>
  <si>
    <t>铁建053C</t>
    <phoneticPr fontId="6" type="noConversion"/>
  </si>
  <si>
    <t>5-28缴款</t>
    <phoneticPr fontId="6" type="noConversion"/>
  </si>
  <si>
    <t>6-8到期</t>
    <phoneticPr fontId="6" type="noConversion"/>
  </si>
  <si>
    <t>京东尚亦2-2</t>
    <phoneticPr fontId="6" type="noConversion"/>
  </si>
  <si>
    <t>腾券弗迪</t>
    <phoneticPr fontId="6" type="noConversion"/>
  </si>
  <si>
    <t>腾券熠顺</t>
    <phoneticPr fontId="6" type="noConversion"/>
  </si>
  <si>
    <t>尚亦2-2</t>
    <phoneticPr fontId="6" type="noConversion"/>
  </si>
  <si>
    <t>平安</t>
    <phoneticPr fontId="6" type="noConversion"/>
  </si>
  <si>
    <t>金采8-1次级</t>
  </si>
  <si>
    <t>金采8-1夹层</t>
  </si>
  <si>
    <t>5月19日簿记</t>
    <phoneticPr fontId="6" type="noConversion"/>
  </si>
  <si>
    <t>苏信2603（2000）</t>
    <phoneticPr fontId="6" type="noConversion"/>
  </si>
  <si>
    <t>苏信2603（1000）</t>
    <phoneticPr fontId="6" type="noConversion"/>
  </si>
  <si>
    <t>银行存款</t>
    <phoneticPr fontId="6" type="noConversion"/>
  </si>
  <si>
    <t>回购</t>
    <phoneticPr fontId="6" type="noConversion"/>
  </si>
  <si>
    <t>众鑫</t>
    <phoneticPr fontId="6" type="noConversion"/>
  </si>
  <si>
    <t>522买回</t>
    <phoneticPr fontId="6" type="noConversion"/>
  </si>
  <si>
    <t>平安普惠回款</t>
    <phoneticPr fontId="6" type="noConversion"/>
  </si>
  <si>
    <t xml:space="preserve"> 5/19, 惠鑫壹6B[268306.SH]，1200w，净价99.783，全价99.918；</t>
    <phoneticPr fontId="6" type="noConversion"/>
  </si>
  <si>
    <t>橙益2026-4</t>
  </si>
  <si>
    <t>0.35/0.13</t>
    <phoneticPr fontId="6" type="noConversion"/>
  </si>
  <si>
    <t>奇消22B</t>
    <phoneticPr fontId="6" type="noConversion"/>
  </si>
  <si>
    <t>申购（含东吴）</t>
    <phoneticPr fontId="6" type="noConversion"/>
  </si>
  <si>
    <t>阳光金科赎回</t>
    <phoneticPr fontId="6" type="noConversion"/>
  </si>
  <si>
    <t>炽诚1号6期</t>
    <phoneticPr fontId="6" type="noConversion"/>
  </si>
  <si>
    <t>炽诚1号7期</t>
    <phoneticPr fontId="6" type="noConversion"/>
  </si>
  <si>
    <t>中德</t>
    <phoneticPr fontId="6" type="noConversion"/>
  </si>
  <si>
    <t>赎回:美市:2,403,376份</t>
  </si>
  <si>
    <t>24惠民4B</t>
  </si>
  <si>
    <t>24易鑫恒通ABN001优先B</t>
    <phoneticPr fontId="6" type="noConversion"/>
  </si>
  <si>
    <t>徽商期货赎回</t>
    <phoneticPr fontId="6" type="noConversion"/>
  </si>
  <si>
    <t>催估值</t>
    <phoneticPr fontId="6" type="noConversion"/>
  </si>
  <si>
    <t>金城铁建回款</t>
    <phoneticPr fontId="6" type="noConversion"/>
  </si>
  <si>
    <t>工鑫34次</t>
    <phoneticPr fontId="6" type="noConversion"/>
  </si>
  <si>
    <t>GC绿发次</t>
    <phoneticPr fontId="6" type="noConversion"/>
  </si>
  <si>
    <t>5/20，24和赢众鑫ABN002优先B (082480881.IB) 1500w，净价99.6419，xxx to 外贸信托元康盛景1号 赵婷婷</t>
    <phoneticPr fontId="6" type="noConversion"/>
  </si>
  <si>
    <t>26鸿富1C，2689082，1000w，103，5/13簿记，5/18缴款，鹏雅10号120期</t>
    <phoneticPr fontId="6" type="noConversion"/>
  </si>
  <si>
    <t>26鸿富2C，2689084，600w，102，5/13簿记，5/18缴款，鹏雅10号120期</t>
    <phoneticPr fontId="6" type="noConversion"/>
  </si>
  <si>
    <t>建投，国泰</t>
    <phoneticPr fontId="6" type="noConversion"/>
  </si>
  <si>
    <t>中金，中信</t>
    <phoneticPr fontId="6" type="noConversion"/>
  </si>
  <si>
    <t>臻粹26-4</t>
    <phoneticPr fontId="6" type="noConversion"/>
  </si>
  <si>
    <t>1.8/0.6</t>
    <phoneticPr fontId="6" type="noConversion"/>
  </si>
  <si>
    <t>中金、银河</t>
    <phoneticPr fontId="6" type="noConversion"/>
  </si>
  <si>
    <t>申购:美市:8,600,000元; 赎回:美市:2,722,460份</t>
  </si>
  <si>
    <t>赎回:美市:803,235份</t>
  </si>
  <si>
    <t>268307.SH</t>
    <phoneticPr fontId="6" type="noConversion"/>
  </si>
  <si>
    <t>266097.SH</t>
    <phoneticPr fontId="6" type="noConversion"/>
  </si>
  <si>
    <t>500577.SZ</t>
    <phoneticPr fontId="6" type="noConversion"/>
  </si>
  <si>
    <t>GC港华智慧能源01</t>
    <phoneticPr fontId="6" type="noConversion"/>
  </si>
  <si>
    <t>5/19，鑫驰5B【500701.SZ】，2000w，净价100，渣打证券 to 元康盛景26号</t>
    <phoneticPr fontId="6" type="noConversion"/>
  </si>
  <si>
    <t>5/19，国金02A【267970.SH】，900w，净价100，渣打证券 to 元康盛景26号</t>
    <phoneticPr fontId="6" type="noConversion"/>
  </si>
  <si>
    <t>5/15+0，GC港华智慧能源01，[121627.SZ]，2000w，全价101.2214，渣打证券  to 芜湖元康（元康询价，实际交易账户为苏信2603）</t>
    <phoneticPr fontId="6" type="noConversion"/>
  </si>
  <si>
    <t>山金</t>
    <phoneticPr fontId="6" type="noConversion"/>
  </si>
  <si>
    <t>平价，帮代持，成本5.5%</t>
    <phoneticPr fontId="6" type="noConversion"/>
  </si>
  <si>
    <t>2026/5/13估值</t>
    <phoneticPr fontId="6" type="noConversion"/>
  </si>
  <si>
    <t>等等</t>
    <phoneticPr fontId="6" type="noConversion"/>
  </si>
  <si>
    <t>外贸元康1</t>
    <phoneticPr fontId="6" type="noConversion"/>
  </si>
  <si>
    <t>苏信Z2603</t>
    <phoneticPr fontId="6" type="noConversion"/>
  </si>
  <si>
    <t>5/15，铁建085C，【267930.SH】，1950w，100.556，国泰海通 樊文娟 to 苏信2603 徐健 455768073</t>
    <phoneticPr fontId="6" type="noConversion"/>
  </si>
  <si>
    <t>荟臻032回购归还</t>
    <phoneticPr fontId="6" type="noConversion"/>
  </si>
  <si>
    <t>5美意1次兑付</t>
    <phoneticPr fontId="6" type="noConversion"/>
  </si>
  <si>
    <t>1、方向：西藏君集1号to【元康盛景1号】
交易日期：2026年5月18日
债券代码：183128.SH
债券简称：GC绿发次
交易全价：102.515元/百元面值
数量：738万面值（7.38万张，7380手）
卖方：西藏信托君集1号集合资金信托计划
卖方询价QQ：2850981264钟振涛
卖方交易员代码：Z07119
买方：【元康盛景1号】
买方询价QQ：【刘靖涛qt3003993899】
买方交易员代码：【Z11825】
约定号：【111】</t>
    <phoneticPr fontId="6" type="noConversion"/>
  </si>
  <si>
    <t>3、方向：西藏君集1号to【元康盛景1号】
交易日期：2026年5月18日
债券代码：265651.SH
债券简称：工鑫38次
交易全价：105.805元/百元面值
数量：84万面值（8400张，840手）
卖方：西藏信托君集1号集合资金信托计划
卖方询价QQ：2850981264钟振涛
卖方交易员代码：Z07119
买方：【元康盛景1号】
买方询价QQ：【刘靖涛qt3003993899】
买方交易员代码：【Z11825】
约定号：【333】</t>
    <phoneticPr fontId="6" type="noConversion"/>
  </si>
  <si>
    <t>2、方向：西藏君集1号to【元康盛景17号】
交易日期：2026年5月18日
债券代码：263612.SH
债券简称：工鑫34次
交易全价：107.571元/百元面值
数量：1400万面值（14万张，14000手）
卖方：西藏信托君集1号集合资金信托计划
卖方询价QQ：2850981264钟振涛
卖方交易员代码：Z07119
买方：【元康盛景17号】
买方询价QQ：【刘靖涛qt3003993899】
买方交易员代码：【Z11825】
约定号：【222】</t>
    <phoneticPr fontId="6" type="noConversion"/>
  </si>
  <si>
    <t>5/20，24惠民4B，300W，100.5，国泰海通 樊文娟 to 元康盛景17号 刘靖涛</t>
    <phoneticPr fontId="6" type="noConversion"/>
  </si>
  <si>
    <t>5/20，24易鑫恒通ABN001优先B，300W，101.295，国泰海通 冉雅婷 to 外贸信托元康盛景1号 赵婷婷</t>
    <phoneticPr fontId="6" type="noConversion"/>
  </si>
  <si>
    <t>5/22，5美好3次，331W，109.731，国泰海通 樊文娟 to 元康盛景28号 刘靖涛</t>
    <phoneticPr fontId="6" type="noConversion"/>
  </si>
  <si>
    <t>5/22，5美意5次，100W，107.027，国泰海通 樊文娟 to 元康盛景28号 刘靖涛</t>
    <phoneticPr fontId="6" type="noConversion"/>
  </si>
  <si>
    <t>铁建053C兑付</t>
    <phoneticPr fontId="6" type="noConversion"/>
  </si>
  <si>
    <t>活期存款</t>
  </si>
  <si>
    <t>回收可以，车抵，105授权</t>
    <phoneticPr fontId="6" type="noConversion"/>
  </si>
  <si>
    <t>搭售，预计溢价，回收较好，簿记前看授权价</t>
    <phoneticPr fontId="6" type="noConversion"/>
  </si>
  <si>
    <t>授权10-=102，待定，折扣率30%</t>
    <phoneticPr fontId="6" type="noConversion"/>
  </si>
  <si>
    <t>授权一定溢价，ok</t>
    <phoneticPr fontId="6" type="noConversion"/>
  </si>
  <si>
    <t>重点跟进，比惠元5性价比高，授权价可以适度高，105以内</t>
    <phoneticPr fontId="6" type="noConversion"/>
  </si>
  <si>
    <t>铁建053C[199886.SH] ，3000w，112.31全价，山金金泉基金产品：雷宇qq331654633
to 苏信财富组合添利Z2603集合资金信托计划徐健qq455768073
199886.SH  铁建053C  山金金石1号出2537W【中信证券Z06308】  To  苏州信托
199886.SH  铁建053C  山金金石19号出275W【华泰证券Z07409】  To  苏州信托
199886.SH  铁建053C  山金金石20号出131W【中信证券Z06308】  To  苏州信托
199886.SH  铁建053C  山金金石13号出57W【中信证券Z06308】 To  苏州信托</t>
    <phoneticPr fontId="6" type="noConversion"/>
  </si>
  <si>
    <t>朗瑞1号7期赎回</t>
    <phoneticPr fontId="6" type="noConversion"/>
  </si>
  <si>
    <t>朗瑞1号7期申购</t>
    <phoneticPr fontId="6" type="noConversion"/>
  </si>
  <si>
    <t>启宸6预期回款</t>
    <phoneticPr fontId="6" type="noConversion"/>
  </si>
  <si>
    <t>加急划款</t>
    <phoneticPr fontId="6" type="noConversion"/>
  </si>
  <si>
    <t>国健租赁优先级B</t>
    <phoneticPr fontId="6" type="noConversion"/>
  </si>
  <si>
    <t>诚瑞abs优先B</t>
    <phoneticPr fontId="6" type="noConversion"/>
  </si>
  <si>
    <t>蔚能ABS2期优A4</t>
    <phoneticPr fontId="6" type="noConversion"/>
  </si>
  <si>
    <t>朗瑞1号5期申购</t>
    <phoneticPr fontId="6" type="noConversion"/>
  </si>
  <si>
    <t>预计兑付回款</t>
    <phoneticPr fontId="6" type="noConversion"/>
  </si>
  <si>
    <t>国健11B</t>
    <phoneticPr fontId="6" type="noConversion"/>
  </si>
  <si>
    <t>26臻金2C</t>
    <phoneticPr fontId="6" type="noConversion"/>
  </si>
  <si>
    <t>2689090.IB</t>
    <phoneticPr fontId="6" type="noConversion"/>
  </si>
  <si>
    <t>盛业回购</t>
    <phoneticPr fontId="6" type="noConversion"/>
  </si>
  <si>
    <t>？</t>
    <phoneticPr fontId="6" type="noConversion"/>
  </si>
  <si>
    <t>浩澜</t>
    <phoneticPr fontId="6" type="noConversion"/>
  </si>
  <si>
    <t>申购:雪球:16,300,000元,美市:1,035,000元</t>
  </si>
  <si>
    <t>赎回:美市:1,400,000份</t>
  </si>
  <si>
    <t>申购:美市:1,500,000元</t>
  </si>
  <si>
    <t>申购:美市:200,000元; 赎回:美市:700,000份</t>
  </si>
  <si>
    <t>2026/06/16</t>
  </si>
  <si>
    <t>赎回:美市:1,000,000份</t>
  </si>
  <si>
    <t>赎回:美市:1,617,338份</t>
  </si>
  <si>
    <t>5/18缴款，5/19起息，国健11B，268605.SH，1000w，3%，元康盛景26号</t>
    <phoneticPr fontId="6" type="noConversion"/>
  </si>
  <si>
    <t>5/18缴款，5/19起息，国健11B，268605.SH，1000w，3%，苏信Z2501</t>
    <phoneticPr fontId="6" type="noConversion"/>
  </si>
  <si>
    <t>苏信混合Z2603</t>
    <phoneticPr fontId="6" type="noConversion"/>
  </si>
  <si>
    <t>24京能3号ABN001次</t>
    <phoneticPr fontId="6" type="noConversion"/>
  </si>
  <si>
    <t>2、2026-5-19，25京能4号ABN001次(082580987.IB)，2970w，100.3397元，外贸信托元康盛景1号 赵婷婷 to 天风证券 唐德婷 qt 2885078648
4、2026-5-19，25京能4号ABN001次(082580987.IB)，2970w，XXX.XX元，XXX to 粤财信托·鹏雅10号集合资金信托计划（第127期）</t>
    <phoneticPr fontId="6" type="noConversion"/>
  </si>
  <si>
    <t>521发出</t>
    <phoneticPr fontId="6" type="noConversion"/>
  </si>
  <si>
    <t>525发出</t>
    <phoneticPr fontId="6" type="noConversion"/>
  </si>
  <si>
    <t>回款解冻</t>
    <phoneticPr fontId="6" type="noConversion"/>
  </si>
  <si>
    <t>昆仑信托昆银1号</t>
    <phoneticPr fontId="6" type="noConversion"/>
  </si>
  <si>
    <t>519发出，520申请</t>
    <phoneticPr fontId="6" type="noConversion"/>
  </si>
  <si>
    <t>522发出，525申请</t>
    <phoneticPr fontId="6" type="noConversion"/>
  </si>
  <si>
    <t>521发出，522申请</t>
    <phoneticPr fontId="6" type="noConversion"/>
  </si>
  <si>
    <t>526发出</t>
    <phoneticPr fontId="6" type="noConversion"/>
  </si>
  <si>
    <t>建欣26-8</t>
  </si>
  <si>
    <t>3.9/1.54</t>
    <phoneticPr fontId="6" type="noConversion"/>
  </si>
  <si>
    <t>中信证券牵头，兴业证券、中金公司、银河证券联主</t>
    <phoneticPr fontId="6" type="noConversion"/>
  </si>
  <si>
    <t>26建欣2C</t>
    <phoneticPr fontId="6" type="noConversion"/>
  </si>
  <si>
    <t>26建欣3C</t>
    <phoneticPr fontId="6" type="noConversion"/>
  </si>
  <si>
    <t>5/19缴款，5/20起息，26建欣2C，2689096，110w，100元，鹏雅10号120期</t>
    <phoneticPr fontId="6" type="noConversion"/>
  </si>
  <si>
    <t>5月22日簿记</t>
    <phoneticPr fontId="6" type="noConversion"/>
  </si>
  <si>
    <t>美满生意2025年1期1号</t>
    <phoneticPr fontId="6" type="noConversion"/>
  </si>
  <si>
    <t>尚赢贰6C</t>
    <phoneticPr fontId="6" type="noConversion"/>
  </si>
  <si>
    <t>待确认</t>
    <phoneticPr fontId="6" type="noConversion"/>
  </si>
  <si>
    <t>元康瑞景2号基础设施策略B</t>
  </si>
  <si>
    <t>元康盛景26号</t>
  </si>
  <si>
    <t>申购:美市:14,000,000元</t>
  </si>
  <si>
    <t>申购:美市:3,250,000元</t>
  </si>
  <si>
    <t>申购:美市:4,500,000元</t>
  </si>
  <si>
    <t>2026/06/29</t>
  </si>
  <si>
    <t>赎回:美市:3,490,000份</t>
  </si>
  <si>
    <t>5/19，25熠顺ABN001优先A3[082580640.IB]，1000w，净价100.2，外贸信托元康盛景1号 赵婷婷 to 天风证券 唐德婷 qt 2885078648
5/19，25熠顺ABN001优先A3[082580640.IB]，1000w，净价100.2，天风证券 唐德婷 qt 2885078648 to 申港证券成思颖</t>
    <phoneticPr fontId="6" type="noConversion"/>
  </si>
  <si>
    <t>中金逆回购</t>
    <phoneticPr fontId="6" type="noConversion"/>
  </si>
  <si>
    <t>待确认，</t>
    <phoneticPr fontId="6" type="noConversion"/>
  </si>
  <si>
    <t>中信建投dd卖出-惠民3次</t>
    <phoneticPr fontId="6" type="noConversion"/>
  </si>
  <si>
    <t>金采夹层</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</si>
</sst>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3" formatCode="_ * #,##0.00_ ;_ * \-#,##0.00_ ;_ * &quot;-&quot;??_ ;_ @_ "/>
    <numFmt numFmtId="176" formatCode="_ * #,##0_ ;_ * \-#,##0_ ;_ * &quot;-&quot;??_ ;_ @_ "/>
    <numFmt numFmtId="177" formatCode="_ * #,##0.000_ ;_ * \-#,##0.000_ ;_ * &quot;-&quot;??_ ;_ @_ "/>
    <numFmt numFmtId="178" formatCode="_ * #,##0.0000_ ;_ * \-#,##0.0000_ ;_ * &quot;-&quot;??_ ;_ @_ "/>
    <numFmt numFmtId="179" formatCode="_ * #,##0.00000_ ;_ * \-#,##0.00000_ ;_ * &quot;-&quot;??_ ;_ @_ "/>
    <numFmt numFmtId="180" formatCode="0.000"/>
    <numFmt numFmtId="181" formatCode="0.000000_ "/>
    <numFmt numFmtId="182" formatCode="0.0000"/>
    <numFmt numFmtId="183" formatCode="0.0%"/>
    <numFmt numFmtId="184" formatCode="###,###,##0.0000"/>
    <numFmt numFmtId="185" formatCode="_ * #,##0.0000_ ;_ * \-#,##0.0000_ ;_ * &quot;-&quot;????_ ;_ @_ "/>
    <numFmt numFmtId="186" formatCode="_ * #,##0.0_ ;_ * \-#,##0.0_ ;_ * &quot;-&quot;??_ ;_ @_ "/>
    <numFmt numFmtId="187" formatCode="#,##0.00##"/>
    <numFmt numFmtId="188" formatCode="#,##0.0_ "/>
    <numFmt numFmtId="189" formatCode="_ * #,##0.000000000000_ ;_ * \-#,##0.000000000000_ ;_ * &quot;-&quot;??_ ;_ @_ "/>
    <numFmt numFmtId="190" formatCode="_ * #,##0.000_ ;_ * \-#,##0.000_ ;_ * &quot;-&quot;???_ ;_ @_ "/>
    <numFmt numFmtId="191" formatCode="_ * #,##0.00000_ ;_ * \-#,##0.00000_ ;_ * &quot;-&quot;?????_ ;_ @_ "/>
    <numFmt numFmtId="192" formatCode="0.000_ "/>
    <numFmt numFmtId="193" formatCode="_ [$¥-804]* #,##0.00_ ;_ [$¥-804]* \-#,##0.00_ ;_ [$¥-804]* &quot;-&quot;??_ ;_ @_ "/>
    <numFmt numFmtId="194" formatCode="[Red]&quot;Err: &quot;#,##0;[Red]&quot;Err: &quot;\-#,##0;&quot;OK&quot;"/>
    <numFmt numFmtId="195" formatCode="_(&quot;$&quot;* #,##0.00_);_(&quot;$&quot;* \(#,##0.00\);_(&quot;$&quot;* &quot;-&quot;??_);_(@_)"/>
    <numFmt numFmtId="196" formatCode="_-* #,##0.00_-;\-* #,##0.00_-;_-* &quot;-&quot;??_-;_-@_-"/>
    <numFmt numFmtId="197" formatCode="_-* #,##0_-;\-* #,##0_-;_-* &quot;-&quot;_-;_-@_-"/>
    <numFmt numFmtId="198" formatCode="#,##0.0000"/>
    <numFmt numFmtId="199" formatCode="#,##0.0000_ "/>
    <numFmt numFmtId="200" formatCode="#,##0_ "/>
    <numFmt numFmtId="201" formatCode="_ * #,##0.0000000_ ;_ * \-#,##0.0000000_ ;_ * &quot;-&quot;??_ ;_ @_ "/>
  </numFmts>
  <fonts count="133">
    <font>
      <sz val="10"/>
      <color theme="1"/>
      <name val="微软雅黑"/>
      <family val="2"/>
      <charset val="134"/>
    </font>
    <font>
      <sz val="11"/>
      <color theme="1"/>
      <name val="等线"/>
      <family val="2"/>
      <charset val="134"/>
      <scheme val="minor"/>
    </font>
    <font>
      <sz val="11"/>
      <color theme="1"/>
      <name val="等线"/>
      <family val="2"/>
      <charset val="134"/>
      <scheme val="minor"/>
    </font>
    <font>
      <sz val="10"/>
      <color theme="1"/>
      <name val="微软雅黑"/>
      <family val="2"/>
      <charset val="134"/>
    </font>
    <font>
      <sz val="10"/>
      <color rgb="FFFF0000"/>
      <name val="微软雅黑"/>
      <family val="2"/>
      <charset val="134"/>
    </font>
    <font>
      <b/>
      <sz val="10"/>
      <color theme="1"/>
      <name val="微软雅黑"/>
      <family val="2"/>
      <charset val="134"/>
    </font>
    <font>
      <sz val="9"/>
      <name val="微软雅黑"/>
      <family val="2"/>
      <charset val="134"/>
    </font>
    <font>
      <sz val="11"/>
      <color theme="1"/>
      <name val="等线"/>
      <family val="3"/>
      <charset val="134"/>
      <scheme val="minor"/>
    </font>
    <font>
      <sz val="9"/>
      <color theme="1"/>
      <name val="微软雅黑"/>
      <family val="2"/>
      <charset val="134"/>
    </font>
    <font>
      <sz val="11"/>
      <color theme="1"/>
      <name val="微软雅黑"/>
      <family val="2"/>
      <charset val="134"/>
    </font>
    <font>
      <sz val="9"/>
      <name val="等线"/>
      <family val="3"/>
      <charset val="134"/>
      <scheme val="minor"/>
    </font>
    <font>
      <sz val="11"/>
      <color rgb="FFFF0000"/>
      <name val="微软雅黑"/>
      <family val="2"/>
      <charset val="134"/>
    </font>
    <font>
      <sz val="10"/>
      <color theme="1"/>
      <name val="Arial"/>
      <family val="2"/>
      <charset val="134"/>
    </font>
    <font>
      <sz val="10"/>
      <color theme="1"/>
      <name val="宋体"/>
      <family val="2"/>
      <charset val="134"/>
    </font>
    <font>
      <sz val="10"/>
      <color theme="1"/>
      <name val="Arial"/>
      <family val="2"/>
    </font>
    <font>
      <sz val="9"/>
      <name val="Arial"/>
      <family val="2"/>
      <charset val="134"/>
    </font>
    <font>
      <sz val="9"/>
      <name val="等线"/>
      <family val="2"/>
      <charset val="134"/>
      <scheme val="minor"/>
    </font>
    <font>
      <sz val="11"/>
      <color theme="1"/>
      <name val="Arial"/>
      <family val="3"/>
      <charset val="134"/>
    </font>
    <font>
      <sz val="11"/>
      <color theme="1"/>
      <name val="宋体"/>
      <family val="3"/>
      <charset val="134"/>
    </font>
    <font>
      <sz val="11"/>
      <color theme="1"/>
      <name val="Arial"/>
      <family val="2"/>
    </font>
    <font>
      <sz val="9"/>
      <name val="Arial"/>
      <family val="2"/>
    </font>
    <font>
      <sz val="11"/>
      <color theme="1"/>
      <name val="宋体"/>
      <family val="3"/>
    </font>
    <font>
      <sz val="11"/>
      <color theme="1"/>
      <name val="Arial"/>
      <family val="2"/>
      <charset val="134"/>
    </font>
    <font>
      <sz val="9"/>
      <color theme="1"/>
      <name val="Arial"/>
      <family val="2"/>
      <charset val="134"/>
    </font>
    <font>
      <sz val="9"/>
      <color theme="1"/>
      <name val="宋体"/>
      <family val="2"/>
      <charset val="134"/>
    </font>
    <font>
      <sz val="9"/>
      <color theme="1"/>
      <name val="Arial"/>
      <family val="2"/>
    </font>
    <font>
      <sz val="10"/>
      <name val="微软雅黑"/>
      <family val="2"/>
      <charset val="134"/>
    </font>
    <font>
      <sz val="9"/>
      <color theme="1"/>
      <name val="宋体"/>
      <family val="3"/>
    </font>
    <font>
      <b/>
      <sz val="9"/>
      <color indexed="10"/>
      <name val="Arial"/>
      <family val="2"/>
      <charset val="134"/>
    </font>
    <font>
      <sz val="9"/>
      <name val="宋体"/>
      <family val="3"/>
      <charset val="134"/>
    </font>
    <font>
      <sz val="9"/>
      <color rgb="FFFF0000"/>
      <name val="宋体"/>
      <family val="3"/>
      <charset val="134"/>
    </font>
    <font>
      <sz val="11"/>
      <color rgb="FFFF0000"/>
      <name val="Arial"/>
      <family val="2"/>
      <charset val="134"/>
    </font>
    <font>
      <sz val="11"/>
      <color theme="1"/>
      <name val="宋体"/>
      <family val="2"/>
      <charset val="134"/>
    </font>
    <font>
      <sz val="11"/>
      <color theme="1"/>
      <name val="Arial"/>
      <family val="3"/>
    </font>
    <font>
      <b/>
      <sz val="9"/>
      <color theme="1"/>
      <name val="微软雅黑"/>
      <family val="2"/>
      <charset val="134"/>
    </font>
    <font>
      <b/>
      <sz val="10"/>
      <name val="微软雅黑"/>
      <family val="2"/>
      <charset val="134"/>
    </font>
    <font>
      <sz val="10"/>
      <color rgb="FF333333"/>
      <name val="Arial"/>
      <family val="2"/>
    </font>
    <font>
      <strike/>
      <sz val="10"/>
      <color theme="1"/>
      <name val="微软雅黑"/>
      <family val="2"/>
      <charset val="134"/>
    </font>
    <font>
      <sz val="11"/>
      <color rgb="FF000000"/>
      <name val="-apple-system"/>
    </font>
    <font>
      <sz val="10"/>
      <color theme="1"/>
      <name val="宋体"/>
      <family val="3"/>
    </font>
    <font>
      <sz val="10"/>
      <name val="Arial"/>
      <family val="2"/>
    </font>
    <font>
      <b/>
      <sz val="10"/>
      <name val="Arial"/>
      <family val="2"/>
    </font>
    <font>
      <sz val="10"/>
      <color indexed="10"/>
      <name val="Arial"/>
      <family val="2"/>
    </font>
    <font>
      <b/>
      <sz val="10"/>
      <color indexed="10"/>
      <name val="Arial"/>
      <family val="2"/>
      <charset val="134"/>
    </font>
    <font>
      <b/>
      <sz val="9"/>
      <color indexed="10"/>
      <name val="Arial"/>
      <family val="2"/>
    </font>
    <font>
      <sz val="9"/>
      <color theme="1"/>
      <name val="宋体"/>
      <family val="3"/>
      <charset val="134"/>
    </font>
    <font>
      <b/>
      <sz val="9"/>
      <color indexed="10"/>
      <name val="微软雅黑"/>
      <family val="2"/>
      <charset val="134"/>
    </font>
    <font>
      <sz val="9"/>
      <color rgb="FFFF0000"/>
      <name val="微软雅黑"/>
      <family val="2"/>
      <charset val="134"/>
    </font>
    <font>
      <b/>
      <sz val="9"/>
      <color indexed="10"/>
      <name val="Arial"/>
      <family val="2"/>
    </font>
    <font>
      <sz val="9"/>
      <color theme="1"/>
      <name val="Arial"/>
      <family val="2"/>
    </font>
    <font>
      <sz val="10"/>
      <color theme="1"/>
      <name val="微软雅黑"/>
      <family val="2"/>
    </font>
    <font>
      <sz val="10"/>
      <color theme="8"/>
      <name val="微软雅黑"/>
      <family val="2"/>
      <charset val="134"/>
    </font>
    <font>
      <sz val="10"/>
      <color theme="1"/>
      <name val="Arial"/>
      <family val="2"/>
    </font>
    <font>
      <sz val="10"/>
      <name val="宋体"/>
      <family val="3"/>
    </font>
    <font>
      <sz val="10"/>
      <name val="宋体"/>
      <family val="3"/>
      <charset val="134"/>
    </font>
    <font>
      <sz val="11"/>
      <color theme="1"/>
      <name val="等线"/>
      <family val="2"/>
      <scheme val="minor"/>
    </font>
    <font>
      <sz val="10.5"/>
      <color theme="1"/>
      <name val="楷体"/>
      <family val="3"/>
    </font>
    <font>
      <sz val="10"/>
      <color theme="5"/>
      <name val="微软雅黑"/>
      <family val="2"/>
      <charset val="134"/>
    </font>
    <font>
      <sz val="10"/>
      <color rgb="FFFF0000"/>
      <name val="Arial"/>
      <family val="2"/>
    </font>
    <font>
      <sz val="10"/>
      <color theme="9"/>
      <name val="微软雅黑"/>
      <family val="2"/>
      <charset val="134"/>
    </font>
    <font>
      <sz val="10"/>
      <color theme="1"/>
      <name val="宋体"/>
      <family val="3"/>
      <charset val="134"/>
    </font>
    <font>
      <sz val="11"/>
      <color theme="1"/>
      <name val="等线"/>
      <family val="3"/>
      <scheme val="minor"/>
    </font>
    <font>
      <sz val="9"/>
      <name val="宋体"/>
      <family val="3"/>
    </font>
    <font>
      <b/>
      <sz val="9"/>
      <name val="宋体"/>
      <family val="3"/>
    </font>
    <font>
      <sz val="11"/>
      <color rgb="FFFF0000"/>
      <name val="宋体"/>
      <family val="3"/>
      <charset val="134"/>
    </font>
    <font>
      <sz val="11"/>
      <color rgb="FF00AA00"/>
      <name val="宋体"/>
      <family val="3"/>
      <charset val="134"/>
    </font>
    <font>
      <sz val="11"/>
      <color rgb="FF808080"/>
      <name val="宋体"/>
      <family val="3"/>
      <charset val="134"/>
    </font>
    <font>
      <b/>
      <sz val="10"/>
      <color rgb="FFFF0000"/>
      <name val="微软雅黑"/>
      <family val="2"/>
      <charset val="134"/>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10"/>
      <color indexed="8"/>
      <name val="微软雅黑"/>
      <family val="2"/>
      <charset val="134"/>
    </font>
    <font>
      <b/>
      <sz val="18"/>
      <color theme="3"/>
      <name val="等线 Light"/>
      <family val="2"/>
      <charset val="134"/>
      <scheme val="major"/>
    </font>
    <font>
      <sz val="11"/>
      <color rgb="FF9C6500"/>
      <name val="等线"/>
      <family val="2"/>
      <charset val="134"/>
      <scheme val="minor"/>
    </font>
    <font>
      <sz val="12"/>
      <name val="宋体"/>
      <family val="3"/>
      <charset val="134"/>
    </font>
    <font>
      <sz val="11"/>
      <color indexed="8"/>
      <name val="宋体"/>
      <family val="3"/>
      <charset val="134"/>
    </font>
    <font>
      <sz val="11"/>
      <color indexed="9"/>
      <name val="宋体"/>
      <family val="3"/>
      <charset val="134"/>
    </font>
    <font>
      <sz val="10"/>
      <color theme="1"/>
      <name val="等线"/>
      <family val="2"/>
      <scheme val="minor"/>
    </font>
    <font>
      <sz val="12"/>
      <color theme="1"/>
      <name val="等线"/>
      <family val="3"/>
      <charset val="134"/>
      <scheme val="minor"/>
    </font>
    <font>
      <sz val="8"/>
      <color theme="1"/>
      <name val="Arial"/>
      <family val="2"/>
    </font>
    <font>
      <sz val="12"/>
      <color theme="1"/>
      <name val="等线"/>
      <family val="2"/>
      <charset val="136"/>
      <scheme val="minor"/>
    </font>
    <font>
      <sz val="11"/>
      <color indexed="8"/>
      <name val="宋体"/>
      <family val="2"/>
      <charset val="134"/>
    </font>
    <font>
      <sz val="12"/>
      <name val="Calibri"/>
      <family val="2"/>
    </font>
    <font>
      <sz val="11"/>
      <color indexed="8"/>
      <name val="等线"/>
      <family val="2"/>
      <scheme val="minor"/>
    </font>
    <font>
      <sz val="10"/>
      <color theme="1"/>
      <name val="黑体"/>
      <family val="2"/>
      <charset val="134"/>
    </font>
    <font>
      <b/>
      <sz val="15"/>
      <color indexed="54"/>
      <name val="宋体"/>
      <family val="3"/>
      <charset val="134"/>
    </font>
    <font>
      <b/>
      <sz val="13"/>
      <color indexed="54"/>
      <name val="宋体"/>
      <family val="3"/>
      <charset val="134"/>
    </font>
    <font>
      <b/>
      <sz val="11"/>
      <color indexed="54"/>
      <name val="宋体"/>
      <family val="3"/>
      <charset val="134"/>
    </font>
    <font>
      <b/>
      <sz val="11"/>
      <color theme="3"/>
      <name val="等线"/>
      <family val="3"/>
      <charset val="134"/>
      <scheme val="minor"/>
    </font>
    <font>
      <sz val="18"/>
      <color indexed="54"/>
      <name val="宋体"/>
      <family val="3"/>
      <charset val="134"/>
    </font>
    <font>
      <sz val="18"/>
      <color theme="3"/>
      <name val="等线 Light"/>
      <family val="3"/>
      <charset val="134"/>
      <scheme val="major"/>
    </font>
    <font>
      <sz val="11"/>
      <color indexed="20"/>
      <name val="宋体"/>
      <family val="3"/>
      <charset val="134"/>
    </font>
    <font>
      <sz val="11"/>
      <color theme="1"/>
      <name val="楷体"/>
      <family val="3"/>
      <charset val="134"/>
    </font>
    <font>
      <sz val="11"/>
      <name val="돋움"/>
      <family val="2"/>
      <charset val="129"/>
    </font>
    <font>
      <sz val="11"/>
      <name val="돋움"/>
      <family val="2"/>
    </font>
    <font>
      <sz val="11"/>
      <color indexed="8"/>
      <name val="等线"/>
      <family val="3"/>
      <charset val="134"/>
    </font>
    <font>
      <sz val="12"/>
      <color theme="1"/>
      <name val="等线"/>
      <family val="2"/>
      <scheme val="minor"/>
    </font>
    <font>
      <sz val="10"/>
      <color theme="1"/>
      <name val="等线"/>
      <family val="3"/>
      <charset val="134"/>
      <scheme val="minor"/>
    </font>
    <font>
      <sz val="11"/>
      <color indexed="8"/>
      <name val="等线"/>
      <family val="3"/>
      <charset val="134"/>
      <scheme val="minor"/>
    </font>
    <font>
      <sz val="10"/>
      <name val="Times New Roman"/>
      <family val="1"/>
    </font>
    <font>
      <sz val="12"/>
      <color indexed="8"/>
      <name val="宋体"/>
      <family val="3"/>
      <charset val="134"/>
    </font>
    <font>
      <sz val="12"/>
      <color theme="1"/>
      <name val="宋体"/>
      <family val="3"/>
      <charset val="134"/>
    </font>
    <font>
      <sz val="12"/>
      <color theme="1"/>
      <name val="宋体"/>
      <family val="2"/>
      <charset val="134"/>
    </font>
    <font>
      <sz val="10"/>
      <color indexed="0"/>
      <name val="宋体"/>
      <family val="3"/>
      <charset val="134"/>
    </font>
    <font>
      <u/>
      <sz val="11"/>
      <color theme="10"/>
      <name val="等线"/>
      <family val="3"/>
      <charset val="134"/>
      <scheme val="minor"/>
    </font>
    <font>
      <u/>
      <sz val="11"/>
      <color theme="10"/>
      <name val="等线"/>
      <family val="3"/>
      <charset val="134"/>
    </font>
    <font>
      <u/>
      <sz val="10"/>
      <color indexed="12"/>
      <name val="宋体"/>
      <family val="3"/>
      <charset val="134"/>
    </font>
    <font>
      <u/>
      <sz val="11"/>
      <color theme="10"/>
      <name val="等线"/>
      <family val="2"/>
      <scheme val="minor"/>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2"/>
      <name val="Times New Roman"/>
      <family val="1"/>
    </font>
    <font>
      <sz val="11"/>
      <color rgb="FF000000"/>
      <name val="Calibri"/>
      <family val="2"/>
    </font>
    <font>
      <sz val="10"/>
      <color indexed="8"/>
      <name val="宋体"/>
      <family val="3"/>
    </font>
    <font>
      <b/>
      <sz val="9"/>
      <name val="宋体"/>
      <family val="3"/>
      <charset val="134"/>
    </font>
  </fonts>
  <fills count="69">
    <fill>
      <patternFill patternType="none"/>
    </fill>
    <fill>
      <patternFill patternType="gray125"/>
    </fill>
    <fill>
      <patternFill patternType="solid">
        <fgColor theme="0" tint="-4.9989318521683403E-2"/>
        <bgColor indexed="64"/>
      </patternFill>
    </fill>
    <fill>
      <patternFill patternType="solid">
        <fgColor theme="4" tint="0.79995117038483843"/>
        <bgColor indexed="64"/>
      </patternFill>
    </fill>
    <fill>
      <patternFill patternType="solid">
        <fgColor theme="4" tint="0.39994506668294322"/>
        <bgColor indexed="64"/>
      </patternFill>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7"/>
        <bgColor indexed="64"/>
      </patternFill>
    </fill>
    <fill>
      <patternFill patternType="solid">
        <fgColor indexed="47"/>
        <bgColor indexed="64"/>
      </patternFill>
    </fill>
    <fill>
      <patternFill patternType="solid">
        <fgColor indexed="26"/>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49"/>
        <bgColor indexed="64"/>
      </patternFill>
    </fill>
    <fill>
      <patternFill patternType="solid">
        <fgColor indexed="57"/>
        <bgColor indexed="64"/>
      </patternFill>
    </fill>
    <fill>
      <patternFill patternType="solid">
        <fgColor indexed="45"/>
        <bgColor indexed="64"/>
      </patternFill>
    </fill>
    <fill>
      <patternFill patternType="solid">
        <fgColor indexed="55"/>
        <bgColor indexed="64"/>
      </patternFill>
    </fill>
    <fill>
      <patternFill patternType="solid">
        <fgColor indexed="53"/>
        <bgColor indexed="64"/>
      </patternFill>
    </fill>
    <fill>
      <patternFill patternType="solid">
        <fgColor indexed="51"/>
        <bgColor indexed="64"/>
      </patternFill>
    </fill>
    <fill>
      <patternFill patternType="solid">
        <fgColor indexed="62"/>
        <bgColor indexed="64"/>
      </patternFill>
    </fill>
  </fills>
  <borders count="34">
    <border>
      <left/>
      <right/>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auto="1"/>
      </left>
      <right style="thin">
        <color auto="1"/>
      </right>
      <top style="thin">
        <color auto="1"/>
      </top>
      <bottom style="thin">
        <color auto="1"/>
      </bottom>
      <diagonal/>
    </border>
    <border>
      <left style="thin">
        <color indexed="17"/>
      </left>
      <right style="thin">
        <color indexed="17"/>
      </right>
      <top style="thin">
        <color indexed="17"/>
      </top>
      <bottom style="thin">
        <color indexed="17"/>
      </bottom>
      <diagonal/>
    </border>
    <border>
      <left/>
      <right/>
      <top/>
      <bottom style="thin">
        <color indexed="64"/>
      </bottom>
      <diagonal/>
    </border>
    <border>
      <left/>
      <right style="thin">
        <color indexed="23"/>
      </right>
      <top/>
      <bottom/>
      <diagonal/>
    </border>
    <border>
      <left/>
      <right/>
      <top style="thin">
        <color indexed="64"/>
      </top>
      <bottom/>
      <diagonal/>
    </border>
    <border>
      <left/>
      <right/>
      <top style="thin">
        <color indexed="64"/>
      </top>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49"/>
      </bottom>
      <diagonal/>
    </border>
    <border>
      <left/>
      <right/>
      <top/>
      <bottom style="thick">
        <color indexed="44"/>
      </bottom>
      <diagonal/>
    </border>
    <border>
      <left/>
      <right/>
      <top/>
      <bottom style="medium">
        <color indexed="44"/>
      </bottom>
      <diagonal/>
    </border>
    <border>
      <left/>
      <right/>
      <top style="thin">
        <color indexed="49"/>
      </top>
      <bottom style="double">
        <color indexed="49"/>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17"/>
      </left>
      <right style="thin">
        <color indexed="17"/>
      </right>
      <top style="thin">
        <color indexed="17"/>
      </top>
      <bottom style="thin">
        <color indexed="17"/>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35307">
    <xf numFmtId="0" fontId="0" fillId="0" borderId="0">
      <alignment vertical="center"/>
    </xf>
    <xf numFmtId="43" fontId="3" fillId="0" borderId="0" applyFont="0" applyFill="0" applyBorder="0" applyAlignment="0" applyProtection="0">
      <alignment vertical="center"/>
    </xf>
    <xf numFmtId="0" fontId="7" fillId="0" borderId="0"/>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3" fillId="0" borderId="0" applyFont="0" applyFill="0" applyBorder="0" applyAlignment="0" applyProtection="0">
      <alignment vertical="center"/>
    </xf>
    <xf numFmtId="0" fontId="19" fillId="0" borderId="0">
      <alignment vertical="center"/>
    </xf>
    <xf numFmtId="0" fontId="55" fillId="0" borderId="0"/>
    <xf numFmtId="0" fontId="7" fillId="0" borderId="0">
      <alignment vertical="center"/>
    </xf>
    <xf numFmtId="43" fontId="2" fillId="0" borderId="0" applyFont="0" applyFill="0" applyBorder="0" applyAlignment="0" applyProtection="0">
      <alignment vertical="center"/>
    </xf>
    <xf numFmtId="193" fontId="1" fillId="0" borderId="0">
      <alignment vertical="center"/>
    </xf>
    <xf numFmtId="193" fontId="1" fillId="0" borderId="0">
      <alignment vertical="center"/>
    </xf>
    <xf numFmtId="193" fontId="7" fillId="0" borderId="0">
      <alignment vertical="center"/>
    </xf>
    <xf numFmtId="9" fontId="7" fillId="0" borderId="0">
      <alignment vertical="center"/>
    </xf>
    <xf numFmtId="193" fontId="85" fillId="0" borderId="0"/>
    <xf numFmtId="193" fontId="85" fillId="0" borderId="0"/>
    <xf numFmtId="193" fontId="85" fillId="0" borderId="0"/>
    <xf numFmtId="193" fontId="85" fillId="0" borderId="0"/>
    <xf numFmtId="193" fontId="40" fillId="0" borderId="0"/>
    <xf numFmtId="193" fontId="40" fillId="0" borderId="0"/>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86" fillId="54"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86" fillId="5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86" fillId="13"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86" fillId="56"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86" fillId="5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86" fillId="58"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86" fillId="54" borderId="0">
      <alignment vertical="center"/>
    </xf>
    <xf numFmtId="193" fontId="86" fillId="54" borderId="0">
      <alignment vertical="center"/>
    </xf>
    <xf numFmtId="193" fontId="86" fillId="54" borderId="0">
      <alignment vertical="center"/>
    </xf>
    <xf numFmtId="193" fontId="86" fillId="55" borderId="0">
      <alignment vertical="center"/>
    </xf>
    <xf numFmtId="193" fontId="86" fillId="55" borderId="0">
      <alignment vertical="center"/>
    </xf>
    <xf numFmtId="193" fontId="86" fillId="55" borderId="0">
      <alignment vertical="center"/>
    </xf>
    <xf numFmtId="193" fontId="86" fillId="13" borderId="0">
      <alignment vertical="center"/>
    </xf>
    <xf numFmtId="193" fontId="86" fillId="13" borderId="0">
      <alignment vertical="center"/>
    </xf>
    <xf numFmtId="193" fontId="86" fillId="13" borderId="0">
      <alignment vertical="center"/>
    </xf>
    <xf numFmtId="193" fontId="86" fillId="56" borderId="0">
      <alignment vertical="center"/>
    </xf>
    <xf numFmtId="193" fontId="86" fillId="56" borderId="0">
      <alignment vertical="center"/>
    </xf>
    <xf numFmtId="193" fontId="86" fillId="56" borderId="0">
      <alignment vertical="center"/>
    </xf>
    <xf numFmtId="193" fontId="86" fillId="57" borderId="0">
      <alignment vertical="center"/>
    </xf>
    <xf numFmtId="193" fontId="86" fillId="57" borderId="0">
      <alignment vertical="center"/>
    </xf>
    <xf numFmtId="193" fontId="86" fillId="57" borderId="0">
      <alignment vertical="center"/>
    </xf>
    <xf numFmtId="193" fontId="86" fillId="58" borderId="0">
      <alignment vertical="center"/>
    </xf>
    <xf numFmtId="193" fontId="86" fillId="58" borderId="0">
      <alignment vertical="center"/>
    </xf>
    <xf numFmtId="193" fontId="86" fillId="58"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86" fillId="59"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86" fillId="55"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86" fillId="6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86" fillId="61"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86" fillId="59"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86" fillId="61"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86" fillId="59" borderId="0">
      <alignment vertical="center"/>
    </xf>
    <xf numFmtId="193" fontId="86" fillId="59" borderId="0">
      <alignment vertical="center"/>
    </xf>
    <xf numFmtId="193" fontId="86" fillId="59" borderId="0">
      <alignment vertical="center"/>
    </xf>
    <xf numFmtId="193" fontId="86" fillId="55" borderId="0">
      <alignment vertical="center"/>
    </xf>
    <xf numFmtId="193" fontId="86" fillId="55" borderId="0">
      <alignment vertical="center"/>
    </xf>
    <xf numFmtId="193" fontId="86" fillId="55" borderId="0">
      <alignment vertical="center"/>
    </xf>
    <xf numFmtId="193" fontId="86" fillId="60" borderId="0">
      <alignment vertical="center"/>
    </xf>
    <xf numFmtId="193" fontId="86" fillId="60" borderId="0">
      <alignment vertical="center"/>
    </xf>
    <xf numFmtId="193" fontId="86" fillId="60" borderId="0">
      <alignment vertical="center"/>
    </xf>
    <xf numFmtId="193" fontId="86" fillId="61" borderId="0">
      <alignment vertical="center"/>
    </xf>
    <xf numFmtId="193" fontId="86" fillId="61" borderId="0">
      <alignment vertical="center"/>
    </xf>
    <xf numFmtId="193" fontId="86" fillId="61" borderId="0">
      <alignment vertical="center"/>
    </xf>
    <xf numFmtId="193" fontId="86" fillId="59" borderId="0">
      <alignment vertical="center"/>
    </xf>
    <xf numFmtId="193" fontId="86" fillId="59" borderId="0">
      <alignment vertical="center"/>
    </xf>
    <xf numFmtId="193" fontId="86" fillId="59" borderId="0">
      <alignment vertical="center"/>
    </xf>
    <xf numFmtId="193" fontId="86" fillId="61" borderId="0">
      <alignment vertical="center"/>
    </xf>
    <xf numFmtId="193" fontId="86" fillId="61" borderId="0">
      <alignment vertical="center"/>
    </xf>
    <xf numFmtId="193" fontId="86" fillId="61" borderId="0">
      <alignment vertical="center"/>
    </xf>
    <xf numFmtId="193" fontId="87" fillId="59" borderId="0">
      <alignment vertical="center"/>
    </xf>
    <xf numFmtId="193" fontId="87" fillId="55" borderId="0">
      <alignment vertical="center"/>
    </xf>
    <xf numFmtId="193" fontId="87" fillId="60" borderId="0">
      <alignment vertical="center"/>
    </xf>
    <xf numFmtId="193" fontId="87" fillId="61" borderId="0">
      <alignment vertical="center"/>
    </xf>
    <xf numFmtId="193" fontId="87" fillId="62" borderId="0">
      <alignment vertical="center"/>
    </xf>
    <xf numFmtId="193" fontId="87" fillId="63" borderId="0">
      <alignment vertical="center"/>
    </xf>
    <xf numFmtId="193" fontId="87" fillId="59" borderId="0">
      <alignment vertical="center"/>
    </xf>
    <xf numFmtId="193" fontId="87" fillId="59" borderId="0">
      <alignment vertical="center"/>
    </xf>
    <xf numFmtId="193" fontId="87" fillId="59" borderId="0">
      <alignment vertical="center"/>
    </xf>
    <xf numFmtId="193" fontId="87" fillId="55" borderId="0">
      <alignment vertical="center"/>
    </xf>
    <xf numFmtId="193" fontId="87" fillId="55" borderId="0">
      <alignment vertical="center"/>
    </xf>
    <xf numFmtId="193" fontId="87" fillId="55" borderId="0">
      <alignment vertical="center"/>
    </xf>
    <xf numFmtId="193" fontId="87" fillId="60" borderId="0">
      <alignment vertical="center"/>
    </xf>
    <xf numFmtId="193" fontId="87" fillId="60" borderId="0">
      <alignment vertical="center"/>
    </xf>
    <xf numFmtId="193" fontId="87" fillId="60" borderId="0">
      <alignment vertical="center"/>
    </xf>
    <xf numFmtId="193" fontId="87" fillId="61" borderId="0">
      <alignment vertical="center"/>
    </xf>
    <xf numFmtId="193" fontId="87" fillId="61" borderId="0">
      <alignment vertical="center"/>
    </xf>
    <xf numFmtId="193" fontId="87" fillId="61" borderId="0">
      <alignment vertical="center"/>
    </xf>
    <xf numFmtId="193" fontId="87" fillId="62" borderId="0">
      <alignment vertical="center"/>
    </xf>
    <xf numFmtId="193" fontId="87" fillId="62" borderId="0">
      <alignment vertical="center"/>
    </xf>
    <xf numFmtId="193" fontId="87" fillId="62" borderId="0">
      <alignment vertical="center"/>
    </xf>
    <xf numFmtId="193" fontId="87" fillId="63" borderId="0">
      <alignment vertical="center"/>
    </xf>
    <xf numFmtId="193" fontId="87" fillId="63" borderId="0">
      <alignment vertical="center"/>
    </xf>
    <xf numFmtId="193" fontId="87" fillId="63" borderId="0">
      <alignment vertical="center"/>
    </xf>
    <xf numFmtId="194" fontId="88" fillId="0" borderId="0"/>
    <xf numFmtId="195" fontId="40" fillId="0" borderId="0"/>
    <xf numFmtId="193" fontId="85" fillId="0" borderId="0">
      <alignment vertical="center"/>
    </xf>
    <xf numFmtId="193" fontId="85" fillId="0" borderId="0">
      <alignment vertical="center"/>
    </xf>
    <xf numFmtId="193" fontId="85" fillId="0" borderId="0">
      <alignment vertical="center"/>
    </xf>
    <xf numFmtId="193" fontId="1" fillId="0" borderId="0"/>
    <xf numFmtId="193" fontId="54"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1" fillId="0" borderId="0"/>
    <xf numFmtId="193" fontId="54" fillId="0" borderId="0">
      <alignment vertical="center"/>
    </xf>
    <xf numFmtId="193" fontId="1" fillId="0" borderId="0"/>
    <xf numFmtId="193" fontId="54" fillId="0" borderId="0">
      <alignment vertical="center"/>
    </xf>
    <xf numFmtId="193" fontId="14"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85"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9" fillId="0" borderId="0">
      <protection locked="0"/>
    </xf>
    <xf numFmtId="193" fontId="7" fillId="0" borderId="0">
      <alignment vertical="center"/>
    </xf>
    <xf numFmtId="193" fontId="1" fillId="0" borderId="0"/>
    <xf numFmtId="193" fontId="1" fillId="0" borderId="0"/>
    <xf numFmtId="193" fontId="90" fillId="0" borderId="0"/>
    <xf numFmtId="193" fontId="1" fillId="0" borderId="0"/>
    <xf numFmtId="193" fontId="1" fillId="0" borderId="0"/>
    <xf numFmtId="193" fontId="1"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xf numFmtId="193" fontId="1" fillId="0" borderId="0"/>
    <xf numFmtId="193" fontId="1" fillId="0" borderId="0"/>
    <xf numFmtId="193" fontId="91" fillId="0" borderId="0">
      <alignment vertical="center"/>
    </xf>
    <xf numFmtId="193" fontId="1" fillId="0" borderId="0"/>
    <xf numFmtId="193" fontId="1" fillId="0" borderId="0"/>
    <xf numFmtId="193" fontId="85" fillId="0" borderId="0"/>
    <xf numFmtId="193" fontId="85" fillId="0" borderId="0"/>
    <xf numFmtId="193" fontId="40" fillId="0" borderId="0"/>
    <xf numFmtId="193" fontId="40" fillId="0" borderId="0"/>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7" fillId="0" borderId="0">
      <alignment wrapText="1"/>
    </xf>
    <xf numFmtId="193" fontId="7"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92"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7" fillId="0" borderId="0">
      <alignment vertical="center"/>
    </xf>
    <xf numFmtId="9" fontId="55" fillId="0" borderId="0">
      <alignment vertical="center"/>
    </xf>
    <xf numFmtId="9" fontId="7" fillId="0" borderId="0">
      <alignment vertical="center"/>
    </xf>
    <xf numFmtId="9" fontId="55" fillId="0" borderId="0">
      <alignment vertical="center"/>
    </xf>
    <xf numFmtId="9" fontId="55"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92"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86" fillId="0" borderId="0">
      <alignment vertical="center"/>
    </xf>
    <xf numFmtId="9" fontId="86" fillId="0" borderId="0">
      <alignment vertical="center"/>
    </xf>
    <xf numFmtId="9" fontId="1" fillId="0" borderId="0">
      <alignment vertical="center"/>
    </xf>
    <xf numFmtId="9" fontId="86" fillId="0" borderId="0">
      <alignment vertical="center"/>
    </xf>
    <xf numFmtId="9" fontId="85" fillId="0" borderId="0">
      <alignment vertical="center"/>
    </xf>
    <xf numFmtId="9" fontId="86"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40" fillId="0" borderId="0"/>
    <xf numFmtId="9" fontId="7" fillId="0" borderId="0">
      <alignment vertical="center"/>
    </xf>
    <xf numFmtId="9" fontId="55" fillId="0" borderId="0">
      <alignment vertical="center"/>
    </xf>
    <xf numFmtId="9" fontId="55" fillId="0" borderId="0">
      <alignment vertical="center"/>
    </xf>
    <xf numFmtId="9" fontId="1" fillId="0" borderId="0">
      <alignment vertical="center"/>
    </xf>
    <xf numFmtId="9" fontId="55" fillId="0" borderId="0">
      <alignment vertical="center"/>
    </xf>
    <xf numFmtId="9" fontId="7" fillId="0" borderId="0">
      <alignment vertical="center"/>
    </xf>
    <xf numFmtId="9" fontId="1" fillId="0" borderId="0">
      <alignment vertical="center"/>
    </xf>
    <xf numFmtId="9" fontId="85"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8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54"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86" fillId="0" borderId="0">
      <alignment vertical="center"/>
    </xf>
    <xf numFmtId="9" fontId="1" fillId="0" borderId="0">
      <alignment vertical="center"/>
    </xf>
    <xf numFmtId="9" fontId="8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54"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5" fillId="0" borderId="0">
      <alignment vertical="center"/>
    </xf>
    <xf numFmtId="9" fontId="8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4" fillId="0" borderId="0">
      <alignment vertical="center"/>
    </xf>
    <xf numFmtId="9" fontId="86" fillId="0" borderId="0">
      <alignment vertical="center"/>
    </xf>
    <xf numFmtId="9" fontId="7"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54"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85"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93"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93" fillId="0" borderId="0">
      <alignment vertical="center"/>
    </xf>
    <xf numFmtId="9" fontId="94" fillId="0" borderId="0">
      <alignment vertical="center"/>
    </xf>
    <xf numFmtId="9" fontId="55" fillId="0" borderId="0">
      <alignment vertical="center"/>
    </xf>
    <xf numFmtId="9" fontId="86" fillId="0" borderId="0">
      <alignment vertical="center"/>
    </xf>
    <xf numFmtId="9" fontId="54"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85" fillId="0" borderId="0"/>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54" fillId="0" borderId="0">
      <alignment vertical="center"/>
    </xf>
    <xf numFmtId="9" fontId="7" fillId="0" borderId="0">
      <alignment vertical="center"/>
    </xf>
    <xf numFmtId="9" fontId="86" fillId="0" borderId="0">
      <alignment vertical="center"/>
    </xf>
    <xf numFmtId="9" fontId="55" fillId="0" borderId="0">
      <alignment vertical="center"/>
    </xf>
    <xf numFmtId="9" fontId="85" fillId="0" borderId="0"/>
    <xf numFmtId="9" fontId="55" fillId="0" borderId="0">
      <alignment vertical="center"/>
    </xf>
    <xf numFmtId="9" fontId="55" fillId="0" borderId="0">
      <alignment vertical="center"/>
    </xf>
    <xf numFmtId="9" fontId="7" fillId="0" borderId="0">
      <alignment vertical="center"/>
    </xf>
    <xf numFmtId="9" fontId="86" fillId="0" borderId="0">
      <alignment vertical="center"/>
    </xf>
    <xf numFmtId="9" fontId="55"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85" fillId="0" borderId="0"/>
    <xf numFmtId="9" fontId="1" fillId="0" borderId="0">
      <alignment vertical="center"/>
    </xf>
    <xf numFmtId="9" fontId="86"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54"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55"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54"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86" fillId="0" borderId="0">
      <alignment vertical="center"/>
    </xf>
    <xf numFmtId="9" fontId="85"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86"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95"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54"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86"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54" fillId="0" borderId="0"/>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92" fillId="0" borderId="0">
      <alignment vertical="center"/>
    </xf>
    <xf numFmtId="9" fontId="92" fillId="0" borderId="0">
      <alignment vertical="center"/>
    </xf>
    <xf numFmtId="9" fontId="92" fillId="0" borderId="0"/>
    <xf numFmtId="9" fontId="55" fillId="0" borderId="0">
      <alignment vertical="center"/>
    </xf>
    <xf numFmtId="9" fontId="86" fillId="0" borderId="0"/>
    <xf numFmtId="9" fontId="86" fillId="0" borderId="0">
      <alignment vertical="center"/>
    </xf>
    <xf numFmtId="9" fontId="86" fillId="0" borderId="0"/>
    <xf numFmtId="193" fontId="96" fillId="0" borderId="19">
      <alignment vertical="center"/>
    </xf>
    <xf numFmtId="193" fontId="96" fillId="0" borderId="19">
      <alignment vertical="center"/>
    </xf>
    <xf numFmtId="193" fontId="96" fillId="0" borderId="19">
      <alignment vertical="center"/>
    </xf>
    <xf numFmtId="193" fontId="97" fillId="0" borderId="20">
      <alignment vertical="center"/>
    </xf>
    <xf numFmtId="193" fontId="97" fillId="0" borderId="20">
      <alignment vertical="center"/>
    </xf>
    <xf numFmtId="193" fontId="97" fillId="0" borderId="20">
      <alignment vertical="center"/>
    </xf>
    <xf numFmtId="193" fontId="98" fillId="0" borderId="21">
      <alignment vertical="center"/>
    </xf>
    <xf numFmtId="193" fontId="98" fillId="0" borderId="21">
      <alignment vertical="center"/>
    </xf>
    <xf numFmtId="193" fontId="98" fillId="0" borderId="21">
      <alignment vertical="center"/>
    </xf>
    <xf numFmtId="193" fontId="98" fillId="0" borderId="0">
      <alignment vertical="center"/>
    </xf>
    <xf numFmtId="193" fontId="98" fillId="0" borderId="0">
      <alignment vertical="center"/>
    </xf>
    <xf numFmtId="193" fontId="98" fillId="0" borderId="0">
      <alignment vertical="center"/>
    </xf>
    <xf numFmtId="193" fontId="99" fillId="0" borderId="0">
      <alignment vertical="center"/>
    </xf>
    <xf numFmtId="193" fontId="100" fillId="0" borderId="0">
      <alignment vertical="center"/>
    </xf>
    <xf numFmtId="193" fontId="100" fillId="0" borderId="0">
      <alignment vertical="center"/>
    </xf>
    <xf numFmtId="193" fontId="101" fillId="0" borderId="0">
      <alignment vertical="center"/>
    </xf>
    <xf numFmtId="193" fontId="100" fillId="0" borderId="0">
      <alignment vertical="center"/>
    </xf>
    <xf numFmtId="193" fontId="102" fillId="64" borderId="0">
      <alignment vertical="center"/>
    </xf>
    <xf numFmtId="193" fontId="102" fillId="64" borderId="0">
      <alignment vertical="center"/>
    </xf>
    <xf numFmtId="193" fontId="102" fillId="64"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1" fillId="0" borderId="0">
      <alignment vertical="center"/>
    </xf>
    <xf numFmtId="193" fontId="85"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86"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94" fillId="0" borderId="0"/>
    <xf numFmtId="193" fontId="93" fillId="0" borderId="0"/>
    <xf numFmtId="193" fontId="1" fillId="0" borderId="0">
      <alignment vertical="center"/>
    </xf>
    <xf numFmtId="193" fontId="1" fillId="0" borderId="0">
      <alignment vertical="center"/>
    </xf>
    <xf numFmtId="193" fontId="40" fillId="0" borderId="0"/>
    <xf numFmtId="193" fontId="1" fillId="0" borderId="0">
      <alignment vertical="center"/>
    </xf>
    <xf numFmtId="193" fontId="86"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93"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03" fillId="0" borderId="0">
      <alignment vertical="center"/>
    </xf>
    <xf numFmtId="193" fontId="1" fillId="0" borderId="0">
      <alignment vertical="center"/>
    </xf>
    <xf numFmtId="193" fontId="86"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4"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94" fillId="0" borderId="0">
      <alignment vertical="center"/>
    </xf>
    <xf numFmtId="193" fontId="1" fillId="0" borderId="0">
      <alignment vertical="center"/>
    </xf>
    <xf numFmtId="193" fontId="7"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9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95"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86"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92"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40" fillId="0" borderId="0"/>
    <xf numFmtId="193" fontId="40" fillId="0" borderId="0"/>
    <xf numFmtId="193" fontId="1" fillId="0" borderId="0">
      <alignment vertical="center"/>
    </xf>
    <xf numFmtId="193" fontId="7" fillId="0" borderId="0">
      <alignment vertical="center"/>
      <protection locked="0"/>
    </xf>
    <xf numFmtId="193" fontId="104" fillId="0" borderId="0"/>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0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05" fillId="0" borderId="0"/>
    <xf numFmtId="193" fontId="1" fillId="0"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55" fillId="0" borderId="0"/>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40" fillId="0" borderId="0">
      <alignment vertical="center"/>
    </xf>
    <xf numFmtId="193" fontId="7" fillId="0" borderId="0">
      <alignment vertical="center"/>
    </xf>
    <xf numFmtId="193" fontId="93" fillId="0" borderId="0"/>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55" fillId="0" borderId="0"/>
    <xf numFmtId="193" fontId="7" fillId="0" borderId="0"/>
    <xf numFmtId="193" fontId="106" fillId="0" borderId="0">
      <alignment vertical="center"/>
    </xf>
    <xf numFmtId="193" fontId="55" fillId="0" borderId="0"/>
    <xf numFmtId="193" fontId="7" fillId="0" borderId="0"/>
    <xf numFmtId="193" fontId="7" fillId="0" borderId="0"/>
    <xf numFmtId="193" fontId="55" fillId="0" borderId="0"/>
    <xf numFmtId="193" fontId="7" fillId="0" borderId="0"/>
    <xf numFmtId="193" fontId="55" fillId="0" borderId="0"/>
    <xf numFmtId="193" fontId="1" fillId="0" borderId="0">
      <alignment vertical="center"/>
    </xf>
    <xf numFmtId="193" fontId="55" fillId="0" borderId="0"/>
    <xf numFmtId="193" fontId="7" fillId="0" borderId="0"/>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07" fillId="0" borderId="0"/>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08"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7" fillId="0" borderId="0"/>
    <xf numFmtId="193" fontId="7" fillId="0" borderId="0"/>
    <xf numFmtId="193" fontId="7" fillId="0" borderId="0"/>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xf numFmtId="193" fontId="7"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85" fillId="0" borderId="0"/>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xf numFmtId="193" fontId="55" fillId="0" borderId="0"/>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85"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85"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85"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40"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40"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40" fillId="0" borderId="0"/>
    <xf numFmtId="193" fontId="40" fillId="0" borderId="0">
      <alignment vertical="center"/>
    </xf>
    <xf numFmtId="193" fontId="40" fillId="0" borderId="0"/>
    <xf numFmtId="193" fontId="85" fillId="0" borderId="0">
      <alignment vertical="center"/>
    </xf>
    <xf numFmtId="193" fontId="40"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40"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40" fillId="0" borderId="0"/>
    <xf numFmtId="193" fontId="7" fillId="0" borderId="0">
      <alignment vertical="center"/>
    </xf>
    <xf numFmtId="193" fontId="7" fillId="0" borderId="0">
      <alignment vertical="center"/>
    </xf>
    <xf numFmtId="193" fontId="7" fillId="0" borderId="0">
      <alignment vertical="center"/>
    </xf>
    <xf numFmtId="193" fontId="40" fillId="0" borderId="0"/>
    <xf numFmtId="193" fontId="7" fillId="0" borderId="0"/>
    <xf numFmtId="193" fontId="40" fillId="0" borderId="0">
      <alignment vertical="center"/>
    </xf>
    <xf numFmtId="193" fontId="40" fillId="0" borderId="0"/>
    <xf numFmtId="193" fontId="40" fillId="0" borderId="0">
      <alignment vertical="center"/>
    </xf>
    <xf numFmtId="193" fontId="7" fillId="0" borderId="0"/>
    <xf numFmtId="193" fontId="1" fillId="0" borderId="0">
      <alignment vertical="center"/>
    </xf>
    <xf numFmtId="193" fontId="40" fillId="0" borderId="0"/>
    <xf numFmtId="193" fontId="40" fillId="0" borderId="0">
      <alignment vertical="center"/>
    </xf>
    <xf numFmtId="193" fontId="7" fillId="0" borderId="0">
      <alignment vertical="center"/>
    </xf>
    <xf numFmtId="193" fontId="55" fillId="0" borderId="0"/>
    <xf numFmtId="193" fontId="55" fillId="0" borderId="0"/>
    <xf numFmtId="193" fontId="7" fillId="0" borderId="0"/>
    <xf numFmtId="193" fontId="1" fillId="0" borderId="0">
      <alignment vertical="center"/>
    </xf>
    <xf numFmtId="193" fontId="40" fillId="0" borderId="0">
      <alignment vertical="center"/>
    </xf>
    <xf numFmtId="193" fontId="40" fillId="0" borderId="0">
      <alignment vertical="center"/>
    </xf>
    <xf numFmtId="193" fontId="1" fillId="0" borderId="0">
      <alignment vertical="center"/>
    </xf>
    <xf numFmtId="193" fontId="55" fillId="0" borderId="0"/>
    <xf numFmtId="193" fontId="7" fillId="0" borderId="0"/>
    <xf numFmtId="193" fontId="7" fillId="0" borderId="0"/>
    <xf numFmtId="193" fontId="40" fillId="0" borderId="0">
      <alignment vertical="center"/>
    </xf>
    <xf numFmtId="193" fontId="7" fillId="0" borderId="0"/>
    <xf numFmtId="193" fontId="1" fillId="0" borderId="0">
      <alignment vertical="center"/>
    </xf>
    <xf numFmtId="193" fontId="7" fillId="0" borderId="0"/>
    <xf numFmtId="193" fontId="1" fillId="0" borderId="0">
      <alignment vertical="center"/>
    </xf>
    <xf numFmtId="193" fontId="7" fillId="0" borderId="0"/>
    <xf numFmtId="193" fontId="55" fillId="0" borderId="0"/>
    <xf numFmtId="193" fontId="7" fillId="0" borderId="0"/>
    <xf numFmtId="193" fontId="55" fillId="0" borderId="0"/>
    <xf numFmtId="193" fontId="55" fillId="0" borderId="0"/>
    <xf numFmtId="193" fontId="1" fillId="0" borderId="0">
      <alignment vertical="center"/>
    </xf>
    <xf numFmtId="193" fontId="55" fillId="0" borderId="0"/>
    <xf numFmtId="193" fontId="7" fillId="0" borderId="0"/>
    <xf numFmtId="193" fontId="1" fillId="0" borderId="0">
      <alignment vertical="center"/>
    </xf>
    <xf numFmtId="193" fontId="55" fillId="0" borderId="0"/>
    <xf numFmtId="193" fontId="85" fillId="0" borderId="0">
      <alignment vertical="center"/>
    </xf>
    <xf numFmtId="193" fontId="1" fillId="0" borderId="0">
      <alignment vertical="center"/>
    </xf>
    <xf numFmtId="193" fontId="1" fillId="0" borderId="0">
      <alignment vertical="center"/>
    </xf>
    <xf numFmtId="193" fontId="7" fillId="0" borderId="0"/>
    <xf numFmtId="193" fontId="7" fillId="0" borderId="0"/>
    <xf numFmtId="193" fontId="1" fillId="0" borderId="0">
      <alignment vertical="center"/>
    </xf>
    <xf numFmtId="193" fontId="1" fillId="0" borderId="0">
      <alignment vertical="center"/>
    </xf>
    <xf numFmtId="193" fontId="108" fillId="0" borderId="0"/>
    <xf numFmtId="193" fontId="55" fillId="0" borderId="0"/>
    <xf numFmtId="193" fontId="1" fillId="0" borderId="0">
      <alignment vertical="center"/>
    </xf>
    <xf numFmtId="193" fontId="1" fillId="0" borderId="0">
      <alignment vertical="center"/>
    </xf>
    <xf numFmtId="193" fontId="7" fillId="0" borderId="0"/>
    <xf numFmtId="193" fontId="55" fillId="0" borderId="0"/>
    <xf numFmtId="193" fontId="1" fillId="0" borderId="0">
      <alignment vertical="center"/>
    </xf>
    <xf numFmtId="193" fontId="1" fillId="0" borderId="0">
      <alignment vertical="center"/>
    </xf>
    <xf numFmtId="193" fontId="7" fillId="0" borderId="0"/>
    <xf numFmtId="193" fontId="7" fillId="0" borderId="0"/>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40" fillId="0" borderId="0"/>
    <xf numFmtId="193" fontId="40" fillId="0" borderId="0">
      <alignment vertical="center"/>
    </xf>
    <xf numFmtId="193" fontId="40" fillId="0" borderId="0"/>
    <xf numFmtId="193" fontId="40" fillId="0" borderId="0"/>
    <xf numFmtId="193" fontId="40" fillId="0" borderId="0"/>
    <xf numFmtId="193" fontId="40" fillId="0" borderId="0"/>
    <xf numFmtId="193" fontId="40" fillId="0" borderId="0">
      <alignment vertical="center"/>
    </xf>
    <xf numFmtId="193" fontId="40" fillId="0" borderId="0">
      <alignment vertical="center"/>
    </xf>
    <xf numFmtId="193" fontId="40" fillId="0" borderId="0">
      <alignment vertical="center"/>
    </xf>
    <xf numFmtId="193" fontId="40" fillId="0" borderId="0">
      <alignment vertical="center"/>
    </xf>
    <xf numFmtId="193" fontId="40"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55"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06"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55"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06"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55"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xf numFmtId="193" fontId="7" fillId="0" borderId="0"/>
    <xf numFmtId="193" fontId="55" fillId="0" borderId="0"/>
    <xf numFmtId="193" fontId="55"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xf numFmtId="193" fontId="86"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06"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xf numFmtId="193" fontId="40" fillId="0" borderId="0">
      <alignment vertical="center"/>
    </xf>
    <xf numFmtId="193" fontId="7" fillId="0" borderId="0"/>
    <xf numFmtId="193" fontId="94" fillId="0" borderId="0">
      <alignment vertical="center"/>
    </xf>
    <xf numFmtId="193" fontId="40" fillId="0" borderId="0">
      <alignment vertical="center"/>
    </xf>
    <xf numFmtId="193" fontId="40" fillId="0" borderId="0">
      <alignment vertical="center"/>
    </xf>
    <xf numFmtId="193" fontId="7" fillId="0" borderId="0"/>
    <xf numFmtId="193" fontId="7" fillId="0" borderId="0"/>
    <xf numFmtId="193" fontId="55" fillId="0" borderId="0"/>
    <xf numFmtId="193" fontId="55" fillId="0" borderId="0"/>
    <xf numFmtId="193" fontId="7" fillId="0" borderId="0"/>
    <xf numFmtId="193" fontId="55" fillId="0" borderId="0"/>
    <xf numFmtId="193" fontId="40" fillId="0" borderId="0">
      <alignment vertical="center"/>
    </xf>
    <xf numFmtId="193" fontId="7" fillId="0" borderId="0"/>
    <xf numFmtId="193" fontId="1" fillId="0" borderId="0">
      <alignment vertical="center"/>
    </xf>
    <xf numFmtId="193" fontId="7" fillId="0" borderId="0"/>
    <xf numFmtId="193" fontId="40" fillId="0" borderId="0">
      <alignment vertical="center"/>
    </xf>
    <xf numFmtId="193" fontId="1" fillId="0" borderId="0">
      <alignment vertical="center"/>
    </xf>
    <xf numFmtId="193" fontId="55" fillId="0" borderId="0"/>
    <xf numFmtId="193" fontId="55" fillId="0" borderId="0"/>
    <xf numFmtId="193" fontId="1" fillId="0" borderId="0">
      <alignment vertical="center"/>
    </xf>
    <xf numFmtId="193" fontId="55" fillId="0" borderId="0"/>
    <xf numFmtId="193" fontId="7" fillId="0" borderId="0"/>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xf numFmtId="193" fontId="55" fillId="0" borderId="0"/>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40"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40"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93" fillId="0" borderId="0"/>
    <xf numFmtId="193" fontId="40" fillId="0" borderId="0"/>
    <xf numFmtId="193" fontId="40" fillId="0" borderId="0"/>
    <xf numFmtId="193" fontId="55" fillId="0" borderId="0"/>
    <xf numFmtId="193" fontId="7" fillId="0" borderId="0">
      <alignment vertical="center"/>
    </xf>
    <xf numFmtId="193" fontId="7" fillId="0" borderId="0">
      <alignment vertical="center"/>
    </xf>
    <xf numFmtId="193" fontId="7" fillId="0" borderId="0">
      <alignment vertical="center"/>
    </xf>
    <xf numFmtId="193" fontId="55" fillId="0" borderId="0"/>
    <xf numFmtId="193" fontId="40" fillId="0" borderId="0"/>
    <xf numFmtId="193" fontId="40" fillId="0" borderId="0"/>
    <xf numFmtId="193" fontId="55" fillId="0" borderId="0"/>
    <xf numFmtId="193" fontId="40" fillId="0" borderId="0"/>
    <xf numFmtId="193" fontId="40" fillId="0" borderId="0"/>
    <xf numFmtId="193" fontId="55" fillId="0" borderId="0"/>
    <xf numFmtId="193" fontId="7" fillId="0" borderId="0">
      <alignment vertical="center"/>
    </xf>
    <xf numFmtId="193" fontId="7" fillId="0" borderId="0">
      <alignment vertical="center"/>
    </xf>
    <xf numFmtId="193" fontId="7" fillId="0" borderId="0">
      <alignment vertical="center"/>
    </xf>
    <xf numFmtId="193" fontId="40" fillId="0" borderId="0"/>
    <xf numFmtId="193" fontId="40" fillId="0" borderId="0"/>
    <xf numFmtId="193" fontId="40" fillId="0" borderId="0"/>
    <xf numFmtId="193" fontId="40"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alignment vertical="center"/>
    </xf>
    <xf numFmtId="193" fontId="7" fillId="0" borderId="0">
      <alignment vertical="center"/>
    </xf>
    <xf numFmtId="193" fontId="86"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40"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xf numFmtId="193" fontId="1" fillId="0"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3"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2"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86" fillId="0" borderId="0">
      <alignment vertical="center"/>
    </xf>
    <xf numFmtId="193" fontId="1" fillId="0" borderId="0">
      <alignment vertical="center"/>
    </xf>
    <xf numFmtId="193" fontId="7" fillId="0" borderId="0"/>
    <xf numFmtId="193" fontId="109" fillId="0" borderId="0"/>
    <xf numFmtId="193" fontId="1" fillId="0" borderId="0">
      <alignment vertical="center"/>
    </xf>
    <xf numFmtId="193" fontId="7" fillId="0" borderId="0"/>
    <xf numFmtId="193" fontId="7" fillId="0" borderId="0"/>
    <xf numFmtId="193" fontId="1" fillId="0" borderId="0">
      <alignment vertical="center"/>
    </xf>
    <xf numFmtId="193" fontId="40" fillId="0" borderId="0"/>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7" fillId="0" borderId="0"/>
    <xf numFmtId="193" fontId="3" fillId="0" borderId="0">
      <alignment vertical="center"/>
    </xf>
    <xf numFmtId="193" fontId="86" fillId="0" borderId="0">
      <alignment vertical="center"/>
    </xf>
    <xf numFmtId="193" fontId="7" fillId="0" borderId="0"/>
    <xf numFmtId="193" fontId="3" fillId="0" borderId="0">
      <alignment vertical="center"/>
    </xf>
    <xf numFmtId="193" fontId="7" fillId="0" borderId="0"/>
    <xf numFmtId="193" fontId="1" fillId="0" borderId="0">
      <alignment vertical="center"/>
    </xf>
    <xf numFmtId="193" fontId="7" fillId="0" borderId="0">
      <alignment vertical="center"/>
    </xf>
    <xf numFmtId="193" fontId="7" fillId="0" borderId="0"/>
    <xf numFmtId="193" fontId="94" fillId="0" borderId="0"/>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40" fillId="0" borderId="0"/>
    <xf numFmtId="193" fontId="7" fillId="0" borderId="0">
      <alignment vertical="center"/>
    </xf>
    <xf numFmtId="193" fontId="40"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93"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86"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40"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85" fillId="0" borderId="0"/>
    <xf numFmtId="193" fontId="1" fillId="0" borderId="0">
      <alignment vertical="center"/>
    </xf>
    <xf numFmtId="193" fontId="40" fillId="0" borderId="0">
      <alignment vertical="center"/>
    </xf>
    <xf numFmtId="193" fontId="1" fillId="0" borderId="0">
      <alignment vertical="center"/>
    </xf>
    <xf numFmtId="193" fontId="7" fillId="0" borderId="0"/>
    <xf numFmtId="193" fontId="7" fillId="0" borderId="0"/>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xf numFmtId="193" fontId="1" fillId="0" borderId="0">
      <alignment vertical="center"/>
    </xf>
    <xf numFmtId="193" fontId="1" fillId="0" borderId="0">
      <alignment vertical="center"/>
    </xf>
    <xf numFmtId="193" fontId="86"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85"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10" fillId="0" borderId="0">
      <protection locked="0"/>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85"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85" fillId="0" borderId="0"/>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10" fillId="0" borderId="0">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86"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85"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xf numFmtId="193" fontId="55"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1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5" fillId="0" borderId="0"/>
    <xf numFmtId="193" fontId="55" fillId="0" borderId="0"/>
    <xf numFmtId="193" fontId="7" fillId="0" borderId="0"/>
    <xf numFmtId="193" fontId="55" fillId="0" borderId="0"/>
    <xf numFmtId="193" fontId="55" fillId="0" borderId="0"/>
    <xf numFmtId="193" fontId="7" fillId="0" borderId="0"/>
    <xf numFmtId="193" fontId="7" fillId="0" borderId="0"/>
    <xf numFmtId="193" fontId="55" fillId="0" borderId="0"/>
    <xf numFmtId="193" fontId="55" fillId="0" borderId="0"/>
    <xf numFmtId="193" fontId="7" fillId="0" borderId="0"/>
    <xf numFmtId="193" fontId="7" fillId="0" borderId="0"/>
    <xf numFmtId="193" fontId="7"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55" fillId="0" borderId="0"/>
    <xf numFmtId="193" fontId="7"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92"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54" fillId="0" borderId="0">
      <alignment vertical="center"/>
    </xf>
    <xf numFmtId="193" fontId="86" fillId="0" borderId="0">
      <alignment vertical="center"/>
    </xf>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54" fillId="0" borderId="0">
      <alignment vertical="center"/>
    </xf>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54"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54"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92"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4" fillId="0" borderId="0">
      <alignment vertical="center"/>
    </xf>
    <xf numFmtId="193" fontId="86" fillId="0" borderId="0">
      <alignment vertical="center"/>
    </xf>
    <xf numFmtId="193" fontId="86" fillId="0" borderId="0">
      <alignment vertical="center"/>
    </xf>
    <xf numFmtId="193" fontId="1" fillId="0" borderId="0">
      <alignment vertical="center"/>
    </xf>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12"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13"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4" fillId="0" borderId="0">
      <alignment vertical="center"/>
    </xf>
    <xf numFmtId="193" fontId="7" fillId="0" borderId="0"/>
    <xf numFmtId="193" fontId="55" fillId="0" borderId="0"/>
    <xf numFmtId="193" fontId="55" fillId="0" borderId="0"/>
    <xf numFmtId="193" fontId="1" fillId="0" borderId="0">
      <alignment vertical="center"/>
    </xf>
    <xf numFmtId="193" fontId="55" fillId="0" borderId="0"/>
    <xf numFmtId="193" fontId="7" fillId="0" borderId="0"/>
    <xf numFmtId="193" fontId="1" fillId="0" borderId="0">
      <alignment vertical="center"/>
    </xf>
    <xf numFmtId="193" fontId="40" fillId="0" borderId="0"/>
    <xf numFmtId="193" fontId="92" fillId="0" borderId="0">
      <alignment vertical="center"/>
    </xf>
    <xf numFmtId="193" fontId="86" fillId="0" borderId="0">
      <alignment vertical="center"/>
    </xf>
    <xf numFmtId="193" fontId="1" fillId="0" borderId="0">
      <alignment vertical="center"/>
    </xf>
    <xf numFmtId="193" fontId="1" fillId="0" borderId="0">
      <alignment vertical="center"/>
    </xf>
    <xf numFmtId="193" fontId="54" fillId="0" borderId="0">
      <alignment vertical="center"/>
    </xf>
    <xf numFmtId="193" fontId="86" fillId="0" borderId="0">
      <alignment vertical="center"/>
    </xf>
    <xf numFmtId="193" fontId="1" fillId="0" borderId="0">
      <alignment vertical="center"/>
    </xf>
    <xf numFmtId="193" fontId="1" fillId="0" borderId="0">
      <alignment vertical="center"/>
    </xf>
    <xf numFmtId="193" fontId="86" fillId="0" borderId="0">
      <alignment vertical="center"/>
    </xf>
    <xf numFmtId="193" fontId="86"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xf numFmtId="193" fontId="85" fillId="0" borderId="0"/>
    <xf numFmtId="193" fontId="86" fillId="0" borderId="0">
      <alignment vertical="center"/>
    </xf>
    <xf numFmtId="193" fontId="92"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7"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40" fillId="0" borderId="0"/>
    <xf numFmtId="193" fontId="40" fillId="0" borderId="0"/>
    <xf numFmtId="193" fontId="40" fillId="0" borderId="0"/>
    <xf numFmtId="193" fontId="7" fillId="0" borderId="0"/>
    <xf numFmtId="193" fontId="7" fillId="0" borderId="0"/>
    <xf numFmtId="193" fontId="55" fillId="0" borderId="0"/>
    <xf numFmtId="193" fontId="55" fillId="0" borderId="0"/>
    <xf numFmtId="193" fontId="55" fillId="0" borderId="0"/>
    <xf numFmtId="193" fontId="7"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55" fillId="0" borderId="0"/>
    <xf numFmtId="193" fontId="7" fillId="0" borderId="0">
      <alignment vertical="center"/>
    </xf>
    <xf numFmtId="193" fontId="1"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1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1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7" fillId="0" borderId="0">
      <alignment vertical="center"/>
    </xf>
    <xf numFmtId="193" fontId="11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55"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14" fillId="0" borderId="0">
      <alignment vertical="center"/>
    </xf>
    <xf numFmtId="193" fontId="54"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7" fillId="0" borderId="0">
      <alignment vertical="center"/>
    </xf>
    <xf numFmtId="193" fontId="54"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5"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protection locked="0"/>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5" fillId="0" borderId="0"/>
    <xf numFmtId="193" fontId="54"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86" fillId="0" borderId="0">
      <alignment vertical="center"/>
    </xf>
    <xf numFmtId="193" fontId="7" fillId="0" borderId="0">
      <alignment vertical="center"/>
    </xf>
    <xf numFmtId="193" fontId="93" fillId="0" borderId="0"/>
    <xf numFmtId="193" fontId="115" fillId="0" borderId="0">
      <alignment vertical="center"/>
    </xf>
    <xf numFmtId="193" fontId="115" fillId="0" borderId="0">
      <alignment vertical="center"/>
    </xf>
    <xf numFmtId="193" fontId="116" fillId="0" borderId="0">
      <alignment vertical="center"/>
    </xf>
    <xf numFmtId="193" fontId="117" fillId="0" borderId="0">
      <alignment vertical="center"/>
    </xf>
    <xf numFmtId="193" fontId="117" fillId="0" borderId="0">
      <alignment vertical="center"/>
    </xf>
    <xf numFmtId="193" fontId="117" fillId="0" borderId="0">
      <alignment vertical="center"/>
    </xf>
    <xf numFmtId="193" fontId="115" fillId="0" borderId="0">
      <alignment vertical="center"/>
      <protection locked="0"/>
    </xf>
    <xf numFmtId="193" fontId="115" fillId="0" borderId="0"/>
    <xf numFmtId="193" fontId="117" fillId="0" borderId="0">
      <alignment vertical="center"/>
    </xf>
    <xf numFmtId="193" fontId="118" fillId="0" borderId="0"/>
    <xf numFmtId="193" fontId="115" fillId="0" borderId="0"/>
    <xf numFmtId="193" fontId="117" fillId="0" borderId="0"/>
    <xf numFmtId="193" fontId="119" fillId="58" borderId="0">
      <alignment vertical="center"/>
    </xf>
    <xf numFmtId="193" fontId="119" fillId="58" borderId="0">
      <alignment vertical="center"/>
    </xf>
    <xf numFmtId="193" fontId="119" fillId="58" borderId="0">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2" fillId="65" borderId="23">
      <alignment vertical="center"/>
    </xf>
    <xf numFmtId="193" fontId="122" fillId="65" borderId="23">
      <alignment vertical="center"/>
    </xf>
    <xf numFmtId="193" fontId="122" fillId="65" borderId="23">
      <alignment vertical="center"/>
    </xf>
    <xf numFmtId="193" fontId="123" fillId="0" borderId="0">
      <alignment vertical="center"/>
    </xf>
    <xf numFmtId="193" fontId="123" fillId="0" borderId="0">
      <alignment vertical="center"/>
    </xf>
    <xf numFmtId="193" fontId="123" fillId="0" borderId="0">
      <alignment vertical="center"/>
    </xf>
    <xf numFmtId="193" fontId="124" fillId="0" borderId="0">
      <alignment vertical="center"/>
    </xf>
    <xf numFmtId="193" fontId="124" fillId="0" borderId="0">
      <alignment vertical="center"/>
    </xf>
    <xf numFmtId="193" fontId="124" fillId="0" borderId="0">
      <alignment vertical="center"/>
    </xf>
    <xf numFmtId="193" fontId="125" fillId="0" borderId="24">
      <alignment vertical="center"/>
    </xf>
    <xf numFmtId="193" fontId="125" fillId="0" borderId="24">
      <alignment vertical="center"/>
    </xf>
    <xf numFmtId="193" fontId="125" fillId="0" borderId="24">
      <alignment vertical="center"/>
    </xf>
    <xf numFmtId="43" fontId="55"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55"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55"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55"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55"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55"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86" fillId="0" borderId="0">
      <alignment vertical="center"/>
    </xf>
    <xf numFmtId="43" fontId="92" fillId="0" borderId="0">
      <alignment vertical="center"/>
    </xf>
    <xf numFmtId="43" fontId="92" fillId="0" borderId="0">
      <alignment vertical="center"/>
    </xf>
    <xf numFmtId="43" fontId="86" fillId="0" borderId="0">
      <alignment vertical="center"/>
    </xf>
    <xf numFmtId="43" fontId="86" fillId="0" borderId="0">
      <alignment vertical="center"/>
    </xf>
    <xf numFmtId="43" fontId="86" fillId="0" borderId="0">
      <alignment vertical="center"/>
    </xf>
    <xf numFmtId="43" fontId="86" fillId="0" borderId="0">
      <alignment vertical="center"/>
    </xf>
    <xf numFmtId="43" fontId="85" fillId="0" borderId="0">
      <alignment vertical="center"/>
    </xf>
    <xf numFmtId="43" fontId="1" fillId="0" borderId="0">
      <alignment vertical="center"/>
    </xf>
    <xf numFmtId="43" fontId="7" fillId="0" borderId="0">
      <alignment vertical="center"/>
    </xf>
    <xf numFmtId="43" fontId="1" fillId="0" borderId="0">
      <alignment vertical="center"/>
    </xf>
    <xf numFmtId="43" fontId="55"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55"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55"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196" fontId="107" fillId="0" borderId="0"/>
    <xf numFmtId="43" fontId="40"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40"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40"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85" fillId="0" borderId="0">
      <alignment vertical="center"/>
    </xf>
    <xf numFmtId="43" fontId="85" fillId="0" borderId="0">
      <alignment vertical="center"/>
    </xf>
    <xf numFmtId="43" fontId="1" fillId="0" borderId="0">
      <alignment vertical="center"/>
    </xf>
    <xf numFmtId="43" fontId="86"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85"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85"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85"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5"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86"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85" fillId="0" borderId="0">
      <alignment vertical="center"/>
    </xf>
    <xf numFmtId="43" fontId="85" fillId="0" borderId="0">
      <alignment vertical="center"/>
    </xf>
    <xf numFmtId="43" fontId="1" fillId="0" borderId="0">
      <alignment vertical="center"/>
    </xf>
    <xf numFmtId="43" fontId="7" fillId="0" borderId="0">
      <alignment vertical="center"/>
    </xf>
    <xf numFmtId="43" fontId="86" fillId="0" borderId="0">
      <alignment vertical="center"/>
    </xf>
    <xf numFmtId="43" fontId="1" fillId="0" borderId="0">
      <alignment vertical="center"/>
    </xf>
    <xf numFmtId="43" fontId="85" fillId="0" borderId="0">
      <alignment vertical="center"/>
    </xf>
    <xf numFmtId="43" fontId="86"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85" fillId="0" borderId="0">
      <alignment vertical="center"/>
    </xf>
    <xf numFmtId="43" fontId="7" fillId="0" borderId="0">
      <alignment vertical="center"/>
    </xf>
    <xf numFmtId="43" fontId="85" fillId="0" borderId="0">
      <alignment vertical="center"/>
    </xf>
    <xf numFmtId="43" fontId="1" fillId="0" borderId="0">
      <alignment vertical="center"/>
    </xf>
    <xf numFmtId="43" fontId="1" fillId="0" borderId="0">
      <alignment vertical="center"/>
    </xf>
    <xf numFmtId="43" fontId="85" fillId="0" borderId="0">
      <alignment vertical="center"/>
    </xf>
    <xf numFmtId="43" fontId="1" fillId="0" borderId="0">
      <alignment vertical="center"/>
    </xf>
    <xf numFmtId="43" fontId="1" fillId="0" borderId="0">
      <alignment vertical="center"/>
    </xf>
    <xf numFmtId="43" fontId="86" fillId="0" borderId="0">
      <alignment vertical="center"/>
    </xf>
    <xf numFmtId="43" fontId="7" fillId="0" borderId="0">
      <alignment vertical="center"/>
    </xf>
    <xf numFmtId="43" fontId="86"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85" fillId="0" borderId="0">
      <alignment vertical="center"/>
    </xf>
    <xf numFmtId="43" fontId="7" fillId="0" borderId="0">
      <alignment vertical="center"/>
    </xf>
    <xf numFmtId="43" fontId="93"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55" fillId="0" borderId="0">
      <alignment vertical="center"/>
    </xf>
    <xf numFmtId="43" fontId="86"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86" fillId="0" borderId="0">
      <alignment vertical="center"/>
    </xf>
    <xf numFmtId="43" fontId="86"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86" fillId="0" borderId="0">
      <alignment vertical="center"/>
    </xf>
    <xf numFmtId="43" fontId="86" fillId="0" borderId="0">
      <alignment vertical="center"/>
    </xf>
    <xf numFmtId="43" fontId="40" fillId="0" borderId="0"/>
    <xf numFmtId="43" fontId="40" fillId="0" borderId="0"/>
    <xf numFmtId="43" fontId="40" fillId="0" borderId="0"/>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54"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54"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86" fillId="0" borderId="0">
      <alignment vertical="center"/>
    </xf>
    <xf numFmtId="43" fontId="55" fillId="0" borderId="0">
      <alignment vertical="center"/>
    </xf>
    <xf numFmtId="43" fontId="54"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54"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55" fillId="0" borderId="0"/>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03"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54"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54"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55" fillId="0" borderId="0"/>
    <xf numFmtId="43" fontId="54" fillId="0" borderId="0"/>
    <xf numFmtId="43" fontId="54" fillId="0" borderId="0"/>
    <xf numFmtId="43" fontId="54" fillId="0" borderId="0"/>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95"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55"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95"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55"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86"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86"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55"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54"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86"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1" fillId="0" borderId="0">
      <alignment vertical="center"/>
    </xf>
    <xf numFmtId="43" fontId="7" fillId="0" borderId="0">
      <alignment vertical="center"/>
    </xf>
    <xf numFmtId="43" fontId="55"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55" fillId="0" borderId="0">
      <alignment vertical="center"/>
    </xf>
    <xf numFmtId="43" fontId="7" fillId="0" borderId="0">
      <alignment vertical="center"/>
    </xf>
    <xf numFmtId="43" fontId="7" fillId="0" borderId="0">
      <alignment vertical="center"/>
    </xf>
    <xf numFmtId="43" fontId="55" fillId="0" borderId="0">
      <alignment vertical="center"/>
    </xf>
    <xf numFmtId="43" fontId="55" fillId="0" borderId="0">
      <alignment vertical="center"/>
    </xf>
    <xf numFmtId="43" fontId="86" fillId="0" borderId="0">
      <alignment vertical="center"/>
    </xf>
    <xf numFmtId="43" fontId="92" fillId="0" borderId="0">
      <alignment vertical="center"/>
    </xf>
    <xf numFmtId="43" fontId="92" fillId="0" borderId="0">
      <alignment vertical="center"/>
    </xf>
    <xf numFmtId="43" fontId="86" fillId="0" borderId="0">
      <alignment vertical="center"/>
    </xf>
    <xf numFmtId="43" fontId="55" fillId="0" borderId="0">
      <alignment vertical="center"/>
    </xf>
    <xf numFmtId="43" fontId="7" fillId="0" borderId="0">
      <alignment vertical="center"/>
    </xf>
    <xf numFmtId="43" fontId="7" fillId="0" borderId="0">
      <alignment vertical="center"/>
    </xf>
    <xf numFmtId="43" fontId="55" fillId="0" borderId="0">
      <alignment vertical="center"/>
    </xf>
    <xf numFmtId="43" fontId="55" fillId="0" borderId="0">
      <alignment vertical="center"/>
    </xf>
    <xf numFmtId="43" fontId="86" fillId="0" borderId="0">
      <alignment vertical="center"/>
    </xf>
    <xf numFmtId="43" fontId="92" fillId="0" borderId="0">
      <alignment vertical="center"/>
    </xf>
    <xf numFmtId="43" fontId="92" fillId="0" borderId="0">
      <alignment vertical="center"/>
    </xf>
    <xf numFmtId="43" fontId="86" fillId="0" borderId="0">
      <alignment vertical="center"/>
    </xf>
    <xf numFmtId="197" fontId="105" fillId="0" borderId="0"/>
    <xf numFmtId="197" fontId="104" fillId="0" borderId="0"/>
    <xf numFmtId="193" fontId="87" fillId="62" borderId="0">
      <alignment vertical="center"/>
    </xf>
    <xf numFmtId="193" fontId="87" fillId="66" borderId="0">
      <alignment vertical="center"/>
    </xf>
    <xf numFmtId="193" fontId="87" fillId="65" borderId="0">
      <alignment vertical="center"/>
    </xf>
    <xf numFmtId="193" fontId="87" fillId="67" borderId="0">
      <alignment vertical="center"/>
    </xf>
    <xf numFmtId="193" fontId="87" fillId="68" borderId="0">
      <alignment vertical="center"/>
    </xf>
    <xf numFmtId="193" fontId="87" fillId="63" borderId="0">
      <alignment vertical="center"/>
    </xf>
    <xf numFmtId="193" fontId="126" fillId="61" borderId="0">
      <alignment vertical="center"/>
    </xf>
    <xf numFmtId="193" fontId="126" fillId="61" borderId="0">
      <alignment vertical="center"/>
    </xf>
    <xf numFmtId="193" fontId="126" fillId="61" borderId="0">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40" fillId="0" borderId="0">
      <alignment horizontal="left" wrapText="1"/>
    </xf>
    <xf numFmtId="193" fontId="129" fillId="0" borderId="0"/>
    <xf numFmtId="193" fontId="129" fillId="0" borderId="0"/>
    <xf numFmtId="193" fontId="87" fillId="62" borderId="0">
      <alignment vertical="center"/>
    </xf>
    <xf numFmtId="193" fontId="87" fillId="62" borderId="0">
      <alignment vertical="center"/>
    </xf>
    <xf numFmtId="193" fontId="87" fillId="62" borderId="0">
      <alignment vertical="center"/>
    </xf>
    <xf numFmtId="193" fontId="87" fillId="66" borderId="0">
      <alignment vertical="center"/>
    </xf>
    <xf numFmtId="193" fontId="87" fillId="66" borderId="0">
      <alignment vertical="center"/>
    </xf>
    <xf numFmtId="193" fontId="87" fillId="66" borderId="0">
      <alignment vertical="center"/>
    </xf>
    <xf numFmtId="193" fontId="87" fillId="65" borderId="0">
      <alignment vertical="center"/>
    </xf>
    <xf numFmtId="193" fontId="87" fillId="65" borderId="0">
      <alignment vertical="center"/>
    </xf>
    <xf numFmtId="193" fontId="87" fillId="65" borderId="0">
      <alignment vertical="center"/>
    </xf>
    <xf numFmtId="193" fontId="87" fillId="67" borderId="0">
      <alignment vertical="center"/>
    </xf>
    <xf numFmtId="193" fontId="87" fillId="67" borderId="0">
      <alignment vertical="center"/>
    </xf>
    <xf numFmtId="193" fontId="87" fillId="67" borderId="0">
      <alignment vertical="center"/>
    </xf>
    <xf numFmtId="193" fontId="87" fillId="68" borderId="0">
      <alignment vertical="center"/>
    </xf>
    <xf numFmtId="193" fontId="87" fillId="68" borderId="0">
      <alignment vertical="center"/>
    </xf>
    <xf numFmtId="193" fontId="87" fillId="68" borderId="0">
      <alignment vertical="center"/>
    </xf>
    <xf numFmtId="193" fontId="87" fillId="63" borderId="0">
      <alignment vertical="center"/>
    </xf>
    <xf numFmtId="193" fontId="87" fillId="63" borderId="0">
      <alignment vertical="center"/>
    </xf>
    <xf numFmtId="193" fontId="87" fillId="63" borderId="0">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7" fillId="0" borderId="0">
      <alignment vertical="center"/>
    </xf>
    <xf numFmtId="193" fontId="1" fillId="0" borderId="0">
      <alignment vertical="center"/>
    </xf>
    <xf numFmtId="193" fontId="7" fillId="0" borderId="0"/>
    <xf numFmtId="193" fontId="7" fillId="0" borderId="0"/>
    <xf numFmtId="193" fontId="1" fillId="31" borderId="0">
      <alignment vertical="center"/>
    </xf>
    <xf numFmtId="193" fontId="1" fillId="35" borderId="0">
      <alignment vertical="center"/>
    </xf>
    <xf numFmtId="193" fontId="1" fillId="39" borderId="0">
      <alignment vertical="center"/>
    </xf>
    <xf numFmtId="193" fontId="1" fillId="43" borderId="0">
      <alignment vertical="center"/>
    </xf>
    <xf numFmtId="193" fontId="1" fillId="47" borderId="0">
      <alignment vertical="center"/>
    </xf>
    <xf numFmtId="193" fontId="1" fillId="51" borderId="0">
      <alignment vertical="center"/>
    </xf>
    <xf numFmtId="193" fontId="1" fillId="32" borderId="0">
      <alignment vertical="center"/>
    </xf>
    <xf numFmtId="193" fontId="1" fillId="36" borderId="0">
      <alignment vertical="center"/>
    </xf>
    <xf numFmtId="193" fontId="1" fillId="40" borderId="0">
      <alignment vertical="center"/>
    </xf>
    <xf numFmtId="193" fontId="1" fillId="44" borderId="0">
      <alignment vertical="center"/>
    </xf>
    <xf numFmtId="193" fontId="1" fillId="48" borderId="0">
      <alignment vertical="center"/>
    </xf>
    <xf numFmtId="193" fontId="1" fillId="52" borderId="0">
      <alignment vertical="center"/>
    </xf>
    <xf numFmtId="193" fontId="81" fillId="33" borderId="0">
      <alignment vertical="center"/>
    </xf>
    <xf numFmtId="193" fontId="81" fillId="37" borderId="0">
      <alignment vertical="center"/>
    </xf>
    <xf numFmtId="193" fontId="81" fillId="41" borderId="0">
      <alignment vertical="center"/>
    </xf>
    <xf numFmtId="193" fontId="81" fillId="45" borderId="0">
      <alignment vertical="center"/>
    </xf>
    <xf numFmtId="193" fontId="81" fillId="49" borderId="0">
      <alignment vertical="center"/>
    </xf>
    <xf numFmtId="193" fontId="81" fillId="53" borderId="0">
      <alignment vertical="center"/>
    </xf>
    <xf numFmtId="193" fontId="1" fillId="0" borderId="0">
      <alignment vertical="center"/>
    </xf>
    <xf numFmtId="193" fontId="54" fillId="0" borderId="0">
      <alignment vertical="center"/>
    </xf>
    <xf numFmtId="193" fontId="54"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4"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9" fillId="0" borderId="0">
      <protection locked="0"/>
    </xf>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xf numFmtId="193" fontId="91" fillId="0" borderId="0">
      <alignment vertical="center"/>
    </xf>
    <xf numFmtId="193" fontId="1" fillId="0" borderId="0"/>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193" fontId="68" fillId="0" borderId="10">
      <alignment vertical="center"/>
    </xf>
    <xf numFmtId="193" fontId="69" fillId="0" borderId="11">
      <alignment vertical="center"/>
    </xf>
    <xf numFmtId="193" fontId="70" fillId="0" borderId="12">
      <alignment vertical="center"/>
    </xf>
    <xf numFmtId="193" fontId="70" fillId="0" borderId="0">
      <alignment vertical="center"/>
    </xf>
    <xf numFmtId="193" fontId="83" fillId="0" borderId="0">
      <alignment vertical="center"/>
    </xf>
    <xf numFmtId="193" fontId="72" fillId="24"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40" fillId="0" borderId="0">
      <alignment vertical="center"/>
    </xf>
    <xf numFmtId="193" fontId="40" fillId="0" borderId="0">
      <alignment vertical="center"/>
    </xf>
    <xf numFmtId="193" fontId="40" fillId="0" borderId="0">
      <alignment vertical="center"/>
    </xf>
    <xf numFmtId="193" fontId="40"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85"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40" fillId="0" borderId="0"/>
    <xf numFmtId="193" fontId="86"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30"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7" fillId="0" borderId="0">
      <alignment vertical="center"/>
    </xf>
    <xf numFmtId="193" fontId="7" fillId="0" borderId="0">
      <alignment vertical="center"/>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1" fillId="23" borderId="0">
      <alignment vertical="center"/>
    </xf>
    <xf numFmtId="193" fontId="80" fillId="0" borderId="18">
      <alignment vertical="center"/>
    </xf>
    <xf numFmtId="193" fontId="75" fillId="27" borderId="13">
      <alignment vertical="center"/>
    </xf>
    <xf numFmtId="193" fontId="77" fillId="28" borderId="16">
      <alignment vertical="center"/>
    </xf>
    <xf numFmtId="193" fontId="79" fillId="0" borderId="0">
      <alignment vertical="center"/>
    </xf>
    <xf numFmtId="193" fontId="78" fillId="0" borderId="0">
      <alignment vertical="center"/>
    </xf>
    <xf numFmtId="193" fontId="76" fillId="0" borderId="15">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55"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54"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193" fontId="81" fillId="30" borderId="0">
      <alignment vertical="center"/>
    </xf>
    <xf numFmtId="193" fontId="81" fillId="34" borderId="0">
      <alignment vertical="center"/>
    </xf>
    <xf numFmtId="193" fontId="81" fillId="38" borderId="0">
      <alignment vertical="center"/>
    </xf>
    <xf numFmtId="193" fontId="81" fillId="42" borderId="0">
      <alignment vertical="center"/>
    </xf>
    <xf numFmtId="193" fontId="81" fillId="46" borderId="0">
      <alignment vertical="center"/>
    </xf>
    <xf numFmtId="193" fontId="81" fillId="50" borderId="0">
      <alignment vertical="center"/>
    </xf>
    <xf numFmtId="193" fontId="84" fillId="25" borderId="0">
      <alignment vertical="center"/>
    </xf>
    <xf numFmtId="193" fontId="74" fillId="27" borderId="14">
      <alignment vertical="center"/>
    </xf>
    <xf numFmtId="193" fontId="73" fillId="26" borderId="13">
      <alignment vertical="center"/>
    </xf>
    <xf numFmtId="193" fontId="55" fillId="0" borderId="0"/>
    <xf numFmtId="0" fontId="40" fillId="0" borderId="0"/>
    <xf numFmtId="0" fontId="55" fillId="0" borderId="0"/>
  </cellStyleXfs>
  <cellXfs count="563">
    <xf numFmtId="0" fontId="0" fillId="0" borderId="0" xfId="0">
      <alignment vertical="center"/>
    </xf>
    <xf numFmtId="14" fontId="0" fillId="0" borderId="0" xfId="0" applyNumberFormat="1">
      <alignment vertical="center"/>
    </xf>
    <xf numFmtId="43" fontId="0" fillId="0" borderId="0" xfId="1" applyFont="1">
      <alignment vertical="center"/>
    </xf>
    <xf numFmtId="176" fontId="0" fillId="0" borderId="0" xfId="1" applyNumberFormat="1" applyFont="1" applyFill="1" applyBorder="1">
      <alignment vertical="center"/>
    </xf>
    <xf numFmtId="14" fontId="0" fillId="0" borderId="0" xfId="0" applyNumberFormat="1" applyAlignment="1">
      <alignment horizontal="center" vertical="center"/>
    </xf>
    <xf numFmtId="43" fontId="0" fillId="0" borderId="1" xfId="1" applyFont="1" applyBorder="1" applyAlignment="1">
      <alignment vertical="center" wrapText="1"/>
    </xf>
    <xf numFmtId="43" fontId="0" fillId="0" borderId="1" xfId="1" applyFont="1" applyBorder="1">
      <alignment vertical="center"/>
    </xf>
    <xf numFmtId="179" fontId="0" fillId="0" borderId="1" xfId="1" applyNumberFormat="1" applyFont="1" applyBorder="1" applyAlignment="1">
      <alignment vertical="center" wrapText="1"/>
    </xf>
    <xf numFmtId="179" fontId="0" fillId="0" borderId="1" xfId="1" applyNumberFormat="1" applyFont="1" applyBorder="1">
      <alignment vertical="center"/>
    </xf>
    <xf numFmtId="179" fontId="0" fillId="0" borderId="0" xfId="1" applyNumberFormat="1" applyFont="1">
      <alignment vertical="center"/>
    </xf>
    <xf numFmtId="0" fontId="0" fillId="0" borderId="0" xfId="0" applyAlignment="1">
      <alignment vertical="center" wrapText="1"/>
    </xf>
    <xf numFmtId="0" fontId="8" fillId="0" borderId="0" xfId="2" applyFont="1" applyAlignment="1">
      <alignment vertical="center"/>
    </xf>
    <xf numFmtId="14" fontId="5" fillId="3" borderId="2" xfId="2" applyNumberFormat="1" applyFont="1" applyFill="1" applyBorder="1" applyAlignment="1">
      <alignment horizontal="center" vertical="center" wrapText="1"/>
    </xf>
    <xf numFmtId="14" fontId="5" fillId="4" borderId="2" xfId="2" applyNumberFormat="1" applyFont="1" applyFill="1" applyBorder="1" applyAlignment="1">
      <alignment horizontal="center" vertical="center" wrapText="1"/>
    </xf>
    <xf numFmtId="0" fontId="8" fillId="4" borderId="0" xfId="2" applyFont="1" applyFill="1" applyAlignment="1">
      <alignment vertical="center"/>
    </xf>
    <xf numFmtId="0" fontId="9" fillId="0" borderId="0" xfId="2" applyFont="1"/>
    <xf numFmtId="0" fontId="3" fillId="5" borderId="2" xfId="2" applyFont="1" applyFill="1" applyBorder="1" applyAlignment="1">
      <alignment horizontal="center" vertical="center"/>
    </xf>
    <xf numFmtId="14" fontId="3" fillId="5" borderId="2" xfId="3" applyNumberFormat="1" applyFont="1" applyFill="1" applyBorder="1" applyAlignment="1">
      <alignment horizontal="center" vertical="center"/>
    </xf>
    <xf numFmtId="10" fontId="3" fillId="5" borderId="2" xfId="3" applyNumberFormat="1" applyFont="1" applyFill="1" applyBorder="1" applyAlignment="1">
      <alignment horizontal="center" vertical="center"/>
    </xf>
    <xf numFmtId="0" fontId="3" fillId="0" borderId="2" xfId="2" applyFont="1" applyBorder="1"/>
    <xf numFmtId="43" fontId="3" fillId="5" borderId="2" xfId="3" applyFont="1" applyFill="1" applyBorder="1" applyAlignment="1">
      <alignment horizontal="center" vertical="center"/>
    </xf>
    <xf numFmtId="0" fontId="3" fillId="0" borderId="2" xfId="2" applyFont="1" applyBorder="1" applyAlignment="1">
      <alignment horizontal="center" vertical="center"/>
    </xf>
    <xf numFmtId="178" fontId="3" fillId="0" borderId="2" xfId="3" applyNumberFormat="1" applyFont="1" applyBorder="1" applyAlignment="1">
      <alignment horizontal="center" vertical="center"/>
    </xf>
    <xf numFmtId="43" fontId="3" fillId="0" borderId="2" xfId="2" applyNumberFormat="1" applyFont="1" applyBorder="1"/>
    <xf numFmtId="0" fontId="3" fillId="0" borderId="0" xfId="2" applyFont="1"/>
    <xf numFmtId="43" fontId="9" fillId="0" borderId="0" xfId="3" applyFont="1" applyAlignment="1"/>
    <xf numFmtId="14" fontId="9" fillId="0" borderId="0" xfId="2" applyNumberFormat="1" applyFont="1"/>
    <xf numFmtId="10" fontId="9" fillId="0" borderId="0" xfId="2" applyNumberFormat="1" applyFont="1"/>
    <xf numFmtId="0" fontId="3" fillId="6" borderId="2" xfId="2" applyFont="1" applyFill="1" applyBorder="1" applyAlignment="1">
      <alignment horizontal="center" vertical="center"/>
    </xf>
    <xf numFmtId="0" fontId="9" fillId="2" borderId="0" xfId="2" applyFont="1" applyFill="1"/>
    <xf numFmtId="0" fontId="3" fillId="2" borderId="2" xfId="2" applyFont="1" applyFill="1" applyBorder="1" applyAlignment="1">
      <alignment horizontal="center" vertical="center"/>
    </xf>
    <xf numFmtId="14" fontId="3" fillId="2" borderId="2" xfId="3" applyNumberFormat="1" applyFont="1" applyFill="1" applyBorder="1" applyAlignment="1">
      <alignment horizontal="center" vertical="center"/>
    </xf>
    <xf numFmtId="10" fontId="3" fillId="2" borderId="2" xfId="3" applyNumberFormat="1" applyFont="1" applyFill="1" applyBorder="1" applyAlignment="1">
      <alignment horizontal="center" vertical="center"/>
    </xf>
    <xf numFmtId="0" fontId="3" fillId="2" borderId="2" xfId="2" applyFont="1" applyFill="1" applyBorder="1"/>
    <xf numFmtId="43" fontId="3" fillId="2" borderId="2" xfId="3" applyFont="1" applyFill="1" applyBorder="1" applyAlignment="1">
      <alignment horizontal="center" vertical="center"/>
    </xf>
    <xf numFmtId="178" fontId="3" fillId="2" borderId="2" xfId="3" applyNumberFormat="1" applyFont="1" applyFill="1" applyBorder="1" applyAlignment="1">
      <alignment horizontal="center" vertical="center"/>
    </xf>
    <xf numFmtId="43" fontId="3" fillId="2" borderId="2" xfId="2" applyNumberFormat="1" applyFont="1" applyFill="1" applyBorder="1"/>
    <xf numFmtId="0" fontId="3" fillId="2" borderId="0" xfId="2" applyFont="1" applyFill="1"/>
    <xf numFmtId="14" fontId="9" fillId="2" borderId="0" xfId="2" applyNumberFormat="1" applyFont="1" applyFill="1"/>
    <xf numFmtId="43" fontId="9" fillId="2" borderId="0" xfId="3" applyFont="1" applyFill="1" applyAlignment="1"/>
    <xf numFmtId="9" fontId="9" fillId="2" borderId="0" xfId="2" applyNumberFormat="1" applyFont="1" applyFill="1"/>
    <xf numFmtId="10" fontId="9" fillId="2" borderId="0" xfId="2" applyNumberFormat="1" applyFont="1" applyFill="1"/>
    <xf numFmtId="0" fontId="3" fillId="7" borderId="2" xfId="2" applyFont="1" applyFill="1" applyBorder="1" applyAlignment="1">
      <alignment horizontal="center" vertical="center"/>
    </xf>
    <xf numFmtId="0" fontId="11" fillId="0" borderId="0" xfId="2" applyFont="1"/>
    <xf numFmtId="43" fontId="9" fillId="0" borderId="0" xfId="2" applyNumberFormat="1" applyFont="1"/>
    <xf numFmtId="58" fontId="9" fillId="0" borderId="0" xfId="2" applyNumberFormat="1" applyFont="1"/>
    <xf numFmtId="9" fontId="3" fillId="0" borderId="2" xfId="2" applyNumberFormat="1" applyFont="1" applyBorder="1"/>
    <xf numFmtId="14" fontId="3" fillId="6" borderId="2" xfId="3" applyNumberFormat="1" applyFont="1" applyFill="1" applyBorder="1" applyAlignment="1">
      <alignment horizontal="center" vertical="center"/>
    </xf>
    <xf numFmtId="10" fontId="3" fillId="6" borderId="2" xfId="3" applyNumberFormat="1" applyFont="1" applyFill="1" applyBorder="1" applyAlignment="1">
      <alignment horizontal="center" vertical="center"/>
    </xf>
    <xf numFmtId="10" fontId="3" fillId="6" borderId="2" xfId="2" applyNumberFormat="1" applyFont="1" applyFill="1" applyBorder="1"/>
    <xf numFmtId="14" fontId="3" fillId="6" borderId="0" xfId="2" applyNumberFormat="1" applyFont="1" applyFill="1" applyAlignment="1">
      <alignment horizontal="center" vertical="center"/>
    </xf>
    <xf numFmtId="43" fontId="3" fillId="6" borderId="2" xfId="3" applyFont="1" applyFill="1" applyBorder="1" applyAlignment="1">
      <alignment horizontal="center" vertical="center"/>
    </xf>
    <xf numFmtId="178" fontId="3" fillId="6" borderId="2" xfId="3" applyNumberFormat="1" applyFont="1" applyFill="1" applyBorder="1" applyAlignment="1">
      <alignment horizontal="center" vertical="center"/>
    </xf>
    <xf numFmtId="43" fontId="4" fillId="5" borderId="2" xfId="3" applyFont="1" applyFill="1" applyBorder="1" applyAlignment="1">
      <alignment horizontal="center" vertical="center"/>
    </xf>
    <xf numFmtId="43" fontId="3" fillId="0" borderId="0" xfId="2" applyNumberFormat="1" applyFont="1"/>
    <xf numFmtId="10" fontId="9" fillId="0" borderId="0" xfId="4" applyNumberFormat="1" applyFont="1" applyAlignment="1"/>
    <xf numFmtId="177" fontId="9" fillId="0" borderId="0" xfId="3" applyNumberFormat="1" applyFont="1" applyAlignment="1"/>
    <xf numFmtId="178" fontId="9" fillId="0" borderId="0" xfId="3" applyNumberFormat="1" applyFont="1" applyAlignment="1"/>
    <xf numFmtId="58" fontId="9" fillId="0" borderId="0" xfId="3" applyNumberFormat="1" applyFont="1" applyAlignment="1"/>
    <xf numFmtId="10" fontId="3" fillId="0" borderId="2" xfId="2" applyNumberFormat="1" applyFont="1" applyBorder="1"/>
    <xf numFmtId="176" fontId="9" fillId="0" borderId="0" xfId="3" applyNumberFormat="1" applyFont="1" applyAlignment="1"/>
    <xf numFmtId="0" fontId="3" fillId="6" borderId="0" xfId="2" applyFont="1" applyFill="1"/>
    <xf numFmtId="0" fontId="9" fillId="6" borderId="0" xfId="2" applyFont="1" applyFill="1"/>
    <xf numFmtId="43" fontId="9" fillId="6" borderId="0" xfId="3" applyFont="1" applyFill="1" applyAlignment="1"/>
    <xf numFmtId="0" fontId="7" fillId="0" borderId="0" xfId="2" applyAlignment="1">
      <alignment vertical="center"/>
    </xf>
    <xf numFmtId="0" fontId="12" fillId="0" borderId="0" xfId="2" applyFont="1" applyAlignment="1">
      <alignment vertical="center"/>
    </xf>
    <xf numFmtId="58" fontId="7" fillId="0" borderId="0" xfId="2" applyNumberFormat="1" applyAlignment="1">
      <alignment vertical="center"/>
    </xf>
    <xf numFmtId="178" fontId="0" fillId="0" borderId="0" xfId="3" applyNumberFormat="1" applyFont="1" applyAlignment="1">
      <alignment vertical="center"/>
    </xf>
    <xf numFmtId="0" fontId="3" fillId="0" borderId="0" xfId="2" applyFont="1" applyAlignment="1">
      <alignment horizontal="center" vertical="center"/>
    </xf>
    <xf numFmtId="0" fontId="3" fillId="0" borderId="0" xfId="2" applyFont="1" applyAlignment="1">
      <alignment vertical="center"/>
    </xf>
    <xf numFmtId="58" fontId="3" fillId="0" borderId="0" xfId="2" applyNumberFormat="1" applyFont="1"/>
    <xf numFmtId="43" fontId="3" fillId="0" borderId="0" xfId="3" applyFont="1" applyFill="1" applyBorder="1" applyAlignment="1">
      <alignment horizontal="center" vertical="center"/>
    </xf>
    <xf numFmtId="10" fontId="3" fillId="0" borderId="0" xfId="3" applyNumberFormat="1" applyFont="1" applyFill="1" applyBorder="1" applyAlignment="1">
      <alignment horizontal="center" vertical="center"/>
    </xf>
    <xf numFmtId="14" fontId="3" fillId="0" borderId="0" xfId="2" applyNumberFormat="1" applyFont="1"/>
    <xf numFmtId="58" fontId="3" fillId="0" borderId="0" xfId="2" applyNumberFormat="1" applyFont="1" applyAlignment="1">
      <alignment vertical="center"/>
    </xf>
    <xf numFmtId="180" fontId="3" fillId="0" borderId="0" xfId="2" applyNumberFormat="1" applyFont="1" applyAlignment="1">
      <alignment vertical="center"/>
    </xf>
    <xf numFmtId="181" fontId="3" fillId="0" borderId="0" xfId="2" applyNumberFormat="1" applyFont="1" applyAlignment="1">
      <alignment vertical="center"/>
    </xf>
    <xf numFmtId="43" fontId="3" fillId="0" borderId="0" xfId="2" applyNumberFormat="1" applyFont="1" applyAlignment="1">
      <alignment vertical="center"/>
    </xf>
    <xf numFmtId="0" fontId="3" fillId="0" borderId="0" xfId="2" applyFont="1" applyAlignment="1">
      <alignment horizontal="left"/>
    </xf>
    <xf numFmtId="0" fontId="3" fillId="0" borderId="0" xfId="2" applyFont="1" applyAlignment="1">
      <alignment horizontal="left" vertical="center"/>
    </xf>
    <xf numFmtId="0" fontId="3" fillId="2" borderId="0" xfId="2" applyFont="1" applyFill="1" applyAlignment="1">
      <alignment horizontal="center" vertical="center"/>
    </xf>
    <xf numFmtId="43" fontId="3" fillId="2" borderId="0" xfId="3" applyFont="1" applyFill="1" applyBorder="1" applyAlignment="1">
      <alignment horizontal="center" vertical="center"/>
    </xf>
    <xf numFmtId="10" fontId="3" fillId="2" borderId="0" xfId="3" applyNumberFormat="1" applyFont="1" applyFill="1" applyBorder="1" applyAlignment="1">
      <alignment horizontal="center" vertical="center"/>
    </xf>
    <xf numFmtId="14" fontId="3" fillId="2" borderId="0" xfId="2" applyNumberFormat="1" applyFont="1" applyFill="1"/>
    <xf numFmtId="58" fontId="3" fillId="2" borderId="0" xfId="2" applyNumberFormat="1" applyFont="1" applyFill="1" applyAlignment="1">
      <alignment vertical="center"/>
    </xf>
    <xf numFmtId="180" fontId="3" fillId="2" borderId="0" xfId="2" applyNumberFormat="1" applyFont="1" applyFill="1" applyAlignment="1">
      <alignment vertical="center"/>
    </xf>
    <xf numFmtId="0" fontId="3" fillId="2" borderId="0" xfId="2" applyFont="1" applyFill="1" applyAlignment="1">
      <alignment vertical="center"/>
    </xf>
    <xf numFmtId="43" fontId="3" fillId="2" borderId="0" xfId="2" applyNumberFormat="1" applyFont="1" applyFill="1" applyAlignment="1">
      <alignment vertical="center"/>
    </xf>
    <xf numFmtId="10" fontId="3" fillId="0" borderId="0" xfId="4" applyNumberFormat="1" applyFont="1" applyAlignment="1"/>
    <xf numFmtId="0" fontId="9" fillId="0" borderId="0" xfId="2" applyFont="1" applyAlignment="1">
      <alignment horizontal="center" vertical="center"/>
    </xf>
    <xf numFmtId="176" fontId="3" fillId="0" borderId="0" xfId="3" applyNumberFormat="1" applyFont="1" applyAlignment="1">
      <alignment horizontal="center" vertical="center"/>
    </xf>
    <xf numFmtId="43" fontId="9" fillId="0" borderId="0" xfId="3" applyFont="1" applyAlignment="1">
      <alignment horizontal="center" vertical="center"/>
    </xf>
    <xf numFmtId="176" fontId="3" fillId="0" borderId="0" xfId="3" applyNumberFormat="1" applyFont="1" applyAlignment="1"/>
    <xf numFmtId="177" fontId="3" fillId="0" borderId="0" xfId="3" applyNumberFormat="1" applyFont="1" applyAlignment="1"/>
    <xf numFmtId="10" fontId="3" fillId="0" borderId="0" xfId="2" applyNumberFormat="1" applyFont="1"/>
    <xf numFmtId="0" fontId="3" fillId="8" borderId="0" xfId="2" applyFont="1" applyFill="1" applyAlignment="1">
      <alignment horizontal="center" vertical="center"/>
    </xf>
    <xf numFmtId="0" fontId="3" fillId="9" borderId="0" xfId="2" applyFont="1" applyFill="1" applyAlignment="1">
      <alignment horizontal="center" vertical="center"/>
    </xf>
    <xf numFmtId="10" fontId="3" fillId="9" borderId="0" xfId="4" applyNumberFormat="1" applyFont="1" applyFill="1" applyAlignment="1">
      <alignment horizontal="center" vertical="center"/>
    </xf>
    <xf numFmtId="0" fontId="3" fillId="10" borderId="0" xfId="2" applyFont="1" applyFill="1"/>
    <xf numFmtId="0" fontId="3" fillId="11" borderId="0" xfId="2" applyFont="1" applyFill="1"/>
    <xf numFmtId="43" fontId="3" fillId="11" borderId="0" xfId="2" applyNumberFormat="1" applyFont="1" applyFill="1"/>
    <xf numFmtId="0" fontId="3" fillId="12" borderId="0" xfId="2" applyFont="1" applyFill="1"/>
    <xf numFmtId="43" fontId="3" fillId="10" borderId="0" xfId="2" applyNumberFormat="1" applyFont="1" applyFill="1"/>
    <xf numFmtId="9" fontId="3" fillId="0" borderId="0" xfId="2" applyNumberFormat="1" applyFont="1"/>
    <xf numFmtId="0" fontId="9" fillId="10" borderId="0" xfId="2" applyFont="1" applyFill="1"/>
    <xf numFmtId="43" fontId="7" fillId="0" borderId="0" xfId="2" applyNumberFormat="1" applyAlignment="1">
      <alignment vertical="center"/>
    </xf>
    <xf numFmtId="182" fontId="9" fillId="0" borderId="0" xfId="2" applyNumberFormat="1" applyFont="1"/>
    <xf numFmtId="182" fontId="9" fillId="0" borderId="0" xfId="3" applyNumberFormat="1" applyFont="1" applyAlignment="1"/>
    <xf numFmtId="183" fontId="9" fillId="0" borderId="0" xfId="4" applyNumberFormat="1" applyFont="1" applyAlignment="1"/>
    <xf numFmtId="176" fontId="0" fillId="0" borderId="0" xfId="1" applyNumberFormat="1" applyFont="1">
      <alignment vertical="center"/>
    </xf>
    <xf numFmtId="58" fontId="0" fillId="2" borderId="0" xfId="0" applyNumberFormat="1" applyFill="1">
      <alignment vertical="center"/>
    </xf>
    <xf numFmtId="0" fontId="17" fillId="2" borderId="0" xfId="0" applyFont="1" applyFill="1">
      <alignment vertical="center"/>
    </xf>
    <xf numFmtId="0" fontId="0" fillId="2" borderId="0" xfId="0" applyFill="1">
      <alignment vertical="center"/>
    </xf>
    <xf numFmtId="176" fontId="0" fillId="2" borderId="0" xfId="1" applyNumberFormat="1" applyFont="1" applyFill="1">
      <alignment vertical="center"/>
    </xf>
    <xf numFmtId="4" fontId="18" fillId="0" borderId="0" xfId="0" applyNumberFormat="1" applyFont="1">
      <alignment vertical="center"/>
    </xf>
    <xf numFmtId="0" fontId="18" fillId="2" borderId="0" xfId="0" applyFont="1" applyFill="1">
      <alignment vertical="center"/>
    </xf>
    <xf numFmtId="43" fontId="0" fillId="2" borderId="0" xfId="1" applyFont="1" applyFill="1">
      <alignment vertical="center"/>
    </xf>
    <xf numFmtId="58" fontId="0" fillId="0" borderId="0" xfId="0" applyNumberFormat="1">
      <alignment vertical="center"/>
    </xf>
    <xf numFmtId="0" fontId="0" fillId="0" borderId="1" xfId="0" applyBorder="1" applyAlignment="1">
      <alignment vertical="center" wrapText="1"/>
    </xf>
    <xf numFmtId="0" fontId="0" fillId="0" borderId="1" xfId="0" applyBorder="1">
      <alignment vertical="center"/>
    </xf>
    <xf numFmtId="1" fontId="26" fillId="2" borderId="0" xfId="0" applyNumberFormat="1" applyFont="1" applyFill="1">
      <alignment vertical="center"/>
    </xf>
    <xf numFmtId="0" fontId="27" fillId="0" borderId="0" xfId="0" applyFont="1">
      <alignment vertical="center"/>
    </xf>
    <xf numFmtId="0" fontId="0" fillId="6" borderId="0" xfId="0" applyFill="1">
      <alignment vertical="center"/>
    </xf>
    <xf numFmtId="1" fontId="0" fillId="2" borderId="0" xfId="1" applyNumberFormat="1" applyFont="1" applyFill="1">
      <alignment vertical="center"/>
    </xf>
    <xf numFmtId="0" fontId="19" fillId="0" borderId="0" xfId="0" applyFont="1">
      <alignment vertical="center"/>
    </xf>
    <xf numFmtId="14" fontId="0" fillId="0" borderId="0" xfId="0" applyNumberFormat="1" applyAlignment="1">
      <alignment vertical="center" wrapText="1"/>
    </xf>
    <xf numFmtId="0" fontId="26" fillId="2" borderId="0" xfId="0" applyFont="1" applyFill="1" applyAlignment="1">
      <alignment horizontal="left" vertical="center"/>
    </xf>
    <xf numFmtId="14" fontId="34" fillId="3" borderId="2" xfId="2" applyNumberFormat="1" applyFont="1" applyFill="1" applyBorder="1" applyAlignment="1">
      <alignment horizontal="center" vertical="center" wrapText="1"/>
    </xf>
    <xf numFmtId="0" fontId="8" fillId="0" borderId="0" xfId="2" applyFont="1"/>
    <xf numFmtId="176" fontId="34" fillId="3" borderId="2" xfId="1" applyNumberFormat="1" applyFont="1" applyFill="1" applyBorder="1" applyAlignment="1">
      <alignment horizontal="center" vertical="center" wrapText="1"/>
    </xf>
    <xf numFmtId="176" fontId="8" fillId="0" borderId="0" xfId="1" applyNumberFormat="1" applyFont="1" applyAlignment="1"/>
    <xf numFmtId="14" fontId="8" fillId="0" borderId="0" xfId="2" applyNumberFormat="1" applyFont="1"/>
    <xf numFmtId="176" fontId="34" fillId="4" borderId="2" xfId="1" applyNumberFormat="1" applyFont="1" applyFill="1" applyBorder="1" applyAlignment="1">
      <alignment horizontal="center" vertical="center" wrapText="1"/>
    </xf>
    <xf numFmtId="0" fontId="8" fillId="0" borderId="4" xfId="2" applyFont="1" applyBorder="1"/>
    <xf numFmtId="14" fontId="8" fillId="0" borderId="4" xfId="2" applyNumberFormat="1" applyFont="1" applyBorder="1"/>
    <xf numFmtId="176" fontId="8" fillId="0" borderId="4" xfId="1" applyNumberFormat="1" applyFont="1" applyBorder="1" applyAlignment="1"/>
    <xf numFmtId="176" fontId="8" fillId="0" borderId="0" xfId="1" applyNumberFormat="1" applyFont="1" applyBorder="1" applyAlignment="1"/>
    <xf numFmtId="10" fontId="34" fillId="3" borderId="2" xfId="5" applyNumberFormat="1" applyFont="1" applyFill="1" applyBorder="1" applyAlignment="1">
      <alignment horizontal="center" vertical="center" wrapText="1"/>
    </xf>
    <xf numFmtId="10" fontId="8" fillId="0" borderId="0" xfId="5" applyNumberFormat="1" applyFont="1" applyAlignment="1"/>
    <xf numFmtId="10" fontId="8" fillId="0" borderId="4" xfId="5" applyNumberFormat="1" applyFont="1" applyBorder="1" applyAlignment="1"/>
    <xf numFmtId="10" fontId="8" fillId="0" borderId="0" xfId="5" applyNumberFormat="1" applyFont="1" applyBorder="1" applyAlignment="1"/>
    <xf numFmtId="176" fontId="34" fillId="0" borderId="0" xfId="1" applyNumberFormat="1" applyFont="1" applyAlignment="1"/>
    <xf numFmtId="14" fontId="8" fillId="0" borderId="0" xfId="1" applyNumberFormat="1" applyFont="1" applyAlignment="1"/>
    <xf numFmtId="14" fontId="34" fillId="3" borderId="2" xfId="1" applyNumberFormat="1" applyFont="1" applyFill="1" applyBorder="1" applyAlignment="1">
      <alignment horizontal="center" vertical="center" wrapText="1"/>
    </xf>
    <xf numFmtId="14" fontId="8" fillId="0" borderId="4" xfId="1" applyNumberFormat="1" applyFont="1" applyBorder="1" applyAlignment="1"/>
    <xf numFmtId="14" fontId="34" fillId="0" borderId="0" xfId="1" applyNumberFormat="1" applyFont="1" applyAlignment="1"/>
    <xf numFmtId="9" fontId="0" fillId="0" borderId="0" xfId="0" applyNumberFormat="1">
      <alignment vertical="center"/>
    </xf>
    <xf numFmtId="0" fontId="35" fillId="14" borderId="0" xfId="0" applyFont="1" applyFill="1">
      <alignment vertical="center"/>
    </xf>
    <xf numFmtId="0" fontId="35" fillId="15" borderId="0" xfId="0" applyFont="1" applyFill="1">
      <alignment vertical="center"/>
    </xf>
    <xf numFmtId="0" fontId="5" fillId="16" borderId="0" xfId="0" applyFont="1" applyFill="1">
      <alignment vertical="center"/>
    </xf>
    <xf numFmtId="10" fontId="0" fillId="0" borderId="0" xfId="0" applyNumberFormat="1">
      <alignment vertical="center"/>
    </xf>
    <xf numFmtId="183" fontId="0" fillId="0" borderId="0" xfId="5" applyNumberFormat="1" applyFont="1">
      <alignment vertical="center"/>
    </xf>
    <xf numFmtId="0" fontId="3" fillId="0" borderId="0" xfId="0" applyFont="1">
      <alignment vertical="center"/>
    </xf>
    <xf numFmtId="14" fontId="4" fillId="0" borderId="0" xfId="0" applyNumberFormat="1" applyFont="1">
      <alignment vertical="center"/>
    </xf>
    <xf numFmtId="14" fontId="4" fillId="0" borderId="0" xfId="5" applyNumberFormat="1" applyFont="1">
      <alignment vertical="center"/>
    </xf>
    <xf numFmtId="178" fontId="0" fillId="0" borderId="0" xfId="1" applyNumberFormat="1" applyFont="1">
      <alignment vertical="center"/>
    </xf>
    <xf numFmtId="14" fontId="0" fillId="2" borderId="0" xfId="0" applyNumberFormat="1" applyFill="1" applyAlignment="1">
      <alignment horizontal="center" vertical="center"/>
    </xf>
    <xf numFmtId="176" fontId="0" fillId="2" borderId="0" xfId="1" applyNumberFormat="1" applyFont="1" applyFill="1" applyBorder="1">
      <alignment vertical="center"/>
    </xf>
    <xf numFmtId="9" fontId="0" fillId="0" borderId="0" xfId="1" applyNumberFormat="1" applyFont="1">
      <alignment vertical="center"/>
    </xf>
    <xf numFmtId="58" fontId="18" fillId="2" borderId="0" xfId="0" applyNumberFormat="1" applyFont="1" applyFill="1">
      <alignment vertical="center"/>
    </xf>
    <xf numFmtId="0" fontId="31" fillId="2" borderId="0" xfId="0" applyFont="1" applyFill="1">
      <alignment vertical="center"/>
    </xf>
    <xf numFmtId="178" fontId="8" fillId="0" borderId="0" xfId="1" applyNumberFormat="1" applyFont="1" applyAlignment="1"/>
    <xf numFmtId="0" fontId="21" fillId="2" borderId="0" xfId="0" applyFont="1" applyFill="1">
      <alignment vertical="center"/>
    </xf>
    <xf numFmtId="10" fontId="0" fillId="0" borderId="0" xfId="5" applyNumberFormat="1" applyFont="1">
      <alignment vertical="center"/>
    </xf>
    <xf numFmtId="0" fontId="0" fillId="0" borderId="0" xfId="0" quotePrefix="1">
      <alignment vertical="center"/>
    </xf>
    <xf numFmtId="43" fontId="0" fillId="0" borderId="0" xfId="0" applyNumberFormat="1">
      <alignment vertical="center"/>
    </xf>
    <xf numFmtId="43" fontId="0" fillId="0" borderId="0" xfId="1" applyFont="1" applyFill="1" applyBorder="1">
      <alignment vertical="center"/>
    </xf>
    <xf numFmtId="10" fontId="0" fillId="0" borderId="0" xfId="1" applyNumberFormat="1" applyFont="1">
      <alignment vertical="center"/>
    </xf>
    <xf numFmtId="0" fontId="0" fillId="2" borderId="1" xfId="0" applyFill="1" applyBorder="1">
      <alignment vertical="center"/>
    </xf>
    <xf numFmtId="0" fontId="5" fillId="0" borderId="0" xfId="0" applyFont="1">
      <alignment vertical="center"/>
    </xf>
    <xf numFmtId="176" fontId="0" fillId="6" borderId="0" xfId="1" applyNumberFormat="1" applyFont="1" applyFill="1" applyBorder="1">
      <alignment vertical="center"/>
    </xf>
    <xf numFmtId="0" fontId="32" fillId="2" borderId="0" xfId="0" applyFont="1" applyFill="1">
      <alignment vertical="center"/>
    </xf>
    <xf numFmtId="0" fontId="0" fillId="5" borderId="0" xfId="0" applyFill="1">
      <alignment vertical="center"/>
    </xf>
    <xf numFmtId="43" fontId="0" fillId="5" borderId="0" xfId="1" applyFont="1" applyFill="1">
      <alignment vertical="center"/>
    </xf>
    <xf numFmtId="179" fontId="0" fillId="5" borderId="0" xfId="1" applyNumberFormat="1" applyFont="1" applyFill="1">
      <alignment vertical="center"/>
    </xf>
    <xf numFmtId="184" fontId="8" fillId="0" borderId="0" xfId="2" applyNumberFormat="1" applyFont="1"/>
    <xf numFmtId="0" fontId="8" fillId="0" borderId="0" xfId="2" applyFont="1" applyAlignment="1">
      <alignment wrapText="1"/>
    </xf>
    <xf numFmtId="14" fontId="34" fillId="3" borderId="0" xfId="1" applyNumberFormat="1" applyFont="1" applyFill="1" applyAlignment="1">
      <alignment horizontal="center" vertical="center" wrapText="1"/>
    </xf>
    <xf numFmtId="0" fontId="8" fillId="6" borderId="0" xfId="2" applyFont="1" applyFill="1"/>
    <xf numFmtId="10" fontId="8" fillId="6" borderId="0" xfId="5" applyNumberFormat="1" applyFont="1" applyFill="1" applyAlignment="1"/>
    <xf numFmtId="14" fontId="8" fillId="6" borderId="0" xfId="2" applyNumberFormat="1" applyFont="1" applyFill="1"/>
    <xf numFmtId="176" fontId="8" fillId="6" borderId="0" xfId="1" applyNumberFormat="1" applyFont="1" applyFill="1" applyAlignment="1"/>
    <xf numFmtId="14" fontId="8" fillId="6" borderId="0" xfId="1" applyNumberFormat="1" applyFont="1" applyFill="1" applyAlignment="1"/>
    <xf numFmtId="0" fontId="5" fillId="6" borderId="0" xfId="0" applyFont="1" applyFill="1">
      <alignment vertical="center"/>
    </xf>
    <xf numFmtId="0" fontId="0" fillId="0" borderId="0" xfId="0" applyAlignment="1">
      <alignment horizontal="right" vertical="center"/>
    </xf>
    <xf numFmtId="2" fontId="0" fillId="0" borderId="0" xfId="0" applyNumberFormat="1">
      <alignment vertical="center"/>
    </xf>
    <xf numFmtId="43" fontId="5" fillId="0" borderId="0" xfId="0" applyNumberFormat="1" applyFont="1">
      <alignment vertical="center"/>
    </xf>
    <xf numFmtId="176" fontId="8" fillId="0" borderId="0" xfId="2" applyNumberFormat="1" applyFont="1"/>
    <xf numFmtId="0" fontId="23" fillId="2" borderId="0" xfId="0" applyFont="1" applyFill="1">
      <alignment vertical="center"/>
    </xf>
    <xf numFmtId="10" fontId="0" fillId="2" borderId="0" xfId="0" applyNumberFormat="1" applyFill="1">
      <alignment vertical="center"/>
    </xf>
    <xf numFmtId="0" fontId="36" fillId="0" borderId="0" xfId="0" applyFont="1">
      <alignment vertical="center"/>
    </xf>
    <xf numFmtId="0" fontId="37" fillId="17" borderId="0" xfId="0" applyFont="1" applyFill="1">
      <alignment vertical="center"/>
    </xf>
    <xf numFmtId="43" fontId="37" fillId="17" borderId="0" xfId="1" applyFont="1" applyFill="1">
      <alignment vertical="center"/>
    </xf>
    <xf numFmtId="10" fontId="37" fillId="17" borderId="0" xfId="5" applyNumberFormat="1" applyFont="1" applyFill="1">
      <alignment vertical="center"/>
    </xf>
    <xf numFmtId="58" fontId="37" fillId="17" borderId="0" xfId="0" applyNumberFormat="1" applyFont="1" applyFill="1">
      <alignment vertical="center"/>
    </xf>
    <xf numFmtId="0" fontId="37" fillId="0" borderId="0" xfId="0" applyFont="1">
      <alignment vertical="center"/>
    </xf>
    <xf numFmtId="10" fontId="8" fillId="0" borderId="0" xfId="5" applyNumberFormat="1" applyFont="1" applyFill="1" applyAlignment="1"/>
    <xf numFmtId="176" fontId="8" fillId="0" borderId="0" xfId="1" applyNumberFormat="1" applyFont="1" applyFill="1" applyAlignment="1"/>
    <xf numFmtId="14" fontId="8" fillId="0" borderId="0" xfId="1" applyNumberFormat="1" applyFont="1" applyFill="1" applyAlignment="1"/>
    <xf numFmtId="179" fontId="0" fillId="0" borderId="0" xfId="0" applyNumberFormat="1">
      <alignment vertical="center"/>
    </xf>
    <xf numFmtId="0" fontId="26" fillId="13" borderId="3" xfId="0" applyFont="1" applyFill="1" applyBorder="1" applyAlignment="1">
      <alignment horizontal="left" vertical="center"/>
    </xf>
    <xf numFmtId="0" fontId="4" fillId="0" borderId="0" xfId="0" applyFont="1">
      <alignment vertical="center"/>
    </xf>
    <xf numFmtId="0" fontId="29" fillId="2" borderId="3" xfId="0" applyFont="1" applyFill="1" applyBorder="1" applyAlignment="1">
      <alignment horizontal="center" vertical="center"/>
    </xf>
    <xf numFmtId="0" fontId="30" fillId="2" borderId="3" xfId="0" applyFont="1" applyFill="1" applyBorder="1" applyAlignment="1">
      <alignment horizontal="center" vertical="center"/>
    </xf>
    <xf numFmtId="0" fontId="17" fillId="2" borderId="0" xfId="0" applyFont="1" applyFill="1" applyAlignment="1">
      <alignment horizontal="center" vertical="center"/>
    </xf>
    <xf numFmtId="10" fontId="9" fillId="0" borderId="0" xfId="5" applyNumberFormat="1" applyFont="1" applyAlignment="1"/>
    <xf numFmtId="179" fontId="0" fillId="17" borderId="0" xfId="1" applyNumberFormat="1" applyFont="1" applyFill="1">
      <alignment vertical="center"/>
    </xf>
    <xf numFmtId="0" fontId="0" fillId="17" borderId="0" xfId="0" applyFill="1">
      <alignment vertical="center"/>
    </xf>
    <xf numFmtId="185" fontId="0" fillId="0" borderId="0" xfId="0" applyNumberFormat="1">
      <alignment vertical="center"/>
    </xf>
    <xf numFmtId="43" fontId="3" fillId="2" borderId="0" xfId="1" applyFont="1" applyFill="1">
      <alignment vertical="center"/>
    </xf>
    <xf numFmtId="43" fontId="3" fillId="2" borderId="0" xfId="1" applyFont="1" applyFill="1" applyAlignment="1"/>
    <xf numFmtId="14" fontId="0" fillId="2" borderId="0" xfId="0" applyNumberFormat="1" applyFill="1">
      <alignment vertical="center"/>
    </xf>
    <xf numFmtId="0" fontId="26" fillId="2" borderId="3" xfId="0" applyFont="1" applyFill="1" applyBorder="1" applyAlignment="1">
      <alignment horizontal="left" vertical="center"/>
    </xf>
    <xf numFmtId="43" fontId="0" fillId="2" borderId="0" xfId="0" applyNumberFormat="1" applyFill="1">
      <alignment vertical="center"/>
    </xf>
    <xf numFmtId="179" fontId="0" fillId="2" borderId="0" xfId="1" applyNumberFormat="1" applyFont="1" applyFill="1">
      <alignment vertical="center"/>
    </xf>
    <xf numFmtId="10" fontId="5" fillId="0" borderId="0" xfId="5" applyNumberFormat="1" applyFont="1">
      <alignment vertical="center"/>
    </xf>
    <xf numFmtId="43" fontId="4" fillId="6" borderId="0" xfId="1" applyFont="1" applyFill="1">
      <alignment vertical="center"/>
    </xf>
    <xf numFmtId="0" fontId="0" fillId="0" borderId="0" xfId="0" applyAlignment="1">
      <alignment horizontal="left" vertical="center"/>
    </xf>
    <xf numFmtId="0" fontId="0" fillId="2" borderId="0" xfId="0" applyFill="1" applyAlignment="1">
      <alignment horizontal="left" vertical="center"/>
    </xf>
    <xf numFmtId="176" fontId="0" fillId="2" borderId="0" xfId="0" applyNumberFormat="1" applyFill="1">
      <alignment vertical="center"/>
    </xf>
    <xf numFmtId="0" fontId="19" fillId="2" borderId="0" xfId="0" applyFont="1" applyFill="1">
      <alignment vertical="center"/>
    </xf>
    <xf numFmtId="0" fontId="0" fillId="0" borderId="1" xfId="0" applyBorder="1" applyAlignment="1">
      <alignment horizontal="left" vertical="center"/>
    </xf>
    <xf numFmtId="0" fontId="22" fillId="2" borderId="0" xfId="0" applyFont="1" applyFill="1">
      <alignment vertical="center"/>
    </xf>
    <xf numFmtId="43" fontId="0" fillId="0" borderId="0" xfId="1" applyFont="1" applyBorder="1">
      <alignment vertical="center"/>
    </xf>
    <xf numFmtId="0" fontId="0" fillId="2" borderId="0" xfId="0" applyFill="1" applyAlignment="1"/>
    <xf numFmtId="14" fontId="0" fillId="0" borderId="1" xfId="1" applyNumberFormat="1" applyFont="1" applyBorder="1">
      <alignment vertical="center"/>
    </xf>
    <xf numFmtId="58" fontId="0" fillId="0" borderId="1" xfId="0" applyNumberFormat="1" applyBorder="1">
      <alignment vertical="center"/>
    </xf>
    <xf numFmtId="0" fontId="38" fillId="2" borderId="0" xfId="0" applyFont="1" applyFill="1">
      <alignment vertical="center"/>
    </xf>
    <xf numFmtId="58" fontId="14" fillId="2" borderId="0" xfId="5" applyNumberFormat="1" applyFont="1" applyFill="1">
      <alignment vertical="center"/>
    </xf>
    <xf numFmtId="0" fontId="39" fillId="2" borderId="0" xfId="0" applyFont="1" applyFill="1">
      <alignment vertical="center"/>
    </xf>
    <xf numFmtId="43" fontId="40" fillId="2" borderId="0" xfId="1" applyFont="1" applyFill="1">
      <alignment vertical="center"/>
    </xf>
    <xf numFmtId="43" fontId="41" fillId="2" borderId="0" xfId="1" applyFont="1" applyFill="1">
      <alignment vertical="center"/>
    </xf>
    <xf numFmtId="43" fontId="42" fillId="2" borderId="0" xfId="1" applyFont="1" applyFill="1">
      <alignment vertical="center"/>
    </xf>
    <xf numFmtId="43" fontId="14" fillId="2" borderId="0" xfId="1" applyFont="1" applyFill="1">
      <alignment vertical="center"/>
    </xf>
    <xf numFmtId="58" fontId="14" fillId="0" borderId="0" xfId="5" applyNumberFormat="1" applyFont="1">
      <alignment vertical="center"/>
    </xf>
    <xf numFmtId="0" fontId="39" fillId="0" borderId="0" xfId="0" applyFont="1">
      <alignment vertical="center"/>
    </xf>
    <xf numFmtId="43" fontId="43" fillId="0" borderId="0" xfId="1" applyFont="1">
      <alignment vertical="center"/>
    </xf>
    <xf numFmtId="43" fontId="14" fillId="0" borderId="0" xfId="1" applyFont="1">
      <alignment vertical="center"/>
    </xf>
    <xf numFmtId="43" fontId="39" fillId="0" borderId="0" xfId="1" applyFont="1">
      <alignment vertical="center"/>
    </xf>
    <xf numFmtId="43" fontId="39" fillId="2" borderId="0" xfId="1" applyFont="1" applyFill="1">
      <alignment vertical="center"/>
    </xf>
    <xf numFmtId="9" fontId="0" fillId="2" borderId="0" xfId="0" applyNumberFormat="1" applyFill="1">
      <alignment vertical="center"/>
    </xf>
    <xf numFmtId="0" fontId="8" fillId="2" borderId="0" xfId="2" applyFont="1" applyFill="1"/>
    <xf numFmtId="176" fontId="8" fillId="2" borderId="0" xfId="1" applyNumberFormat="1" applyFont="1" applyFill="1" applyAlignment="1"/>
    <xf numFmtId="182" fontId="0" fillId="0" borderId="0" xfId="0" applyNumberFormat="1">
      <alignment vertical="center"/>
    </xf>
    <xf numFmtId="43" fontId="39" fillId="0" borderId="0" xfId="1" applyFont="1" applyFill="1" applyBorder="1">
      <alignment vertical="center"/>
    </xf>
    <xf numFmtId="1" fontId="26" fillId="0" borderId="0" xfId="0" applyNumberFormat="1" applyFont="1">
      <alignment vertical="center"/>
    </xf>
    <xf numFmtId="0" fontId="8" fillId="19" borderId="0" xfId="2" applyFont="1" applyFill="1"/>
    <xf numFmtId="176" fontId="8" fillId="19" borderId="0" xfId="1" applyNumberFormat="1" applyFont="1" applyFill="1" applyAlignment="1"/>
    <xf numFmtId="43" fontId="5" fillId="0" borderId="0" xfId="1" applyFont="1">
      <alignment vertical="center"/>
    </xf>
    <xf numFmtId="0" fontId="47" fillId="0" borderId="0" xfId="2" applyFont="1"/>
    <xf numFmtId="43" fontId="0" fillId="0" borderId="0" xfId="1" applyFont="1" applyFill="1">
      <alignment vertical="center"/>
    </xf>
    <xf numFmtId="58" fontId="21" fillId="2" borderId="0" xfId="0" applyNumberFormat="1" applyFont="1" applyFill="1">
      <alignment vertical="center"/>
    </xf>
    <xf numFmtId="14" fontId="26" fillId="2" borderId="0" xfId="0" applyNumberFormat="1" applyFont="1" applyFill="1" applyAlignment="1">
      <alignment horizontal="center" vertical="center"/>
    </xf>
    <xf numFmtId="0" fontId="26" fillId="2" borderId="0" xfId="0" applyFont="1" applyFill="1">
      <alignment vertical="center"/>
    </xf>
    <xf numFmtId="176" fontId="8" fillId="20" borderId="0" xfId="1" applyNumberFormat="1" applyFont="1" applyFill="1" applyAlignment="1"/>
    <xf numFmtId="10" fontId="0" fillId="20" borderId="0" xfId="5" applyNumberFormat="1" applyFont="1" applyFill="1">
      <alignment vertical="center"/>
    </xf>
    <xf numFmtId="14" fontId="0" fillId="20" borderId="0" xfId="0" applyNumberFormat="1" applyFill="1">
      <alignment vertical="center"/>
    </xf>
    <xf numFmtId="0" fontId="0" fillId="20" borderId="0" xfId="0" applyFill="1">
      <alignment vertical="center"/>
    </xf>
    <xf numFmtId="43" fontId="0" fillId="20" borderId="0" xfId="1" applyFont="1" applyFill="1">
      <alignment vertical="center"/>
    </xf>
    <xf numFmtId="4" fontId="0" fillId="0" borderId="0" xfId="0" applyNumberFormat="1">
      <alignment vertical="center"/>
    </xf>
    <xf numFmtId="58" fontId="0" fillId="20" borderId="0" xfId="0" applyNumberFormat="1" applyFill="1">
      <alignment vertical="center"/>
    </xf>
    <xf numFmtId="10" fontId="0" fillId="20" borderId="0" xfId="0" applyNumberFormat="1" applyFill="1">
      <alignment vertical="center"/>
    </xf>
    <xf numFmtId="0" fontId="23" fillId="20" borderId="0" xfId="0" applyFont="1" applyFill="1">
      <alignment vertical="center"/>
    </xf>
    <xf numFmtId="183" fontId="0" fillId="0" borderId="0" xfId="0" applyNumberFormat="1">
      <alignment vertical="center"/>
    </xf>
    <xf numFmtId="182" fontId="7" fillId="0" borderId="0" xfId="2" applyNumberFormat="1" applyAlignment="1">
      <alignment vertical="center"/>
    </xf>
    <xf numFmtId="43" fontId="9" fillId="0" borderId="0" xfId="1" applyFont="1" applyAlignment="1"/>
    <xf numFmtId="14" fontId="0" fillId="0" borderId="0" xfId="1" applyNumberFormat="1" applyFont="1">
      <alignment vertical="center"/>
    </xf>
    <xf numFmtId="58" fontId="25" fillId="2" borderId="0" xfId="5" applyNumberFormat="1" applyFont="1" applyFill="1">
      <alignment vertical="center"/>
    </xf>
    <xf numFmtId="0" fontId="27" fillId="2" borderId="0" xfId="0" applyFont="1" applyFill="1">
      <alignment vertical="center"/>
    </xf>
    <xf numFmtId="43" fontId="44" fillId="2" borderId="0" xfId="1" applyFont="1" applyFill="1">
      <alignment vertical="center"/>
    </xf>
    <xf numFmtId="58" fontId="8" fillId="2" borderId="0" xfId="5" applyNumberFormat="1" applyFont="1" applyFill="1">
      <alignment vertical="center"/>
    </xf>
    <xf numFmtId="43" fontId="46" fillId="2" borderId="0" xfId="1" applyFont="1" applyFill="1">
      <alignment vertical="center"/>
    </xf>
    <xf numFmtId="43" fontId="8" fillId="2" borderId="0" xfId="1" applyFont="1" applyFill="1">
      <alignment vertical="center"/>
    </xf>
    <xf numFmtId="0" fontId="8" fillId="2" borderId="0" xfId="0" applyFont="1" applyFill="1">
      <alignment vertical="center"/>
    </xf>
    <xf numFmtId="0" fontId="4" fillId="2" borderId="0" xfId="0" applyFont="1" applyFill="1">
      <alignment vertical="center"/>
    </xf>
    <xf numFmtId="179" fontId="0" fillId="2" borderId="0" xfId="0" applyNumberFormat="1" applyFill="1">
      <alignment vertical="center"/>
    </xf>
    <xf numFmtId="0" fontId="0" fillId="0" borderId="0" xfId="0" applyAlignment="1">
      <alignment horizontal="center" vertical="center"/>
    </xf>
    <xf numFmtId="10" fontId="8" fillId="0" borderId="0" xfId="5" applyNumberFormat="1" applyFont="1">
      <alignment vertical="center"/>
    </xf>
    <xf numFmtId="14" fontId="8" fillId="0" borderId="0" xfId="2" applyNumberFormat="1" applyFont="1" applyAlignment="1">
      <alignment horizontal="center"/>
    </xf>
    <xf numFmtId="58" fontId="0" fillId="0" borderId="0" xfId="1" applyNumberFormat="1" applyFont="1">
      <alignment vertical="center"/>
    </xf>
    <xf numFmtId="14" fontId="50" fillId="5" borderId="0" xfId="0" applyNumberFormat="1" applyFont="1" applyFill="1" applyAlignment="1">
      <alignment horizontal="center" vertical="center"/>
    </xf>
    <xf numFmtId="177" fontId="50" fillId="5" borderId="0" xfId="1" applyNumberFormat="1" applyFont="1" applyFill="1" applyAlignment="1">
      <alignment horizontal="center" vertical="center"/>
    </xf>
    <xf numFmtId="177" fontId="0" fillId="0" borderId="0" xfId="1" applyNumberFormat="1" applyFont="1">
      <alignment vertical="center"/>
    </xf>
    <xf numFmtId="14" fontId="8" fillId="0" borderId="0" xfId="0" applyNumberFormat="1" applyFont="1">
      <alignment vertical="center"/>
    </xf>
    <xf numFmtId="14" fontId="0" fillId="2" borderId="0" xfId="0" applyNumberFormat="1" applyFill="1" applyAlignment="1">
      <alignment horizontal="left" vertical="center"/>
    </xf>
    <xf numFmtId="43" fontId="0" fillId="2" borderId="0" xfId="1" applyFont="1" applyFill="1" applyBorder="1">
      <alignment vertical="center"/>
    </xf>
    <xf numFmtId="14" fontId="4" fillId="2" borderId="0" xfId="0" applyNumberFormat="1" applyFont="1" applyFill="1" applyAlignment="1">
      <alignment horizontal="center" vertical="center"/>
    </xf>
    <xf numFmtId="0" fontId="47" fillId="2" borderId="0" xfId="2" applyFont="1" applyFill="1"/>
    <xf numFmtId="177" fontId="7" fillId="0" borderId="0" xfId="1" applyNumberFormat="1" applyFont="1" applyAlignment="1">
      <alignment vertical="center"/>
    </xf>
    <xf numFmtId="177" fontId="0" fillId="0" borderId="1" xfId="1" applyNumberFormat="1" applyFont="1" applyBorder="1">
      <alignment vertical="center"/>
    </xf>
    <xf numFmtId="177" fontId="0" fillId="0" borderId="0" xfId="1" applyNumberFormat="1" applyFont="1" applyBorder="1">
      <alignment vertical="center"/>
    </xf>
    <xf numFmtId="0" fontId="26" fillId="13" borderId="2" xfId="0" applyFont="1" applyFill="1" applyBorder="1">
      <alignment vertical="center"/>
    </xf>
    <xf numFmtId="0" fontId="26" fillId="6" borderId="2" xfId="0" applyFont="1" applyFill="1" applyBorder="1">
      <alignment vertical="center"/>
    </xf>
    <xf numFmtId="58" fontId="4" fillId="2" borderId="0" xfId="0" applyNumberFormat="1" applyFont="1" applyFill="1">
      <alignment vertical="center"/>
    </xf>
    <xf numFmtId="43" fontId="48" fillId="2" borderId="0" xfId="1" applyFont="1" applyFill="1">
      <alignment vertical="center"/>
    </xf>
    <xf numFmtId="43" fontId="49" fillId="2" borderId="0" xfId="1" applyFont="1" applyFill="1">
      <alignment vertical="center"/>
    </xf>
    <xf numFmtId="179" fontId="51" fillId="0" borderId="0" xfId="0" applyNumberFormat="1" applyFont="1">
      <alignment vertical="center"/>
    </xf>
    <xf numFmtId="0" fontId="51" fillId="2" borderId="0" xfId="0" applyFont="1" applyFill="1">
      <alignment vertical="center"/>
    </xf>
    <xf numFmtId="0" fontId="0" fillId="21" borderId="0" xfId="0" applyFill="1">
      <alignment vertical="center"/>
    </xf>
    <xf numFmtId="0" fontId="0" fillId="9" borderId="0" xfId="0" applyFill="1">
      <alignment vertical="center"/>
    </xf>
    <xf numFmtId="43" fontId="25" fillId="2" borderId="0" xfId="1" applyFont="1" applyFill="1">
      <alignment vertical="center"/>
    </xf>
    <xf numFmtId="43" fontId="27" fillId="2" borderId="0" xfId="1" applyFont="1" applyFill="1">
      <alignment vertical="center"/>
    </xf>
    <xf numFmtId="0" fontId="45" fillId="2" borderId="0" xfId="0" applyFont="1" applyFill="1">
      <alignment vertical="center"/>
    </xf>
    <xf numFmtId="43" fontId="8" fillId="0" borderId="0" xfId="1" applyFont="1" applyAlignment="1"/>
    <xf numFmtId="14" fontId="3" fillId="5" borderId="0" xfId="0" applyNumberFormat="1" applyFont="1" applyFill="1" applyAlignment="1">
      <alignment horizontal="center" vertical="center"/>
    </xf>
    <xf numFmtId="178" fontId="0" fillId="0" borderId="0" xfId="1" applyNumberFormat="1" applyFont="1" applyAlignment="1"/>
    <xf numFmtId="43" fontId="52" fillId="6" borderId="0" xfId="1" applyFont="1" applyFill="1">
      <alignment vertical="center"/>
    </xf>
    <xf numFmtId="0" fontId="0" fillId="0" borderId="0" xfId="0" applyAlignment="1">
      <alignment horizontal="left" vertical="center" wrapText="1"/>
    </xf>
    <xf numFmtId="0" fontId="26" fillId="0" borderId="0" xfId="0" applyFont="1">
      <alignment vertical="center"/>
    </xf>
    <xf numFmtId="0" fontId="9" fillId="12" borderId="2" xfId="0" applyFont="1" applyFill="1" applyBorder="1">
      <alignment vertical="center"/>
    </xf>
    <xf numFmtId="9" fontId="9" fillId="12" borderId="2" xfId="0" applyNumberFormat="1" applyFont="1" applyFill="1" applyBorder="1">
      <alignment vertical="center"/>
    </xf>
    <xf numFmtId="188" fontId="0" fillId="0" borderId="0" xfId="0" applyNumberFormat="1">
      <alignment vertical="center"/>
    </xf>
    <xf numFmtId="187" fontId="54" fillId="0" borderId="5" xfId="0" applyNumberFormat="1" applyFont="1" applyBorder="1">
      <alignment vertical="center"/>
    </xf>
    <xf numFmtId="187" fontId="53" fillId="0" borderId="5" xfId="0" applyNumberFormat="1" applyFont="1" applyBorder="1">
      <alignment vertical="center"/>
    </xf>
    <xf numFmtId="187" fontId="54" fillId="0" borderId="0" xfId="0" applyNumberFormat="1" applyFont="1">
      <alignment vertical="center"/>
    </xf>
    <xf numFmtId="43" fontId="39" fillId="2" borderId="0" xfId="1" applyFont="1" applyFill="1" applyBorder="1">
      <alignment vertical="center"/>
    </xf>
    <xf numFmtId="0" fontId="27" fillId="2" borderId="0" xfId="0" applyFont="1" applyFill="1" applyAlignment="1">
      <alignment horizontal="left" vertical="center"/>
    </xf>
    <xf numFmtId="43" fontId="39" fillId="2" borderId="0" xfId="1" applyFont="1" applyFill="1" applyBorder="1" applyAlignment="1">
      <alignment horizontal="left" vertical="center"/>
    </xf>
    <xf numFmtId="0" fontId="56" fillId="0" borderId="0" xfId="0" applyFont="1" applyAlignment="1">
      <alignment horizontal="left" vertical="center"/>
    </xf>
    <xf numFmtId="0" fontId="56" fillId="0" borderId="0" xfId="0" applyFont="1">
      <alignment vertical="center"/>
    </xf>
    <xf numFmtId="0" fontId="26" fillId="2" borderId="2" xfId="0" applyFont="1" applyFill="1" applyBorder="1">
      <alignment vertical="center"/>
    </xf>
    <xf numFmtId="176" fontId="0" fillId="0" borderId="0" xfId="1" applyNumberFormat="1" applyFont="1" applyFill="1">
      <alignment vertical="center"/>
    </xf>
    <xf numFmtId="0" fontId="0" fillId="5" borderId="2" xfId="2" applyFont="1" applyFill="1" applyBorder="1" applyAlignment="1">
      <alignment horizontal="center" vertical="center"/>
    </xf>
    <xf numFmtId="0" fontId="3" fillId="5" borderId="2" xfId="2" applyFont="1" applyFill="1" applyBorder="1" applyAlignment="1">
      <alignment horizontal="left" vertical="center"/>
    </xf>
    <xf numFmtId="0" fontId="57" fillId="0" borderId="0" xfId="0" applyFont="1">
      <alignment vertical="center"/>
    </xf>
    <xf numFmtId="43" fontId="4" fillId="0" borderId="0" xfId="1" applyFont="1">
      <alignment vertical="center"/>
    </xf>
    <xf numFmtId="0" fontId="0" fillId="0" borderId="0" xfId="0" applyAlignment="1"/>
    <xf numFmtId="43" fontId="44" fillId="2" borderId="0" xfId="1" applyFont="1" applyFill="1" applyAlignment="1">
      <alignment vertical="center"/>
    </xf>
    <xf numFmtId="176" fontId="0" fillId="2" borderId="0" xfId="1" applyNumberFormat="1" applyFont="1" applyFill="1" applyAlignment="1">
      <alignment vertical="center"/>
    </xf>
    <xf numFmtId="43" fontId="27" fillId="2" borderId="0" xfId="1" applyFont="1" applyFill="1" applyAlignment="1">
      <alignment vertical="center"/>
    </xf>
    <xf numFmtId="43" fontId="25" fillId="2" borderId="0" xfId="1" applyFont="1" applyFill="1" applyAlignment="1">
      <alignment vertical="center"/>
    </xf>
    <xf numFmtId="43" fontId="28" fillId="2" borderId="0" xfId="1" applyFont="1" applyFill="1">
      <alignment vertical="center"/>
    </xf>
    <xf numFmtId="186" fontId="0" fillId="2" borderId="0" xfId="1" applyNumberFormat="1" applyFont="1" applyFill="1">
      <alignment vertical="center"/>
    </xf>
    <xf numFmtId="185" fontId="9" fillId="0" borderId="0" xfId="2" applyNumberFormat="1" applyFont="1"/>
    <xf numFmtId="10" fontId="4" fillId="0" borderId="0" xfId="5" applyNumberFormat="1" applyFont="1">
      <alignment vertical="center"/>
    </xf>
    <xf numFmtId="176" fontId="9" fillId="0" borderId="0" xfId="1" applyNumberFormat="1" applyFont="1" applyAlignment="1"/>
    <xf numFmtId="189" fontId="0" fillId="0" borderId="0" xfId="1" applyNumberFormat="1" applyFont="1">
      <alignment vertical="center"/>
    </xf>
    <xf numFmtId="0" fontId="4" fillId="0" borderId="0" xfId="0" applyFont="1" applyAlignment="1">
      <alignment horizontal="right" vertical="center"/>
    </xf>
    <xf numFmtId="58" fontId="4" fillId="0" borderId="0" xfId="0" applyNumberFormat="1" applyFont="1">
      <alignment vertical="center"/>
    </xf>
    <xf numFmtId="176" fontId="4" fillId="2" borderId="0" xfId="1" applyNumberFormat="1" applyFont="1" applyFill="1" applyBorder="1">
      <alignment vertical="center"/>
    </xf>
    <xf numFmtId="0" fontId="0" fillId="18" borderId="0" xfId="0" applyFill="1">
      <alignment vertical="center"/>
    </xf>
    <xf numFmtId="10" fontId="25" fillId="2" borderId="0" xfId="5" applyNumberFormat="1" applyFont="1" applyFill="1">
      <alignment vertical="center"/>
    </xf>
    <xf numFmtId="10" fontId="25" fillId="2" borderId="0" xfId="5" applyNumberFormat="1" applyFont="1" applyFill="1" applyAlignment="1">
      <alignment horizontal="left" vertical="center"/>
    </xf>
    <xf numFmtId="43" fontId="27" fillId="2" borderId="0" xfId="1" applyFont="1" applyFill="1" applyAlignment="1">
      <alignment horizontal="left" vertical="center"/>
    </xf>
    <xf numFmtId="58" fontId="8" fillId="0" borderId="0" xfId="2" applyNumberFormat="1" applyFont="1"/>
    <xf numFmtId="180" fontId="0" fillId="0" borderId="0" xfId="0" applyNumberFormat="1">
      <alignment vertical="center"/>
    </xf>
    <xf numFmtId="176" fontId="4" fillId="0" borderId="0" xfId="1" applyNumberFormat="1" applyFont="1" applyFill="1" applyBorder="1">
      <alignment vertical="center"/>
    </xf>
    <xf numFmtId="176" fontId="0" fillId="0" borderId="0" xfId="0" applyNumberFormat="1">
      <alignment vertical="center"/>
    </xf>
    <xf numFmtId="0" fontId="0" fillId="0" borderId="0" xfId="1" applyNumberFormat="1" applyFont="1">
      <alignment vertical="center"/>
    </xf>
    <xf numFmtId="10" fontId="8" fillId="0" borderId="0" xfId="5" applyNumberFormat="1" applyFont="1" applyFill="1" applyBorder="1" applyAlignment="1"/>
    <xf numFmtId="14" fontId="8" fillId="0" borderId="0" xfId="1" applyNumberFormat="1" applyFont="1" applyBorder="1" applyAlignment="1"/>
    <xf numFmtId="0" fontId="8" fillId="0" borderId="6" xfId="2" applyFont="1" applyBorder="1"/>
    <xf numFmtId="10" fontId="8" fillId="0" borderId="6" xfId="5" applyNumberFormat="1" applyFont="1" applyBorder="1" applyAlignment="1"/>
    <xf numFmtId="14" fontId="8" fillId="0" borderId="6" xfId="2" applyNumberFormat="1" applyFont="1" applyBorder="1"/>
    <xf numFmtId="176" fontId="8" fillId="0" borderId="6" xfId="1" applyNumberFormat="1" applyFont="1" applyBorder="1" applyAlignment="1"/>
    <xf numFmtId="14" fontId="8" fillId="0" borderId="6" xfId="1" applyNumberFormat="1" applyFont="1" applyBorder="1" applyAlignment="1"/>
    <xf numFmtId="58" fontId="8" fillId="0" borderId="6" xfId="2" applyNumberFormat="1" applyFont="1" applyBorder="1"/>
    <xf numFmtId="176" fontId="0" fillId="21" borderId="0" xfId="1" applyNumberFormat="1" applyFont="1" applyFill="1">
      <alignment vertical="center"/>
    </xf>
    <xf numFmtId="179" fontId="0" fillId="21" borderId="0" xfId="1" applyNumberFormat="1" applyFont="1" applyFill="1">
      <alignment vertical="center"/>
    </xf>
    <xf numFmtId="43" fontId="0" fillId="21" borderId="0" xfId="1" applyFont="1" applyFill="1">
      <alignment vertical="center"/>
    </xf>
    <xf numFmtId="0" fontId="8" fillId="0" borderId="7" xfId="2" applyFont="1" applyBorder="1"/>
    <xf numFmtId="10" fontId="8" fillId="0" borderId="7" xfId="5" applyNumberFormat="1" applyFont="1" applyBorder="1" applyAlignment="1"/>
    <xf numFmtId="14" fontId="8" fillId="0" borderId="7" xfId="2" applyNumberFormat="1" applyFont="1" applyBorder="1"/>
    <xf numFmtId="176" fontId="8" fillId="0" borderId="7" xfId="1" applyNumberFormat="1" applyFont="1" applyBorder="1" applyAlignment="1"/>
    <xf numFmtId="14" fontId="8" fillId="0" borderId="7" xfId="1" applyNumberFormat="1" applyFont="1" applyBorder="1" applyAlignment="1"/>
    <xf numFmtId="184" fontId="8" fillId="0" borderId="7" xfId="2" applyNumberFormat="1" applyFont="1" applyBorder="1"/>
    <xf numFmtId="176" fontId="8" fillId="0" borderId="0" xfId="1" applyNumberFormat="1" applyFont="1" applyFill="1" applyBorder="1" applyAlignment="1"/>
    <xf numFmtId="179" fontId="57" fillId="0" borderId="0" xfId="1" applyNumberFormat="1" applyFont="1">
      <alignment vertical="center"/>
    </xf>
    <xf numFmtId="179" fontId="0" fillId="0" borderId="0" xfId="1" applyNumberFormat="1" applyFont="1" applyAlignment="1">
      <alignment horizontal="right" vertical="center"/>
    </xf>
    <xf numFmtId="176" fontId="26" fillId="2" borderId="0" xfId="1" applyNumberFormat="1" applyFont="1" applyFill="1">
      <alignment vertical="center"/>
    </xf>
    <xf numFmtId="176" fontId="26" fillId="0" borderId="0" xfId="1" applyNumberFormat="1" applyFont="1">
      <alignment vertical="center"/>
    </xf>
    <xf numFmtId="10" fontId="47" fillId="0" borderId="0" xfId="5" applyNumberFormat="1" applyFont="1" applyFill="1" applyBorder="1" applyAlignment="1"/>
    <xf numFmtId="10" fontId="47" fillId="0" borderId="0" xfId="5" applyNumberFormat="1" applyFont="1" applyAlignment="1"/>
    <xf numFmtId="176" fontId="47" fillId="0" borderId="0" xfId="1" applyNumberFormat="1" applyFont="1" applyAlignment="1"/>
    <xf numFmtId="176" fontId="47" fillId="0" borderId="4" xfId="1" applyNumberFormat="1" applyFont="1" applyBorder="1" applyAlignment="1"/>
    <xf numFmtId="9" fontId="0" fillId="0" borderId="0" xfId="5" applyFont="1">
      <alignment vertical="center"/>
    </xf>
    <xf numFmtId="0" fontId="9" fillId="12" borderId="0" xfId="0" applyFont="1" applyFill="1">
      <alignment vertical="center"/>
    </xf>
    <xf numFmtId="9" fontId="9" fillId="12" borderId="0" xfId="0" applyNumberFormat="1" applyFont="1" applyFill="1">
      <alignment vertical="center"/>
    </xf>
    <xf numFmtId="176" fontId="5" fillId="0" borderId="0" xfId="0" applyNumberFormat="1" applyFont="1">
      <alignment vertical="center"/>
    </xf>
    <xf numFmtId="14" fontId="5" fillId="0" borderId="0" xfId="0" applyNumberFormat="1" applyFont="1">
      <alignment vertical="center"/>
    </xf>
    <xf numFmtId="43" fontId="4" fillId="0" borderId="0" xfId="1" applyFont="1" applyAlignment="1">
      <alignment horizontal="right" vertical="center"/>
    </xf>
    <xf numFmtId="176" fontId="47" fillId="0" borderId="0" xfId="1" applyNumberFormat="1" applyFont="1" applyFill="1" applyBorder="1" applyAlignment="1"/>
    <xf numFmtId="0" fontId="0" fillId="6" borderId="8" xfId="2" applyFont="1" applyFill="1" applyBorder="1" applyAlignment="1">
      <alignment horizontal="center" vertical="center"/>
    </xf>
    <xf numFmtId="14" fontId="0" fillId="0" borderId="0" xfId="0" applyNumberFormat="1" applyAlignment="1"/>
    <xf numFmtId="43" fontId="0" fillId="0" borderId="0" xfId="0" applyNumberFormat="1" applyAlignment="1"/>
    <xf numFmtId="10" fontId="5" fillId="0" borderId="0" xfId="5" applyNumberFormat="1" applyFont="1" applyAlignment="1"/>
    <xf numFmtId="177" fontId="9" fillId="0" borderId="0" xfId="1" applyNumberFormat="1" applyFont="1" applyAlignment="1"/>
    <xf numFmtId="14" fontId="0" fillId="0" borderId="0" xfId="8" applyNumberFormat="1" applyFont="1">
      <alignment vertical="center"/>
    </xf>
    <xf numFmtId="0" fontId="0" fillId="0" borderId="0" xfId="8" applyFont="1">
      <alignment vertical="center"/>
    </xf>
    <xf numFmtId="43" fontId="0" fillId="0" borderId="0" xfId="8" applyNumberFormat="1" applyFont="1">
      <alignment vertical="center"/>
    </xf>
    <xf numFmtId="43" fontId="0" fillId="0" borderId="0" xfId="9" applyFont="1">
      <alignment vertical="center"/>
    </xf>
    <xf numFmtId="0" fontId="0" fillId="0" borderId="0" xfId="2" applyFont="1"/>
    <xf numFmtId="43" fontId="0" fillId="0" borderId="0" xfId="2" applyNumberFormat="1" applyFont="1"/>
    <xf numFmtId="0" fontId="0" fillId="6" borderId="0" xfId="2" applyFont="1" applyFill="1"/>
    <xf numFmtId="177" fontId="0" fillId="6" borderId="0" xfId="1" applyNumberFormat="1" applyFont="1" applyFill="1" applyAlignment="1"/>
    <xf numFmtId="177" fontId="0" fillId="0" borderId="0" xfId="1" applyNumberFormat="1" applyFont="1" applyAlignment="1"/>
    <xf numFmtId="0" fontId="0" fillId="0" borderId="0" xfId="2" applyFont="1" applyAlignment="1">
      <alignment horizontal="right"/>
    </xf>
    <xf numFmtId="177" fontId="4" fillId="0" borderId="0" xfId="1" applyNumberFormat="1" applyFont="1">
      <alignment vertical="center"/>
    </xf>
    <xf numFmtId="14" fontId="0" fillId="22" borderId="0" xfId="0" applyNumberFormat="1" applyFill="1">
      <alignment vertical="center"/>
    </xf>
    <xf numFmtId="0" fontId="0" fillId="22" borderId="0" xfId="0" applyFill="1">
      <alignment vertical="center"/>
    </xf>
    <xf numFmtId="176" fontId="0" fillId="22" borderId="0" xfId="1" applyNumberFormat="1" applyFont="1" applyFill="1">
      <alignment vertical="center"/>
    </xf>
    <xf numFmtId="10" fontId="0" fillId="22" borderId="0" xfId="5" applyNumberFormat="1" applyFont="1" applyFill="1">
      <alignment vertical="center"/>
    </xf>
    <xf numFmtId="43" fontId="0" fillId="22" borderId="0" xfId="1" applyFont="1" applyFill="1">
      <alignment vertical="center"/>
    </xf>
    <xf numFmtId="58" fontId="0" fillId="22" borderId="0" xfId="0" applyNumberFormat="1" applyFill="1">
      <alignment vertical="center"/>
    </xf>
    <xf numFmtId="176" fontId="0" fillId="22" borderId="0" xfId="0" applyNumberFormat="1" applyFill="1">
      <alignment vertical="center"/>
    </xf>
    <xf numFmtId="190" fontId="0" fillId="0" borderId="0" xfId="0" applyNumberFormat="1">
      <alignment vertical="center"/>
    </xf>
    <xf numFmtId="0" fontId="0" fillId="0" borderId="0" xfId="5" applyNumberFormat="1" applyFont="1">
      <alignment vertical="center"/>
    </xf>
    <xf numFmtId="176" fontId="4" fillId="2" borderId="0" xfId="1" applyNumberFormat="1" applyFont="1" applyFill="1">
      <alignment vertical="center"/>
    </xf>
    <xf numFmtId="0" fontId="9" fillId="0" borderId="0" xfId="2" applyFont="1" applyAlignment="1">
      <alignment horizontal="right"/>
    </xf>
    <xf numFmtId="191" fontId="0" fillId="0" borderId="0" xfId="0" applyNumberFormat="1">
      <alignment vertical="center"/>
    </xf>
    <xf numFmtId="176" fontId="47" fillId="2" borderId="0" xfId="1" applyNumberFormat="1" applyFont="1" applyFill="1" applyAlignment="1"/>
    <xf numFmtId="2" fontId="0" fillId="2" borderId="0" xfId="0" applyNumberFormat="1" applyFill="1">
      <alignment vertical="center"/>
    </xf>
    <xf numFmtId="177" fontId="0" fillId="22" borderId="0" xfId="0" applyNumberFormat="1" applyFill="1">
      <alignment vertical="center"/>
    </xf>
    <xf numFmtId="180" fontId="0" fillId="22" borderId="0" xfId="0" applyNumberFormat="1" applyFill="1">
      <alignment vertical="center"/>
    </xf>
    <xf numFmtId="0" fontId="0" fillId="22" borderId="0" xfId="1" applyNumberFormat="1" applyFont="1" applyFill="1">
      <alignment vertical="center"/>
    </xf>
    <xf numFmtId="43" fontId="0" fillId="0" borderId="0" xfId="1" applyFont="1" applyAlignment="1">
      <alignment horizontal="right" vertical="center"/>
    </xf>
    <xf numFmtId="43" fontId="60" fillId="2" borderId="0" xfId="1" applyFont="1" applyFill="1" applyBorder="1">
      <alignment vertical="center"/>
    </xf>
    <xf numFmtId="4" fontId="0" fillId="2" borderId="0" xfId="0" applyNumberFormat="1" applyFill="1">
      <alignment vertical="center"/>
    </xf>
    <xf numFmtId="43" fontId="5" fillId="2" borderId="0" xfId="1" applyFont="1" applyFill="1">
      <alignment vertical="center"/>
    </xf>
    <xf numFmtId="0" fontId="58" fillId="0" borderId="0" xfId="1" applyNumberFormat="1" applyFont="1">
      <alignment vertical="center"/>
    </xf>
    <xf numFmtId="179" fontId="0" fillId="0" borderId="0" xfId="1" applyNumberFormat="1" applyFont="1" applyFill="1">
      <alignment vertical="center"/>
    </xf>
    <xf numFmtId="177" fontId="0" fillId="0" borderId="0" xfId="0" applyNumberFormat="1">
      <alignment vertical="center"/>
    </xf>
    <xf numFmtId="1" fontId="4" fillId="2" borderId="0" xfId="0" applyNumberFormat="1" applyFont="1" applyFill="1">
      <alignment vertical="center"/>
    </xf>
    <xf numFmtId="192" fontId="0" fillId="0" borderId="0" xfId="0" applyNumberFormat="1">
      <alignment vertical="center"/>
    </xf>
    <xf numFmtId="0" fontId="3" fillId="5" borderId="8" xfId="2" applyFont="1" applyFill="1" applyBorder="1" applyAlignment="1">
      <alignment horizontal="center" vertical="center"/>
    </xf>
    <xf numFmtId="14" fontId="3" fillId="5" borderId="8" xfId="3" applyNumberFormat="1" applyFont="1" applyFill="1" applyBorder="1" applyAlignment="1">
      <alignment horizontal="center" vertical="center"/>
    </xf>
    <xf numFmtId="10" fontId="3" fillId="5" borderId="8" xfId="3" applyNumberFormat="1" applyFont="1" applyFill="1" applyBorder="1" applyAlignment="1">
      <alignment horizontal="center" vertical="center"/>
    </xf>
    <xf numFmtId="10" fontId="3" fillId="0" borderId="8" xfId="2" applyNumberFormat="1" applyFont="1" applyBorder="1"/>
    <xf numFmtId="43" fontId="3" fillId="5" borderId="8" xfId="3" applyFont="1" applyFill="1" applyBorder="1" applyAlignment="1">
      <alignment horizontal="center" vertical="center"/>
    </xf>
    <xf numFmtId="0" fontId="3" fillId="0" borderId="8" xfId="2" applyFont="1" applyBorder="1" applyAlignment="1">
      <alignment horizontal="center" vertical="center"/>
    </xf>
    <xf numFmtId="178" fontId="3" fillId="0" borderId="8" xfId="3" applyNumberFormat="1" applyFont="1" applyBorder="1" applyAlignment="1">
      <alignment horizontal="center" vertical="center"/>
    </xf>
    <xf numFmtId="0" fontId="0" fillId="5" borderId="8" xfId="2" applyFont="1" applyFill="1" applyBorder="1" applyAlignment="1">
      <alignment horizontal="center" vertical="center"/>
    </xf>
    <xf numFmtId="14" fontId="0" fillId="5" borderId="8" xfId="3" applyNumberFormat="1" applyFont="1" applyFill="1" applyBorder="1" applyAlignment="1">
      <alignment horizontal="center" vertical="center"/>
    </xf>
    <xf numFmtId="10" fontId="0" fillId="5" borderId="8" xfId="3" applyNumberFormat="1" applyFont="1" applyFill="1" applyBorder="1" applyAlignment="1">
      <alignment horizontal="center" vertical="center"/>
    </xf>
    <xf numFmtId="10" fontId="0" fillId="0" borderId="8" xfId="2" applyNumberFormat="1" applyFont="1" applyBorder="1"/>
    <xf numFmtId="43" fontId="0" fillId="5" borderId="8" xfId="3" applyFont="1" applyFill="1" applyBorder="1" applyAlignment="1">
      <alignment horizontal="center" vertical="center"/>
    </xf>
    <xf numFmtId="0" fontId="0" fillId="0" borderId="8" xfId="2" applyFont="1" applyBorder="1" applyAlignment="1">
      <alignment horizontal="center" vertical="center"/>
    </xf>
    <xf numFmtId="178" fontId="0" fillId="0" borderId="8" xfId="3" applyNumberFormat="1" applyFont="1" applyBorder="1" applyAlignment="1">
      <alignment horizontal="center" vertical="center"/>
    </xf>
    <xf numFmtId="182" fontId="61" fillId="0" borderId="0" xfId="2" applyNumberFormat="1" applyFont="1" applyAlignment="1">
      <alignment vertical="center"/>
    </xf>
    <xf numFmtId="58" fontId="61" fillId="0" borderId="0" xfId="2" applyNumberFormat="1" applyFont="1" applyAlignment="1">
      <alignment vertical="center"/>
    </xf>
    <xf numFmtId="0" fontId="61" fillId="0" borderId="0" xfId="2" applyFont="1" applyAlignment="1">
      <alignment vertical="center"/>
    </xf>
    <xf numFmtId="179" fontId="5" fillId="0" borderId="0" xfId="1" applyNumberFormat="1" applyFont="1">
      <alignment vertical="center"/>
    </xf>
    <xf numFmtId="183" fontId="0" fillId="2" borderId="0" xfId="5" applyNumberFormat="1" applyFont="1" applyFill="1">
      <alignment vertical="center"/>
    </xf>
    <xf numFmtId="180" fontId="0" fillId="2" borderId="0" xfId="0" applyNumberFormat="1" applyFill="1">
      <alignment vertical="center"/>
    </xf>
    <xf numFmtId="178" fontId="0" fillId="2" borderId="0" xfId="1" applyNumberFormat="1" applyFont="1" applyFill="1">
      <alignment vertical="center"/>
    </xf>
    <xf numFmtId="14" fontId="0" fillId="6" borderId="0" xfId="0" applyNumberFormat="1" applyFill="1" applyAlignment="1">
      <alignment horizontal="center" vertical="center"/>
    </xf>
    <xf numFmtId="179" fontId="4" fillId="0" borderId="0" xfId="1" applyNumberFormat="1" applyFont="1">
      <alignment vertical="center"/>
    </xf>
    <xf numFmtId="10" fontId="0" fillId="22" borderId="0" xfId="0" applyNumberFormat="1" applyFill="1">
      <alignment vertical="center"/>
    </xf>
    <xf numFmtId="187" fontId="53" fillId="0" borderId="0" xfId="0" applyNumberFormat="1" applyFont="1">
      <alignment vertical="center"/>
    </xf>
    <xf numFmtId="176" fontId="53" fillId="0" borderId="0" xfId="1" applyNumberFormat="1" applyFont="1">
      <alignment vertical="center"/>
    </xf>
    <xf numFmtId="10" fontId="0" fillId="2" borderId="0" xfId="5" applyNumberFormat="1" applyFont="1" applyFill="1">
      <alignment vertical="center"/>
    </xf>
    <xf numFmtId="177" fontId="0" fillId="2" borderId="0" xfId="0" applyNumberFormat="1" applyFill="1">
      <alignment vertical="center"/>
    </xf>
    <xf numFmtId="0" fontId="67" fillId="6" borderId="0" xfId="0" applyFont="1" applyFill="1">
      <alignment vertical="center"/>
    </xf>
    <xf numFmtId="58" fontId="5" fillId="0" borderId="0" xfId="0" applyNumberFormat="1" applyFont="1">
      <alignment vertical="center"/>
    </xf>
    <xf numFmtId="0" fontId="0" fillId="2" borderId="0" xfId="2" applyFont="1" applyFill="1" applyAlignment="1">
      <alignment horizontal="left" vertical="center"/>
    </xf>
    <xf numFmtId="0" fontId="0" fillId="2" borderId="0" xfId="1" applyNumberFormat="1" applyFont="1" applyFill="1">
      <alignment vertical="center"/>
    </xf>
    <xf numFmtId="0" fontId="59" fillId="0" borderId="0" xfId="0" applyFont="1">
      <alignment vertical="center"/>
    </xf>
    <xf numFmtId="10" fontId="59" fillId="0" borderId="0" xfId="0" applyNumberFormat="1" applyFont="1">
      <alignment vertical="center"/>
    </xf>
    <xf numFmtId="9" fontId="7" fillId="0" borderId="0" xfId="2" applyNumberFormat="1" applyAlignment="1">
      <alignment vertical="center"/>
    </xf>
    <xf numFmtId="14" fontId="0" fillId="5" borderId="2" xfId="3" applyNumberFormat="1" applyFont="1" applyFill="1" applyBorder="1" applyAlignment="1">
      <alignment horizontal="center" vertical="center"/>
    </xf>
    <xf numFmtId="0" fontId="5" fillId="0" borderId="0" xfId="1" applyNumberFormat="1" applyFont="1">
      <alignment vertical="center"/>
    </xf>
    <xf numFmtId="58" fontId="5" fillId="22" borderId="0" xfId="0" applyNumberFormat="1" applyFont="1" applyFill="1" applyAlignment="1">
      <alignment horizontal="left" vertical="center"/>
    </xf>
    <xf numFmtId="176" fontId="0" fillId="22" borderId="0" xfId="1" applyNumberFormat="1" applyFont="1" applyFill="1" applyBorder="1">
      <alignment vertical="center"/>
    </xf>
    <xf numFmtId="13" fontId="0" fillId="0" borderId="0" xfId="1" applyNumberFormat="1" applyFont="1">
      <alignment vertical="center"/>
    </xf>
    <xf numFmtId="10" fontId="0" fillId="0" borderId="0" xfId="5" applyNumberFormat="1" applyFont="1" applyBorder="1">
      <alignment vertical="center"/>
    </xf>
    <xf numFmtId="179" fontId="0" fillId="0" borderId="0" xfId="1" applyNumberFormat="1" applyFont="1" applyBorder="1">
      <alignment vertical="center"/>
    </xf>
    <xf numFmtId="14" fontId="0" fillId="0" borderId="0" xfId="2" applyNumberFormat="1" applyFont="1"/>
    <xf numFmtId="43" fontId="0" fillId="0" borderId="0" xfId="1" applyFont="1" applyAlignment="1"/>
    <xf numFmtId="43" fontId="67" fillId="0" borderId="0" xfId="0" applyNumberFormat="1" applyFont="1">
      <alignment vertical="center"/>
    </xf>
    <xf numFmtId="58" fontId="26" fillId="0" borderId="0" xfId="0" applyNumberFormat="1" applyFont="1">
      <alignment vertical="center"/>
    </xf>
    <xf numFmtId="187" fontId="54" fillId="0" borderId="9" xfId="0" applyNumberFormat="1" applyFont="1" applyBorder="1">
      <alignment vertical="center"/>
    </xf>
    <xf numFmtId="176" fontId="47" fillId="6" borderId="0" xfId="1" applyNumberFormat="1" applyFont="1" applyFill="1" applyAlignment="1"/>
    <xf numFmtId="176" fontId="47" fillId="6" borderId="0" xfId="1" applyNumberFormat="1" applyFont="1" applyFill="1" applyBorder="1" applyAlignment="1"/>
    <xf numFmtId="0" fontId="26" fillId="22" borderId="0" xfId="0" applyFont="1" applyFill="1">
      <alignment vertical="center"/>
    </xf>
    <xf numFmtId="176" fontId="26" fillId="2" borderId="0" xfId="1" applyNumberFormat="1" applyFont="1" applyFill="1" applyBorder="1">
      <alignment vertical="center"/>
    </xf>
    <xf numFmtId="43" fontId="3" fillId="0" borderId="0" xfId="1" applyFont="1">
      <alignment vertical="center"/>
    </xf>
    <xf numFmtId="0" fontId="0" fillId="2" borderId="0" xfId="5" applyNumberFormat="1" applyFont="1" applyFill="1">
      <alignment vertical="center"/>
    </xf>
    <xf numFmtId="0" fontId="6" fillId="0" borderId="0" xfId="2" applyFont="1"/>
    <xf numFmtId="198" fontId="131" fillId="0" borderId="27" xfId="35305" applyNumberFormat="1" applyFont="1" applyBorder="1" applyAlignment="1">
      <alignment horizontal="right" vertical="center"/>
    </xf>
    <xf numFmtId="176" fontId="0" fillId="22" borderId="0" xfId="1" applyNumberFormat="1" applyFont="1" applyFill="1" applyAlignment="1">
      <alignment vertical="center"/>
    </xf>
    <xf numFmtId="1" fontId="0" fillId="2" borderId="0" xfId="0" applyNumberFormat="1" applyFill="1">
      <alignment vertical="center"/>
    </xf>
    <xf numFmtId="199" fontId="0" fillId="0" borderId="0" xfId="0" applyNumberFormat="1">
      <alignment vertical="center"/>
    </xf>
    <xf numFmtId="179" fontId="26" fillId="2" borderId="0" xfId="1" applyNumberFormat="1" applyFont="1" applyFill="1">
      <alignment vertical="center"/>
    </xf>
    <xf numFmtId="49" fontId="82" fillId="2" borderId="2" xfId="6" applyNumberFormat="1" applyFont="1" applyFill="1" applyBorder="1" applyAlignment="1">
      <alignment horizontal="left" vertical="center"/>
    </xf>
    <xf numFmtId="0" fontId="0" fillId="2" borderId="2" xfId="2" applyFont="1" applyFill="1" applyBorder="1" applyAlignment="1">
      <alignment horizontal="left" vertical="center"/>
    </xf>
    <xf numFmtId="43" fontId="26" fillId="2" borderId="0" xfId="1" applyFont="1" applyFill="1">
      <alignment vertical="center"/>
    </xf>
    <xf numFmtId="177" fontId="0" fillId="0" borderId="0" xfId="8" applyNumberFormat="1" applyFont="1">
      <alignment vertical="center"/>
    </xf>
    <xf numFmtId="43" fontId="0" fillId="6" borderId="0" xfId="1" applyFont="1" applyFill="1">
      <alignment vertical="center"/>
    </xf>
    <xf numFmtId="0" fontId="40" fillId="2" borderId="0" xfId="1" applyNumberFormat="1" applyFont="1" applyFill="1">
      <alignment vertical="center"/>
    </xf>
    <xf numFmtId="43" fontId="0" fillId="22" borderId="0" xfId="0" applyNumberFormat="1" applyFill="1">
      <alignment vertical="center"/>
    </xf>
    <xf numFmtId="0" fontId="62" fillId="13" borderId="3" xfId="0" applyFont="1" applyFill="1" applyBorder="1" applyAlignment="1">
      <alignment horizontal="left" vertical="center"/>
    </xf>
    <xf numFmtId="4" fontId="62" fillId="13" borderId="3" xfId="0" applyNumberFormat="1" applyFont="1" applyFill="1" applyBorder="1" applyAlignment="1">
      <alignment horizontal="right" vertical="center"/>
    </xf>
    <xf numFmtId="4" fontId="63" fillId="13" borderId="3" xfId="0" applyNumberFormat="1" applyFont="1" applyFill="1" applyBorder="1" applyAlignment="1">
      <alignment horizontal="right" vertical="center"/>
    </xf>
    <xf numFmtId="58" fontId="51" fillId="2" borderId="0" xfId="0" applyNumberFormat="1" applyFont="1" applyFill="1">
      <alignment vertical="center"/>
    </xf>
    <xf numFmtId="176" fontId="51" fillId="2" borderId="0" xfId="1" applyNumberFormat="1" applyFont="1" applyFill="1">
      <alignment vertical="center"/>
    </xf>
    <xf numFmtId="0" fontId="57" fillId="2" borderId="0" xfId="0" applyFont="1" applyFill="1">
      <alignment vertical="center"/>
    </xf>
    <xf numFmtId="58" fontId="57" fillId="2" borderId="0" xfId="0" applyNumberFormat="1" applyFont="1" applyFill="1">
      <alignment vertical="center"/>
    </xf>
    <xf numFmtId="176" fontId="57" fillId="2" borderId="0" xfId="1" applyNumberFormat="1" applyFont="1" applyFill="1">
      <alignment vertical="center"/>
    </xf>
    <xf numFmtId="0" fontId="51" fillId="2" borderId="0" xfId="0" quotePrefix="1" applyFont="1" applyFill="1">
      <alignment vertical="center"/>
    </xf>
    <xf numFmtId="58" fontId="8" fillId="0" borderId="0" xfId="1" applyNumberFormat="1" applyFont="1" applyAlignment="1"/>
    <xf numFmtId="0" fontId="37" fillId="0" borderId="0" xfId="1" applyNumberFormat="1" applyFont="1">
      <alignment vertical="center"/>
    </xf>
    <xf numFmtId="179" fontId="37" fillId="0" borderId="0" xfId="1" applyNumberFormat="1" applyFont="1">
      <alignment vertical="center"/>
    </xf>
    <xf numFmtId="176" fontId="37" fillId="0" borderId="0" xfId="1" applyNumberFormat="1" applyFont="1">
      <alignment vertical="center"/>
    </xf>
    <xf numFmtId="10" fontId="37" fillId="0" borderId="0" xfId="0" applyNumberFormat="1" applyFont="1">
      <alignment vertical="center"/>
    </xf>
    <xf numFmtId="176" fontId="26" fillId="0" borderId="0" xfId="1" applyNumberFormat="1" applyFont="1" applyFill="1" applyBorder="1">
      <alignment vertical="center"/>
    </xf>
    <xf numFmtId="176" fontId="4" fillId="0" borderId="0" xfId="1" applyNumberFormat="1" applyFont="1">
      <alignment vertical="center"/>
    </xf>
    <xf numFmtId="187" fontId="53" fillId="0" borderId="9" xfId="0" applyNumberFormat="1" applyFont="1" applyBorder="1">
      <alignment vertical="center"/>
    </xf>
    <xf numFmtId="200" fontId="0" fillId="0" borderId="0" xfId="0" applyNumberFormat="1">
      <alignment vertical="center"/>
    </xf>
    <xf numFmtId="58" fontId="26" fillId="2" borderId="0" xfId="0" applyNumberFormat="1" applyFont="1" applyFill="1">
      <alignment vertical="center"/>
    </xf>
    <xf numFmtId="183" fontId="0" fillId="2" borderId="0" xfId="0" applyNumberFormat="1" applyFill="1">
      <alignment vertical="center"/>
    </xf>
    <xf numFmtId="178" fontId="0" fillId="0" borderId="0" xfId="0" applyNumberFormat="1">
      <alignment vertical="center"/>
    </xf>
    <xf numFmtId="201" fontId="0" fillId="0" borderId="0" xfId="1" applyNumberFormat="1" applyFont="1">
      <alignment vertical="center"/>
    </xf>
    <xf numFmtId="176" fontId="26" fillId="0" borderId="0" xfId="1" applyNumberFormat="1" applyFont="1" applyFill="1">
      <alignment vertical="center"/>
    </xf>
    <xf numFmtId="176" fontId="5" fillId="0" borderId="0" xfId="1" applyNumberFormat="1" applyFont="1">
      <alignment vertical="center"/>
    </xf>
    <xf numFmtId="58" fontId="5" fillId="22" borderId="0" xfId="0" applyNumberFormat="1" applyFont="1" applyFill="1">
      <alignment vertical="center"/>
    </xf>
    <xf numFmtId="0" fontId="29" fillId="13" borderId="28" xfId="0" applyFont="1" applyFill="1" applyBorder="1" applyAlignment="1">
      <alignment horizontal="left" vertical="center"/>
    </xf>
    <xf numFmtId="4" fontId="29" fillId="13" borderId="28" xfId="0" applyNumberFormat="1" applyFont="1" applyFill="1" applyBorder="1" applyAlignment="1">
      <alignment horizontal="right" vertical="center"/>
    </xf>
    <xf numFmtId="4" fontId="132" fillId="13" borderId="28" xfId="0" applyNumberFormat="1" applyFont="1" applyFill="1" applyBorder="1" applyAlignment="1">
      <alignment horizontal="right" vertical="center"/>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58" fontId="0" fillId="0" borderId="33" xfId="0" applyNumberFormat="1" applyBorder="1">
      <alignment vertical="center"/>
    </xf>
    <xf numFmtId="177" fontId="0" fillId="0" borderId="33" xfId="1" applyNumberFormat="1" applyFont="1" applyBorder="1">
      <alignment vertical="center"/>
    </xf>
    <xf numFmtId="43" fontId="4" fillId="0" borderId="0" xfId="1" applyFont="1" applyBorder="1">
      <alignment vertical="center"/>
    </xf>
    <xf numFmtId="43" fontId="4" fillId="0" borderId="33" xfId="0" applyNumberFormat="1" applyFont="1" applyBorder="1">
      <alignment vertical="center"/>
    </xf>
    <xf numFmtId="43" fontId="0" fillId="0" borderId="33" xfId="1" applyFont="1" applyBorder="1">
      <alignment vertical="center"/>
    </xf>
    <xf numFmtId="10" fontId="0" fillId="0" borderId="33" xfId="5" applyNumberFormat="1" applyFont="1" applyBorder="1">
      <alignment vertical="center"/>
    </xf>
    <xf numFmtId="58" fontId="0" fillId="0" borderId="32" xfId="0" applyNumberFormat="1" applyBorder="1">
      <alignment vertical="center"/>
    </xf>
    <xf numFmtId="177" fontId="0" fillId="0" borderId="33" xfId="0" applyNumberFormat="1" applyBorder="1">
      <alignment vertical="center"/>
    </xf>
    <xf numFmtId="176" fontId="4" fillId="0" borderId="0" xfId="0" applyNumberFormat="1" applyFont="1">
      <alignment vertical="center"/>
    </xf>
    <xf numFmtId="58" fontId="5" fillId="2" borderId="0" xfId="0" applyNumberFormat="1" applyFont="1" applyFill="1">
      <alignment vertical="center"/>
    </xf>
    <xf numFmtId="10" fontId="0" fillId="0" borderId="0" xfId="5" applyNumberFormat="1" applyFont="1" applyAlignment="1"/>
    <xf numFmtId="0" fontId="0" fillId="0" borderId="0" xfId="2" applyFont="1" applyAlignment="1">
      <alignment horizontal="left"/>
    </xf>
    <xf numFmtId="182" fontId="0" fillId="0" borderId="0" xfId="0" applyNumberFormat="1" applyAlignment="1">
      <alignment horizontal="center" vertical="center"/>
    </xf>
    <xf numFmtId="179" fontId="0" fillId="0" borderId="0" xfId="1" applyNumberFormat="1" applyFont="1" applyAlignment="1">
      <alignment horizontal="center" vertical="center"/>
    </xf>
    <xf numFmtId="49" fontId="51" fillId="0" borderId="27" xfId="0" applyNumberFormat="1" applyFont="1" applyBorder="1" applyAlignment="1">
      <alignment horizontal="left" vertical="center"/>
    </xf>
    <xf numFmtId="185" fontId="0" fillId="0" borderId="0" xfId="5" applyNumberFormat="1" applyFont="1">
      <alignment vertical="center"/>
    </xf>
    <xf numFmtId="182" fontId="0" fillId="0" borderId="0" xfId="2" applyNumberFormat="1" applyFont="1"/>
    <xf numFmtId="43" fontId="3" fillId="0" borderId="0" xfId="4" applyNumberFormat="1" applyFont="1" applyAlignment="1"/>
    <xf numFmtId="177" fontId="0" fillId="0" borderId="0" xfId="2" applyNumberFormat="1" applyFont="1"/>
    <xf numFmtId="0" fontId="0" fillId="0" borderId="33" xfId="0" applyBorder="1" applyAlignment="1"/>
    <xf numFmtId="177" fontId="0" fillId="0" borderId="0" xfId="1" applyNumberFormat="1" applyFont="1" applyAlignment="1">
      <alignment horizontal="center" vertical="center"/>
    </xf>
    <xf numFmtId="179" fontId="0" fillId="22" borderId="0" xfId="1" applyNumberFormat="1" applyFont="1" applyFill="1">
      <alignment vertical="center"/>
    </xf>
    <xf numFmtId="10" fontId="0" fillId="22" borderId="0" xfId="1" applyNumberFormat="1" applyFont="1" applyFill="1">
      <alignment vertical="center"/>
    </xf>
    <xf numFmtId="58" fontId="0" fillId="22" borderId="0" xfId="1" applyNumberFormat="1" applyFont="1" applyFill="1">
      <alignment vertical="center"/>
    </xf>
    <xf numFmtId="10" fontId="26" fillId="22" borderId="0" xfId="1" applyNumberFormat="1" applyFont="1" applyFill="1">
      <alignment vertical="center"/>
    </xf>
    <xf numFmtId="176" fontId="0" fillId="6" borderId="0" xfId="1" applyNumberFormat="1" applyFont="1" applyFill="1">
      <alignment vertical="center"/>
    </xf>
    <xf numFmtId="14" fontId="0" fillId="5" borderId="27" xfId="3" applyNumberFormat="1" applyFont="1" applyFill="1" applyBorder="1" applyAlignment="1">
      <alignment horizontal="center" vertical="center"/>
    </xf>
    <xf numFmtId="0" fontId="3" fillId="5" borderId="27" xfId="2" applyFont="1" applyFill="1" applyBorder="1" applyAlignment="1">
      <alignment horizontal="center" vertical="center"/>
    </xf>
    <xf numFmtId="14" fontId="3" fillId="5" borderId="27" xfId="3" applyNumberFormat="1" applyFont="1" applyFill="1" applyBorder="1" applyAlignment="1">
      <alignment horizontal="center" vertical="center"/>
    </xf>
    <xf numFmtId="10" fontId="3" fillId="5" borderId="27" xfId="3" applyNumberFormat="1" applyFont="1" applyFill="1" applyBorder="1" applyAlignment="1">
      <alignment horizontal="center" vertical="center"/>
    </xf>
    <xf numFmtId="10" fontId="3" fillId="0" borderId="27" xfId="2" applyNumberFormat="1" applyFont="1" applyBorder="1"/>
    <xf numFmtId="43" fontId="3" fillId="5" borderId="27" xfId="3" applyFont="1" applyFill="1" applyBorder="1" applyAlignment="1">
      <alignment horizontal="center" vertical="center"/>
    </xf>
    <xf numFmtId="0" fontId="3" fillId="0" borderId="27" xfId="2" applyFont="1" applyBorder="1" applyAlignment="1">
      <alignment horizontal="center" vertical="center"/>
    </xf>
    <xf numFmtId="178" fontId="3" fillId="0" borderId="27" xfId="3" applyNumberFormat="1" applyFont="1" applyBorder="1" applyAlignment="1">
      <alignment horizontal="center" vertical="center"/>
    </xf>
    <xf numFmtId="0" fontId="55" fillId="0" borderId="0" xfId="35306"/>
    <xf numFmtId="0" fontId="64" fillId="0" borderId="0" xfId="35306" applyFont="1"/>
    <xf numFmtId="0" fontId="65" fillId="0" borderId="0" xfId="35306" applyFont="1"/>
    <xf numFmtId="0" fontId="66" fillId="0" borderId="0" xfId="35306" applyFont="1"/>
    <xf numFmtId="0" fontId="0" fillId="2" borderId="0" xfId="0" applyFill="1" applyAlignment="1">
      <alignment horizontal="center" vertical="center"/>
    </xf>
    <xf numFmtId="0" fontId="0" fillId="22" borderId="0" xfId="0" applyFill="1" applyAlignment="1">
      <alignment vertical="center"/>
    </xf>
  </cellXfs>
  <cellStyles count="35307">
    <cellStyle name="??" xfId="14" xr:uid="{13550F33-20BB-4FC5-8916-DC469872D57C}"/>
    <cellStyle name="?? 2" xfId="15" xr:uid="{B1014B99-6384-411E-A544-233A4BC16922}"/>
    <cellStyle name="?鹎%U龡&amp;H?_x0008__x001c__x001c_?_x0007__x0001__x0001_" xfId="16" xr:uid="{A616F2AC-3AAD-42A3-B375-A8D940B13096}"/>
    <cellStyle name="?鹎%U龡&amp;H?_x0008__x001c__x001c_?_x0007__x0001__x0001_ 2" xfId="17" xr:uid="{157A922F-FBE8-41EE-B1A7-5298C42C2F02}"/>
    <cellStyle name="_ET_STYLE_NoName_00_" xfId="18" xr:uid="{2173BFC6-4621-417E-9108-7359E067A8D2}"/>
    <cellStyle name="_ET_STYLE_NoName_00_ 2" xfId="19" xr:uid="{968032D1-F985-4CDD-957F-5E4890878C4B}"/>
    <cellStyle name="20% - 强调文字颜色 1 10" xfId="20" xr:uid="{5FC2EBA8-30B7-4551-B2CA-5DBE916A0250}"/>
    <cellStyle name="20% - 强调文字颜色 1 11" xfId="21" xr:uid="{D6DC5C19-443C-4E65-8741-15C86EB8C45E}"/>
    <cellStyle name="20% - 强调文字颜色 1 12" xfId="22" xr:uid="{94722E2A-9546-4D27-87EC-7032569DF93A}"/>
    <cellStyle name="20% - 强调文字颜色 1 13" xfId="32842" xr:uid="{77B735F1-A4CA-4E9B-A2E3-DEC1C45A9234}"/>
    <cellStyle name="20% - 强调文字颜色 1 2" xfId="23" xr:uid="{F635AEB7-41D3-4FDB-9D98-9484CBC3E34C}"/>
    <cellStyle name="20% - 强调文字颜色 1 2 10" xfId="24" xr:uid="{980FF05E-C0CB-4282-BBD7-3E04CB3C8DF6}"/>
    <cellStyle name="20% - 强调文字颜色 1 2 2" xfId="25" xr:uid="{3CAD33A6-795F-4A61-A658-FF3FA20E1354}"/>
    <cellStyle name="20% - 强调文字颜色 1 2 2 2" xfId="26" xr:uid="{AC8B5019-4007-42CF-AA93-3623013C8984}"/>
    <cellStyle name="20% - 强调文字颜色 1 2 2 2 2" xfId="27" xr:uid="{01F5C714-BDFD-4373-BF9E-C57A74BCEEF4}"/>
    <cellStyle name="20% - 强调文字颜色 1 2 2 2 3" xfId="28" xr:uid="{8E8F40B3-AD8A-4A87-9A44-ED05B9303514}"/>
    <cellStyle name="20% - 强调文字颜色 1 2 2 2 4" xfId="29" xr:uid="{F3968688-C5F0-4EBF-9CD7-2428AB624421}"/>
    <cellStyle name="20% - 强调文字颜色 1 2 2 2 5" xfId="30" xr:uid="{5F3A2B51-50B4-4642-81AC-6A7F55A21B53}"/>
    <cellStyle name="20% - 强调文字颜色 1 2 2 2 6" xfId="31" xr:uid="{6569B99A-8207-4A0D-9039-8CBBD696E2F8}"/>
    <cellStyle name="20% - 强调文字颜色 1 2 2 3" xfId="32" xr:uid="{E5206A5A-5A5D-4A98-8652-3BCB3EC6AE61}"/>
    <cellStyle name="20% - 强调文字颜色 1 2 2 4" xfId="33" xr:uid="{0476922C-8E7C-4A03-9EF8-482C52B90BA6}"/>
    <cellStyle name="20% - 强调文字颜色 1 2 2 5" xfId="34" xr:uid="{6980C2FB-4841-4B4C-8678-6C3A09CE437E}"/>
    <cellStyle name="20% - 强调文字颜色 1 2 2 6" xfId="35" xr:uid="{787548C1-0B4C-4F5A-83B0-A75C4E4B1506}"/>
    <cellStyle name="20% - 强调文字颜色 1 2 2 7" xfId="36" xr:uid="{B30E1192-5140-46BE-8253-15BD6EC1113E}"/>
    <cellStyle name="20% - 强调文字颜色 1 2 3" xfId="37" xr:uid="{31BA6F37-2646-4D2C-9DBF-8A3BFE6A4A21}"/>
    <cellStyle name="20% - 强调文字颜色 1 2 3 2" xfId="38" xr:uid="{CD4E3B02-0116-4F93-B406-2DFC6D4ABD8F}"/>
    <cellStyle name="20% - 强调文字颜色 1 2 3 2 2" xfId="39" xr:uid="{67FBC7A0-334F-4CB0-8654-0CD2BE9E26FD}"/>
    <cellStyle name="20% - 强调文字颜色 1 2 3 2 3" xfId="40" xr:uid="{F46BA56C-2B2C-4A94-9371-3980B02EEAE1}"/>
    <cellStyle name="20% - 强调文字颜色 1 2 3 2 4" xfId="41" xr:uid="{B1846BDD-85B9-455B-8018-BB4120D5F9CB}"/>
    <cellStyle name="20% - 强调文字颜色 1 2 3 2 5" xfId="42" xr:uid="{30ED635F-8CD5-4927-8329-56B340DE54B2}"/>
    <cellStyle name="20% - 强调文字颜色 1 2 3 2 6" xfId="43" xr:uid="{0A114F51-EF5A-4D5B-9BE2-B3BF7CEE3797}"/>
    <cellStyle name="20% - 强调文字颜色 1 2 3 3" xfId="44" xr:uid="{18235C6C-C484-4EAE-A03D-772FDD762AC5}"/>
    <cellStyle name="20% - 强调文字颜色 1 2 3 4" xfId="45" xr:uid="{FC186C72-DC7D-4E1E-947F-783961263CF9}"/>
    <cellStyle name="20% - 强调文字颜色 1 2 3 5" xfId="46" xr:uid="{1D9493C5-4805-4350-8E59-2B394BB237F2}"/>
    <cellStyle name="20% - 强调文字颜色 1 2 3 6" xfId="47" xr:uid="{1240F839-5DFD-4A8F-951F-8CB35BA458B5}"/>
    <cellStyle name="20% - 强调文字颜色 1 2 3 7" xfId="48" xr:uid="{3C3CA9B1-F176-451A-8D59-1E1966AB9EDC}"/>
    <cellStyle name="20% - 强调文字颜色 1 2 4" xfId="49" xr:uid="{6F198ACE-E908-4C10-9C5D-C5AFD23BCD4A}"/>
    <cellStyle name="20% - 强调文字颜色 1 2 4 2" xfId="50" xr:uid="{24439043-5026-42C8-8DCA-AA45E5E55388}"/>
    <cellStyle name="20% - 强调文字颜色 1 2 4 2 2" xfId="51" xr:uid="{D720CF33-2A02-49C6-A034-0C49182CE852}"/>
    <cellStyle name="20% - 强调文字颜色 1 2 4 2 3" xfId="52" xr:uid="{D4C8A92B-AC2D-4F22-BDA5-6A3CD72E265C}"/>
    <cellStyle name="20% - 强调文字颜色 1 2 4 2 4" xfId="53" xr:uid="{C24EE93A-EFE5-47C7-851F-040147B3C66C}"/>
    <cellStyle name="20% - 强调文字颜色 1 2 4 2 5" xfId="54" xr:uid="{B8B7B0E8-34F8-4F39-998D-2EB5EA953F7F}"/>
    <cellStyle name="20% - 强调文字颜色 1 2 4 2 6" xfId="55" xr:uid="{BCA6971A-0CC1-4D01-B2B5-6DDA1D9308C5}"/>
    <cellStyle name="20% - 强调文字颜色 1 2 4 3" xfId="56" xr:uid="{8BD9CD55-6C94-4D44-95DB-11ADF3546FB0}"/>
    <cellStyle name="20% - 强调文字颜色 1 2 4 4" xfId="57" xr:uid="{6E787A02-E1F9-40D3-9F44-D1ED15C026F3}"/>
    <cellStyle name="20% - 强调文字颜色 1 2 4 5" xfId="58" xr:uid="{25019D43-EEAB-4DA8-BF02-76FAB4B1CC92}"/>
    <cellStyle name="20% - 强调文字颜色 1 2 4 6" xfId="59" xr:uid="{5AEC0C31-AFDE-474F-916D-AA6BC4D04AD3}"/>
    <cellStyle name="20% - 强调文字颜色 1 2 4 7" xfId="60" xr:uid="{0B6C39E2-987A-4033-921C-7CD95ACF85DF}"/>
    <cellStyle name="20% - 强调文字颜色 1 2 5" xfId="61" xr:uid="{E8B130E7-25D7-4459-BB92-B6269139B314}"/>
    <cellStyle name="20% - 强调文字颜色 1 2 5 2" xfId="62" xr:uid="{380ECC66-60E6-4CC1-865D-97C808EBE83A}"/>
    <cellStyle name="20% - 强调文字颜色 1 2 5 3" xfId="63" xr:uid="{D74F380B-0C52-4884-A8CC-C0576131E3EA}"/>
    <cellStyle name="20% - 强调文字颜色 1 2 5 4" xfId="64" xr:uid="{78AE5E21-0FDB-4EF2-A983-E2DEE2082D43}"/>
    <cellStyle name="20% - 强调文字颜色 1 2 5 5" xfId="65" xr:uid="{00F50702-9092-4512-96C6-96F558B43336}"/>
    <cellStyle name="20% - 强调文字颜色 1 2 5 6" xfId="66" xr:uid="{059F818B-56C0-489D-8B24-8E2C4B5EAA04}"/>
    <cellStyle name="20% - 强调文字颜色 1 2 6" xfId="67" xr:uid="{96C83C7F-CC60-4E78-B3DF-98ADB6555272}"/>
    <cellStyle name="20% - 强调文字颜色 1 2 7" xfId="68" xr:uid="{C54CC5EA-5B8B-4BBD-A42A-B99C9FE8BEF3}"/>
    <cellStyle name="20% - 强调文字颜色 1 2 8" xfId="69" xr:uid="{571EC6D5-19B7-483F-9B12-007B6CDED778}"/>
    <cellStyle name="20% - 强调文字颜色 1 2 9" xfId="70" xr:uid="{EB713021-9C8E-43EF-A300-CA32F1F72E89}"/>
    <cellStyle name="20% - 强调文字颜色 1 3" xfId="71" xr:uid="{21C7E419-F764-4EFC-91AA-CE987CC7B126}"/>
    <cellStyle name="20% - 强调文字颜色 1 3 2" xfId="72" xr:uid="{442A472F-451E-4B7D-9C46-80945833081C}"/>
    <cellStyle name="20% - 强调文字颜色 1 3 2 2" xfId="73" xr:uid="{EEE92CD8-57CF-40F5-ACB3-409523BBBBF8}"/>
    <cellStyle name="20% - 强调文字颜色 1 3 2 3" xfId="74" xr:uid="{5119E514-E2B9-4C6B-95DF-E81629B034C8}"/>
    <cellStyle name="20% - 强调文字颜色 1 3 2 4" xfId="75" xr:uid="{2E544D65-1F6A-44C1-8054-FC5E91649F1A}"/>
    <cellStyle name="20% - 强调文字颜色 1 3 2 5" xfId="76" xr:uid="{1D7E2971-341F-43C5-93C3-F90C0CF847A9}"/>
    <cellStyle name="20% - 强调文字颜色 1 3 2 6" xfId="77" xr:uid="{F6AA81DF-DB78-457E-B5F7-1D28B3B9EA5B}"/>
    <cellStyle name="20% - 强调文字颜色 1 3 3" xfId="78" xr:uid="{E9472627-187C-4096-A737-309B65D16391}"/>
    <cellStyle name="20% - 强调文字颜色 1 3 4" xfId="79" xr:uid="{AEE96E3A-49AB-409B-9E16-161104D786FB}"/>
    <cellStyle name="20% - 强调文字颜色 1 3 5" xfId="80" xr:uid="{8B0ADE34-2F21-40D0-BC80-001ACB187225}"/>
    <cellStyle name="20% - 强调文字颜色 1 3 6" xfId="81" xr:uid="{E234F304-C180-411C-9220-4B2E9A2DDA02}"/>
    <cellStyle name="20% - 强调文字颜色 1 3 7" xfId="82" xr:uid="{C45C0DC0-41D4-42C9-AABD-BCC25EAA13B3}"/>
    <cellStyle name="20% - 强调文字颜色 1 4" xfId="83" xr:uid="{41A2ACCA-A1D7-402F-ADE9-80FDE3C0311F}"/>
    <cellStyle name="20% - 强调文字颜色 1 4 2" xfId="84" xr:uid="{3B5A8319-C971-4AA7-945D-9D2C45638084}"/>
    <cellStyle name="20% - 强调文字颜色 1 4 2 2" xfId="85" xr:uid="{9A3747DC-8CFB-4B17-ABFD-C5C9A8F0A6E0}"/>
    <cellStyle name="20% - 强调文字颜色 1 4 2 3" xfId="86" xr:uid="{3B3B6FFB-4A1B-4408-A679-CCB89692E38E}"/>
    <cellStyle name="20% - 强调文字颜色 1 4 2 4" xfId="87" xr:uid="{9DAF6B9C-2E28-4D1A-91A7-E71629CA95BF}"/>
    <cellStyle name="20% - 强调文字颜色 1 4 2 5" xfId="88" xr:uid="{688F5EF0-E1DF-4E5B-B63F-F25610F1DAEE}"/>
    <cellStyle name="20% - 强调文字颜色 1 4 2 6" xfId="89" xr:uid="{53BB1AE9-A505-4027-B7F2-152C84FAB1C4}"/>
    <cellStyle name="20% - 强调文字颜色 1 4 3" xfId="90" xr:uid="{457E9B89-1A20-4C52-ABA7-DDDCAC843FA7}"/>
    <cellStyle name="20% - 强调文字颜色 1 4 4" xfId="91" xr:uid="{3E91396B-6460-4B2D-8819-09F43F264E91}"/>
    <cellStyle name="20% - 强调文字颜色 1 4 5" xfId="92" xr:uid="{5FDAA0EB-1694-4BB3-9E19-5087442E2C34}"/>
    <cellStyle name="20% - 强调文字颜色 1 4 6" xfId="93" xr:uid="{F1B3B083-5791-4E1B-9711-3C446BC27A3C}"/>
    <cellStyle name="20% - 强调文字颜色 1 4 7" xfId="94" xr:uid="{0630321D-E99A-4911-B75A-5E069D234364}"/>
    <cellStyle name="20% - 强调文字颜色 1 5" xfId="95" xr:uid="{02EB693C-1C33-43B1-9BC3-6A382E774EDD}"/>
    <cellStyle name="20% - 强调文字颜色 1 5 2" xfId="96" xr:uid="{88E086D8-6457-4482-87BE-7D9A6BF602CD}"/>
    <cellStyle name="20% - 强调文字颜色 1 5 2 2" xfId="97" xr:uid="{A49AC2F8-C2E7-4ADB-8C34-8E81B2E77C21}"/>
    <cellStyle name="20% - 强调文字颜色 1 5 2 3" xfId="98" xr:uid="{07C0E823-D887-46CB-9C0D-2C16D7BE1B84}"/>
    <cellStyle name="20% - 强调文字颜色 1 5 2 4" xfId="99" xr:uid="{A4689A04-B7DD-457C-8A9F-9DCA2F9285EF}"/>
    <cellStyle name="20% - 强调文字颜色 1 5 2 5" xfId="100" xr:uid="{8BDD3EF5-7469-42CA-B541-B6C1F3D221B0}"/>
    <cellStyle name="20% - 强调文字颜色 1 5 2 6" xfId="101" xr:uid="{3D117453-786A-478A-B71B-186EF7A22097}"/>
    <cellStyle name="20% - 强调文字颜色 1 5 3" xfId="102" xr:uid="{B5B35F47-3E2C-4F7D-8BCC-AB5F6C641355}"/>
    <cellStyle name="20% - 强调文字颜色 1 5 4" xfId="103" xr:uid="{AB991744-372C-4658-AD8C-FB3083FA2D9B}"/>
    <cellStyle name="20% - 强调文字颜色 1 5 5" xfId="104" xr:uid="{C81E9C1C-2BBA-4DDD-9AE9-6A3357114992}"/>
    <cellStyle name="20% - 强调文字颜色 1 5 6" xfId="105" xr:uid="{2C2143ED-A945-47AE-A57C-9A27693E8558}"/>
    <cellStyle name="20% - 强调文字颜色 1 5 7" xfId="106" xr:uid="{40EF31A3-2659-4E9E-8A06-47698BFAD9F6}"/>
    <cellStyle name="20% - 强调文字颜色 1 6" xfId="107" xr:uid="{CBC711DE-C387-421A-888D-1A893CFBBC72}"/>
    <cellStyle name="20% - 强调文字颜色 1 7" xfId="108" xr:uid="{8E1D6EBE-67A4-40D0-9D3F-72DA0DFF8F5D}"/>
    <cellStyle name="20% - 强调文字颜色 1 7 2" xfId="109" xr:uid="{927FD061-163F-42EA-B50B-5E27195429D4}"/>
    <cellStyle name="20% - 强调文字颜色 1 7 3" xfId="110" xr:uid="{386A8AD0-2EF9-4A22-9444-E87A55FAA083}"/>
    <cellStyle name="20% - 强调文字颜色 1 7 4" xfId="111" xr:uid="{D9CD1F8F-E960-40D6-9E01-343C7C3F1A78}"/>
    <cellStyle name="20% - 强调文字颜色 1 7 5" xfId="112" xr:uid="{EE961B55-1C55-41EB-80F6-D6B23AA3BB55}"/>
    <cellStyle name="20% - 强调文字颜色 1 7 6" xfId="113" xr:uid="{22EA8730-1592-4B23-AE89-907C5484F88D}"/>
    <cellStyle name="20% - 强调文字颜色 1 8" xfId="114" xr:uid="{127816C6-BE97-4996-A2E4-64A859D5C96C}"/>
    <cellStyle name="20% - 强调文字颜色 1 9" xfId="115" xr:uid="{C2067FA0-4638-4805-931F-7D2AE8DE4797}"/>
    <cellStyle name="20% - 强调文字颜色 2 10" xfId="116" xr:uid="{AD298EC0-313D-401D-8CD2-1D45200B7F15}"/>
    <cellStyle name="20% - 强调文字颜色 2 11" xfId="117" xr:uid="{6C1C802F-5DA4-47C5-8139-8FFDE34D8865}"/>
    <cellStyle name="20% - 强调文字颜色 2 12" xfId="118" xr:uid="{621FBE18-1C2B-4289-B52A-BC976C3BD663}"/>
    <cellStyle name="20% - 强调文字颜色 2 13" xfId="32843" xr:uid="{83C874B6-5FE4-4474-A31E-8C07237EF042}"/>
    <cellStyle name="20% - 强调文字颜色 2 2" xfId="119" xr:uid="{79AC709A-4426-4A44-927F-06F11DB273EB}"/>
    <cellStyle name="20% - 强调文字颜色 2 2 10" xfId="120" xr:uid="{1E2E97B7-9656-438F-B715-111B68E008B7}"/>
    <cellStyle name="20% - 强调文字颜色 2 2 2" xfId="121" xr:uid="{880E7336-D443-4D7D-9F9B-30369D1B5A7C}"/>
    <cellStyle name="20% - 强调文字颜色 2 2 2 2" xfId="122" xr:uid="{B7B9477B-65EF-425A-B32F-E49063E98711}"/>
    <cellStyle name="20% - 强调文字颜色 2 2 2 2 2" xfId="123" xr:uid="{C6F8E83E-0FA9-4A3C-9E38-65196852BEE0}"/>
    <cellStyle name="20% - 强调文字颜色 2 2 2 2 3" xfId="124" xr:uid="{07E736C7-D1B9-42C0-9D6A-2E50F758537A}"/>
    <cellStyle name="20% - 强调文字颜色 2 2 2 2 4" xfId="125" xr:uid="{F60B00E4-51E9-4820-A3AF-A78D417E92BE}"/>
    <cellStyle name="20% - 强调文字颜色 2 2 2 2 5" xfId="126" xr:uid="{5C10A0DE-CDE4-464E-A059-C3F1533E4A5D}"/>
    <cellStyle name="20% - 强调文字颜色 2 2 2 2 6" xfId="127" xr:uid="{6F137280-F7C7-470D-8A42-79158A7359AB}"/>
    <cellStyle name="20% - 强调文字颜色 2 2 2 3" xfId="128" xr:uid="{26397E18-CC33-4FB4-9399-64E383F83AD8}"/>
    <cellStyle name="20% - 强调文字颜色 2 2 2 4" xfId="129" xr:uid="{FCFFD3CE-054C-4AF2-8278-D6A372D64E94}"/>
    <cellStyle name="20% - 强调文字颜色 2 2 2 5" xfId="130" xr:uid="{AB014334-66ED-452D-9BD2-2150E67E59B4}"/>
    <cellStyle name="20% - 强调文字颜色 2 2 2 6" xfId="131" xr:uid="{3BD2B6C0-5DDA-4767-ACAC-15DA972C7398}"/>
    <cellStyle name="20% - 强调文字颜色 2 2 2 7" xfId="132" xr:uid="{76522B3C-693C-4DAB-A2A3-60900DDDA970}"/>
    <cellStyle name="20% - 强调文字颜色 2 2 3" xfId="133" xr:uid="{918F4303-2327-457E-8A2A-01C6445B6922}"/>
    <cellStyle name="20% - 强调文字颜色 2 2 3 2" xfId="134" xr:uid="{B0253DFD-355B-4D46-8233-104E944135C6}"/>
    <cellStyle name="20% - 强调文字颜色 2 2 3 2 2" xfId="135" xr:uid="{7DD663E4-4D7E-4DC0-B068-6AA19966A49E}"/>
    <cellStyle name="20% - 强调文字颜色 2 2 3 2 3" xfId="136" xr:uid="{4805CE25-63FF-4FDE-AA2F-65B1AB28D94E}"/>
    <cellStyle name="20% - 强调文字颜色 2 2 3 2 4" xfId="137" xr:uid="{9D17D115-689E-43D2-907B-61D2A02D1357}"/>
    <cellStyle name="20% - 强调文字颜色 2 2 3 2 5" xfId="138" xr:uid="{6E74D1F4-DDC9-4996-89F5-0B8FE810B3E8}"/>
    <cellStyle name="20% - 强调文字颜色 2 2 3 2 6" xfId="139" xr:uid="{EBBD6CAE-7BEF-470C-B9C2-75C70BE93D4B}"/>
    <cellStyle name="20% - 强调文字颜色 2 2 3 3" xfId="140" xr:uid="{1CE02069-1925-40E1-85DA-839D69A472C9}"/>
    <cellStyle name="20% - 强调文字颜色 2 2 3 4" xfId="141" xr:uid="{5927AC86-01E9-4513-991B-CFF85F2DDDB2}"/>
    <cellStyle name="20% - 强调文字颜色 2 2 3 5" xfId="142" xr:uid="{979C013C-6007-4EC5-98AF-03266D36B820}"/>
    <cellStyle name="20% - 强调文字颜色 2 2 3 6" xfId="143" xr:uid="{62319A86-C3BB-4BFD-A2AF-F212AB7C09D6}"/>
    <cellStyle name="20% - 强调文字颜色 2 2 3 7" xfId="144" xr:uid="{AD976830-4A26-4E51-99B4-C9D454CE514C}"/>
    <cellStyle name="20% - 强调文字颜色 2 2 4" xfId="145" xr:uid="{B557D8B6-6544-45D8-AD48-105A94B0AFD2}"/>
    <cellStyle name="20% - 强调文字颜色 2 2 4 2" xfId="146" xr:uid="{30F7F9FB-015B-4343-8DE4-59FBF9E40DB6}"/>
    <cellStyle name="20% - 强调文字颜色 2 2 4 2 2" xfId="147" xr:uid="{729FEA17-A154-44E9-8009-A2D757663779}"/>
    <cellStyle name="20% - 强调文字颜色 2 2 4 2 3" xfId="148" xr:uid="{0E8F2DBA-F262-4169-8BE1-7A5D66803D95}"/>
    <cellStyle name="20% - 强调文字颜色 2 2 4 2 4" xfId="149" xr:uid="{CB4975F2-6F88-4936-BD61-55335F4E9870}"/>
    <cellStyle name="20% - 强调文字颜色 2 2 4 2 5" xfId="150" xr:uid="{89B9D86E-56E5-4DC0-8238-0CB40F611E42}"/>
    <cellStyle name="20% - 强调文字颜色 2 2 4 2 6" xfId="151" xr:uid="{13649590-9E90-4DB7-A753-5A03F532A206}"/>
    <cellStyle name="20% - 强调文字颜色 2 2 4 3" xfId="152" xr:uid="{E11AD096-65B4-4355-AE35-D2A8670F9DCC}"/>
    <cellStyle name="20% - 强调文字颜色 2 2 4 4" xfId="153" xr:uid="{85204C9F-E3E2-4023-BF11-92B18AC395C9}"/>
    <cellStyle name="20% - 强调文字颜色 2 2 4 5" xfId="154" xr:uid="{AFBAF898-27BD-43DD-A57C-95B48D237ECE}"/>
    <cellStyle name="20% - 强调文字颜色 2 2 4 6" xfId="155" xr:uid="{AD7511DD-937E-4BB6-BF80-026BE118C8CB}"/>
    <cellStyle name="20% - 强调文字颜色 2 2 4 7" xfId="156" xr:uid="{5662BCB3-CA5B-4FEA-A808-F9D3209D4933}"/>
    <cellStyle name="20% - 强调文字颜色 2 2 5" xfId="157" xr:uid="{976D0638-ED9D-4859-B7CF-0183A1458187}"/>
    <cellStyle name="20% - 强调文字颜色 2 2 5 2" xfId="158" xr:uid="{5F7BA7A4-E3E8-422A-B877-98C22C8150D2}"/>
    <cellStyle name="20% - 强调文字颜色 2 2 5 3" xfId="159" xr:uid="{E0BD1413-26E4-4DA0-9D01-2E4F64547C60}"/>
    <cellStyle name="20% - 强调文字颜色 2 2 5 4" xfId="160" xr:uid="{0BB167A4-93DF-45AC-B354-2ABB867D24C8}"/>
    <cellStyle name="20% - 强调文字颜色 2 2 5 5" xfId="161" xr:uid="{A6E2B70D-D699-4B3E-877B-FE64D98999B2}"/>
    <cellStyle name="20% - 强调文字颜色 2 2 5 6" xfId="162" xr:uid="{E21DFB3A-1CA2-470B-B51C-3455570BF813}"/>
    <cellStyle name="20% - 强调文字颜色 2 2 6" xfId="163" xr:uid="{0E2FE897-0514-4FAD-A675-9DFA00ED19DC}"/>
    <cellStyle name="20% - 强调文字颜色 2 2 7" xfId="164" xr:uid="{65FE85B6-0310-418A-8DAF-1DD002185523}"/>
    <cellStyle name="20% - 强调文字颜色 2 2 8" xfId="165" xr:uid="{58167827-0574-419F-A438-6C8933021B3A}"/>
    <cellStyle name="20% - 强调文字颜色 2 2 9" xfId="166" xr:uid="{BDA5BFB6-0146-452B-B58A-E8BF874A069E}"/>
    <cellStyle name="20% - 强调文字颜色 2 3" xfId="167" xr:uid="{59CE5B14-331B-400E-A608-3123E42252FB}"/>
    <cellStyle name="20% - 强调文字颜色 2 3 2" xfId="168" xr:uid="{19DEBC00-A174-4FD9-A0E3-38454A9CA84A}"/>
    <cellStyle name="20% - 强调文字颜色 2 3 2 2" xfId="169" xr:uid="{0F13B7F1-2B58-4CF3-9933-3DBAB1635E04}"/>
    <cellStyle name="20% - 强调文字颜色 2 3 2 3" xfId="170" xr:uid="{E2C7F269-AB4B-4395-9C9E-80A404466339}"/>
    <cellStyle name="20% - 强调文字颜色 2 3 2 4" xfId="171" xr:uid="{A4711CCA-47F5-4549-A9EB-D8D53A324062}"/>
    <cellStyle name="20% - 强调文字颜色 2 3 2 5" xfId="172" xr:uid="{58800F06-CDD0-48E9-862B-CCB5C69E42E9}"/>
    <cellStyle name="20% - 强调文字颜色 2 3 2 6" xfId="173" xr:uid="{F7F6689C-357F-4EE7-81C7-1A918B118824}"/>
    <cellStyle name="20% - 强调文字颜色 2 3 3" xfId="174" xr:uid="{A733E7C8-1D4D-44AC-9209-A5C4A6796A7E}"/>
    <cellStyle name="20% - 强调文字颜色 2 3 4" xfId="175" xr:uid="{05DC6829-1D95-44B6-9C49-E8092A527654}"/>
    <cellStyle name="20% - 强调文字颜色 2 3 5" xfId="176" xr:uid="{53EDB0DF-499B-4861-96A2-8FCFF203CC84}"/>
    <cellStyle name="20% - 强调文字颜色 2 3 6" xfId="177" xr:uid="{814428A4-BE66-479B-8718-2453C08AC07B}"/>
    <cellStyle name="20% - 强调文字颜色 2 3 7" xfId="178" xr:uid="{F1070318-DF8F-4F59-9734-09D892C75761}"/>
    <cellStyle name="20% - 强调文字颜色 2 4" xfId="179" xr:uid="{99045615-45F9-4A70-8C2A-5BA1507555C6}"/>
    <cellStyle name="20% - 强调文字颜色 2 4 2" xfId="180" xr:uid="{002A966A-5A0E-45E3-B29B-1DC88E6099C8}"/>
    <cellStyle name="20% - 强调文字颜色 2 4 2 2" xfId="181" xr:uid="{708E1B7D-9916-4478-85E6-6253B698CE35}"/>
    <cellStyle name="20% - 强调文字颜色 2 4 2 3" xfId="182" xr:uid="{2B59AA33-0EA0-43F4-A65D-113FF465A1B6}"/>
    <cellStyle name="20% - 强调文字颜色 2 4 2 4" xfId="183" xr:uid="{14FE2D4E-C398-42AB-8D01-1B9C1A54A113}"/>
    <cellStyle name="20% - 强调文字颜色 2 4 2 5" xfId="184" xr:uid="{07E8E710-FCA9-43AF-8778-0EC709B9F2FB}"/>
    <cellStyle name="20% - 强调文字颜色 2 4 2 6" xfId="185" xr:uid="{F4B046F6-0556-4671-80CB-78DFB8270A41}"/>
    <cellStyle name="20% - 强调文字颜色 2 4 3" xfId="186" xr:uid="{6F07060F-C52E-4551-8F07-24E4CDE088BC}"/>
    <cellStyle name="20% - 强调文字颜色 2 4 4" xfId="187" xr:uid="{FCEF20CE-51FD-4F39-93B4-6A3D5CCBE082}"/>
    <cellStyle name="20% - 强调文字颜色 2 4 5" xfId="188" xr:uid="{A1E66B66-C3B2-4127-BE5C-18688844CD83}"/>
    <cellStyle name="20% - 强调文字颜色 2 4 6" xfId="189" xr:uid="{EE823BFE-7810-4F78-952F-D35541D712D2}"/>
    <cellStyle name="20% - 强调文字颜色 2 4 7" xfId="190" xr:uid="{B1EED720-3694-4884-8AB9-618515295791}"/>
    <cellStyle name="20% - 强调文字颜色 2 5" xfId="191" xr:uid="{E68A6CAB-E6C4-4BB0-85A7-FCC87A59440B}"/>
    <cellStyle name="20% - 强调文字颜色 2 5 2" xfId="192" xr:uid="{219D70DF-A066-4D5E-B011-003F6110DCE4}"/>
    <cellStyle name="20% - 强调文字颜色 2 5 2 2" xfId="193" xr:uid="{ACC2CE88-27AC-4437-BAAB-905380A99757}"/>
    <cellStyle name="20% - 强调文字颜色 2 5 2 3" xfId="194" xr:uid="{81F690C3-A022-4B4E-A8FC-A159395093EE}"/>
    <cellStyle name="20% - 强调文字颜色 2 5 2 4" xfId="195" xr:uid="{1EAC4C45-9DE3-46B3-98AD-6400C0823FC4}"/>
    <cellStyle name="20% - 强调文字颜色 2 5 2 5" xfId="196" xr:uid="{2CB9633E-6826-4B7B-97DD-DCC87E56C8A1}"/>
    <cellStyle name="20% - 强调文字颜色 2 5 2 6" xfId="197" xr:uid="{5C7C6824-0E6A-4FA8-9C09-E795F373DCB4}"/>
    <cellStyle name="20% - 强调文字颜色 2 5 3" xfId="198" xr:uid="{D1FA4A20-F4FF-4B28-91AD-016723F494C6}"/>
    <cellStyle name="20% - 强调文字颜色 2 5 4" xfId="199" xr:uid="{483C01CF-C9BE-4ED8-8134-380146B30C2E}"/>
    <cellStyle name="20% - 强调文字颜色 2 5 5" xfId="200" xr:uid="{19BED4CB-AC72-4F44-BB25-7136639BE95C}"/>
    <cellStyle name="20% - 强调文字颜色 2 5 6" xfId="201" xr:uid="{D0DD5CF0-98CB-458E-9F4B-FEAF7DB490D4}"/>
    <cellStyle name="20% - 强调文字颜色 2 5 7" xfId="202" xr:uid="{5AE39E9D-7081-4696-BD96-236F210A191A}"/>
    <cellStyle name="20% - 强调文字颜色 2 6" xfId="203" xr:uid="{11B5F6A4-E03A-4790-AB37-76AF40DE0C21}"/>
    <cellStyle name="20% - 强调文字颜色 2 7" xfId="204" xr:uid="{FDD3E23F-3D2F-41FB-A129-5F97DA83E9C1}"/>
    <cellStyle name="20% - 强调文字颜色 2 7 2" xfId="205" xr:uid="{053FE9CA-202F-407C-8755-27FDEA75CAA2}"/>
    <cellStyle name="20% - 强调文字颜色 2 7 3" xfId="206" xr:uid="{CA408F87-37DA-4895-9DB0-6C57C69AB050}"/>
    <cellStyle name="20% - 强调文字颜色 2 7 4" xfId="207" xr:uid="{A5BB0703-9D40-40AE-9FBD-946235964811}"/>
    <cellStyle name="20% - 强调文字颜色 2 7 5" xfId="208" xr:uid="{D81027A8-FD4B-404F-9DBC-356B434BB909}"/>
    <cellStyle name="20% - 强调文字颜色 2 7 6" xfId="209" xr:uid="{8ACD452C-6A25-4ACC-8E31-26BAEA794819}"/>
    <cellStyle name="20% - 强调文字颜色 2 8" xfId="210" xr:uid="{AF9278BE-67A7-4C4A-BFAE-29E51EB9E29E}"/>
    <cellStyle name="20% - 强调文字颜色 2 9" xfId="211" xr:uid="{9541CB39-0535-4EEE-B482-BEC95B6C2666}"/>
    <cellStyle name="20% - 强调文字颜色 3 10" xfId="212" xr:uid="{C25D3709-C20A-4A45-8E5E-E26BDCB9A7F5}"/>
    <cellStyle name="20% - 强调文字颜色 3 11" xfId="213" xr:uid="{A3307F5F-463D-45CE-A960-9E8AD3E3E9E6}"/>
    <cellStyle name="20% - 强调文字颜色 3 12" xfId="214" xr:uid="{C1A12497-7F69-4591-A265-50312ACA99EF}"/>
    <cellStyle name="20% - 强调文字颜色 3 13" xfId="32844" xr:uid="{EB5A5F1B-B9C9-463E-8AC7-11B432A2240F}"/>
    <cellStyle name="20% - 强调文字颜色 3 2" xfId="215" xr:uid="{11FF223F-43EA-4A24-8E69-DE225AE53995}"/>
    <cellStyle name="20% - 强调文字颜色 3 2 10" xfId="216" xr:uid="{7A2C6CFF-2ED7-4C56-9AE9-214F0E474696}"/>
    <cellStyle name="20% - 强调文字颜色 3 2 2" xfId="217" xr:uid="{59F30812-1DE5-4956-8E36-7B9558E5BBDA}"/>
    <cellStyle name="20% - 强调文字颜色 3 2 2 2" xfId="218" xr:uid="{99308026-709B-4B3A-9D05-FC84860AAD9E}"/>
    <cellStyle name="20% - 强调文字颜色 3 2 2 2 2" xfId="219" xr:uid="{C06621A1-2230-4BE1-A186-2D1F8BD8AFC6}"/>
    <cellStyle name="20% - 强调文字颜色 3 2 2 2 3" xfId="220" xr:uid="{F1FE3A5E-E447-45D8-B69F-3A1C61A78A40}"/>
    <cellStyle name="20% - 强调文字颜色 3 2 2 2 4" xfId="221" xr:uid="{D1E9890C-5B33-4858-8CC6-1D3F5CE04200}"/>
    <cellStyle name="20% - 强调文字颜色 3 2 2 2 5" xfId="222" xr:uid="{9AC236AD-0125-433D-B7EF-EB66BF1DA76D}"/>
    <cellStyle name="20% - 强调文字颜色 3 2 2 2 6" xfId="223" xr:uid="{EDC94219-A90C-4F3D-9B87-D5779F6E3CE6}"/>
    <cellStyle name="20% - 强调文字颜色 3 2 2 3" xfId="224" xr:uid="{654174F0-B5FC-46A1-8F89-69ACC9A870EE}"/>
    <cellStyle name="20% - 强调文字颜色 3 2 2 4" xfId="225" xr:uid="{FB040D88-C767-41A3-9060-31863452A61A}"/>
    <cellStyle name="20% - 强调文字颜色 3 2 2 5" xfId="226" xr:uid="{915450B9-FD39-4D4F-97E8-D7E5B386B359}"/>
    <cellStyle name="20% - 强调文字颜色 3 2 2 6" xfId="227" xr:uid="{FD584551-C05F-4E94-BA68-F31C474ECE3C}"/>
    <cellStyle name="20% - 强调文字颜色 3 2 2 7" xfId="228" xr:uid="{4FF4944C-DD79-48CF-8786-BEBC309BEC83}"/>
    <cellStyle name="20% - 强调文字颜色 3 2 3" xfId="229" xr:uid="{531603B0-2534-41DC-8D79-767F7AF1EDBC}"/>
    <cellStyle name="20% - 强调文字颜色 3 2 3 2" xfId="230" xr:uid="{F069006D-554C-48B3-B466-05E5E0FDFE84}"/>
    <cellStyle name="20% - 强调文字颜色 3 2 3 2 2" xfId="231" xr:uid="{49490B28-D1E0-4CC8-AD52-8D1F24EFE274}"/>
    <cellStyle name="20% - 强调文字颜色 3 2 3 2 3" xfId="232" xr:uid="{45FBC6E9-0F2C-43F6-B846-D1BA49765655}"/>
    <cellStyle name="20% - 强调文字颜色 3 2 3 2 4" xfId="233" xr:uid="{505C2B3C-0385-4BED-B51D-216F4DF7007B}"/>
    <cellStyle name="20% - 强调文字颜色 3 2 3 2 5" xfId="234" xr:uid="{7A4066D9-B3AF-4144-B68C-CBD636548F86}"/>
    <cellStyle name="20% - 强调文字颜色 3 2 3 2 6" xfId="235" xr:uid="{383A9604-E06A-400A-B8CA-28F0FAE5212C}"/>
    <cellStyle name="20% - 强调文字颜色 3 2 3 3" xfId="236" xr:uid="{91B73D4C-8B58-4036-981B-775C525B9A5E}"/>
    <cellStyle name="20% - 强调文字颜色 3 2 3 4" xfId="237" xr:uid="{8DBF25F8-526B-42E1-977C-F8E65437ACD5}"/>
    <cellStyle name="20% - 强调文字颜色 3 2 3 5" xfId="238" xr:uid="{4B51EC7B-A020-4D77-B12C-0C9A65E9F8B0}"/>
    <cellStyle name="20% - 强调文字颜色 3 2 3 6" xfId="239" xr:uid="{28CBFA2B-8C0F-474F-91FC-D5AE89A3D87C}"/>
    <cellStyle name="20% - 强调文字颜色 3 2 3 7" xfId="240" xr:uid="{65E738D1-C95F-420A-B5F1-643080CF80B9}"/>
    <cellStyle name="20% - 强调文字颜色 3 2 4" xfId="241" xr:uid="{3F401A68-23E9-4498-A324-22396F25220C}"/>
    <cellStyle name="20% - 强调文字颜色 3 2 4 2" xfId="242" xr:uid="{7A429ED1-348E-42C0-8AE3-2B709D2FB30A}"/>
    <cellStyle name="20% - 强调文字颜色 3 2 4 2 2" xfId="243" xr:uid="{B9DDFAA3-EA33-489F-892E-C9121D6290B0}"/>
    <cellStyle name="20% - 强调文字颜色 3 2 4 2 3" xfId="244" xr:uid="{8747B3BF-0F4D-4935-87A7-6DD89A85D996}"/>
    <cellStyle name="20% - 强调文字颜色 3 2 4 2 4" xfId="245" xr:uid="{FD48BB79-8347-4F02-A1D3-750CB3A41834}"/>
    <cellStyle name="20% - 强调文字颜色 3 2 4 2 5" xfId="246" xr:uid="{38A9F1C1-FE2C-4B71-A833-E14D80B8212D}"/>
    <cellStyle name="20% - 强调文字颜色 3 2 4 2 6" xfId="247" xr:uid="{7F5B616D-0C27-4956-A607-298873B359A8}"/>
    <cellStyle name="20% - 强调文字颜色 3 2 4 3" xfId="248" xr:uid="{25F1AD90-F04C-472D-91BA-5600751F26D5}"/>
    <cellStyle name="20% - 强调文字颜色 3 2 4 4" xfId="249" xr:uid="{F9A48598-F094-43A5-B757-50BA577CDD5D}"/>
    <cellStyle name="20% - 强调文字颜色 3 2 4 5" xfId="250" xr:uid="{55DDC280-197E-4EBE-BCE7-AB0796E99E6D}"/>
    <cellStyle name="20% - 强调文字颜色 3 2 4 6" xfId="251" xr:uid="{58D74E17-C25E-4DE5-9533-DA9609306815}"/>
    <cellStyle name="20% - 强调文字颜色 3 2 4 7" xfId="252" xr:uid="{588120CF-F661-4D6B-AEF9-F41BAADFBC5C}"/>
    <cellStyle name="20% - 强调文字颜色 3 2 5" xfId="253" xr:uid="{43F881A9-7891-4F3D-8028-2C38AD31A2EA}"/>
    <cellStyle name="20% - 强调文字颜色 3 2 5 2" xfId="254" xr:uid="{41D167CB-B6FF-48B3-AD5B-215F2D4B6C5B}"/>
    <cellStyle name="20% - 强调文字颜色 3 2 5 3" xfId="255" xr:uid="{B45293EC-5935-480B-B853-3BB7DD0B2926}"/>
    <cellStyle name="20% - 强调文字颜色 3 2 5 4" xfId="256" xr:uid="{F59DCE3E-936B-42D6-B706-A13F649D2E9D}"/>
    <cellStyle name="20% - 强调文字颜色 3 2 5 5" xfId="257" xr:uid="{649541D9-E928-44F4-B29B-FA9C46952C4E}"/>
    <cellStyle name="20% - 强调文字颜色 3 2 5 6" xfId="258" xr:uid="{52C2013C-25C7-49FA-B326-60C05E71E5C8}"/>
    <cellStyle name="20% - 强调文字颜色 3 2 6" xfId="259" xr:uid="{9B5016CB-FC0B-46A0-B7F0-186B3E778C47}"/>
    <cellStyle name="20% - 强调文字颜色 3 2 7" xfId="260" xr:uid="{0199F9D5-EDE4-4A1F-AE13-F8552CCD9EB4}"/>
    <cellStyle name="20% - 强调文字颜色 3 2 8" xfId="261" xr:uid="{C4B2E41D-476C-4E31-929E-ECFFA94CE4FA}"/>
    <cellStyle name="20% - 强调文字颜色 3 2 9" xfId="262" xr:uid="{F650192F-B714-4788-A0D5-442E61EC45AD}"/>
    <cellStyle name="20% - 强调文字颜色 3 3" xfId="263" xr:uid="{39EF053A-5B2C-4379-8961-EE7AD7964A18}"/>
    <cellStyle name="20% - 强调文字颜色 3 3 2" xfId="264" xr:uid="{F53AE6AD-6980-4B77-ADA6-E630670F7DB0}"/>
    <cellStyle name="20% - 强调文字颜色 3 3 2 2" xfId="265" xr:uid="{7E257B11-9E6E-404B-842D-3FCF6C73DBD1}"/>
    <cellStyle name="20% - 强调文字颜色 3 3 2 3" xfId="266" xr:uid="{69882977-E02D-4F18-8E37-4F18FF59C1B5}"/>
    <cellStyle name="20% - 强调文字颜色 3 3 2 4" xfId="267" xr:uid="{5786CB6D-3517-4114-80AF-CEA4D46553E4}"/>
    <cellStyle name="20% - 强调文字颜色 3 3 2 5" xfId="268" xr:uid="{A56804BB-23AB-42B0-A727-7C0D99505ACA}"/>
    <cellStyle name="20% - 强调文字颜色 3 3 2 6" xfId="269" xr:uid="{E3AD4351-7832-42A9-BA72-34BF7E3EB541}"/>
    <cellStyle name="20% - 强调文字颜色 3 3 3" xfId="270" xr:uid="{CDD01D7F-7DFC-4C19-937F-E7E27B014981}"/>
    <cellStyle name="20% - 强调文字颜色 3 3 4" xfId="271" xr:uid="{959AF0A9-29FD-4E21-9293-FC232F242733}"/>
    <cellStyle name="20% - 强调文字颜色 3 3 5" xfId="272" xr:uid="{5EFBAFEB-2732-494F-B345-AC7537CFC63F}"/>
    <cellStyle name="20% - 强调文字颜色 3 3 6" xfId="273" xr:uid="{A6C15F3F-3477-4452-B3B5-12E41C8DC852}"/>
    <cellStyle name="20% - 强调文字颜色 3 3 7" xfId="274" xr:uid="{53DBB01A-AAD7-4CD4-A79E-3C27234D3618}"/>
    <cellStyle name="20% - 强调文字颜色 3 4" xfId="275" xr:uid="{E7BF4C73-2E41-4D4D-925D-7720D23FDB29}"/>
    <cellStyle name="20% - 强调文字颜色 3 4 2" xfId="276" xr:uid="{7A87B86B-0993-4068-BAA6-9F99D31E7251}"/>
    <cellStyle name="20% - 强调文字颜色 3 4 2 2" xfId="277" xr:uid="{F5BE3529-02DA-4F3F-BCBE-E7D2BE7F48C4}"/>
    <cellStyle name="20% - 强调文字颜色 3 4 2 3" xfId="278" xr:uid="{55F7FBA3-3517-4100-8827-BB7FD37517FA}"/>
    <cellStyle name="20% - 强调文字颜色 3 4 2 4" xfId="279" xr:uid="{3C9A7807-9876-4A2A-BFDD-A6D9C2FF2649}"/>
    <cellStyle name="20% - 强调文字颜色 3 4 2 5" xfId="280" xr:uid="{181804C1-C769-4138-B73D-1DA619BF4894}"/>
    <cellStyle name="20% - 强调文字颜色 3 4 2 6" xfId="281" xr:uid="{8E0896E1-A85A-400C-9933-46D5A80D5090}"/>
    <cellStyle name="20% - 强调文字颜色 3 4 3" xfId="282" xr:uid="{4C5E5CEA-C34D-484F-94E4-38B65A55AADD}"/>
    <cellStyle name="20% - 强调文字颜色 3 4 4" xfId="283" xr:uid="{664B061A-F2D4-40E0-B913-57ACF278A03A}"/>
    <cellStyle name="20% - 强调文字颜色 3 4 5" xfId="284" xr:uid="{112E9E15-F111-4AAB-889E-F581BE271D2E}"/>
    <cellStyle name="20% - 强调文字颜色 3 4 6" xfId="285" xr:uid="{B5788C11-2A58-4FDE-B7CB-3A0D74EDEF9F}"/>
    <cellStyle name="20% - 强调文字颜色 3 4 7" xfId="286" xr:uid="{10CDAB45-7783-4003-8567-EC1D4B5F2BEF}"/>
    <cellStyle name="20% - 强调文字颜色 3 5" xfId="287" xr:uid="{B45E5777-60CB-4C4F-B8B0-45B9A37426FE}"/>
    <cellStyle name="20% - 强调文字颜色 3 5 2" xfId="288" xr:uid="{11611349-94A8-4827-A5D3-AD7B7D6747BB}"/>
    <cellStyle name="20% - 强调文字颜色 3 5 2 2" xfId="289" xr:uid="{2D2617A7-0C73-452B-A97D-25EDE79C99A0}"/>
    <cellStyle name="20% - 强调文字颜色 3 5 2 3" xfId="290" xr:uid="{FFFA6A6E-23DE-4B4F-90EC-553DA45BADFC}"/>
    <cellStyle name="20% - 强调文字颜色 3 5 2 4" xfId="291" xr:uid="{09923FB6-4342-4782-8C80-1415C1A4EA91}"/>
    <cellStyle name="20% - 强调文字颜色 3 5 2 5" xfId="292" xr:uid="{99BFAAAA-8720-403D-9CA9-EFA12A8B47A6}"/>
    <cellStyle name="20% - 强调文字颜色 3 5 2 6" xfId="293" xr:uid="{F2BC0679-C28A-40F8-84BC-1A5CE374E0C7}"/>
    <cellStyle name="20% - 强调文字颜色 3 5 3" xfId="294" xr:uid="{89C11AA1-89BE-402C-AC55-5759944129C3}"/>
    <cellStyle name="20% - 强调文字颜色 3 5 4" xfId="295" xr:uid="{6A6C819F-AC0E-45C7-A195-CBC734E54350}"/>
    <cellStyle name="20% - 强调文字颜色 3 5 5" xfId="296" xr:uid="{6A8D0A22-8920-4FC0-BE0B-ACBD408D18A8}"/>
    <cellStyle name="20% - 强调文字颜色 3 5 6" xfId="297" xr:uid="{1241D982-C154-47CF-93D4-CA01684E719E}"/>
    <cellStyle name="20% - 强调文字颜色 3 5 7" xfId="298" xr:uid="{43005725-364C-4321-8A02-3E4F58BBE449}"/>
    <cellStyle name="20% - 强调文字颜色 3 6" xfId="299" xr:uid="{889610F5-272F-401E-8225-9C47E2212AF4}"/>
    <cellStyle name="20% - 强调文字颜色 3 7" xfId="300" xr:uid="{6F85202E-8321-4CA2-861A-CA08CDC8E38D}"/>
    <cellStyle name="20% - 强调文字颜色 3 7 2" xfId="301" xr:uid="{5DDD621F-7F2E-4230-854A-4E60BD02D4E6}"/>
    <cellStyle name="20% - 强调文字颜色 3 7 3" xfId="302" xr:uid="{2758057A-CD35-42CC-9C9F-AD22E70D65A0}"/>
    <cellStyle name="20% - 强调文字颜色 3 7 4" xfId="303" xr:uid="{F180D231-4721-4828-85FE-539AA59E32C7}"/>
    <cellStyle name="20% - 强调文字颜色 3 7 5" xfId="304" xr:uid="{F43C9423-8202-4462-9840-062EB1595DF5}"/>
    <cellStyle name="20% - 强调文字颜色 3 7 6" xfId="305" xr:uid="{182EC8FA-E404-4D33-96B1-A9DE4D80A6A7}"/>
    <cellStyle name="20% - 强调文字颜色 3 8" xfId="306" xr:uid="{111120DC-FB59-4C4B-A2D8-9413FB1099A4}"/>
    <cellStyle name="20% - 强调文字颜色 3 9" xfId="307" xr:uid="{DEA035F5-69C6-4D00-B46E-DC998DD01C7A}"/>
    <cellStyle name="20% - 强调文字颜色 4 10" xfId="308" xr:uid="{2A450D9A-14FA-4B82-B328-F07481C4617A}"/>
    <cellStyle name="20% - 强调文字颜色 4 11" xfId="309" xr:uid="{7C86B40E-1235-42D3-9109-3680031203B5}"/>
    <cellStyle name="20% - 强调文字颜色 4 12" xfId="310" xr:uid="{B45EE1DF-9EC7-414E-A95D-E4C0BB60F183}"/>
    <cellStyle name="20% - 强调文字颜色 4 13" xfId="32845" xr:uid="{8DDE43A7-CA37-41AE-836D-3B6BCBC017CD}"/>
    <cellStyle name="20% - 强调文字颜色 4 2" xfId="311" xr:uid="{35EFD5A8-1478-4F63-BD81-7072EF6F83FC}"/>
    <cellStyle name="20% - 强调文字颜色 4 2 10" xfId="312" xr:uid="{85D27127-3D78-4AEB-8750-21E66B47D009}"/>
    <cellStyle name="20% - 强调文字颜色 4 2 2" xfId="313" xr:uid="{7C840F3F-DD41-479C-B8EE-52211AB7A90F}"/>
    <cellStyle name="20% - 强调文字颜色 4 2 2 2" xfId="314" xr:uid="{620F304B-7E7A-4498-A93A-F490F3FC548C}"/>
    <cellStyle name="20% - 强调文字颜色 4 2 2 2 2" xfId="315" xr:uid="{272D0E4D-AA59-4352-82D6-EF999BD1153A}"/>
    <cellStyle name="20% - 强调文字颜色 4 2 2 2 3" xfId="316" xr:uid="{F0A2F421-BA45-442D-B461-6A4EC9CEAA21}"/>
    <cellStyle name="20% - 强调文字颜色 4 2 2 2 4" xfId="317" xr:uid="{7D6F6030-F740-4075-AF34-8F1E28781874}"/>
    <cellStyle name="20% - 强调文字颜色 4 2 2 2 5" xfId="318" xr:uid="{373F5B4B-3140-4C8C-963E-7FFF2473594C}"/>
    <cellStyle name="20% - 强调文字颜色 4 2 2 2 6" xfId="319" xr:uid="{4BA827D0-7675-4DFC-BFEE-D0BF4CA6FE37}"/>
    <cellStyle name="20% - 强调文字颜色 4 2 2 3" xfId="320" xr:uid="{402A5352-39AC-441A-BF27-0AAF1CCE8250}"/>
    <cellStyle name="20% - 强调文字颜色 4 2 2 4" xfId="321" xr:uid="{D9FCF263-2DE2-4A80-BE1F-CAD0F422FD53}"/>
    <cellStyle name="20% - 强调文字颜色 4 2 2 5" xfId="322" xr:uid="{05C498CE-A4A0-4668-AB6A-0FFAF5CC62F9}"/>
    <cellStyle name="20% - 强调文字颜色 4 2 2 6" xfId="323" xr:uid="{BD54AC73-6DE1-4857-AE1E-B8B01314540D}"/>
    <cellStyle name="20% - 强调文字颜色 4 2 2 7" xfId="324" xr:uid="{6FE552FF-9F3B-4B33-9DF1-B4E324D1C2BA}"/>
    <cellStyle name="20% - 强调文字颜色 4 2 3" xfId="325" xr:uid="{35AFE634-B049-452A-A7EB-A862897B905D}"/>
    <cellStyle name="20% - 强调文字颜色 4 2 3 2" xfId="326" xr:uid="{90BDF674-BC45-4109-99D9-A84C4B51F6FA}"/>
    <cellStyle name="20% - 强调文字颜色 4 2 3 2 2" xfId="327" xr:uid="{DB53E9BA-EFD7-4ACA-8C50-BC58DFE3FD5C}"/>
    <cellStyle name="20% - 强调文字颜色 4 2 3 2 3" xfId="328" xr:uid="{CA7378AF-2585-4352-AC07-BD780394AB44}"/>
    <cellStyle name="20% - 强调文字颜色 4 2 3 2 4" xfId="329" xr:uid="{60BBE131-B002-4CB8-8320-9C410B036069}"/>
    <cellStyle name="20% - 强调文字颜色 4 2 3 2 5" xfId="330" xr:uid="{C8D13FED-5473-455B-A635-1DD368B46494}"/>
    <cellStyle name="20% - 强调文字颜色 4 2 3 2 6" xfId="331" xr:uid="{8CDCBD63-A17E-41B7-8A07-CA9C21DFFE86}"/>
    <cellStyle name="20% - 强调文字颜色 4 2 3 3" xfId="332" xr:uid="{BACB9312-1C31-490F-BE42-B39CEBC15256}"/>
    <cellStyle name="20% - 强调文字颜色 4 2 3 4" xfId="333" xr:uid="{C8FC7744-C49F-44B3-B4FF-215F68FB3C44}"/>
    <cellStyle name="20% - 强调文字颜色 4 2 3 5" xfId="334" xr:uid="{E8A3AEDE-AF84-4BB4-A3B2-B162C8EF463D}"/>
    <cellStyle name="20% - 强调文字颜色 4 2 3 6" xfId="335" xr:uid="{F61B9ED9-B740-4C03-848F-94011CC83C40}"/>
    <cellStyle name="20% - 强调文字颜色 4 2 3 7" xfId="336" xr:uid="{4F4E764B-4417-4922-BF69-0ABE95C4EEA4}"/>
    <cellStyle name="20% - 强调文字颜色 4 2 4" xfId="337" xr:uid="{5763BD80-B419-4CAC-B60A-829F7CAC598A}"/>
    <cellStyle name="20% - 强调文字颜色 4 2 4 2" xfId="338" xr:uid="{67271F3B-F950-4725-9E79-F293E5EAEE7D}"/>
    <cellStyle name="20% - 强调文字颜色 4 2 4 2 2" xfId="339" xr:uid="{EFD6ACAE-396E-469F-99B3-87EAE114A348}"/>
    <cellStyle name="20% - 强调文字颜色 4 2 4 2 3" xfId="340" xr:uid="{570D13F3-22F4-419F-9446-4AC8DD76E0E9}"/>
    <cellStyle name="20% - 强调文字颜色 4 2 4 2 4" xfId="341" xr:uid="{D979724C-F98F-4246-9A73-66E64E9E1A36}"/>
    <cellStyle name="20% - 强调文字颜色 4 2 4 2 5" xfId="342" xr:uid="{41466A14-F789-41FF-90D4-38E48C116554}"/>
    <cellStyle name="20% - 强调文字颜色 4 2 4 2 6" xfId="343" xr:uid="{60B010A9-63FD-4EC4-BF2D-B042066B8A2A}"/>
    <cellStyle name="20% - 强调文字颜色 4 2 4 3" xfId="344" xr:uid="{7FF2C6B2-0FF8-4934-9DFD-3981EC9301C5}"/>
    <cellStyle name="20% - 强调文字颜色 4 2 4 4" xfId="345" xr:uid="{46741EAE-78C7-42F0-92E7-B3A6340F5036}"/>
    <cellStyle name="20% - 强调文字颜色 4 2 4 5" xfId="346" xr:uid="{FB1F1B7A-41CA-4ACC-8A8A-CA66547A209F}"/>
    <cellStyle name="20% - 强调文字颜色 4 2 4 6" xfId="347" xr:uid="{482CF3D7-CE70-4AD2-AC40-1CFC3845C58B}"/>
    <cellStyle name="20% - 强调文字颜色 4 2 4 7" xfId="348" xr:uid="{195E9168-F4BC-436F-81EC-1879C30D01FD}"/>
    <cellStyle name="20% - 强调文字颜色 4 2 5" xfId="349" xr:uid="{FDE79663-B8A0-46AD-B537-AFAA5FAD9062}"/>
    <cellStyle name="20% - 强调文字颜色 4 2 5 2" xfId="350" xr:uid="{92DB2C4C-31D0-4707-A60F-77A2D0F28916}"/>
    <cellStyle name="20% - 强调文字颜色 4 2 5 3" xfId="351" xr:uid="{80006500-5276-41D1-82ED-096CC76A5A89}"/>
    <cellStyle name="20% - 强调文字颜色 4 2 5 4" xfId="352" xr:uid="{56E1A676-F89F-4630-AE08-BBE8924D8D4A}"/>
    <cellStyle name="20% - 强调文字颜色 4 2 5 5" xfId="353" xr:uid="{DD077F6F-D28B-4ADA-BEE4-6A14ABCC4B5D}"/>
    <cellStyle name="20% - 强调文字颜色 4 2 5 6" xfId="354" xr:uid="{5E018C47-31EA-4B65-85DA-ABA86E182E42}"/>
    <cellStyle name="20% - 强调文字颜色 4 2 6" xfId="355" xr:uid="{C67F96E3-919A-4D05-8FE3-59C9437FABF3}"/>
    <cellStyle name="20% - 强调文字颜色 4 2 7" xfId="356" xr:uid="{5D269A03-D1DB-4F0B-A0F2-A8AF91E9606C}"/>
    <cellStyle name="20% - 强调文字颜色 4 2 8" xfId="357" xr:uid="{0053A9C8-7D39-4751-A54C-B76C255E828D}"/>
    <cellStyle name="20% - 强调文字颜色 4 2 9" xfId="358" xr:uid="{832F2F93-AB8E-4451-9069-F30235B9844E}"/>
    <cellStyle name="20% - 强调文字颜色 4 3" xfId="359" xr:uid="{3CBF80A1-A13F-4E7E-A78D-26927A050D91}"/>
    <cellStyle name="20% - 强调文字颜色 4 3 2" xfId="360" xr:uid="{12288B56-8D9F-4F6C-BCE1-D08D8E6B3BCB}"/>
    <cellStyle name="20% - 强调文字颜色 4 3 2 2" xfId="361" xr:uid="{DC805232-0A6E-4A21-A8F3-677FD861102E}"/>
    <cellStyle name="20% - 强调文字颜色 4 3 2 3" xfId="362" xr:uid="{C645931C-8D5D-403C-A465-9EF71CB56BBC}"/>
    <cellStyle name="20% - 强调文字颜色 4 3 2 4" xfId="363" xr:uid="{C0420FB8-366D-46B5-862B-C5202EACF0E1}"/>
    <cellStyle name="20% - 强调文字颜色 4 3 2 5" xfId="364" xr:uid="{9DC430EB-58AE-464C-9E15-75A6B7FEF2EB}"/>
    <cellStyle name="20% - 强调文字颜色 4 3 2 6" xfId="365" xr:uid="{CED23A67-C1FB-416C-A358-5E23B193CB51}"/>
    <cellStyle name="20% - 强调文字颜色 4 3 3" xfId="366" xr:uid="{9A157472-ECF1-429E-9C0A-E49377117614}"/>
    <cellStyle name="20% - 强调文字颜色 4 3 4" xfId="367" xr:uid="{78D173FB-8DC6-48F8-AFD6-45B721C0B881}"/>
    <cellStyle name="20% - 强调文字颜色 4 3 5" xfId="368" xr:uid="{F425BBB3-2DB3-48A1-A707-B98CFA8D517D}"/>
    <cellStyle name="20% - 强调文字颜色 4 3 6" xfId="369" xr:uid="{241BCCBB-9377-410E-A9F6-6D6AE3E5F22A}"/>
    <cellStyle name="20% - 强调文字颜色 4 3 7" xfId="370" xr:uid="{A455C2B3-F538-4128-B55A-1503EA35FCF8}"/>
    <cellStyle name="20% - 强调文字颜色 4 4" xfId="371" xr:uid="{F4239414-2268-4B57-B70D-DD9CD5B4FE6E}"/>
    <cellStyle name="20% - 强调文字颜色 4 4 2" xfId="372" xr:uid="{E3694B6E-7BB2-4448-8883-2C31CF850D22}"/>
    <cellStyle name="20% - 强调文字颜色 4 4 2 2" xfId="373" xr:uid="{D5EA7E78-3F33-459E-A92D-F0B46CF4F255}"/>
    <cellStyle name="20% - 强调文字颜色 4 4 2 3" xfId="374" xr:uid="{A65F0320-1140-45B9-A915-C4C8B1EB5871}"/>
    <cellStyle name="20% - 强调文字颜色 4 4 2 4" xfId="375" xr:uid="{9675BD74-DFB9-4A0F-89DC-9C012568C604}"/>
    <cellStyle name="20% - 强调文字颜色 4 4 2 5" xfId="376" xr:uid="{677B35FC-FC64-425F-B152-EA3D56228760}"/>
    <cellStyle name="20% - 强调文字颜色 4 4 2 6" xfId="377" xr:uid="{07C45253-2FFC-4A29-AEF4-27E5286EA672}"/>
    <cellStyle name="20% - 强调文字颜色 4 4 3" xfId="378" xr:uid="{BADC0850-6132-4617-B09A-1E0069096CC1}"/>
    <cellStyle name="20% - 强调文字颜色 4 4 4" xfId="379" xr:uid="{9EF249FF-AB7C-42D0-81ED-F2289F1DAC16}"/>
    <cellStyle name="20% - 强调文字颜色 4 4 5" xfId="380" xr:uid="{82C54EF9-A06D-4A02-ABD2-C7EF4081020A}"/>
    <cellStyle name="20% - 强调文字颜色 4 4 6" xfId="381" xr:uid="{4060C5ED-90E2-47B6-A29A-5F8E735EBBD3}"/>
    <cellStyle name="20% - 强调文字颜色 4 4 7" xfId="382" xr:uid="{6CF52CEF-CCB2-4F55-9586-78A513E9AB13}"/>
    <cellStyle name="20% - 强调文字颜色 4 5" xfId="383" xr:uid="{E04947EE-82F3-4FD7-A9CE-828ACD1784BD}"/>
    <cellStyle name="20% - 强调文字颜色 4 5 2" xfId="384" xr:uid="{8DD68797-D66C-4FA3-A0BB-101121EB008C}"/>
    <cellStyle name="20% - 强调文字颜色 4 5 2 2" xfId="385" xr:uid="{4C50FE67-9948-401B-8EF2-1F203D035C79}"/>
    <cellStyle name="20% - 强调文字颜色 4 5 2 3" xfId="386" xr:uid="{A560E585-801F-42CA-BFD2-5EC9908AB50E}"/>
    <cellStyle name="20% - 强调文字颜色 4 5 2 4" xfId="387" xr:uid="{7CC351FF-6D4E-4B40-9819-B4795B6274C2}"/>
    <cellStyle name="20% - 强调文字颜色 4 5 2 5" xfId="388" xr:uid="{A5985D07-7F1E-40BC-A20D-E424CCD1D444}"/>
    <cellStyle name="20% - 强调文字颜色 4 5 2 6" xfId="389" xr:uid="{6DFD11B7-9414-41C3-9231-C8066FD07304}"/>
    <cellStyle name="20% - 强调文字颜色 4 5 3" xfId="390" xr:uid="{71678178-2BAC-4F9F-A720-EE0556C5F362}"/>
    <cellStyle name="20% - 强调文字颜色 4 5 4" xfId="391" xr:uid="{BF5B3038-EB03-40E1-9678-28A20C9832D5}"/>
    <cellStyle name="20% - 强调文字颜色 4 5 5" xfId="392" xr:uid="{71C0465A-A693-45A8-AE8A-CD6AA9133932}"/>
    <cellStyle name="20% - 强调文字颜色 4 5 6" xfId="393" xr:uid="{B596C5BE-E27D-4EE0-90CF-874D797D5367}"/>
    <cellStyle name="20% - 强调文字颜色 4 5 7" xfId="394" xr:uid="{46149C5C-1108-4A95-83F2-7BD1F2165ED3}"/>
    <cellStyle name="20% - 强调文字颜色 4 6" xfId="395" xr:uid="{A3BA22C5-F381-434C-9053-0C27835C65D3}"/>
    <cellStyle name="20% - 强调文字颜色 4 7" xfId="396" xr:uid="{115484D3-3F7F-49CA-9F82-4DFF35A12109}"/>
    <cellStyle name="20% - 强调文字颜色 4 7 2" xfId="397" xr:uid="{F7368E3D-794D-4BE4-9CFE-12FFE59E488A}"/>
    <cellStyle name="20% - 强调文字颜色 4 7 3" xfId="398" xr:uid="{51C4D8FF-5D1A-42FD-B5BC-748AF1605BC5}"/>
    <cellStyle name="20% - 强调文字颜色 4 7 4" xfId="399" xr:uid="{C57CF688-880B-4223-B846-DA7D93A6EA0A}"/>
    <cellStyle name="20% - 强调文字颜色 4 7 5" xfId="400" xr:uid="{B2D273B9-4E61-491D-BC0B-FDF7A331062D}"/>
    <cellStyle name="20% - 强调文字颜色 4 7 6" xfId="401" xr:uid="{3E1FB87B-EB56-40D4-A8CF-F4C13A80440E}"/>
    <cellStyle name="20% - 强调文字颜色 4 8" xfId="402" xr:uid="{258A36E8-AEA5-45E3-A9CF-B00488E20FB0}"/>
    <cellStyle name="20% - 强调文字颜色 4 9" xfId="403" xr:uid="{D00B17DA-F575-4CE2-8B2B-E81E1C993330}"/>
    <cellStyle name="20% - 强调文字颜色 5 10" xfId="404" xr:uid="{2572EA7F-13BA-40B2-8A69-8586518094E8}"/>
    <cellStyle name="20% - 强调文字颜色 5 11" xfId="405" xr:uid="{7C8524C6-F95A-4EF5-8590-E9EE96E243BF}"/>
    <cellStyle name="20% - 强调文字颜色 5 12" xfId="406" xr:uid="{5BE2259A-DCBE-4EA8-B32E-B6CB624A6F8D}"/>
    <cellStyle name="20% - 强调文字颜色 5 13" xfId="32846" xr:uid="{6EBB27D4-17C6-4E4D-8585-A6899C354B4A}"/>
    <cellStyle name="20% - 强调文字颜色 5 2" xfId="407" xr:uid="{A715B90E-0603-4125-BF18-1FB303653B28}"/>
    <cellStyle name="20% - 强调文字颜色 5 2 10" xfId="408" xr:uid="{E8013FD2-E381-44ED-ACE8-92D8169877D1}"/>
    <cellStyle name="20% - 强调文字颜色 5 2 2" xfId="409" xr:uid="{2C6C6DD1-395E-4DA7-874D-886750019C00}"/>
    <cellStyle name="20% - 强调文字颜色 5 2 2 2" xfId="410" xr:uid="{A703344F-0102-4002-BC43-AB5392B4378C}"/>
    <cellStyle name="20% - 强调文字颜色 5 2 2 2 2" xfId="411" xr:uid="{D4DB5A99-B0C7-47E7-A699-8672E5C3F7AA}"/>
    <cellStyle name="20% - 强调文字颜色 5 2 2 2 3" xfId="412" xr:uid="{17E35A2D-6A1C-4EC3-9802-7E45881ECEC8}"/>
    <cellStyle name="20% - 强调文字颜色 5 2 2 2 4" xfId="413" xr:uid="{F876CB75-172E-4755-BA0D-4233203B2252}"/>
    <cellStyle name="20% - 强调文字颜色 5 2 2 2 5" xfId="414" xr:uid="{2E6956F6-3B96-4AF2-94E9-BEBB55744ECF}"/>
    <cellStyle name="20% - 强调文字颜色 5 2 2 2 6" xfId="415" xr:uid="{A0EB85DA-B89B-4170-B66B-D703E8BFF152}"/>
    <cellStyle name="20% - 强调文字颜色 5 2 2 3" xfId="416" xr:uid="{E862E464-063D-4A1E-9897-4D1068B78B40}"/>
    <cellStyle name="20% - 强调文字颜色 5 2 2 4" xfId="417" xr:uid="{63FBE0B6-2C41-4A7C-BC7A-9A650A58FDB7}"/>
    <cellStyle name="20% - 强调文字颜色 5 2 2 5" xfId="418" xr:uid="{62992093-FB9A-4654-BF53-8A0C480DFDC4}"/>
    <cellStyle name="20% - 强调文字颜色 5 2 2 6" xfId="419" xr:uid="{93A88391-2FFF-4FBE-ADEC-DFBCFD86F3EE}"/>
    <cellStyle name="20% - 强调文字颜色 5 2 2 7" xfId="420" xr:uid="{5CE6E05D-97C3-474C-BCE3-333924FE055C}"/>
    <cellStyle name="20% - 强调文字颜色 5 2 3" xfId="421" xr:uid="{2505C2CF-FDAA-4C93-877E-35EC47E7116C}"/>
    <cellStyle name="20% - 强调文字颜色 5 2 3 2" xfId="422" xr:uid="{2839F8EE-5DE2-49F7-A996-13AC82CE04A2}"/>
    <cellStyle name="20% - 强调文字颜色 5 2 3 2 2" xfId="423" xr:uid="{9EC4D006-C63A-46EB-9604-7E3CBE3E6134}"/>
    <cellStyle name="20% - 强调文字颜色 5 2 3 2 3" xfId="424" xr:uid="{BA2CA618-E25A-47D3-BFC2-E80B28649629}"/>
    <cellStyle name="20% - 强调文字颜色 5 2 3 2 4" xfId="425" xr:uid="{C587236A-119B-45F1-A89A-4D8DDAAE1304}"/>
    <cellStyle name="20% - 强调文字颜色 5 2 3 2 5" xfId="426" xr:uid="{09327E70-B4D3-4798-99FE-F4AEAA2F2A8E}"/>
    <cellStyle name="20% - 强调文字颜色 5 2 3 2 6" xfId="427" xr:uid="{1BB56976-43C5-407F-9922-7AEFD8C5BC0D}"/>
    <cellStyle name="20% - 强调文字颜色 5 2 3 3" xfId="428" xr:uid="{91DDAC59-3D53-4697-8754-C7B702B1D8DB}"/>
    <cellStyle name="20% - 强调文字颜色 5 2 3 4" xfId="429" xr:uid="{993D65BF-E646-42E3-8AE5-4A8E68677AF4}"/>
    <cellStyle name="20% - 强调文字颜色 5 2 3 5" xfId="430" xr:uid="{17C4110D-F5F2-49E7-8202-37CA207BDDC9}"/>
    <cellStyle name="20% - 强调文字颜色 5 2 3 6" xfId="431" xr:uid="{FA3A264F-D729-471F-B426-CFB0BBB7E13B}"/>
    <cellStyle name="20% - 强调文字颜色 5 2 3 7" xfId="432" xr:uid="{1BBAEE0B-B178-41F4-AA9E-1C3ACB4D7013}"/>
    <cellStyle name="20% - 强调文字颜色 5 2 4" xfId="433" xr:uid="{ED161376-1C88-4410-BB5C-865317F3203D}"/>
    <cellStyle name="20% - 强调文字颜色 5 2 4 2" xfId="434" xr:uid="{0A8B5050-BA1A-4A5C-83DA-30DB039949E3}"/>
    <cellStyle name="20% - 强调文字颜色 5 2 4 2 2" xfId="435" xr:uid="{F966407B-9F18-4DF9-B8CA-56AC8D7AF93E}"/>
    <cellStyle name="20% - 强调文字颜色 5 2 4 2 3" xfId="436" xr:uid="{1D3FA81F-4DD2-410A-9D46-72185277E81D}"/>
    <cellStyle name="20% - 强调文字颜色 5 2 4 2 4" xfId="437" xr:uid="{FB935F62-5C11-4577-A94B-C59C77836E45}"/>
    <cellStyle name="20% - 强调文字颜色 5 2 4 2 5" xfId="438" xr:uid="{9D60F97A-8703-4CE5-8FC4-072AEC87C8EE}"/>
    <cellStyle name="20% - 强调文字颜色 5 2 4 2 6" xfId="439" xr:uid="{AE96C93E-897E-41FB-98B0-2C6ADF394B19}"/>
    <cellStyle name="20% - 强调文字颜色 5 2 4 3" xfId="440" xr:uid="{98AF8157-2EED-4362-814E-53DE4D3587B0}"/>
    <cellStyle name="20% - 强调文字颜色 5 2 4 4" xfId="441" xr:uid="{8A5E2990-30D1-4524-AB7B-44BFE6BDBD35}"/>
    <cellStyle name="20% - 强调文字颜色 5 2 4 5" xfId="442" xr:uid="{0ECE168D-2CBD-4DA3-B43E-F031C44BECF7}"/>
    <cellStyle name="20% - 强调文字颜色 5 2 4 6" xfId="443" xr:uid="{55282725-0FC8-4150-9CF7-807672DC645A}"/>
    <cellStyle name="20% - 强调文字颜色 5 2 4 7" xfId="444" xr:uid="{61C2620F-77B8-4F9E-A77E-068BB3376752}"/>
    <cellStyle name="20% - 强调文字颜色 5 2 5" xfId="445" xr:uid="{E271A620-6806-40F6-9844-D0E25086A460}"/>
    <cellStyle name="20% - 强调文字颜色 5 2 5 2" xfId="446" xr:uid="{EA31F8BC-0399-4014-85C0-5ED3658AFB9D}"/>
    <cellStyle name="20% - 强调文字颜色 5 2 5 3" xfId="447" xr:uid="{51D988C6-EE3B-4001-ADEA-7A2295C6772F}"/>
    <cellStyle name="20% - 强调文字颜色 5 2 5 4" xfId="448" xr:uid="{E0007EB0-2C3E-4D36-B29A-95FCA9D6EA1D}"/>
    <cellStyle name="20% - 强调文字颜色 5 2 5 5" xfId="449" xr:uid="{C0368FAB-2E7E-436D-843D-57E907F9614D}"/>
    <cellStyle name="20% - 强调文字颜色 5 2 5 6" xfId="450" xr:uid="{7DFFC6E1-457F-477A-B49E-6276DA85DF53}"/>
    <cellStyle name="20% - 强调文字颜色 5 2 6" xfId="451" xr:uid="{AB5DBE7B-9C2C-4AEF-A08D-FC1297137E07}"/>
    <cellStyle name="20% - 强调文字颜色 5 2 7" xfId="452" xr:uid="{40A9B1A5-6AF2-4660-B26D-9B4657DB2BA0}"/>
    <cellStyle name="20% - 强调文字颜色 5 2 8" xfId="453" xr:uid="{AA7DACC1-49D6-42FD-BD90-12693B6D137A}"/>
    <cellStyle name="20% - 强调文字颜色 5 2 9" xfId="454" xr:uid="{6B4DD219-2058-4CB5-8831-4CF3A25E218C}"/>
    <cellStyle name="20% - 强调文字颜色 5 3" xfId="455" xr:uid="{9C86391D-266F-4480-9E2E-2ED16343A301}"/>
    <cellStyle name="20% - 强调文字颜色 5 3 2" xfId="456" xr:uid="{26E634A1-220D-42B1-AC48-CE58C2851A21}"/>
    <cellStyle name="20% - 强调文字颜色 5 3 2 2" xfId="457" xr:uid="{161227DA-58DB-4944-9227-ED0C495DE6F6}"/>
    <cellStyle name="20% - 强调文字颜色 5 3 2 3" xfId="458" xr:uid="{4C170A96-69F1-4431-847D-6E51F9E181FA}"/>
    <cellStyle name="20% - 强调文字颜色 5 3 2 4" xfId="459" xr:uid="{87DEA3A5-1DE9-4DEF-ABA8-40A84BF646BD}"/>
    <cellStyle name="20% - 强调文字颜色 5 3 2 5" xfId="460" xr:uid="{6B66CFBF-7290-48F8-915E-1C1957E0062C}"/>
    <cellStyle name="20% - 强调文字颜色 5 3 2 6" xfId="461" xr:uid="{728C8E06-CCF8-4CAF-AEF9-34EC48B18CBD}"/>
    <cellStyle name="20% - 强调文字颜色 5 3 3" xfId="462" xr:uid="{0F94DA32-6686-494E-A0C4-0BDA8C96B3DC}"/>
    <cellStyle name="20% - 强调文字颜色 5 3 4" xfId="463" xr:uid="{92600F63-C73F-41F5-A0A6-655640CF4D1C}"/>
    <cellStyle name="20% - 强调文字颜色 5 3 5" xfId="464" xr:uid="{BC049828-8756-4118-8C20-41682FCFAE91}"/>
    <cellStyle name="20% - 强调文字颜色 5 3 6" xfId="465" xr:uid="{8C25F6BE-DA59-4E1B-84E1-37AA60B020AD}"/>
    <cellStyle name="20% - 强调文字颜色 5 3 7" xfId="466" xr:uid="{4261615F-24EC-4908-BC1E-FB8284D7DBBB}"/>
    <cellStyle name="20% - 强调文字颜色 5 4" xfId="467" xr:uid="{65368489-0FD7-4E14-81E1-1E86AED154C8}"/>
    <cellStyle name="20% - 强调文字颜色 5 4 2" xfId="468" xr:uid="{E79830B5-10B2-4AC6-8FA1-C2ECC80AE104}"/>
    <cellStyle name="20% - 强调文字颜色 5 4 2 2" xfId="469" xr:uid="{4DFF0D64-14BC-426B-A8C9-E247101E1934}"/>
    <cellStyle name="20% - 强调文字颜色 5 4 2 3" xfId="470" xr:uid="{3CEAC739-6B22-4B68-903A-F1C728C9C187}"/>
    <cellStyle name="20% - 强调文字颜色 5 4 2 4" xfId="471" xr:uid="{32E36388-C013-4E4E-9311-F5E8BA81577F}"/>
    <cellStyle name="20% - 强调文字颜色 5 4 2 5" xfId="472" xr:uid="{9D414118-C451-4FA8-93BB-BA0E4428C5BB}"/>
    <cellStyle name="20% - 强调文字颜色 5 4 2 6" xfId="473" xr:uid="{C3ACB0D1-7C20-47CD-AE91-2323C16DA4A4}"/>
    <cellStyle name="20% - 强调文字颜色 5 4 3" xfId="474" xr:uid="{8048B06D-287A-4A39-9534-B6BB98D19434}"/>
    <cellStyle name="20% - 强调文字颜色 5 4 4" xfId="475" xr:uid="{A672F418-1B79-4B95-81A5-617A5FC8E69F}"/>
    <cellStyle name="20% - 强调文字颜色 5 4 5" xfId="476" xr:uid="{A603CE1B-9A0F-4033-AC7B-143BB4A0E916}"/>
    <cellStyle name="20% - 强调文字颜色 5 4 6" xfId="477" xr:uid="{E9670760-7E45-40C3-BB77-4188A9C980DD}"/>
    <cellStyle name="20% - 强调文字颜色 5 4 7" xfId="478" xr:uid="{5C1DEE9F-5DA4-4C75-82F7-E680C1BB4BC1}"/>
    <cellStyle name="20% - 强调文字颜色 5 5" xfId="479" xr:uid="{D59AF2EA-EC42-444D-9DDF-F7D029329BA8}"/>
    <cellStyle name="20% - 强调文字颜色 5 5 2" xfId="480" xr:uid="{1460C10E-B0AD-40C2-A031-D0BC89F2069C}"/>
    <cellStyle name="20% - 强调文字颜色 5 5 2 2" xfId="481" xr:uid="{FB5DEF8D-BC59-479E-801B-990B06E1976F}"/>
    <cellStyle name="20% - 强调文字颜色 5 5 2 3" xfId="482" xr:uid="{47F34364-5263-460F-AF39-BFE6F4A29FE6}"/>
    <cellStyle name="20% - 强调文字颜色 5 5 2 4" xfId="483" xr:uid="{7463D105-8FCE-4479-9A8A-D78F189F1AA4}"/>
    <cellStyle name="20% - 强调文字颜色 5 5 2 5" xfId="484" xr:uid="{5404F5AF-A122-4AE1-935E-225D536EDB5B}"/>
    <cellStyle name="20% - 强调文字颜色 5 5 2 6" xfId="485" xr:uid="{D4AA8A2C-F8B6-48D7-B4A0-EA5B3564DD54}"/>
    <cellStyle name="20% - 强调文字颜色 5 5 3" xfId="486" xr:uid="{188C2400-78C8-445C-BA8C-3E2C2F49AFED}"/>
    <cellStyle name="20% - 强调文字颜色 5 5 4" xfId="487" xr:uid="{29A2BDD4-01ED-4AAE-8BD4-D6BCCFE9ED8B}"/>
    <cellStyle name="20% - 强调文字颜色 5 5 5" xfId="488" xr:uid="{6AA7BD75-2E6F-4F91-9953-3BB512693F34}"/>
    <cellStyle name="20% - 强调文字颜色 5 5 6" xfId="489" xr:uid="{96ADF898-2C7D-4EA2-B8CC-E7D3F0A3F106}"/>
    <cellStyle name="20% - 强调文字颜色 5 5 7" xfId="490" xr:uid="{D5840CF8-5042-42F0-912F-E3DD1BD09B56}"/>
    <cellStyle name="20% - 强调文字颜色 5 6" xfId="491" xr:uid="{A5F81DC4-913D-4BAD-A355-A4FE9B1F9180}"/>
    <cellStyle name="20% - 强调文字颜色 5 7" xfId="492" xr:uid="{249B5D56-EBD8-44D6-8B8F-1E09D282EEE1}"/>
    <cellStyle name="20% - 强调文字颜色 5 7 2" xfId="493" xr:uid="{7EEA209B-0972-4934-B3A1-63DF110245C3}"/>
    <cellStyle name="20% - 强调文字颜色 5 7 3" xfId="494" xr:uid="{FF5E9013-8D56-4397-A0DB-6ED35F06ABE3}"/>
    <cellStyle name="20% - 强调文字颜色 5 7 4" xfId="495" xr:uid="{C4D626AB-76AD-430E-9D7D-E2A6FC6AF0D7}"/>
    <cellStyle name="20% - 强调文字颜色 5 7 5" xfId="496" xr:uid="{1E68EAEC-EE55-453C-8CA5-62A5CF1760D0}"/>
    <cellStyle name="20% - 强调文字颜色 5 7 6" xfId="497" xr:uid="{5DD1A7F3-7648-48EB-B562-88D607E22A28}"/>
    <cellStyle name="20% - 强调文字颜色 5 8" xfId="498" xr:uid="{2C2A72B0-109C-4C56-8A0E-5B0866C6369A}"/>
    <cellStyle name="20% - 强调文字颜色 5 9" xfId="499" xr:uid="{F5BD3515-7475-4035-B5FA-B0CB1A7BF783}"/>
    <cellStyle name="20% - 强调文字颜色 6 10" xfId="500" xr:uid="{5C06B32A-247A-4B89-8341-E42D8DA8E74B}"/>
    <cellStyle name="20% - 强调文字颜色 6 11" xfId="501" xr:uid="{4D85F04A-5115-4E6A-8150-1C3061BF273B}"/>
    <cellStyle name="20% - 强调文字颜色 6 12" xfId="502" xr:uid="{8A277273-EDD4-45C1-9A67-D1A6F5CCAB8B}"/>
    <cellStyle name="20% - 强调文字颜色 6 13" xfId="32847" xr:uid="{790EB46F-7B34-4AE4-9FAD-F802E7A50832}"/>
    <cellStyle name="20% - 强调文字颜色 6 2" xfId="503" xr:uid="{599C994C-4C50-43F5-891A-CE96EFD239F8}"/>
    <cellStyle name="20% - 强调文字颜色 6 2 10" xfId="504" xr:uid="{D520A7DE-89F4-494C-BB8B-979BB481C9EC}"/>
    <cellStyle name="20% - 强调文字颜色 6 2 2" xfId="505" xr:uid="{E679097E-F2AE-4079-97D8-9CC494793383}"/>
    <cellStyle name="20% - 强调文字颜色 6 2 2 2" xfId="506" xr:uid="{9B9F824C-3293-406F-A8E7-D2C941BEF7E6}"/>
    <cellStyle name="20% - 强调文字颜色 6 2 2 2 2" xfId="507" xr:uid="{D9A3B1D9-9FCB-468D-8929-40D43BFFA7E6}"/>
    <cellStyle name="20% - 强调文字颜色 6 2 2 2 3" xfId="508" xr:uid="{03046BB9-1373-40D6-ADBC-278EC8EC92D2}"/>
    <cellStyle name="20% - 强调文字颜色 6 2 2 2 4" xfId="509" xr:uid="{D00FA391-08B4-4594-85FB-6508D265C5A9}"/>
    <cellStyle name="20% - 强调文字颜色 6 2 2 2 5" xfId="510" xr:uid="{25570B6C-1697-45D9-8C82-57016B2B3EEA}"/>
    <cellStyle name="20% - 强调文字颜色 6 2 2 2 6" xfId="511" xr:uid="{EE3E0CFA-8098-446A-8175-C9939D4C1BCA}"/>
    <cellStyle name="20% - 强调文字颜色 6 2 2 3" xfId="512" xr:uid="{BB87797B-134C-4ECA-95E1-86B90ED5C991}"/>
    <cellStyle name="20% - 强调文字颜色 6 2 2 4" xfId="513" xr:uid="{24FA9993-601D-45DD-A429-CE45F0F1B905}"/>
    <cellStyle name="20% - 强调文字颜色 6 2 2 5" xfId="514" xr:uid="{BF74F6C8-BC46-43C6-84FF-5355A3E4867C}"/>
    <cellStyle name="20% - 强调文字颜色 6 2 2 6" xfId="515" xr:uid="{9527BC67-718A-424D-A1E6-F59B309A86C2}"/>
    <cellStyle name="20% - 强调文字颜色 6 2 2 7" xfId="516" xr:uid="{CA3BAE64-223C-46E2-A2FA-2C442085FB23}"/>
    <cellStyle name="20% - 强调文字颜色 6 2 3" xfId="517" xr:uid="{1E0591B3-60DB-4839-934A-94B26D343711}"/>
    <cellStyle name="20% - 强调文字颜色 6 2 3 2" xfId="518" xr:uid="{942EF68B-0D04-47F3-8B96-7AE9C05578ED}"/>
    <cellStyle name="20% - 强调文字颜色 6 2 3 2 2" xfId="519" xr:uid="{DDF8F340-456D-4693-A5D6-40794480A1A0}"/>
    <cellStyle name="20% - 强调文字颜色 6 2 3 2 3" xfId="520" xr:uid="{C8DC6289-8E44-4203-9DEA-BFB6B7BEF683}"/>
    <cellStyle name="20% - 强调文字颜色 6 2 3 2 4" xfId="521" xr:uid="{DEC84F05-C42F-48D5-9D3A-B42AA463E41F}"/>
    <cellStyle name="20% - 强调文字颜色 6 2 3 2 5" xfId="522" xr:uid="{9D05CA96-DD42-4F0B-8A36-D7515248F80B}"/>
    <cellStyle name="20% - 强调文字颜色 6 2 3 2 6" xfId="523" xr:uid="{306AAD30-E9DD-4DB0-ACEE-95ACB2467A86}"/>
    <cellStyle name="20% - 强调文字颜色 6 2 3 3" xfId="524" xr:uid="{D826145A-2310-4F94-A83D-2A5CCC2E6EF2}"/>
    <cellStyle name="20% - 强调文字颜色 6 2 3 4" xfId="525" xr:uid="{DA27911B-FB3A-4314-B320-7C8A833D89F3}"/>
    <cellStyle name="20% - 强调文字颜色 6 2 3 5" xfId="526" xr:uid="{2ACE7A5C-63AE-4229-8C44-33952242F01C}"/>
    <cellStyle name="20% - 强调文字颜色 6 2 3 6" xfId="527" xr:uid="{26EF3CE0-3B81-4F04-965B-D6FCBEBB9D50}"/>
    <cellStyle name="20% - 强调文字颜色 6 2 3 7" xfId="528" xr:uid="{2F04D128-A01B-40BF-BCA3-9637DAC2B04C}"/>
    <cellStyle name="20% - 强调文字颜色 6 2 4" xfId="529" xr:uid="{0C3D3FC3-A267-4A4C-A0C9-97C8FCE1A95B}"/>
    <cellStyle name="20% - 强调文字颜色 6 2 4 2" xfId="530" xr:uid="{93FD18E1-48D0-43E7-A31F-4B91AFB33742}"/>
    <cellStyle name="20% - 强调文字颜色 6 2 4 2 2" xfId="531" xr:uid="{0995FD8D-3962-4FBA-AFCB-4931697758B3}"/>
    <cellStyle name="20% - 强调文字颜色 6 2 4 2 3" xfId="532" xr:uid="{33048E6B-C5A6-4C1A-B7C3-30F1E2F259CE}"/>
    <cellStyle name="20% - 强调文字颜色 6 2 4 2 4" xfId="533" xr:uid="{E0086A2D-7CD9-40F6-8EC2-B4A6B1911D0B}"/>
    <cellStyle name="20% - 强调文字颜色 6 2 4 2 5" xfId="534" xr:uid="{89B4E5BD-1B88-4E37-838E-612EA5C65848}"/>
    <cellStyle name="20% - 强调文字颜色 6 2 4 2 6" xfId="535" xr:uid="{FB0253EA-0442-4010-AA27-419E0B97B172}"/>
    <cellStyle name="20% - 强调文字颜色 6 2 4 3" xfId="536" xr:uid="{AE2DE7FB-BCEB-4FA6-B4A2-8FCFC4DA06D1}"/>
    <cellStyle name="20% - 强调文字颜色 6 2 4 4" xfId="537" xr:uid="{F61644F0-1D04-4246-94B0-0F489FC16690}"/>
    <cellStyle name="20% - 强调文字颜色 6 2 4 5" xfId="538" xr:uid="{B6115259-E960-4A59-B3E5-1DDB76B0F998}"/>
    <cellStyle name="20% - 强调文字颜色 6 2 4 6" xfId="539" xr:uid="{DD1D6273-75E5-4F73-A53D-0133C3155483}"/>
    <cellStyle name="20% - 强调文字颜色 6 2 4 7" xfId="540" xr:uid="{0A964858-F3B1-42CD-9BF7-4134FD018FC5}"/>
    <cellStyle name="20% - 强调文字颜色 6 2 5" xfId="541" xr:uid="{57E976EE-D814-462E-AD11-A91951684C97}"/>
    <cellStyle name="20% - 强调文字颜色 6 2 5 2" xfId="542" xr:uid="{52799BDD-7A3C-4674-A4E6-56109E95E02F}"/>
    <cellStyle name="20% - 强调文字颜色 6 2 5 3" xfId="543" xr:uid="{74B605D5-C8B6-41A6-AD8D-F1383EFD9AC2}"/>
    <cellStyle name="20% - 强调文字颜色 6 2 5 4" xfId="544" xr:uid="{B6565903-D61C-46A8-A0BA-9AC4F129EE72}"/>
    <cellStyle name="20% - 强调文字颜色 6 2 5 5" xfId="545" xr:uid="{03F8EE32-22C7-46BA-AD94-BD04D12DA129}"/>
    <cellStyle name="20% - 强调文字颜色 6 2 5 6" xfId="546" xr:uid="{8410A778-6117-462C-9ADE-999DC138DA95}"/>
    <cellStyle name="20% - 强调文字颜色 6 2 6" xfId="547" xr:uid="{D8E98B2A-A621-45D5-BFC9-15E83CF3F042}"/>
    <cellStyle name="20% - 强调文字颜色 6 2 7" xfId="548" xr:uid="{4F180175-D6F4-4AA3-A2A3-DA185C402646}"/>
    <cellStyle name="20% - 强调文字颜色 6 2 8" xfId="549" xr:uid="{60085F81-1F3E-49D5-BBA0-37513141406E}"/>
    <cellStyle name="20% - 强调文字颜色 6 2 9" xfId="550" xr:uid="{83830022-C45F-48B0-AFD7-E1FAE5DB623D}"/>
    <cellStyle name="20% - 强调文字颜色 6 3" xfId="551" xr:uid="{88EC3FB6-A865-425A-AFFB-42F5104E5996}"/>
    <cellStyle name="20% - 强调文字颜色 6 3 2" xfId="552" xr:uid="{5C1EDD34-6F34-447F-8F75-5D962D074746}"/>
    <cellStyle name="20% - 强调文字颜色 6 3 2 2" xfId="553" xr:uid="{D693993B-3F82-4BFB-9501-AB83E3DE4274}"/>
    <cellStyle name="20% - 强调文字颜色 6 3 2 3" xfId="554" xr:uid="{3C9D4D68-D381-4575-8796-9E33DD7BA432}"/>
    <cellStyle name="20% - 强调文字颜色 6 3 2 4" xfId="555" xr:uid="{A8CDA221-F05E-4C4C-A93F-4211D0BB3FC3}"/>
    <cellStyle name="20% - 强调文字颜色 6 3 2 5" xfId="556" xr:uid="{7D9F2648-326E-4EE9-94BD-4344B0AC6659}"/>
    <cellStyle name="20% - 强调文字颜色 6 3 2 6" xfId="557" xr:uid="{D0329BC0-C7C4-4E4A-B62E-F0BF874CD329}"/>
    <cellStyle name="20% - 强调文字颜色 6 3 3" xfId="558" xr:uid="{BE8A9A92-CC81-4084-98F4-38BCD609A278}"/>
    <cellStyle name="20% - 强调文字颜色 6 3 4" xfId="559" xr:uid="{B56244BB-D884-4A0E-A74E-E9CA84F4E7B9}"/>
    <cellStyle name="20% - 强调文字颜色 6 3 5" xfId="560" xr:uid="{5E96DD4A-C0CB-437E-81A0-C465CFBFF888}"/>
    <cellStyle name="20% - 强调文字颜色 6 3 6" xfId="561" xr:uid="{51667B7F-4C18-44AC-9061-5AEA15C8B233}"/>
    <cellStyle name="20% - 强调文字颜色 6 3 7" xfId="562" xr:uid="{4B6F0F45-E6DF-498B-A0A5-E79EFA19517D}"/>
    <cellStyle name="20% - 强调文字颜色 6 4" xfId="563" xr:uid="{7FAA21AE-5D37-420A-9B76-13CC4FD1E891}"/>
    <cellStyle name="20% - 强调文字颜色 6 4 2" xfId="564" xr:uid="{7EDDFCEB-5BCD-40FD-9974-704C77559EFE}"/>
    <cellStyle name="20% - 强调文字颜色 6 4 2 2" xfId="565" xr:uid="{DC8330EE-BECC-4D32-9FCD-F6CCD5F39406}"/>
    <cellStyle name="20% - 强调文字颜色 6 4 2 3" xfId="566" xr:uid="{65846CE9-B9C5-4190-B107-C3352798F9C4}"/>
    <cellStyle name="20% - 强调文字颜色 6 4 2 4" xfId="567" xr:uid="{B78764EE-BA19-48CB-AED2-48AFF4E1151F}"/>
    <cellStyle name="20% - 强调文字颜色 6 4 2 5" xfId="568" xr:uid="{31CE1D3B-26FD-4B0E-A899-3B94D0E658EB}"/>
    <cellStyle name="20% - 强调文字颜色 6 4 2 6" xfId="569" xr:uid="{685AC3F2-18A5-40D4-927D-7DEC3A0B40B4}"/>
    <cellStyle name="20% - 强调文字颜色 6 4 3" xfId="570" xr:uid="{2DE06931-5631-4C76-BAA0-289A65344227}"/>
    <cellStyle name="20% - 强调文字颜色 6 4 4" xfId="571" xr:uid="{ECC41FD5-AB9C-4084-A26F-405EA54BA094}"/>
    <cellStyle name="20% - 强调文字颜色 6 4 5" xfId="572" xr:uid="{D23A4E93-815E-4A1D-9530-7AA40D52E863}"/>
    <cellStyle name="20% - 强调文字颜色 6 4 6" xfId="573" xr:uid="{89642F91-5DAD-45AD-B166-29FC68A228D0}"/>
    <cellStyle name="20% - 强调文字颜色 6 4 7" xfId="574" xr:uid="{708089EB-96BE-43A9-B459-11C9DA28C764}"/>
    <cellStyle name="20% - 强调文字颜色 6 5" xfId="575" xr:uid="{5759716D-5F8F-46E4-B3A4-476C350880B5}"/>
    <cellStyle name="20% - 强调文字颜色 6 5 2" xfId="576" xr:uid="{07472292-3959-4BC4-A252-92BFE7954F7B}"/>
    <cellStyle name="20% - 强调文字颜色 6 5 2 2" xfId="577" xr:uid="{1CE8B669-A17B-4B4E-BDBC-536236B05258}"/>
    <cellStyle name="20% - 强调文字颜色 6 5 2 3" xfId="578" xr:uid="{04BD851E-DE1D-40D3-AD6F-188088981B78}"/>
    <cellStyle name="20% - 强调文字颜色 6 5 2 4" xfId="579" xr:uid="{B9149796-BE60-487B-890D-8489D2FE2F2C}"/>
    <cellStyle name="20% - 强调文字颜色 6 5 2 5" xfId="580" xr:uid="{423BC9B6-8401-460C-BEAF-7AC3B674A113}"/>
    <cellStyle name="20% - 强调文字颜色 6 5 2 6" xfId="581" xr:uid="{304D4669-A884-43F6-88B0-0657F8C95C6A}"/>
    <cellStyle name="20% - 强调文字颜色 6 5 3" xfId="582" xr:uid="{C0777E89-6358-4B43-A248-56B92DEEBF5E}"/>
    <cellStyle name="20% - 强调文字颜色 6 5 4" xfId="583" xr:uid="{D318141E-1152-4A8E-AEB5-F8C70E1A86D4}"/>
    <cellStyle name="20% - 强调文字颜色 6 5 5" xfId="584" xr:uid="{2EB48A55-7870-463E-9828-32B59B3C062F}"/>
    <cellStyle name="20% - 强调文字颜色 6 5 6" xfId="585" xr:uid="{48C4874B-9270-4109-9CDA-5F96AFA83E47}"/>
    <cellStyle name="20% - 强调文字颜色 6 5 7" xfId="586" xr:uid="{979B7E4E-015A-4AF3-B64B-D021CA96AB5E}"/>
    <cellStyle name="20% - 强调文字颜色 6 6" xfId="587" xr:uid="{496E48CF-653F-493C-9772-13FF9342B260}"/>
    <cellStyle name="20% - 强调文字颜色 6 7" xfId="588" xr:uid="{B8DF59EF-CFD6-4BD9-BE77-7324CD9C8E47}"/>
    <cellStyle name="20% - 强调文字颜色 6 7 2" xfId="589" xr:uid="{C37F2D60-9687-47E9-8BA5-0252E8F46A7B}"/>
    <cellStyle name="20% - 强调文字颜色 6 7 3" xfId="590" xr:uid="{263B29FF-E80F-4219-A358-74EFEF0D901D}"/>
    <cellStyle name="20% - 强调文字颜色 6 7 4" xfId="591" xr:uid="{365D9C3A-475F-4FC0-A86F-26EA494C9EA2}"/>
    <cellStyle name="20% - 强调文字颜色 6 7 5" xfId="592" xr:uid="{142409D3-EC7D-4E48-9468-A7C0D5EFAD03}"/>
    <cellStyle name="20% - 强调文字颜色 6 7 6" xfId="593" xr:uid="{602FB0C3-BA42-4AF7-97A9-80CB09449E42}"/>
    <cellStyle name="20% - 强调文字颜色 6 8" xfId="594" xr:uid="{D76533D3-7B0A-46CF-A4A3-8095CA7AA0F1}"/>
    <cellStyle name="20% - 强调文字颜色 6 9" xfId="595" xr:uid="{DFA59641-89DB-46A2-BAB5-955E899C7556}"/>
    <cellStyle name="20% - 着色 1 2" xfId="597" xr:uid="{26BF1A85-30DB-410C-BC2C-28E70DA401E0}"/>
    <cellStyle name="20% - 着色 1 3" xfId="598" xr:uid="{B1C1ABAC-A915-484F-93B0-C8BAFCBDB110}"/>
    <cellStyle name="20% - 着色 1 4" xfId="596" xr:uid="{7274B82E-A4BB-491A-BC9B-8FA6A1B882B4}"/>
    <cellStyle name="20% - 着色 2 2" xfId="600" xr:uid="{EC37ECB6-E1B8-41BA-B592-2C06904B5983}"/>
    <cellStyle name="20% - 着色 2 3" xfId="601" xr:uid="{6FEDE477-58DB-481A-94FB-4591520F019E}"/>
    <cellStyle name="20% - 着色 2 4" xfId="599" xr:uid="{A40C257B-6D0B-4AF7-91CC-2680B772DAF2}"/>
    <cellStyle name="20% - 着色 3 2" xfId="603" xr:uid="{CF9EBD85-1C8B-4FA9-A456-7ADFAE3839AA}"/>
    <cellStyle name="20% - 着色 3 3" xfId="604" xr:uid="{F057449B-88FC-4133-A946-0E987A03C327}"/>
    <cellStyle name="20% - 着色 3 4" xfId="602" xr:uid="{882F6129-6220-41CB-900F-70DB2679B0C1}"/>
    <cellStyle name="20% - 着色 4 2" xfId="606" xr:uid="{104D5254-127D-4E86-872E-C76698BF2E79}"/>
    <cellStyle name="20% - 着色 4 3" xfId="607" xr:uid="{3886E26E-2840-46DA-86C0-B2245D08537E}"/>
    <cellStyle name="20% - 着色 4 4" xfId="605" xr:uid="{4F212A25-7BA4-4293-867A-48F58E4D6402}"/>
    <cellStyle name="20% - 着色 5 2" xfId="609" xr:uid="{144323A4-E332-49C3-A87C-3747BBBC5C69}"/>
    <cellStyle name="20% - 着色 5 3" xfId="610" xr:uid="{17FB0CDD-DB70-4F31-853A-40EC5B451510}"/>
    <cellStyle name="20% - 着色 5 4" xfId="608" xr:uid="{874DD6BA-2484-4345-9D93-690DA5B0D769}"/>
    <cellStyle name="20% - 着色 6 2" xfId="612" xr:uid="{0D85DFFA-1502-4FB6-91CC-5BE92A27EF4C}"/>
    <cellStyle name="20% - 着色 6 3" xfId="613" xr:uid="{5FD6671A-6D65-4CDB-AC6B-E98ABCE156F4}"/>
    <cellStyle name="20% - 着色 6 4" xfId="611" xr:uid="{EB30CF85-D954-4D3B-84A3-39768CF65C03}"/>
    <cellStyle name="40% - 强调文字颜色 1 10" xfId="614" xr:uid="{07E53197-4937-4375-93C5-D3777650E48D}"/>
    <cellStyle name="40% - 强调文字颜色 1 11" xfId="615" xr:uid="{CA078E71-B631-4F6E-8D10-400FDD5ACBCB}"/>
    <cellStyle name="40% - 强调文字颜色 1 12" xfId="616" xr:uid="{53D0C4C9-48ED-4AB1-9B86-CA05315D08F4}"/>
    <cellStyle name="40% - 强调文字颜色 1 13" xfId="32848" xr:uid="{3A7C4008-C564-493B-9B60-52B533911BAE}"/>
    <cellStyle name="40% - 强调文字颜色 1 2" xfId="617" xr:uid="{606BC42D-8A06-469A-8EEF-4447A0A7D84E}"/>
    <cellStyle name="40% - 强调文字颜色 1 2 10" xfId="618" xr:uid="{201C6BB7-801C-4878-83C0-695A67646ACE}"/>
    <cellStyle name="40% - 强调文字颜色 1 2 2" xfId="619" xr:uid="{3EE0FC1F-2A32-47E5-B6C6-8FA4D2C27927}"/>
    <cellStyle name="40% - 强调文字颜色 1 2 2 2" xfId="620" xr:uid="{F29DC40D-49C8-43F3-8D0D-148E1BD3A325}"/>
    <cellStyle name="40% - 强调文字颜色 1 2 2 2 2" xfId="621" xr:uid="{D12456E3-2620-497C-9EDD-3CB28DB2C2B1}"/>
    <cellStyle name="40% - 强调文字颜色 1 2 2 2 3" xfId="622" xr:uid="{F3D111E2-8C78-4479-A8D3-427FF45EB635}"/>
    <cellStyle name="40% - 强调文字颜色 1 2 2 2 4" xfId="623" xr:uid="{7143BC80-01E0-4DA7-BF03-FC2F0EA155D8}"/>
    <cellStyle name="40% - 强调文字颜色 1 2 2 2 5" xfId="624" xr:uid="{1C31ACBB-E0C8-4CDA-8698-45E2617624A5}"/>
    <cellStyle name="40% - 强调文字颜色 1 2 2 2 6" xfId="625" xr:uid="{FF84AAE2-8BD4-4AB3-92C8-3866C8DC5216}"/>
    <cellStyle name="40% - 强调文字颜色 1 2 2 3" xfId="626" xr:uid="{BF409758-7BC6-4DFC-9F89-3DCB0C6725D4}"/>
    <cellStyle name="40% - 强调文字颜色 1 2 2 4" xfId="627" xr:uid="{A87A0E08-9AE6-483E-A4FF-44932419017B}"/>
    <cellStyle name="40% - 强调文字颜色 1 2 2 5" xfId="628" xr:uid="{8FE05A07-918F-4829-911C-928DD588DE86}"/>
    <cellStyle name="40% - 强调文字颜色 1 2 2 6" xfId="629" xr:uid="{6BCDE2E8-37E7-4252-AA82-80DE7EB3F65A}"/>
    <cellStyle name="40% - 强调文字颜色 1 2 2 7" xfId="630" xr:uid="{07CEEA24-EE0F-4EB5-9483-041F82E45E93}"/>
    <cellStyle name="40% - 强调文字颜色 1 2 3" xfId="631" xr:uid="{0ABF6B65-7041-469C-A54B-58ECEA5335A0}"/>
    <cellStyle name="40% - 强调文字颜色 1 2 3 2" xfId="632" xr:uid="{1379F8C6-760A-4E50-89B7-22EA2BC17048}"/>
    <cellStyle name="40% - 强调文字颜色 1 2 3 2 2" xfId="633" xr:uid="{B874F9CF-9A0C-4F58-99AD-3D75AC049DD6}"/>
    <cellStyle name="40% - 强调文字颜色 1 2 3 2 3" xfId="634" xr:uid="{11697919-2D02-459B-AC1A-2CB6171D0D2D}"/>
    <cellStyle name="40% - 强调文字颜色 1 2 3 2 4" xfId="635" xr:uid="{52A6F224-64D4-4C2B-A46E-0494B6D590D5}"/>
    <cellStyle name="40% - 强调文字颜色 1 2 3 2 5" xfId="636" xr:uid="{F97B4E3E-4115-4444-A842-A949F10578B4}"/>
    <cellStyle name="40% - 强调文字颜色 1 2 3 2 6" xfId="637" xr:uid="{45A9322E-4EBB-4A63-87F4-46424B82F36C}"/>
    <cellStyle name="40% - 强调文字颜色 1 2 3 3" xfId="638" xr:uid="{11A4B191-CEE9-49A9-BEDC-C9B1A20E0059}"/>
    <cellStyle name="40% - 强调文字颜色 1 2 3 4" xfId="639" xr:uid="{DDAEC7BC-41C9-48F4-97C0-233EA097C864}"/>
    <cellStyle name="40% - 强调文字颜色 1 2 3 5" xfId="640" xr:uid="{E24D952B-AE7B-494D-9CEE-E4BED7A687A7}"/>
    <cellStyle name="40% - 强调文字颜色 1 2 3 6" xfId="641" xr:uid="{5A558211-01BE-4F63-817B-762DCADA60BC}"/>
    <cellStyle name="40% - 强调文字颜色 1 2 3 7" xfId="642" xr:uid="{89A7D280-EEC0-4B9E-AD78-56E9C8848D67}"/>
    <cellStyle name="40% - 强调文字颜色 1 2 4" xfId="643" xr:uid="{04D8EA5E-B31B-45A0-B7BD-24CE1C9F530E}"/>
    <cellStyle name="40% - 强调文字颜色 1 2 4 2" xfId="644" xr:uid="{BDFA737C-49B7-4FB9-8F99-F6271D0C9E55}"/>
    <cellStyle name="40% - 强调文字颜色 1 2 4 2 2" xfId="645" xr:uid="{D0C454BC-1D9B-4B6F-BA1C-596485FE12AB}"/>
    <cellStyle name="40% - 强调文字颜色 1 2 4 2 3" xfId="646" xr:uid="{4832193A-5F6F-4FF3-B9A5-5DC9E5A06453}"/>
    <cellStyle name="40% - 强调文字颜色 1 2 4 2 4" xfId="647" xr:uid="{83650D3A-C189-4C6F-8458-9424DDE0E9D0}"/>
    <cellStyle name="40% - 强调文字颜色 1 2 4 2 5" xfId="648" xr:uid="{0CC69121-796F-4B3B-84CF-E80572D312D6}"/>
    <cellStyle name="40% - 强调文字颜色 1 2 4 2 6" xfId="649" xr:uid="{BEFC42ED-A0A3-4ED9-B296-D4FECF1BE172}"/>
    <cellStyle name="40% - 强调文字颜色 1 2 4 3" xfId="650" xr:uid="{F8B7CC4D-C194-4D1C-B26F-D0BA63AA3254}"/>
    <cellStyle name="40% - 强调文字颜色 1 2 4 4" xfId="651" xr:uid="{93184483-2E31-4DF2-A2FB-EF93CAA04D12}"/>
    <cellStyle name="40% - 强调文字颜色 1 2 4 5" xfId="652" xr:uid="{7CF1899E-D541-4AB5-9340-53C4F59BF38B}"/>
    <cellStyle name="40% - 强调文字颜色 1 2 4 6" xfId="653" xr:uid="{BD7C6F1E-E8B2-4918-BD7F-5CB4AEF1ED19}"/>
    <cellStyle name="40% - 强调文字颜色 1 2 4 7" xfId="654" xr:uid="{6AB0B5F1-4701-4FA8-A48B-25DE2D88D078}"/>
    <cellStyle name="40% - 强调文字颜色 1 2 5" xfId="655" xr:uid="{CD14CEEE-5E6E-42BF-A91E-5A9EEC6C58BE}"/>
    <cellStyle name="40% - 强调文字颜色 1 2 5 2" xfId="656" xr:uid="{7DA51845-14B5-4A96-A303-5310505BA6C7}"/>
    <cellStyle name="40% - 强调文字颜色 1 2 5 3" xfId="657" xr:uid="{7328A08E-8C4B-42B8-A0CB-5FAA32DB676F}"/>
    <cellStyle name="40% - 强调文字颜色 1 2 5 4" xfId="658" xr:uid="{A717C0D5-B32C-45D9-8A95-20FE4A9DACCA}"/>
    <cellStyle name="40% - 强调文字颜色 1 2 5 5" xfId="659" xr:uid="{9ED72CB1-BC33-4C92-A2DD-091189A6240E}"/>
    <cellStyle name="40% - 强调文字颜色 1 2 5 6" xfId="660" xr:uid="{2D056842-00BD-45E7-9171-735CBF62E910}"/>
    <cellStyle name="40% - 强调文字颜色 1 2 6" xfId="661" xr:uid="{D8FAEB93-3441-447C-9562-EC9900E79058}"/>
    <cellStyle name="40% - 强调文字颜色 1 2 7" xfId="662" xr:uid="{C8CA3155-0244-45AB-B796-80C77A6343E4}"/>
    <cellStyle name="40% - 强调文字颜色 1 2 8" xfId="663" xr:uid="{C4C6587C-B65D-40B7-A528-510E079F33D4}"/>
    <cellStyle name="40% - 强调文字颜色 1 2 9" xfId="664" xr:uid="{F40D5BC2-4A5D-47E1-8926-7148DCD03135}"/>
    <cellStyle name="40% - 强调文字颜色 1 3" xfId="665" xr:uid="{AB875F62-3DB3-4DEB-B297-ABCB8E842CD8}"/>
    <cellStyle name="40% - 强调文字颜色 1 3 2" xfId="666" xr:uid="{11E27617-27F9-48B2-B9B3-CEC55686E5E5}"/>
    <cellStyle name="40% - 强调文字颜色 1 3 2 2" xfId="667" xr:uid="{ECC7D56E-8C27-45D5-98FF-6982107DE7EF}"/>
    <cellStyle name="40% - 强调文字颜色 1 3 2 3" xfId="668" xr:uid="{3DDB3D10-2694-43E1-A15D-895075A6BF4E}"/>
    <cellStyle name="40% - 强调文字颜色 1 3 2 4" xfId="669" xr:uid="{67FF12DE-4563-46BF-BA3D-7CF84AE25971}"/>
    <cellStyle name="40% - 强调文字颜色 1 3 2 5" xfId="670" xr:uid="{23715E9C-0173-41F1-9822-DDBC30C1017F}"/>
    <cellStyle name="40% - 强调文字颜色 1 3 2 6" xfId="671" xr:uid="{5F2E498B-7C66-44A7-BC22-E7F2884325B3}"/>
    <cellStyle name="40% - 强调文字颜色 1 3 3" xfId="672" xr:uid="{54E661C3-23A8-44BA-82B0-41E4064859BC}"/>
    <cellStyle name="40% - 强调文字颜色 1 3 4" xfId="673" xr:uid="{889F10D4-DDE4-4F28-ABF5-D6A8EA910B4B}"/>
    <cellStyle name="40% - 强调文字颜色 1 3 5" xfId="674" xr:uid="{959406F3-FC9D-4822-91B0-0FDC7C90287F}"/>
    <cellStyle name="40% - 强调文字颜色 1 3 6" xfId="675" xr:uid="{901A6719-9CAC-4B13-B9AB-7DAB9DC316BF}"/>
    <cellStyle name="40% - 强调文字颜色 1 3 7" xfId="676" xr:uid="{A6815EF5-8CC1-477A-A9F1-50C34020AFDF}"/>
    <cellStyle name="40% - 强调文字颜色 1 4" xfId="677" xr:uid="{DE422170-E62C-4FFC-B590-92ECB2C7F531}"/>
    <cellStyle name="40% - 强调文字颜色 1 4 2" xfId="678" xr:uid="{C82B1C3A-421A-4C3D-9193-31EA7BA7B18B}"/>
    <cellStyle name="40% - 强调文字颜色 1 4 2 2" xfId="679" xr:uid="{AD46FE20-20CC-493A-BD58-DC983AF9077B}"/>
    <cellStyle name="40% - 强调文字颜色 1 4 2 3" xfId="680" xr:uid="{AD713119-E1DB-4D6D-9A10-2ABB7FC42ED3}"/>
    <cellStyle name="40% - 强调文字颜色 1 4 2 4" xfId="681" xr:uid="{AB1C4111-A0F1-404B-A146-37F2B79477DF}"/>
    <cellStyle name="40% - 强调文字颜色 1 4 2 5" xfId="682" xr:uid="{C577DFB6-2171-4717-8641-9E703A206353}"/>
    <cellStyle name="40% - 强调文字颜色 1 4 2 6" xfId="683" xr:uid="{A23C0E2D-8F33-45DB-BDA1-F51235F676EB}"/>
    <cellStyle name="40% - 强调文字颜色 1 4 3" xfId="684" xr:uid="{A4D78062-B75D-4218-BD22-BCF894600058}"/>
    <cellStyle name="40% - 强调文字颜色 1 4 4" xfId="685" xr:uid="{6E5D15F4-69D9-4824-87FD-CBE31008B247}"/>
    <cellStyle name="40% - 强调文字颜色 1 4 5" xfId="686" xr:uid="{EB359CAD-A766-469F-9DDE-72F8CD9BB439}"/>
    <cellStyle name="40% - 强调文字颜色 1 4 6" xfId="687" xr:uid="{2F3FF40D-FB24-4202-868E-4779FD080826}"/>
    <cellStyle name="40% - 强调文字颜色 1 4 7" xfId="688" xr:uid="{431AB67F-3B04-489B-A2E1-71DB4333BA7D}"/>
    <cellStyle name="40% - 强调文字颜色 1 5" xfId="689" xr:uid="{15860B1E-D22D-432E-A2AD-9AEA5F432599}"/>
    <cellStyle name="40% - 强调文字颜色 1 5 2" xfId="690" xr:uid="{379F8BF3-36C5-4CCA-9C8A-B69814AB730F}"/>
    <cellStyle name="40% - 强调文字颜色 1 5 2 2" xfId="691" xr:uid="{842D32F4-110E-4DE4-8B26-6AB844FA438A}"/>
    <cellStyle name="40% - 强调文字颜色 1 5 2 3" xfId="692" xr:uid="{34EE1533-7AD7-48ED-A782-C7536D0FC78D}"/>
    <cellStyle name="40% - 强调文字颜色 1 5 2 4" xfId="693" xr:uid="{F1364960-8015-4E7B-B173-F388EEDE7D20}"/>
    <cellStyle name="40% - 强调文字颜色 1 5 2 5" xfId="694" xr:uid="{C567EA5D-FBD5-4B56-9F85-4DC076137635}"/>
    <cellStyle name="40% - 强调文字颜色 1 5 2 6" xfId="695" xr:uid="{D9B15F6F-0A86-4DB4-ABA3-CF554545B841}"/>
    <cellStyle name="40% - 强调文字颜色 1 5 3" xfId="696" xr:uid="{339D018D-DA50-4E64-802C-E5D321B337E9}"/>
    <cellStyle name="40% - 强调文字颜色 1 5 4" xfId="697" xr:uid="{A1E319AD-6686-48E7-AA04-F5CFB9002642}"/>
    <cellStyle name="40% - 强调文字颜色 1 5 5" xfId="698" xr:uid="{F1BA4893-35EB-4847-858C-C80BBB3616A2}"/>
    <cellStyle name="40% - 强调文字颜色 1 5 6" xfId="699" xr:uid="{5795B0A8-2C08-4740-8727-8F53735674C4}"/>
    <cellStyle name="40% - 强调文字颜色 1 5 7" xfId="700" xr:uid="{F84FB51B-4CC7-47AE-B197-F81989A0F276}"/>
    <cellStyle name="40% - 强调文字颜色 1 6" xfId="701" xr:uid="{5F3262B8-3ADD-4334-84B2-E69278441355}"/>
    <cellStyle name="40% - 强调文字颜色 1 7" xfId="702" xr:uid="{4E7A2715-D5BC-4DCE-935C-07FC63D9466B}"/>
    <cellStyle name="40% - 强调文字颜色 1 7 2" xfId="703" xr:uid="{BEA65EAD-E7B3-453B-82B5-8B1D57D63CA0}"/>
    <cellStyle name="40% - 强调文字颜色 1 7 3" xfId="704" xr:uid="{C08525F4-9B42-4358-B0F6-8A2BDCF99D56}"/>
    <cellStyle name="40% - 强调文字颜色 1 7 4" xfId="705" xr:uid="{0AA27628-51DA-4E06-9AA5-1960CF17817F}"/>
    <cellStyle name="40% - 强调文字颜色 1 7 5" xfId="706" xr:uid="{C517D4B0-2D7B-4136-A4A4-5CF7A5526F66}"/>
    <cellStyle name="40% - 强调文字颜色 1 7 6" xfId="707" xr:uid="{DA67AAC9-ADA6-46A0-9921-109ED21534F4}"/>
    <cellStyle name="40% - 强调文字颜色 1 8" xfId="708" xr:uid="{BE847131-D06B-43FC-BD9F-A15B315D46EB}"/>
    <cellStyle name="40% - 强调文字颜色 1 9" xfId="709" xr:uid="{CCDFCD6D-FB4E-4448-AB46-0D0E3EC523E8}"/>
    <cellStyle name="40% - 强调文字颜色 2 10" xfId="710" xr:uid="{6CE72A3A-DEE2-41D4-8080-35C55E735E63}"/>
    <cellStyle name="40% - 强调文字颜色 2 11" xfId="711" xr:uid="{9CAFE7FE-3D00-49BE-BFB1-1B80C07D8C61}"/>
    <cellStyle name="40% - 强调文字颜色 2 12" xfId="712" xr:uid="{2194B3E3-EB94-465F-837E-7332E5B9D944}"/>
    <cellStyle name="40% - 强调文字颜色 2 13" xfId="32849" xr:uid="{DA657F89-4F02-4290-A24F-2A93BEA350C3}"/>
    <cellStyle name="40% - 强调文字颜色 2 2" xfId="713" xr:uid="{900CD710-1307-4EE4-AC34-D051EC366344}"/>
    <cellStyle name="40% - 强调文字颜色 2 2 10" xfId="714" xr:uid="{71DF1561-22B0-4B63-851E-F915913FC609}"/>
    <cellStyle name="40% - 强调文字颜色 2 2 2" xfId="715" xr:uid="{2CF502B7-E488-4998-A012-AFFCA5DCC8EC}"/>
    <cellStyle name="40% - 强调文字颜色 2 2 2 2" xfId="716" xr:uid="{DD3DAECF-163E-4773-BEC3-DFBB0AFBB34B}"/>
    <cellStyle name="40% - 强调文字颜色 2 2 2 2 2" xfId="717" xr:uid="{D16F1E18-51B7-41BB-8619-94BD91C67274}"/>
    <cellStyle name="40% - 强调文字颜色 2 2 2 2 3" xfId="718" xr:uid="{D336E7BD-E31E-4A07-8341-AFA07B94CB2D}"/>
    <cellStyle name="40% - 强调文字颜色 2 2 2 2 4" xfId="719" xr:uid="{96523F65-F0BB-403D-825C-D0140BAAA43D}"/>
    <cellStyle name="40% - 强调文字颜色 2 2 2 2 5" xfId="720" xr:uid="{91D81EAA-6061-46B0-9EBB-F08727F3EE99}"/>
    <cellStyle name="40% - 强调文字颜色 2 2 2 2 6" xfId="721" xr:uid="{DB99C58B-65BD-457A-B6BC-ED99EBEEE807}"/>
    <cellStyle name="40% - 强调文字颜色 2 2 2 3" xfId="722" xr:uid="{653F7661-B136-48FF-883D-68A979D00AC5}"/>
    <cellStyle name="40% - 强调文字颜色 2 2 2 4" xfId="723" xr:uid="{F126F0F8-BE2F-4801-BF4D-10F785D6C28A}"/>
    <cellStyle name="40% - 强调文字颜色 2 2 2 5" xfId="724" xr:uid="{86987B98-723A-4737-9794-8699BCAF4E05}"/>
    <cellStyle name="40% - 强调文字颜色 2 2 2 6" xfId="725" xr:uid="{B3675A78-6393-4E2D-B506-27F5AB8EE1EB}"/>
    <cellStyle name="40% - 强调文字颜色 2 2 2 7" xfId="726" xr:uid="{642BD2B4-2208-4998-ACEC-79512184B969}"/>
    <cellStyle name="40% - 强调文字颜色 2 2 3" xfId="727" xr:uid="{90BA8133-7800-4A00-9CA5-4458A0269AB1}"/>
    <cellStyle name="40% - 强调文字颜色 2 2 3 2" xfId="728" xr:uid="{AA09853D-CB30-4ED1-BB89-45219A89301A}"/>
    <cellStyle name="40% - 强调文字颜色 2 2 3 2 2" xfId="729" xr:uid="{BD2B6F64-8981-422F-9F84-38B34D4E57BF}"/>
    <cellStyle name="40% - 强调文字颜色 2 2 3 2 3" xfId="730" xr:uid="{243507B7-B128-460D-8FC8-63D0BF1BF39C}"/>
    <cellStyle name="40% - 强调文字颜色 2 2 3 2 4" xfId="731" xr:uid="{0E341CB5-CFA6-422B-B0CD-7F054FC76780}"/>
    <cellStyle name="40% - 强调文字颜色 2 2 3 2 5" xfId="732" xr:uid="{6B566BA3-ED69-4E0A-968F-9CABF31CA3C3}"/>
    <cellStyle name="40% - 强调文字颜色 2 2 3 2 6" xfId="733" xr:uid="{B8E352E5-F75A-416F-8766-6E6BC2922780}"/>
    <cellStyle name="40% - 强调文字颜色 2 2 3 3" xfId="734" xr:uid="{AFAB60BE-8993-4758-A4D9-440E1715BD4B}"/>
    <cellStyle name="40% - 强调文字颜色 2 2 3 4" xfId="735" xr:uid="{DF6047C7-926A-452C-B9A9-9055AA9AB199}"/>
    <cellStyle name="40% - 强调文字颜色 2 2 3 5" xfId="736" xr:uid="{0B919978-D96C-4BA7-8227-E7C39E697FE0}"/>
    <cellStyle name="40% - 强调文字颜色 2 2 3 6" xfId="737" xr:uid="{57BAC966-1733-4B20-A018-063EBD453889}"/>
    <cellStyle name="40% - 强调文字颜色 2 2 3 7" xfId="738" xr:uid="{3B5D624E-5DEF-44AD-A5AA-44E2692CDE85}"/>
    <cellStyle name="40% - 强调文字颜色 2 2 4" xfId="739" xr:uid="{B40D77B2-E376-40C8-91BF-60613E6ED09F}"/>
    <cellStyle name="40% - 强调文字颜色 2 2 4 2" xfId="740" xr:uid="{0A769BCE-6196-40FA-9C48-9CA0060246C7}"/>
    <cellStyle name="40% - 强调文字颜色 2 2 4 2 2" xfId="741" xr:uid="{57FA7EA2-A5D0-4430-A62E-F272E24C6238}"/>
    <cellStyle name="40% - 强调文字颜色 2 2 4 2 3" xfId="742" xr:uid="{A69A5E78-5E6C-4761-B785-704A94107307}"/>
    <cellStyle name="40% - 强调文字颜色 2 2 4 2 4" xfId="743" xr:uid="{013C83B6-D40E-46B7-A872-B16CDF83EF0B}"/>
    <cellStyle name="40% - 强调文字颜色 2 2 4 2 5" xfId="744" xr:uid="{18A64EE5-B840-40AD-938E-CD8107D3C35D}"/>
    <cellStyle name="40% - 强调文字颜色 2 2 4 2 6" xfId="745" xr:uid="{AF98F8BB-E1FE-4829-B1B9-28BA39BE8955}"/>
    <cellStyle name="40% - 强调文字颜色 2 2 4 3" xfId="746" xr:uid="{D3B52C7E-7F5C-4A7F-936B-D8AB90868EB6}"/>
    <cellStyle name="40% - 强调文字颜色 2 2 4 4" xfId="747" xr:uid="{CF3A10A0-8215-4CA9-9A45-1981E4C435D5}"/>
    <cellStyle name="40% - 强调文字颜色 2 2 4 5" xfId="748" xr:uid="{17376CF9-43A3-434C-A7F2-FE2B0A9F3763}"/>
    <cellStyle name="40% - 强调文字颜色 2 2 4 6" xfId="749" xr:uid="{D444DE21-D3B7-4FB4-9EE7-30E9BC5CD584}"/>
    <cellStyle name="40% - 强调文字颜色 2 2 4 7" xfId="750" xr:uid="{CCBF67EC-1F1A-45B7-A777-9FF4BF264BC0}"/>
    <cellStyle name="40% - 强调文字颜色 2 2 5" xfId="751" xr:uid="{8B3E55B2-BCAF-47F0-B275-3E2FC1D9BE19}"/>
    <cellStyle name="40% - 强调文字颜色 2 2 5 2" xfId="752" xr:uid="{8DB3B1A3-66D3-411E-A074-3C379CAF75D9}"/>
    <cellStyle name="40% - 强调文字颜色 2 2 5 3" xfId="753" xr:uid="{557B5786-2FD6-4662-A255-953E016917D5}"/>
    <cellStyle name="40% - 强调文字颜色 2 2 5 4" xfId="754" xr:uid="{80AE7892-77D0-4106-8A86-65137C5C4643}"/>
    <cellStyle name="40% - 强调文字颜色 2 2 5 5" xfId="755" xr:uid="{35AE9B7E-7CE6-4017-B3DD-0F8E8DFBEE7D}"/>
    <cellStyle name="40% - 强调文字颜色 2 2 5 6" xfId="756" xr:uid="{456F9FB1-80F7-42B7-80C9-700203C96EE9}"/>
    <cellStyle name="40% - 强调文字颜色 2 2 6" xfId="757" xr:uid="{60BD760B-323D-4051-A8E1-848CBDD2D3C9}"/>
    <cellStyle name="40% - 强调文字颜色 2 2 7" xfId="758" xr:uid="{CF88B683-4FB1-4498-8DEF-08A1822A8A1C}"/>
    <cellStyle name="40% - 强调文字颜色 2 2 8" xfId="759" xr:uid="{58A3D5AC-0801-4815-BE75-08BEC7ED7D3B}"/>
    <cellStyle name="40% - 强调文字颜色 2 2 9" xfId="760" xr:uid="{5FE23DEC-338A-454D-90AE-CF4DA28D7237}"/>
    <cellStyle name="40% - 强调文字颜色 2 3" xfId="761" xr:uid="{89751EDC-D15E-4E6F-85C9-ED245B82DD6D}"/>
    <cellStyle name="40% - 强调文字颜色 2 3 2" xfId="762" xr:uid="{AD42064C-8159-4ACC-B952-1D7867F99C07}"/>
    <cellStyle name="40% - 强调文字颜色 2 3 2 2" xfId="763" xr:uid="{AFC43D7E-9FE6-404B-A9C4-110E4F7B69DE}"/>
    <cellStyle name="40% - 强调文字颜色 2 3 2 3" xfId="764" xr:uid="{782CE3E7-6BC9-41EF-8758-16C769ADAC22}"/>
    <cellStyle name="40% - 强调文字颜色 2 3 2 4" xfId="765" xr:uid="{C1D8972C-0D92-4AF8-9A09-4940BB7B3CB7}"/>
    <cellStyle name="40% - 强调文字颜色 2 3 2 5" xfId="766" xr:uid="{669B3B73-E5A1-4C6B-ADE8-FD72A72D0A1D}"/>
    <cellStyle name="40% - 强调文字颜色 2 3 2 6" xfId="767" xr:uid="{0E50FB22-6602-4D46-B1CE-569BCD7C3D39}"/>
    <cellStyle name="40% - 强调文字颜色 2 3 3" xfId="768" xr:uid="{4F768457-5972-4D74-830C-D8C8562E8FBE}"/>
    <cellStyle name="40% - 强调文字颜色 2 3 4" xfId="769" xr:uid="{DD1C8CF5-FF54-4C5F-B654-1EA98C322B53}"/>
    <cellStyle name="40% - 强调文字颜色 2 3 5" xfId="770" xr:uid="{5169F83F-B596-41C2-A2BA-38D81470D891}"/>
    <cellStyle name="40% - 强调文字颜色 2 3 6" xfId="771" xr:uid="{F9BED4AE-170F-447B-9CBD-1F78EBC9E8A2}"/>
    <cellStyle name="40% - 强调文字颜色 2 3 7" xfId="772" xr:uid="{15336702-FDFA-4EC0-A839-C1A32E4BDFE8}"/>
    <cellStyle name="40% - 强调文字颜色 2 4" xfId="773" xr:uid="{4CEFFE6C-7023-44E5-84F6-A23E51E4698C}"/>
    <cellStyle name="40% - 强调文字颜色 2 4 2" xfId="774" xr:uid="{52BBDE2C-392F-4013-A730-E820600924A8}"/>
    <cellStyle name="40% - 强调文字颜色 2 4 2 2" xfId="775" xr:uid="{7EE8FEA3-A691-49F6-BD76-FBF50188ECD8}"/>
    <cellStyle name="40% - 强调文字颜色 2 4 2 3" xfId="776" xr:uid="{EA016150-01D8-4CA2-9F70-5BA0EE56CF6D}"/>
    <cellStyle name="40% - 强调文字颜色 2 4 2 4" xfId="777" xr:uid="{128A42DF-8A6F-4942-9BA1-E590AA57DFAE}"/>
    <cellStyle name="40% - 强调文字颜色 2 4 2 5" xfId="778" xr:uid="{7FD8490C-D703-4DA9-9D81-91212197A57F}"/>
    <cellStyle name="40% - 强调文字颜色 2 4 2 6" xfId="779" xr:uid="{86CBD400-3261-4975-BB14-6D1012526D53}"/>
    <cellStyle name="40% - 强调文字颜色 2 4 3" xfId="780" xr:uid="{5C021E32-61C6-4144-A61D-161D599CBBD4}"/>
    <cellStyle name="40% - 强调文字颜色 2 4 4" xfId="781" xr:uid="{7A89656B-32F7-4AB5-9CE2-8CC2DCCE0E55}"/>
    <cellStyle name="40% - 强调文字颜色 2 4 5" xfId="782" xr:uid="{20E4B080-33E7-4ACB-873A-13534216EEDA}"/>
    <cellStyle name="40% - 强调文字颜色 2 4 6" xfId="783" xr:uid="{B7367F3F-EE17-4AB6-8877-1E247A3EBAF0}"/>
    <cellStyle name="40% - 强调文字颜色 2 4 7" xfId="784" xr:uid="{6F100CA5-55E1-43FB-B463-1E9F183426F3}"/>
    <cellStyle name="40% - 强调文字颜色 2 5" xfId="785" xr:uid="{93C01034-7C95-4F03-98E4-58167CC5D3D4}"/>
    <cellStyle name="40% - 强调文字颜色 2 5 2" xfId="786" xr:uid="{41E01E32-BF71-4139-B9B2-BE1C59F8A893}"/>
    <cellStyle name="40% - 强调文字颜色 2 5 2 2" xfId="787" xr:uid="{B707CB34-675E-4E23-BF1B-BDA1934A60DC}"/>
    <cellStyle name="40% - 强调文字颜色 2 5 2 3" xfId="788" xr:uid="{730E657E-667E-4EC4-B7C2-50DCAED6D47E}"/>
    <cellStyle name="40% - 强调文字颜色 2 5 2 4" xfId="789" xr:uid="{1550992F-7856-4492-BE13-1E6A69864424}"/>
    <cellStyle name="40% - 强调文字颜色 2 5 2 5" xfId="790" xr:uid="{643F486F-DAEA-48B2-9A7F-B6E0E9CE78A4}"/>
    <cellStyle name="40% - 强调文字颜色 2 5 2 6" xfId="791" xr:uid="{ED8D166C-2074-4295-8D6F-8BA0C9E6ABA2}"/>
    <cellStyle name="40% - 强调文字颜色 2 5 3" xfId="792" xr:uid="{09813B38-E144-4A91-9325-E27E04B55A76}"/>
    <cellStyle name="40% - 强调文字颜色 2 5 4" xfId="793" xr:uid="{F3645E41-59EB-47BB-AC64-52440544EC4C}"/>
    <cellStyle name="40% - 强调文字颜色 2 5 5" xfId="794" xr:uid="{6E6DD138-BB6C-4DEC-AF6C-0C9C9F2A6A05}"/>
    <cellStyle name="40% - 强调文字颜色 2 5 6" xfId="795" xr:uid="{AAFF5508-2CBF-4234-B22E-0A158FA7EBB3}"/>
    <cellStyle name="40% - 强调文字颜色 2 5 7" xfId="796" xr:uid="{8A957714-D0C4-43EB-BFC2-A37EF9A18AE4}"/>
    <cellStyle name="40% - 强调文字颜色 2 6" xfId="797" xr:uid="{CE9FC103-C175-49DD-B94E-E62883F5CA4B}"/>
    <cellStyle name="40% - 强调文字颜色 2 7" xfId="798" xr:uid="{3D108926-D1D2-4080-8D2E-C76EFAB381BB}"/>
    <cellStyle name="40% - 强调文字颜色 2 7 2" xfId="799" xr:uid="{E0851B3D-7530-4DE2-91C4-925499DB4A7B}"/>
    <cellStyle name="40% - 强调文字颜色 2 7 3" xfId="800" xr:uid="{67A0556E-CC92-4CB6-9C80-A5741D4B873C}"/>
    <cellStyle name="40% - 强调文字颜色 2 7 4" xfId="801" xr:uid="{779786A7-F202-46CA-848A-9CAEF0857049}"/>
    <cellStyle name="40% - 强调文字颜色 2 7 5" xfId="802" xr:uid="{7AD10611-2B1C-4E03-9579-811200390D78}"/>
    <cellStyle name="40% - 强调文字颜色 2 7 6" xfId="803" xr:uid="{4775453A-F97F-4C75-9CE4-260A6C604809}"/>
    <cellStyle name="40% - 强调文字颜色 2 8" xfId="804" xr:uid="{19D3867A-D6ED-4E18-9A9D-82FB740D9299}"/>
    <cellStyle name="40% - 强调文字颜色 2 9" xfId="805" xr:uid="{AED93368-8BF9-480A-ACF2-D8667B3DA31D}"/>
    <cellStyle name="40% - 强调文字颜色 3 10" xfId="806" xr:uid="{4DC6F234-0281-4380-A477-94A279F2EDB7}"/>
    <cellStyle name="40% - 强调文字颜色 3 11" xfId="807" xr:uid="{4E79F5C0-DFD9-4530-85A6-EE9D41B61353}"/>
    <cellStyle name="40% - 强调文字颜色 3 12" xfId="808" xr:uid="{8352BA17-F868-4563-8F65-3EF136A01B87}"/>
    <cellStyle name="40% - 强调文字颜色 3 13" xfId="32850" xr:uid="{28CAD869-A2FC-4A01-882F-DE7EC62DB763}"/>
    <cellStyle name="40% - 强调文字颜色 3 2" xfId="809" xr:uid="{57CF8D02-BF5F-4A75-B756-0B7405C70A4D}"/>
    <cellStyle name="40% - 强调文字颜色 3 2 10" xfId="810" xr:uid="{B2C93A46-38A6-46A3-B204-6CF206390E95}"/>
    <cellStyle name="40% - 强调文字颜色 3 2 2" xfId="811" xr:uid="{BFECAD44-E462-48D3-9E76-429515F861E1}"/>
    <cellStyle name="40% - 强调文字颜色 3 2 2 2" xfId="812" xr:uid="{1CA7B6AF-5E77-4313-9139-85536A3D7AB8}"/>
    <cellStyle name="40% - 强调文字颜色 3 2 2 2 2" xfId="813" xr:uid="{1EBF7DC2-97C2-4418-82A0-4ED13D5E7381}"/>
    <cellStyle name="40% - 强调文字颜色 3 2 2 2 3" xfId="814" xr:uid="{4CFA8482-F925-4A92-958A-418A3B6D1F61}"/>
    <cellStyle name="40% - 强调文字颜色 3 2 2 2 4" xfId="815" xr:uid="{06EB7E83-6212-43FA-AED6-3A65D38102D9}"/>
    <cellStyle name="40% - 强调文字颜色 3 2 2 2 5" xfId="816" xr:uid="{3B99B6FF-E72A-43D5-9FF3-0B79B907C8FC}"/>
    <cellStyle name="40% - 强调文字颜色 3 2 2 2 6" xfId="817" xr:uid="{60E998E6-AAC1-43BD-AB4F-D377C315B29B}"/>
    <cellStyle name="40% - 强调文字颜色 3 2 2 3" xfId="818" xr:uid="{A3EF6764-CC69-4C87-9363-D1447F230F81}"/>
    <cellStyle name="40% - 强调文字颜色 3 2 2 4" xfId="819" xr:uid="{C3D2D2FF-FA8A-456A-B34F-B743E3BEBCCD}"/>
    <cellStyle name="40% - 强调文字颜色 3 2 2 5" xfId="820" xr:uid="{352A61BA-8BAB-43BB-95F4-A8274339D9AB}"/>
    <cellStyle name="40% - 强调文字颜色 3 2 2 6" xfId="821" xr:uid="{FA30D840-8B15-43C8-9BC0-E65CDBF62D35}"/>
    <cellStyle name="40% - 强调文字颜色 3 2 2 7" xfId="822" xr:uid="{00551C20-BC72-46C0-ACCF-6ACC63B81E41}"/>
    <cellStyle name="40% - 强调文字颜色 3 2 3" xfId="823" xr:uid="{3B2AC193-6714-479D-80EB-79FD20E15FEB}"/>
    <cellStyle name="40% - 强调文字颜色 3 2 3 2" xfId="824" xr:uid="{FA5177AD-5120-4114-85B1-F762BF1D556D}"/>
    <cellStyle name="40% - 强调文字颜色 3 2 3 2 2" xfId="825" xr:uid="{5E5C3C4E-B5DC-4522-B083-6AD54A60F57A}"/>
    <cellStyle name="40% - 强调文字颜色 3 2 3 2 3" xfId="826" xr:uid="{B4892FDC-3D43-48FB-9ECB-630570424C13}"/>
    <cellStyle name="40% - 强调文字颜色 3 2 3 2 4" xfId="827" xr:uid="{57E3AAE5-16E3-47F9-82E4-A51870063C73}"/>
    <cellStyle name="40% - 强调文字颜色 3 2 3 2 5" xfId="828" xr:uid="{CDA7B331-8A6B-44AE-8D66-617539A78F16}"/>
    <cellStyle name="40% - 强调文字颜色 3 2 3 2 6" xfId="829" xr:uid="{7A2072BB-5CDD-43AA-B8C3-B26786FB1EC7}"/>
    <cellStyle name="40% - 强调文字颜色 3 2 3 3" xfId="830" xr:uid="{364CA42C-C362-48C1-9A14-E91C7831C8B6}"/>
    <cellStyle name="40% - 强调文字颜色 3 2 3 4" xfId="831" xr:uid="{A96A5A9F-A683-4184-B4D6-F52D8E58AACD}"/>
    <cellStyle name="40% - 强调文字颜色 3 2 3 5" xfId="832" xr:uid="{D637F05A-AB31-4FA5-95BE-EDCDB240CF1C}"/>
    <cellStyle name="40% - 强调文字颜色 3 2 3 6" xfId="833" xr:uid="{C3C39F92-5713-45BF-95A4-6992F4D7B802}"/>
    <cellStyle name="40% - 强调文字颜色 3 2 3 7" xfId="834" xr:uid="{AA8A7723-7567-4B09-9DAA-8A7A2DCCAA74}"/>
    <cellStyle name="40% - 强调文字颜色 3 2 4" xfId="835" xr:uid="{FF75972E-B368-4B3A-A1FE-EE99359D8A9D}"/>
    <cellStyle name="40% - 强调文字颜色 3 2 4 2" xfId="836" xr:uid="{834F97F1-E878-4B9C-9B6F-9C73CB806286}"/>
    <cellStyle name="40% - 强调文字颜色 3 2 4 2 2" xfId="837" xr:uid="{9406BBDA-E1ED-4FE4-B799-081593253E42}"/>
    <cellStyle name="40% - 强调文字颜色 3 2 4 2 3" xfId="838" xr:uid="{1B86A786-955B-40C7-9A73-1327A1BA7032}"/>
    <cellStyle name="40% - 强调文字颜色 3 2 4 2 4" xfId="839" xr:uid="{63B09CE6-4B63-4646-8F21-A2D469515BA8}"/>
    <cellStyle name="40% - 强调文字颜色 3 2 4 2 5" xfId="840" xr:uid="{AF668B8A-AFC8-4E94-A38B-3069A40E0BD7}"/>
    <cellStyle name="40% - 强调文字颜色 3 2 4 2 6" xfId="841" xr:uid="{CF172DB3-E051-4C3B-A59F-543FF825714E}"/>
    <cellStyle name="40% - 强调文字颜色 3 2 4 3" xfId="842" xr:uid="{63366A35-12CE-418B-8430-748C6B79258E}"/>
    <cellStyle name="40% - 强调文字颜色 3 2 4 4" xfId="843" xr:uid="{98581659-BCF9-4DA8-9474-17BC103581CD}"/>
    <cellStyle name="40% - 强调文字颜色 3 2 4 5" xfId="844" xr:uid="{3ED93BA2-81E2-4CD4-B9CD-82BAB310A16A}"/>
    <cellStyle name="40% - 强调文字颜色 3 2 4 6" xfId="845" xr:uid="{C5822646-7FA6-491E-AC3F-23CF8C375D8A}"/>
    <cellStyle name="40% - 强调文字颜色 3 2 4 7" xfId="846" xr:uid="{193CF8D5-7D07-4A0E-B428-205963873795}"/>
    <cellStyle name="40% - 强调文字颜色 3 2 5" xfId="847" xr:uid="{C96A6218-3338-4605-81C6-55FE12AC5002}"/>
    <cellStyle name="40% - 强调文字颜色 3 2 5 2" xfId="848" xr:uid="{237FC58C-3BA1-4372-957F-2470DFD17EFC}"/>
    <cellStyle name="40% - 强调文字颜色 3 2 5 3" xfId="849" xr:uid="{AC891814-D6CE-41BC-8EA7-50145798C620}"/>
    <cellStyle name="40% - 强调文字颜色 3 2 5 4" xfId="850" xr:uid="{CA413758-5ACB-4D27-B344-ACD4DAAF2C99}"/>
    <cellStyle name="40% - 强调文字颜色 3 2 5 5" xfId="851" xr:uid="{77EE2A48-DD81-40FA-B344-BAFD887E0262}"/>
    <cellStyle name="40% - 强调文字颜色 3 2 5 6" xfId="852" xr:uid="{CCD1E98B-10D7-4F91-8A98-87E903AED2A0}"/>
    <cellStyle name="40% - 强调文字颜色 3 2 6" xfId="853" xr:uid="{098C9B7A-15C2-4362-A3F3-333316F9BCBF}"/>
    <cellStyle name="40% - 强调文字颜色 3 2 7" xfId="854" xr:uid="{38944806-186B-41AA-9539-65A140078BFB}"/>
    <cellStyle name="40% - 强调文字颜色 3 2 8" xfId="855" xr:uid="{599D22CE-3EFB-4BC7-A0BE-EBCBA424BFFD}"/>
    <cellStyle name="40% - 强调文字颜色 3 2 9" xfId="856" xr:uid="{B1BC3939-A659-4E1D-BB1C-BCBBBBE4B9C4}"/>
    <cellStyle name="40% - 强调文字颜色 3 3" xfId="857" xr:uid="{27A2FA28-76D8-428C-A214-868EA19BE203}"/>
    <cellStyle name="40% - 强调文字颜色 3 3 2" xfId="858" xr:uid="{92797B16-3AE8-4A2C-BDBD-146F9412FC8E}"/>
    <cellStyle name="40% - 强调文字颜色 3 3 2 2" xfId="859" xr:uid="{E15DEDFF-6170-4A03-9FFD-0A0666246C8D}"/>
    <cellStyle name="40% - 强调文字颜色 3 3 2 3" xfId="860" xr:uid="{4E20C505-2CDE-43A3-B521-97B1384F1AB4}"/>
    <cellStyle name="40% - 强调文字颜色 3 3 2 4" xfId="861" xr:uid="{BB243882-D8BE-4557-8129-7EF7B2440446}"/>
    <cellStyle name="40% - 强调文字颜色 3 3 2 5" xfId="862" xr:uid="{FC85F0A2-89A0-4BF7-916A-B78A1D84858C}"/>
    <cellStyle name="40% - 强调文字颜色 3 3 2 6" xfId="863" xr:uid="{03935FF4-4D9D-4E10-9FD6-50DF5B7833F1}"/>
    <cellStyle name="40% - 强调文字颜色 3 3 3" xfId="864" xr:uid="{91F89C30-19B4-42E8-B195-85707B68843A}"/>
    <cellStyle name="40% - 强调文字颜色 3 3 4" xfId="865" xr:uid="{2117B97D-03C1-4639-80A1-BA2568A354AF}"/>
    <cellStyle name="40% - 强调文字颜色 3 3 5" xfId="866" xr:uid="{30521853-09A5-4CE0-94CC-75D83C777339}"/>
    <cellStyle name="40% - 强调文字颜色 3 3 6" xfId="867" xr:uid="{CDC925EB-BD54-454E-B04E-91A2D63BE161}"/>
    <cellStyle name="40% - 强调文字颜色 3 3 7" xfId="868" xr:uid="{CCED61A9-1870-43B5-B685-8B35BACB0CA1}"/>
    <cellStyle name="40% - 强调文字颜色 3 4" xfId="869" xr:uid="{5E79438B-6DF0-4A41-BC60-87F37A79C31B}"/>
    <cellStyle name="40% - 强调文字颜色 3 4 2" xfId="870" xr:uid="{F7BDD50D-84E1-47F3-899D-EE3338C57FD4}"/>
    <cellStyle name="40% - 强调文字颜色 3 4 2 2" xfId="871" xr:uid="{F8B80ABC-B18D-40D1-99A1-9E7F68B5AA25}"/>
    <cellStyle name="40% - 强调文字颜色 3 4 2 3" xfId="872" xr:uid="{A2E49FA7-2FFD-4FE6-BF6F-AF8F65A3B8FA}"/>
    <cellStyle name="40% - 强调文字颜色 3 4 2 4" xfId="873" xr:uid="{81C260B0-D687-4A86-93B0-FF3C01B78C9A}"/>
    <cellStyle name="40% - 强调文字颜色 3 4 2 5" xfId="874" xr:uid="{76E28973-098E-490B-9CF2-D93E2E6A0D98}"/>
    <cellStyle name="40% - 强调文字颜色 3 4 2 6" xfId="875" xr:uid="{2BAC1B37-C066-438D-966C-24647415E4D9}"/>
    <cellStyle name="40% - 强调文字颜色 3 4 3" xfId="876" xr:uid="{74ACF016-F10A-4C87-BC66-68C3DC039E1D}"/>
    <cellStyle name="40% - 强调文字颜色 3 4 4" xfId="877" xr:uid="{90A54EC6-8E64-43B0-AB3A-F30FABF242E5}"/>
    <cellStyle name="40% - 强调文字颜色 3 4 5" xfId="878" xr:uid="{18783054-B341-4B7A-8BFF-8C68AD7E7EC4}"/>
    <cellStyle name="40% - 强调文字颜色 3 4 6" xfId="879" xr:uid="{79C65163-F3F2-4052-B900-F4A1D468DF7A}"/>
    <cellStyle name="40% - 强调文字颜色 3 4 7" xfId="880" xr:uid="{C5AC4D6B-4499-4DF4-9B12-766938E238B8}"/>
    <cellStyle name="40% - 强调文字颜色 3 5" xfId="881" xr:uid="{6232AF7B-553F-4A2D-8C95-20BB8007B157}"/>
    <cellStyle name="40% - 强调文字颜色 3 5 2" xfId="882" xr:uid="{DFD1FA14-09E0-4354-A8F4-5F2597CC95AA}"/>
    <cellStyle name="40% - 强调文字颜色 3 5 2 2" xfId="883" xr:uid="{138B8AD9-1D60-4DB1-96A6-1538A95CAB89}"/>
    <cellStyle name="40% - 强调文字颜色 3 5 2 3" xfId="884" xr:uid="{035228BF-B9EA-4590-B2F0-01AAD0A9EB87}"/>
    <cellStyle name="40% - 强调文字颜色 3 5 2 4" xfId="885" xr:uid="{0B16403C-A07F-4695-87F4-1E18C9276066}"/>
    <cellStyle name="40% - 强调文字颜色 3 5 2 5" xfId="886" xr:uid="{D5D135DB-63D5-455A-B158-106CD87159DC}"/>
    <cellStyle name="40% - 强调文字颜色 3 5 2 6" xfId="887" xr:uid="{B24FDA82-4722-4848-A827-A2934F52DC02}"/>
    <cellStyle name="40% - 强调文字颜色 3 5 3" xfId="888" xr:uid="{39BE45E6-C8F1-4639-A9D3-FFC10C501727}"/>
    <cellStyle name="40% - 强调文字颜色 3 5 4" xfId="889" xr:uid="{00EE1129-A2DD-4E4B-A90D-C598B560F5A7}"/>
    <cellStyle name="40% - 强调文字颜色 3 5 5" xfId="890" xr:uid="{2EB24C87-8640-4745-8505-F18754A3777B}"/>
    <cellStyle name="40% - 强调文字颜色 3 5 6" xfId="891" xr:uid="{EAAD37BD-5B9C-4A5B-AB73-40F843AD16B4}"/>
    <cellStyle name="40% - 强调文字颜色 3 5 7" xfId="892" xr:uid="{A93B9271-36DE-4E32-AFD5-6269FDA63926}"/>
    <cellStyle name="40% - 强调文字颜色 3 6" xfId="893" xr:uid="{5482B353-DB7E-4043-B908-51A8B4E58899}"/>
    <cellStyle name="40% - 强调文字颜色 3 7" xfId="894" xr:uid="{149B96E8-0734-49A5-BB90-8E8258D77A01}"/>
    <cellStyle name="40% - 强调文字颜色 3 7 2" xfId="895" xr:uid="{775A4B17-F7BC-4371-A9A9-13DBFD09DC82}"/>
    <cellStyle name="40% - 强调文字颜色 3 7 3" xfId="896" xr:uid="{31145FD8-C938-4A2C-B243-0D7017D1E4DA}"/>
    <cellStyle name="40% - 强调文字颜色 3 7 4" xfId="897" xr:uid="{48D38FB5-2557-4242-B051-2CE2E1B987D4}"/>
    <cellStyle name="40% - 强调文字颜色 3 7 5" xfId="898" xr:uid="{7D5F8CEF-6B29-47E2-9FBA-C4253ACF13FC}"/>
    <cellStyle name="40% - 强调文字颜色 3 7 6" xfId="899" xr:uid="{7285B323-93FC-4CC3-9785-5BE583B3B82A}"/>
    <cellStyle name="40% - 强调文字颜色 3 8" xfId="900" xr:uid="{995ACB94-150C-45E7-BF37-0F3187E286BE}"/>
    <cellStyle name="40% - 强调文字颜色 3 9" xfId="901" xr:uid="{92975E9D-9C10-4C4D-8D0A-87B270F88BDD}"/>
    <cellStyle name="40% - 强调文字颜色 4 10" xfId="902" xr:uid="{3008FA5E-B1AD-422D-8F3A-626DBEDBD751}"/>
    <cellStyle name="40% - 强调文字颜色 4 11" xfId="903" xr:uid="{C69E6514-40F5-4534-9573-413C123184CA}"/>
    <cellStyle name="40% - 强调文字颜色 4 12" xfId="904" xr:uid="{8272DD84-91F8-4ED6-A894-C7464259E04B}"/>
    <cellStyle name="40% - 强调文字颜色 4 13" xfId="32851" xr:uid="{FB977119-8C30-49B0-B5B9-F458F8357B16}"/>
    <cellStyle name="40% - 强调文字颜色 4 2" xfId="905" xr:uid="{706FAF27-FB44-41F8-B5FD-EC07383F8A26}"/>
    <cellStyle name="40% - 强调文字颜色 4 2 10" xfId="906" xr:uid="{E25EF5EE-37A4-415C-B2E3-0825F01CDE2B}"/>
    <cellStyle name="40% - 强调文字颜色 4 2 2" xfId="907" xr:uid="{A57C576C-0A9F-4F7F-A1AE-14FF6CB91384}"/>
    <cellStyle name="40% - 强调文字颜色 4 2 2 2" xfId="908" xr:uid="{8479687D-8FBD-4C3A-AB54-B183741452C0}"/>
    <cellStyle name="40% - 强调文字颜色 4 2 2 2 2" xfId="909" xr:uid="{ADD78400-D2A6-44E8-AEC4-4A483EE7389F}"/>
    <cellStyle name="40% - 强调文字颜色 4 2 2 2 3" xfId="910" xr:uid="{79818717-CB43-4675-9131-752FD753DA7D}"/>
    <cellStyle name="40% - 强调文字颜色 4 2 2 2 4" xfId="911" xr:uid="{C705EF86-CFA2-4A82-8A3E-E583C0DF241E}"/>
    <cellStyle name="40% - 强调文字颜色 4 2 2 2 5" xfId="912" xr:uid="{E0522A53-876E-4BA3-B646-F7318901B195}"/>
    <cellStyle name="40% - 强调文字颜色 4 2 2 2 6" xfId="913" xr:uid="{A9707B9A-D2C2-4294-9E01-FD34F839801B}"/>
    <cellStyle name="40% - 强调文字颜色 4 2 2 3" xfId="914" xr:uid="{C2E4F1A5-CA79-4DBF-9318-7F2E074324B4}"/>
    <cellStyle name="40% - 强调文字颜色 4 2 2 4" xfId="915" xr:uid="{9777D3D3-7E5E-4FF8-A299-8EBB0E3CC40B}"/>
    <cellStyle name="40% - 强调文字颜色 4 2 2 5" xfId="916" xr:uid="{A37B2038-0846-47C5-9E79-B33497BC4954}"/>
    <cellStyle name="40% - 强调文字颜色 4 2 2 6" xfId="917" xr:uid="{502997DF-5F1E-4D1D-B536-73428C9F4203}"/>
    <cellStyle name="40% - 强调文字颜色 4 2 2 7" xfId="918" xr:uid="{99C11132-7543-4675-B545-CD8B7FD3A025}"/>
    <cellStyle name="40% - 强调文字颜色 4 2 3" xfId="919" xr:uid="{E314ABE4-12D1-423A-944C-0723942E8FB4}"/>
    <cellStyle name="40% - 强调文字颜色 4 2 3 2" xfId="920" xr:uid="{7D2EDF34-85DB-4D61-91B7-3418648DCB82}"/>
    <cellStyle name="40% - 强调文字颜色 4 2 3 2 2" xfId="921" xr:uid="{1FE77030-4E27-4AFB-A425-0EDF70241C44}"/>
    <cellStyle name="40% - 强调文字颜色 4 2 3 2 3" xfId="922" xr:uid="{D8C035F5-5D00-44D8-BC92-03A3ECBAAA75}"/>
    <cellStyle name="40% - 强调文字颜色 4 2 3 2 4" xfId="923" xr:uid="{1450CA13-4A84-4F74-8E43-2050416262E2}"/>
    <cellStyle name="40% - 强调文字颜色 4 2 3 2 5" xfId="924" xr:uid="{714BCAF0-5A82-4565-9754-4F7E95F563D6}"/>
    <cellStyle name="40% - 强调文字颜色 4 2 3 2 6" xfId="925" xr:uid="{E0198332-4994-4AA1-93A5-0E425FA34DB4}"/>
    <cellStyle name="40% - 强调文字颜色 4 2 3 3" xfId="926" xr:uid="{5D02A023-FF9A-4D7C-9A57-D0164DB8729D}"/>
    <cellStyle name="40% - 强调文字颜色 4 2 3 4" xfId="927" xr:uid="{62DB7E3F-0DA4-4F23-BCAB-F801C5317E52}"/>
    <cellStyle name="40% - 强调文字颜色 4 2 3 5" xfId="928" xr:uid="{A8E50184-CEF1-4BD1-A080-BD32C53BD64D}"/>
    <cellStyle name="40% - 强调文字颜色 4 2 3 6" xfId="929" xr:uid="{D5BB3B22-B7C2-4D30-B4FC-90444B492B3B}"/>
    <cellStyle name="40% - 强调文字颜色 4 2 3 7" xfId="930" xr:uid="{0FE328E1-9973-45CA-901B-4E1183B70984}"/>
    <cellStyle name="40% - 强调文字颜色 4 2 4" xfId="931" xr:uid="{AD186E01-B597-4FAE-9CE8-CB1CAAACE03C}"/>
    <cellStyle name="40% - 强调文字颜色 4 2 4 2" xfId="932" xr:uid="{0DF20E0E-D00B-4FA8-909F-9AF2C67583AD}"/>
    <cellStyle name="40% - 强调文字颜色 4 2 4 2 2" xfId="933" xr:uid="{CF9ADAC9-585A-4243-8DED-BBC2A7CFD74E}"/>
    <cellStyle name="40% - 强调文字颜色 4 2 4 2 3" xfId="934" xr:uid="{2D948653-108B-4D8C-95B2-AA4ED87DA9EF}"/>
    <cellStyle name="40% - 强调文字颜色 4 2 4 2 4" xfId="935" xr:uid="{6856DD1F-931A-439D-B7DF-83C4853C9B48}"/>
    <cellStyle name="40% - 强调文字颜色 4 2 4 2 5" xfId="936" xr:uid="{81638E5A-E793-447D-AA9F-C5DF260B587E}"/>
    <cellStyle name="40% - 强调文字颜色 4 2 4 2 6" xfId="937" xr:uid="{67085797-42C1-4B61-A378-2103095373F8}"/>
    <cellStyle name="40% - 强调文字颜色 4 2 4 3" xfId="938" xr:uid="{CA0144AF-F33B-45C3-96C7-4AA4A018358B}"/>
    <cellStyle name="40% - 强调文字颜色 4 2 4 4" xfId="939" xr:uid="{A05D3046-890C-4449-8D22-B7D10F6FF271}"/>
    <cellStyle name="40% - 强调文字颜色 4 2 4 5" xfId="940" xr:uid="{877B22EA-92DC-46F6-97BE-023074756841}"/>
    <cellStyle name="40% - 强调文字颜色 4 2 4 6" xfId="941" xr:uid="{928133EE-FCA8-4DE8-8104-0AA58CE43B22}"/>
    <cellStyle name="40% - 强调文字颜色 4 2 4 7" xfId="942" xr:uid="{E173C3F5-08A0-4B98-B998-261EA8FAC29E}"/>
    <cellStyle name="40% - 强调文字颜色 4 2 5" xfId="943" xr:uid="{7E07CB07-1C35-46CF-8388-B2EAE8E28A03}"/>
    <cellStyle name="40% - 强调文字颜色 4 2 5 2" xfId="944" xr:uid="{B13F3D29-C27A-40C9-A42F-3E3C18FFB193}"/>
    <cellStyle name="40% - 强调文字颜色 4 2 5 3" xfId="945" xr:uid="{7B84D200-B9BD-4528-9F3C-E473B74CFBE3}"/>
    <cellStyle name="40% - 强调文字颜色 4 2 5 4" xfId="946" xr:uid="{74DBB7F8-3843-4DA3-8181-D2794FA8D1B7}"/>
    <cellStyle name="40% - 强调文字颜色 4 2 5 5" xfId="947" xr:uid="{C430F6D5-BE9B-4573-AC02-6361CBB56F6C}"/>
    <cellStyle name="40% - 强调文字颜色 4 2 5 6" xfId="948" xr:uid="{BC2153CA-E3A3-4A58-A7C4-62EE28735548}"/>
    <cellStyle name="40% - 强调文字颜色 4 2 6" xfId="949" xr:uid="{AC228261-819E-4E21-9EA1-24A0F40B7645}"/>
    <cellStyle name="40% - 强调文字颜色 4 2 7" xfId="950" xr:uid="{60E3DB2B-40BB-4127-BFD0-199D8499FF26}"/>
    <cellStyle name="40% - 强调文字颜色 4 2 8" xfId="951" xr:uid="{45C4AB36-0D5D-47B5-A0AD-32583EBD2E47}"/>
    <cellStyle name="40% - 强调文字颜色 4 2 9" xfId="952" xr:uid="{86D4018B-A607-4672-8F5B-816D339AC7B3}"/>
    <cellStyle name="40% - 强调文字颜色 4 3" xfId="953" xr:uid="{8A168B61-156C-440F-94F3-37867F7FFD78}"/>
    <cellStyle name="40% - 强调文字颜色 4 3 2" xfId="954" xr:uid="{327BB799-948F-4352-920B-5656E06F1970}"/>
    <cellStyle name="40% - 强调文字颜色 4 3 2 2" xfId="955" xr:uid="{6D22B579-2DC6-4857-9226-A00807BE3583}"/>
    <cellStyle name="40% - 强调文字颜色 4 3 2 3" xfId="956" xr:uid="{E9242184-7FB3-42EF-86E2-6CDE50188D0A}"/>
    <cellStyle name="40% - 强调文字颜色 4 3 2 4" xfId="957" xr:uid="{95FD918A-8612-4000-BF32-13C75BAA31FF}"/>
    <cellStyle name="40% - 强调文字颜色 4 3 2 5" xfId="958" xr:uid="{87937283-9649-41BF-90CB-4529772F16A2}"/>
    <cellStyle name="40% - 强调文字颜色 4 3 2 6" xfId="959" xr:uid="{F059AA15-0D1E-416B-BE97-5E8CC4697592}"/>
    <cellStyle name="40% - 强调文字颜色 4 3 3" xfId="960" xr:uid="{93C43578-8D50-49FC-AD47-5FBCDD5C68F6}"/>
    <cellStyle name="40% - 强调文字颜色 4 3 4" xfId="961" xr:uid="{B52327FE-ED6E-408A-8A8B-5F925A86D605}"/>
    <cellStyle name="40% - 强调文字颜色 4 3 5" xfId="962" xr:uid="{AFD63422-217B-47AD-B992-956AC9D67A1A}"/>
    <cellStyle name="40% - 强调文字颜色 4 3 6" xfId="963" xr:uid="{264C40DA-87A4-4552-897D-716628A79B04}"/>
    <cellStyle name="40% - 强调文字颜色 4 3 7" xfId="964" xr:uid="{F57B43D7-33B0-44A8-9CCD-18249142DF98}"/>
    <cellStyle name="40% - 强调文字颜色 4 4" xfId="965" xr:uid="{F18B84E1-CD56-46FF-A3A4-4CEB79BA15F0}"/>
    <cellStyle name="40% - 强调文字颜色 4 4 2" xfId="966" xr:uid="{A1C3C9E1-F4E0-49DB-8F44-2C39D47672F7}"/>
    <cellStyle name="40% - 强调文字颜色 4 4 2 2" xfId="967" xr:uid="{FFF6C8FA-DC12-42FA-BA32-BE0FD7DE2F14}"/>
    <cellStyle name="40% - 强调文字颜色 4 4 2 3" xfId="968" xr:uid="{EAA21681-EC7C-4B5A-9F07-213860D6D285}"/>
    <cellStyle name="40% - 强调文字颜色 4 4 2 4" xfId="969" xr:uid="{149D7BA6-7329-4254-BBA5-586CD65D3523}"/>
    <cellStyle name="40% - 强调文字颜色 4 4 2 5" xfId="970" xr:uid="{03B096B5-59B3-4BC1-BB4E-BDCBF4B567F1}"/>
    <cellStyle name="40% - 强调文字颜色 4 4 2 6" xfId="971" xr:uid="{61FBBA87-6BC6-49BF-B623-D8E60237E974}"/>
    <cellStyle name="40% - 强调文字颜色 4 4 3" xfId="972" xr:uid="{ED230DA4-BBFF-4107-936B-94F10AEE75CA}"/>
    <cellStyle name="40% - 强调文字颜色 4 4 4" xfId="973" xr:uid="{B4D10A04-CB39-4D62-8E0A-630927ADDE33}"/>
    <cellStyle name="40% - 强调文字颜色 4 4 5" xfId="974" xr:uid="{5DA9F0DE-43E6-49A4-8C6C-147946539728}"/>
    <cellStyle name="40% - 强调文字颜色 4 4 6" xfId="975" xr:uid="{35C1CAD3-B63D-42EB-8159-FCF3F38202E6}"/>
    <cellStyle name="40% - 强调文字颜色 4 4 7" xfId="976" xr:uid="{180E7265-04C7-4B8A-AD33-A9BCE0187BE9}"/>
    <cellStyle name="40% - 强调文字颜色 4 5" xfId="977" xr:uid="{EAC2CB50-F374-4D4F-AC50-F84A2AE58502}"/>
    <cellStyle name="40% - 强调文字颜色 4 5 2" xfId="978" xr:uid="{894B4C6A-A10A-4F69-9B7A-CA32A7CFBC54}"/>
    <cellStyle name="40% - 强调文字颜色 4 5 2 2" xfId="979" xr:uid="{492D7DBC-D6F6-42D1-B1EB-4D7EEAD351D7}"/>
    <cellStyle name="40% - 强调文字颜色 4 5 2 3" xfId="980" xr:uid="{2E821D02-11DD-4FE0-9735-DF58480EE0A4}"/>
    <cellStyle name="40% - 强调文字颜色 4 5 2 4" xfId="981" xr:uid="{0583A7BD-8AEB-456C-A311-E71E87249C3D}"/>
    <cellStyle name="40% - 强调文字颜色 4 5 2 5" xfId="982" xr:uid="{5CAF3B39-D487-48EC-819E-5909DBAE0039}"/>
    <cellStyle name="40% - 强调文字颜色 4 5 2 6" xfId="983" xr:uid="{998EA65B-183B-4EB4-B1A8-64720A5C59D7}"/>
    <cellStyle name="40% - 强调文字颜色 4 5 3" xfId="984" xr:uid="{0A56E08B-90BA-42A0-9D48-60B8BD22F14D}"/>
    <cellStyle name="40% - 强调文字颜色 4 5 4" xfId="985" xr:uid="{D6044D27-8FC4-4BCB-ACE8-C751E4BB72F3}"/>
    <cellStyle name="40% - 强调文字颜色 4 5 5" xfId="986" xr:uid="{04E4D344-CBAF-431B-B651-102EAF08BE9B}"/>
    <cellStyle name="40% - 强调文字颜色 4 5 6" xfId="987" xr:uid="{CE710346-99D3-44EA-9B4B-3DE34158FE84}"/>
    <cellStyle name="40% - 强调文字颜色 4 5 7" xfId="988" xr:uid="{E57ADD29-51C1-4AFF-8B6C-BC9193AB1BC0}"/>
    <cellStyle name="40% - 强调文字颜色 4 6" xfId="989" xr:uid="{EDAD12AE-1AED-44CA-93FB-2B6E6E3EC5B8}"/>
    <cellStyle name="40% - 强调文字颜色 4 7" xfId="990" xr:uid="{69EA38FF-4D8E-4396-B166-16ACEA55D045}"/>
    <cellStyle name="40% - 强调文字颜色 4 7 2" xfId="991" xr:uid="{ADBFEFBB-90ED-47EA-B01F-EB1018E0BCE6}"/>
    <cellStyle name="40% - 强调文字颜色 4 7 3" xfId="992" xr:uid="{CA48F351-C419-4342-AB36-85E693A4D9FD}"/>
    <cellStyle name="40% - 强调文字颜色 4 7 4" xfId="993" xr:uid="{45D497F6-29D3-4970-AE78-85B01B1BC30B}"/>
    <cellStyle name="40% - 强调文字颜色 4 7 5" xfId="994" xr:uid="{57AA4A6E-53A0-43D1-9C8D-9FFA4E89E9A6}"/>
    <cellStyle name="40% - 强调文字颜色 4 7 6" xfId="995" xr:uid="{ACB6342F-C299-4495-90CF-BD5AC796910E}"/>
    <cellStyle name="40% - 强调文字颜色 4 8" xfId="996" xr:uid="{7E8D914C-7060-43E1-9F01-7AD2583F0D21}"/>
    <cellStyle name="40% - 强调文字颜色 4 9" xfId="997" xr:uid="{7DBFB55B-4395-40DA-A4CA-851014F58021}"/>
    <cellStyle name="40% - 强调文字颜色 5 10" xfId="998" xr:uid="{6943DAFA-07C6-47DB-879B-245273BDC331}"/>
    <cellStyle name="40% - 强调文字颜色 5 11" xfId="999" xr:uid="{BC86D708-40F8-45F2-B4ED-81F8637DEF11}"/>
    <cellStyle name="40% - 强调文字颜色 5 12" xfId="1000" xr:uid="{1D85A6FA-1E59-4C05-A434-54F7F9470367}"/>
    <cellStyle name="40% - 强调文字颜色 5 13" xfId="32852" xr:uid="{0BCD9BAD-AD44-454B-AB40-CE84338CD4E8}"/>
    <cellStyle name="40% - 强调文字颜色 5 2" xfId="1001" xr:uid="{6C1C0DD5-6A23-465F-9FE5-5FC1D4A025F0}"/>
    <cellStyle name="40% - 强调文字颜色 5 2 10" xfId="1002" xr:uid="{19396704-6D8D-4F00-B672-0F5CCE78EBB7}"/>
    <cellStyle name="40% - 强调文字颜色 5 2 2" xfId="1003" xr:uid="{13593F0C-5B20-49D6-B7C3-C1839D22AFBE}"/>
    <cellStyle name="40% - 强调文字颜色 5 2 2 2" xfId="1004" xr:uid="{BB326701-1A6D-4359-9994-8D8F9BAA2FA7}"/>
    <cellStyle name="40% - 强调文字颜色 5 2 2 2 2" xfId="1005" xr:uid="{8593C47D-CA04-4CAA-97CE-EE379C2E1FAE}"/>
    <cellStyle name="40% - 强调文字颜色 5 2 2 2 3" xfId="1006" xr:uid="{6A14F461-D592-4917-B003-176D65E68CB4}"/>
    <cellStyle name="40% - 强调文字颜色 5 2 2 2 4" xfId="1007" xr:uid="{0C913038-3A8B-4AC4-AE9D-19ACD7529338}"/>
    <cellStyle name="40% - 强调文字颜色 5 2 2 2 5" xfId="1008" xr:uid="{8155C06C-4D8D-4040-87D8-7C7C5D1E0FED}"/>
    <cellStyle name="40% - 强调文字颜色 5 2 2 2 6" xfId="1009" xr:uid="{94FAAC5E-5338-46CC-8F32-036AE8B1E682}"/>
    <cellStyle name="40% - 强调文字颜色 5 2 2 3" xfId="1010" xr:uid="{83718843-5881-4B1F-B27C-B4B672823F90}"/>
    <cellStyle name="40% - 强调文字颜色 5 2 2 4" xfId="1011" xr:uid="{0FCEB844-948C-4A67-B53C-A4D6CC42DDA0}"/>
    <cellStyle name="40% - 强调文字颜色 5 2 2 5" xfId="1012" xr:uid="{C673F154-00B5-4756-8887-6DAE798D46A3}"/>
    <cellStyle name="40% - 强调文字颜色 5 2 2 6" xfId="1013" xr:uid="{804CDF8B-F4C2-40F8-8274-9B56453B8755}"/>
    <cellStyle name="40% - 强调文字颜色 5 2 2 7" xfId="1014" xr:uid="{1A04D971-6DF6-4FC3-84D8-094F88259889}"/>
    <cellStyle name="40% - 强调文字颜色 5 2 3" xfId="1015" xr:uid="{49DAA80D-1AE0-403A-9100-62807C8CD2DF}"/>
    <cellStyle name="40% - 强调文字颜色 5 2 3 2" xfId="1016" xr:uid="{9F047349-DE8B-412B-B1C8-B115398C514F}"/>
    <cellStyle name="40% - 强调文字颜色 5 2 3 2 2" xfId="1017" xr:uid="{94BDE7C4-0ECF-4769-B37C-C9F10510AF0A}"/>
    <cellStyle name="40% - 强调文字颜色 5 2 3 2 3" xfId="1018" xr:uid="{7538EAAF-9BFD-499D-BD84-AC16BA13623A}"/>
    <cellStyle name="40% - 强调文字颜色 5 2 3 2 4" xfId="1019" xr:uid="{A281E31B-3946-4C6C-8CA8-7811E8AC1142}"/>
    <cellStyle name="40% - 强调文字颜色 5 2 3 2 5" xfId="1020" xr:uid="{B4FFA62A-02C6-4F16-86ED-D9BCD7E04B07}"/>
    <cellStyle name="40% - 强调文字颜色 5 2 3 2 6" xfId="1021" xr:uid="{199E46A5-16FF-491E-B694-C2DC53F9E33B}"/>
    <cellStyle name="40% - 强调文字颜色 5 2 3 3" xfId="1022" xr:uid="{539B638E-28BA-474A-A206-BBE95A9ED8B5}"/>
    <cellStyle name="40% - 强调文字颜色 5 2 3 4" xfId="1023" xr:uid="{EA28453C-679E-45CD-9D1B-82E123E1EFF4}"/>
    <cellStyle name="40% - 强调文字颜色 5 2 3 5" xfId="1024" xr:uid="{EB8FDE9E-3916-4A7A-B747-82BB676A40AD}"/>
    <cellStyle name="40% - 强调文字颜色 5 2 3 6" xfId="1025" xr:uid="{2D39D9A3-665F-4C4C-B124-338E414C9742}"/>
    <cellStyle name="40% - 强调文字颜色 5 2 3 7" xfId="1026" xr:uid="{481DEF98-40B0-44C6-9F33-1315FE19E714}"/>
    <cellStyle name="40% - 强调文字颜色 5 2 4" xfId="1027" xr:uid="{1FC493DC-761D-4DB7-9B9E-BAA796477450}"/>
    <cellStyle name="40% - 强调文字颜色 5 2 4 2" xfId="1028" xr:uid="{DAC7C340-6C43-428A-BE3F-23C1B18C41EB}"/>
    <cellStyle name="40% - 强调文字颜色 5 2 4 2 2" xfId="1029" xr:uid="{F4F818D8-C1D3-495B-897F-FD6CAD326B7B}"/>
    <cellStyle name="40% - 强调文字颜色 5 2 4 2 3" xfId="1030" xr:uid="{2B66B75D-31B2-43AE-ACF6-3A35D72244B4}"/>
    <cellStyle name="40% - 强调文字颜色 5 2 4 2 4" xfId="1031" xr:uid="{44D61480-6BF9-434D-BDB4-6B11710BFB44}"/>
    <cellStyle name="40% - 强调文字颜色 5 2 4 2 5" xfId="1032" xr:uid="{D5F7285F-E686-47AC-AA63-6310B1EB5625}"/>
    <cellStyle name="40% - 强调文字颜色 5 2 4 2 6" xfId="1033" xr:uid="{AF7D7C7C-5331-4951-9A43-FA63293C29F6}"/>
    <cellStyle name="40% - 强调文字颜色 5 2 4 3" xfId="1034" xr:uid="{08C96AB9-6ADB-4898-8193-87266258DB05}"/>
    <cellStyle name="40% - 强调文字颜色 5 2 4 4" xfId="1035" xr:uid="{A01C0E5D-E3EE-4641-9C93-A14DCA12825D}"/>
    <cellStyle name="40% - 强调文字颜色 5 2 4 5" xfId="1036" xr:uid="{34F32608-DE5B-4D76-9330-3ADB98C64B58}"/>
    <cellStyle name="40% - 强调文字颜色 5 2 4 6" xfId="1037" xr:uid="{DB09E711-8D2C-46F3-83DC-FACEE9922721}"/>
    <cellStyle name="40% - 强调文字颜色 5 2 4 7" xfId="1038" xr:uid="{5724144E-DAB6-46A5-8944-591D70A24671}"/>
    <cellStyle name="40% - 强调文字颜色 5 2 5" xfId="1039" xr:uid="{1D20497A-E6CD-49B6-AE0D-886E3D72F130}"/>
    <cellStyle name="40% - 强调文字颜色 5 2 5 2" xfId="1040" xr:uid="{EF577EF3-74E7-46BA-A66D-DBC80F7E47D5}"/>
    <cellStyle name="40% - 强调文字颜色 5 2 5 3" xfId="1041" xr:uid="{CA0D90EB-47F8-4010-AD95-E5A68992AFA4}"/>
    <cellStyle name="40% - 强调文字颜色 5 2 5 4" xfId="1042" xr:uid="{DFA7F796-4D2E-47E7-A3EB-46690AACFC3F}"/>
    <cellStyle name="40% - 强调文字颜色 5 2 5 5" xfId="1043" xr:uid="{BDE92FD1-DDA3-44A8-8003-29D0F6DDD10B}"/>
    <cellStyle name="40% - 强调文字颜色 5 2 5 6" xfId="1044" xr:uid="{219DA367-E6E1-41D3-8269-0996EAE14DFB}"/>
    <cellStyle name="40% - 强调文字颜色 5 2 6" xfId="1045" xr:uid="{36148685-2300-42BB-9622-716E53BDD820}"/>
    <cellStyle name="40% - 强调文字颜色 5 2 7" xfId="1046" xr:uid="{C5F06026-B49A-40DF-A173-7D6ACEA35C7A}"/>
    <cellStyle name="40% - 强调文字颜色 5 2 8" xfId="1047" xr:uid="{5FC1E35C-1494-4F14-B94A-4DB2F0681D6F}"/>
    <cellStyle name="40% - 强调文字颜色 5 2 9" xfId="1048" xr:uid="{B848DF9B-0D7C-4A9A-8F53-2BF157595C95}"/>
    <cellStyle name="40% - 强调文字颜色 5 3" xfId="1049" xr:uid="{D20117E0-F020-44AF-A77B-576837DC8EF5}"/>
    <cellStyle name="40% - 强调文字颜色 5 3 2" xfId="1050" xr:uid="{7775610A-E083-4613-93D9-DFE9946F1F36}"/>
    <cellStyle name="40% - 强调文字颜色 5 3 2 2" xfId="1051" xr:uid="{8B2414D6-8B91-4B8B-87F4-B8727AC9BD7A}"/>
    <cellStyle name="40% - 强调文字颜色 5 3 2 3" xfId="1052" xr:uid="{DE3CC667-D2B6-4195-B5AF-B8266A43F38D}"/>
    <cellStyle name="40% - 强调文字颜色 5 3 2 4" xfId="1053" xr:uid="{C8F02655-DC1C-4680-906D-EF712DA10EDF}"/>
    <cellStyle name="40% - 强调文字颜色 5 3 2 5" xfId="1054" xr:uid="{CCB3C35A-E9A4-4433-9C6A-1B6BCE6C9DB7}"/>
    <cellStyle name="40% - 强调文字颜色 5 3 2 6" xfId="1055" xr:uid="{1728633B-58D1-41A9-9314-A7538488464B}"/>
    <cellStyle name="40% - 强调文字颜色 5 3 3" xfId="1056" xr:uid="{4256A27B-9E9E-40E9-B851-29349DF3FF71}"/>
    <cellStyle name="40% - 强调文字颜色 5 3 4" xfId="1057" xr:uid="{15B5BB18-178E-4C75-9389-CE0DE320A68D}"/>
    <cellStyle name="40% - 强调文字颜色 5 3 5" xfId="1058" xr:uid="{FC06F264-F770-41E1-9FBC-964A30195C34}"/>
    <cellStyle name="40% - 强调文字颜色 5 3 6" xfId="1059" xr:uid="{A52A0E18-D264-4757-8887-2CCD60B79588}"/>
    <cellStyle name="40% - 强调文字颜色 5 3 7" xfId="1060" xr:uid="{C67CB3C7-8FE1-4BDF-BE8E-BAED7633F159}"/>
    <cellStyle name="40% - 强调文字颜色 5 4" xfId="1061" xr:uid="{AA0BA3FA-2791-4D64-929D-B43FCE6E81E9}"/>
    <cellStyle name="40% - 强调文字颜色 5 4 2" xfId="1062" xr:uid="{7DEA7D30-FF00-4E91-A91B-8B5EEF24C3CF}"/>
    <cellStyle name="40% - 强调文字颜色 5 4 2 2" xfId="1063" xr:uid="{1638A7BA-0EF8-4B70-951D-36B2C3CE84BD}"/>
    <cellStyle name="40% - 强调文字颜色 5 4 2 3" xfId="1064" xr:uid="{FBFF1349-4E37-4B1D-916B-B7E3B50A26CA}"/>
    <cellStyle name="40% - 强调文字颜色 5 4 2 4" xfId="1065" xr:uid="{FE9BD632-D6BC-45C2-AA63-552B2989F06C}"/>
    <cellStyle name="40% - 强调文字颜色 5 4 2 5" xfId="1066" xr:uid="{4F91E835-F3B0-4F17-AF80-DF310A7C992B}"/>
    <cellStyle name="40% - 强调文字颜色 5 4 2 6" xfId="1067" xr:uid="{9C20325F-EB44-4D06-A254-0B897F13BF6E}"/>
    <cellStyle name="40% - 强调文字颜色 5 4 3" xfId="1068" xr:uid="{28003BDF-C694-418F-B4C8-8F12DF4054D1}"/>
    <cellStyle name="40% - 强调文字颜色 5 4 4" xfId="1069" xr:uid="{03FF3D2C-1644-498C-A8DD-3D8065CA8979}"/>
    <cellStyle name="40% - 强调文字颜色 5 4 5" xfId="1070" xr:uid="{DD546583-4903-4C1F-86CB-9856567DEA51}"/>
    <cellStyle name="40% - 强调文字颜色 5 4 6" xfId="1071" xr:uid="{5018CB48-F23F-4F0C-843C-E229E3055B53}"/>
    <cellStyle name="40% - 强调文字颜色 5 4 7" xfId="1072" xr:uid="{18E9785A-5F11-4454-87B8-D5C0D0B9E1E8}"/>
    <cellStyle name="40% - 强调文字颜色 5 5" xfId="1073" xr:uid="{3716B38D-170F-41F8-8E0E-F6C6A7E33C42}"/>
    <cellStyle name="40% - 强调文字颜色 5 5 2" xfId="1074" xr:uid="{8558EA30-0BC9-4D94-BEC0-BDF042C95B63}"/>
    <cellStyle name="40% - 强调文字颜色 5 5 2 2" xfId="1075" xr:uid="{53E1E1F1-D6A6-4444-9478-71280F3AB252}"/>
    <cellStyle name="40% - 强调文字颜色 5 5 2 3" xfId="1076" xr:uid="{ADE389AA-08BE-4DDF-9336-40A8C03281EA}"/>
    <cellStyle name="40% - 强调文字颜色 5 5 2 4" xfId="1077" xr:uid="{A1AE0478-9D8D-4C60-B7FB-09D923BB14CD}"/>
    <cellStyle name="40% - 强调文字颜色 5 5 2 5" xfId="1078" xr:uid="{BD85BF6F-47AE-4DD4-850D-04CBE67D7186}"/>
    <cellStyle name="40% - 强调文字颜色 5 5 2 6" xfId="1079" xr:uid="{3B416EC0-9C63-4EA8-9E27-74C418B61EBD}"/>
    <cellStyle name="40% - 强调文字颜色 5 5 3" xfId="1080" xr:uid="{11DA776A-A752-411E-A63C-77FA91D09676}"/>
    <cellStyle name="40% - 强调文字颜色 5 5 4" xfId="1081" xr:uid="{A385A59D-A873-4361-B8E6-3C094D551CBA}"/>
    <cellStyle name="40% - 强调文字颜色 5 5 5" xfId="1082" xr:uid="{E8728F70-E3B2-4F5E-814D-281332B52898}"/>
    <cellStyle name="40% - 强调文字颜色 5 5 6" xfId="1083" xr:uid="{FAA1927B-2382-4200-8D28-C6B5AEDBC29F}"/>
    <cellStyle name="40% - 强调文字颜色 5 5 7" xfId="1084" xr:uid="{C6201E6F-844D-47D3-B7AE-525596983A5B}"/>
    <cellStyle name="40% - 强调文字颜色 5 6" xfId="1085" xr:uid="{60CF432E-FF60-48FA-A1CB-B6E8CB6ED10D}"/>
    <cellStyle name="40% - 强调文字颜色 5 7" xfId="1086" xr:uid="{9B70F292-7F11-48D4-AC3C-78BA5BFEAE19}"/>
    <cellStyle name="40% - 强调文字颜色 5 7 2" xfId="1087" xr:uid="{6FF96D79-B4DC-48F6-8A92-F7FAD94DEE2E}"/>
    <cellStyle name="40% - 强调文字颜色 5 7 3" xfId="1088" xr:uid="{5D630264-CC75-40A3-96AC-BF07A96AC6EB}"/>
    <cellStyle name="40% - 强调文字颜色 5 7 4" xfId="1089" xr:uid="{25C0F0F8-1157-4CEE-8D0B-80BBDAA16B7B}"/>
    <cellStyle name="40% - 强调文字颜色 5 7 5" xfId="1090" xr:uid="{810DEC5D-4447-4CA9-ADDC-0BE11F746380}"/>
    <cellStyle name="40% - 强调文字颜色 5 7 6" xfId="1091" xr:uid="{0C49027D-D503-4429-95A2-C204E2C11ECE}"/>
    <cellStyle name="40% - 强调文字颜色 5 8" xfId="1092" xr:uid="{1BB47B08-2E9C-40A6-A266-CA224615B997}"/>
    <cellStyle name="40% - 强调文字颜色 5 9" xfId="1093" xr:uid="{0573912C-CE75-415F-8C39-69D16F9D7A44}"/>
    <cellStyle name="40% - 强调文字颜色 6 10" xfId="1094" xr:uid="{C38C7E68-F988-480B-826C-81EA28CE5D08}"/>
    <cellStyle name="40% - 强调文字颜色 6 11" xfId="1095" xr:uid="{FFDDB420-91CF-4D0E-A0F1-B19213243DE4}"/>
    <cellStyle name="40% - 强调文字颜色 6 12" xfId="1096" xr:uid="{38CEDD0F-7341-43EE-8EBC-A1240105C8BA}"/>
    <cellStyle name="40% - 强调文字颜色 6 13" xfId="32853" xr:uid="{93840CC6-0F52-426A-B45D-5A096FB3319F}"/>
    <cellStyle name="40% - 强调文字颜色 6 2" xfId="1097" xr:uid="{0CA49239-0430-4534-9F22-E74369EDBB25}"/>
    <cellStyle name="40% - 强调文字颜色 6 2 10" xfId="1098" xr:uid="{9CBD2B68-26B9-4A3B-B392-D961D50C6F27}"/>
    <cellStyle name="40% - 强调文字颜色 6 2 2" xfId="1099" xr:uid="{67EFEDBB-0C44-492C-ABD7-B516B9318FBD}"/>
    <cellStyle name="40% - 强调文字颜色 6 2 2 2" xfId="1100" xr:uid="{F92B7B7E-749E-485A-AA74-FD26A3BA700F}"/>
    <cellStyle name="40% - 强调文字颜色 6 2 2 2 2" xfId="1101" xr:uid="{6205DD2D-EC46-4A53-B9F5-77E1F13570B1}"/>
    <cellStyle name="40% - 强调文字颜色 6 2 2 2 3" xfId="1102" xr:uid="{B3B63193-C6A8-43A4-80DB-0C5B0593BEF6}"/>
    <cellStyle name="40% - 强调文字颜色 6 2 2 2 4" xfId="1103" xr:uid="{BC0F545A-3114-4452-856A-2D238A7E4519}"/>
    <cellStyle name="40% - 强调文字颜色 6 2 2 2 5" xfId="1104" xr:uid="{BD42FE9D-B9D2-433E-AD89-53E3FC1B289E}"/>
    <cellStyle name="40% - 强调文字颜色 6 2 2 2 6" xfId="1105" xr:uid="{309F0EAD-B041-4285-8D9C-44C8687B7514}"/>
    <cellStyle name="40% - 强调文字颜色 6 2 2 3" xfId="1106" xr:uid="{675241AE-F285-4C94-9E9E-3EEEE6808680}"/>
    <cellStyle name="40% - 强调文字颜色 6 2 2 4" xfId="1107" xr:uid="{11F4C930-3FFC-4FCE-B26C-1689BA4E37F4}"/>
    <cellStyle name="40% - 强调文字颜色 6 2 2 5" xfId="1108" xr:uid="{108E29F1-91C6-44E5-96D5-372FC164DA86}"/>
    <cellStyle name="40% - 强调文字颜色 6 2 2 6" xfId="1109" xr:uid="{553D9C29-BFF5-4285-B003-5AC1810F20A8}"/>
    <cellStyle name="40% - 强调文字颜色 6 2 2 7" xfId="1110" xr:uid="{80F9D391-622F-432C-AFCA-4ED5E4AC3E99}"/>
    <cellStyle name="40% - 强调文字颜色 6 2 3" xfId="1111" xr:uid="{1583ADF3-1644-4899-B9EF-7D8CF1168C90}"/>
    <cellStyle name="40% - 强调文字颜色 6 2 3 2" xfId="1112" xr:uid="{94EC8A29-FE84-4579-8C60-7FD92E0F2449}"/>
    <cellStyle name="40% - 强调文字颜色 6 2 3 2 2" xfId="1113" xr:uid="{31DD005E-E951-453C-8162-215D99955CB5}"/>
    <cellStyle name="40% - 强调文字颜色 6 2 3 2 3" xfId="1114" xr:uid="{63D5EC87-5BD8-42DA-BE4B-7F7D3600045B}"/>
    <cellStyle name="40% - 强调文字颜色 6 2 3 2 4" xfId="1115" xr:uid="{B0DE4B17-8AB2-4F52-9E88-434D1BCA2491}"/>
    <cellStyle name="40% - 强调文字颜色 6 2 3 2 5" xfId="1116" xr:uid="{F17DFFA2-9A03-469C-8557-0E03CA0AD8E7}"/>
    <cellStyle name="40% - 强调文字颜色 6 2 3 2 6" xfId="1117" xr:uid="{58BD7102-6ABD-46EA-8B8D-4E662AAC4957}"/>
    <cellStyle name="40% - 强调文字颜色 6 2 3 3" xfId="1118" xr:uid="{983DCBDB-4111-4DD8-8B1D-21A6383F2920}"/>
    <cellStyle name="40% - 强调文字颜色 6 2 3 4" xfId="1119" xr:uid="{115C8447-8887-4CC0-BECD-9E74038C6BC6}"/>
    <cellStyle name="40% - 强调文字颜色 6 2 3 5" xfId="1120" xr:uid="{BF573350-42C4-4511-9CA0-DE1DF6FBE4D7}"/>
    <cellStyle name="40% - 强调文字颜色 6 2 3 6" xfId="1121" xr:uid="{C0C46E56-6AFE-49B9-BF4D-EDBBBA34BA67}"/>
    <cellStyle name="40% - 强调文字颜色 6 2 3 7" xfId="1122" xr:uid="{0336A15D-C6B4-44E8-AAC1-79F0F3C26FAC}"/>
    <cellStyle name="40% - 强调文字颜色 6 2 4" xfId="1123" xr:uid="{FD3A4521-5731-4737-B4BB-A30D838019F8}"/>
    <cellStyle name="40% - 强调文字颜色 6 2 4 2" xfId="1124" xr:uid="{F1235D00-8C29-466E-994F-8572D42C963D}"/>
    <cellStyle name="40% - 强调文字颜色 6 2 4 2 2" xfId="1125" xr:uid="{80644913-A336-4CD0-AF4D-FEF55E0459BA}"/>
    <cellStyle name="40% - 强调文字颜色 6 2 4 2 3" xfId="1126" xr:uid="{CE8C9337-4BFA-4F0F-ACD6-71113F385C86}"/>
    <cellStyle name="40% - 强调文字颜色 6 2 4 2 4" xfId="1127" xr:uid="{CE9CA843-362C-4864-965E-1BB146D739E2}"/>
    <cellStyle name="40% - 强调文字颜色 6 2 4 2 5" xfId="1128" xr:uid="{105A3324-BC7A-418F-9BE0-C192F9941A58}"/>
    <cellStyle name="40% - 强调文字颜色 6 2 4 2 6" xfId="1129" xr:uid="{425778E2-C887-44BC-B689-389355F1006C}"/>
    <cellStyle name="40% - 强调文字颜色 6 2 4 3" xfId="1130" xr:uid="{BC7D5782-EE3B-46C3-99B3-847C8325E38A}"/>
    <cellStyle name="40% - 强调文字颜色 6 2 4 4" xfId="1131" xr:uid="{3E8A298C-74C5-4954-9622-EB4987E8D23A}"/>
    <cellStyle name="40% - 强调文字颜色 6 2 4 5" xfId="1132" xr:uid="{0A153B93-D265-4274-8C17-78B1F76B8448}"/>
    <cellStyle name="40% - 强调文字颜色 6 2 4 6" xfId="1133" xr:uid="{061C6D60-0CE7-4698-874B-BE1C490052F2}"/>
    <cellStyle name="40% - 强调文字颜色 6 2 4 7" xfId="1134" xr:uid="{AD7E24B6-3488-439C-A595-0153AA6C00F7}"/>
    <cellStyle name="40% - 强调文字颜色 6 2 5" xfId="1135" xr:uid="{16BF5D3D-86FD-48C5-A15A-96C388E0DAD9}"/>
    <cellStyle name="40% - 强调文字颜色 6 2 5 2" xfId="1136" xr:uid="{A5B3DB3A-395F-498D-A888-98FF7ED24075}"/>
    <cellStyle name="40% - 强调文字颜色 6 2 5 3" xfId="1137" xr:uid="{F9261F84-71E5-493A-94A5-34ABAAB8DBF6}"/>
    <cellStyle name="40% - 强调文字颜色 6 2 5 4" xfId="1138" xr:uid="{906ECA9B-41DF-4D90-B105-68CEBD03937D}"/>
    <cellStyle name="40% - 强调文字颜色 6 2 5 5" xfId="1139" xr:uid="{200F3D11-32C4-4E81-81D1-4890A2C21E57}"/>
    <cellStyle name="40% - 强调文字颜色 6 2 5 6" xfId="1140" xr:uid="{CC99D0FB-FBBC-4BDF-BF6E-4045EE4743AE}"/>
    <cellStyle name="40% - 强调文字颜色 6 2 6" xfId="1141" xr:uid="{4753F9DD-975B-43B9-817A-61638470FC25}"/>
    <cellStyle name="40% - 强调文字颜色 6 2 7" xfId="1142" xr:uid="{D9468D32-9489-4A25-956F-9556618863B2}"/>
    <cellStyle name="40% - 强调文字颜色 6 2 8" xfId="1143" xr:uid="{4AD25AE7-F51B-4A31-86B5-BEAA5E3C7D53}"/>
    <cellStyle name="40% - 强调文字颜色 6 2 9" xfId="1144" xr:uid="{3DA69F8F-767F-46FC-BAF8-716F8100DB8C}"/>
    <cellStyle name="40% - 强调文字颜色 6 3" xfId="1145" xr:uid="{1CB6C4AA-6B86-42E5-91E2-A0E740A4B10F}"/>
    <cellStyle name="40% - 强调文字颜色 6 3 2" xfId="1146" xr:uid="{7EC9DDC1-36EE-4E99-A316-D0288E62AA16}"/>
    <cellStyle name="40% - 强调文字颜色 6 3 2 2" xfId="1147" xr:uid="{A83A83C2-D3A9-4AC9-8C34-9003920349B4}"/>
    <cellStyle name="40% - 强调文字颜色 6 3 2 3" xfId="1148" xr:uid="{EBC252CF-694D-42A6-AF95-C6338E44E883}"/>
    <cellStyle name="40% - 强调文字颜色 6 3 2 4" xfId="1149" xr:uid="{1F47E037-8B49-4D20-BA80-DBF198EA504A}"/>
    <cellStyle name="40% - 强调文字颜色 6 3 2 5" xfId="1150" xr:uid="{C36A2E94-4904-4601-A9CE-3C4F044C3D11}"/>
    <cellStyle name="40% - 强调文字颜色 6 3 2 6" xfId="1151" xr:uid="{CC800116-73EC-416F-B9C5-65BB848868EC}"/>
    <cellStyle name="40% - 强调文字颜色 6 3 3" xfId="1152" xr:uid="{35089048-8D12-4328-8F9B-E7C2DC13C688}"/>
    <cellStyle name="40% - 强调文字颜色 6 3 4" xfId="1153" xr:uid="{421D102D-D515-4347-B034-F63421DBAAD0}"/>
    <cellStyle name="40% - 强调文字颜色 6 3 5" xfId="1154" xr:uid="{F29FEF1F-B6B6-4D97-BCAC-B56EA9D4AFB1}"/>
    <cellStyle name="40% - 强调文字颜色 6 3 6" xfId="1155" xr:uid="{FD2F22CB-3A7A-4A95-BB60-20AFCB668323}"/>
    <cellStyle name="40% - 强调文字颜色 6 3 7" xfId="1156" xr:uid="{31156223-58B9-4056-898F-377B635D92D9}"/>
    <cellStyle name="40% - 强调文字颜色 6 4" xfId="1157" xr:uid="{EDA00F08-BCBC-4CB8-B624-9D69AD422B5F}"/>
    <cellStyle name="40% - 强调文字颜色 6 4 2" xfId="1158" xr:uid="{DC11A5BF-BB16-4E01-9D71-2DCA0085B996}"/>
    <cellStyle name="40% - 强调文字颜色 6 4 2 2" xfId="1159" xr:uid="{F72B2710-4C64-4BA6-9E03-4B68E597A723}"/>
    <cellStyle name="40% - 强调文字颜色 6 4 2 3" xfId="1160" xr:uid="{9721789D-9062-4F5B-A1BF-818F75BCAC23}"/>
    <cellStyle name="40% - 强调文字颜色 6 4 2 4" xfId="1161" xr:uid="{8AD3E7F9-C314-4C60-ADD9-A6FBFB33DB42}"/>
    <cellStyle name="40% - 强调文字颜色 6 4 2 5" xfId="1162" xr:uid="{A4FDCE8C-CA79-4BEB-81DB-0031F07AE70A}"/>
    <cellStyle name="40% - 强调文字颜色 6 4 2 6" xfId="1163" xr:uid="{C3CD44E2-9724-43D4-A977-772FF85096F9}"/>
    <cellStyle name="40% - 强调文字颜色 6 4 3" xfId="1164" xr:uid="{97C4A869-26FE-47C8-BA5C-1B9C37E491E0}"/>
    <cellStyle name="40% - 强调文字颜色 6 4 4" xfId="1165" xr:uid="{9B864465-5049-4582-B7C8-BF11E8E937A5}"/>
    <cellStyle name="40% - 强调文字颜色 6 4 5" xfId="1166" xr:uid="{56DFC304-F669-4157-9244-50B08F482752}"/>
    <cellStyle name="40% - 强调文字颜色 6 4 6" xfId="1167" xr:uid="{552E7236-3739-4E2D-AC96-9E7F3E62C69C}"/>
    <cellStyle name="40% - 强调文字颜色 6 4 7" xfId="1168" xr:uid="{B7696A04-09C2-4A09-921E-D252EFBBA8EC}"/>
    <cellStyle name="40% - 强调文字颜色 6 5" xfId="1169" xr:uid="{E87DD30F-2911-4D3D-B6B5-0A6F635F23E1}"/>
    <cellStyle name="40% - 强调文字颜色 6 5 2" xfId="1170" xr:uid="{854BD657-5A46-49AE-9CF8-482AB83D2A43}"/>
    <cellStyle name="40% - 强调文字颜色 6 5 2 2" xfId="1171" xr:uid="{E7D030D8-90C9-4B23-8853-5F64458A4A30}"/>
    <cellStyle name="40% - 强调文字颜色 6 5 2 3" xfId="1172" xr:uid="{FE4E94D7-E19B-459C-89E1-9A0C3BC95031}"/>
    <cellStyle name="40% - 强调文字颜色 6 5 2 4" xfId="1173" xr:uid="{C17D0997-8C44-478B-AE5B-D4895BD6C09B}"/>
    <cellStyle name="40% - 强调文字颜色 6 5 2 5" xfId="1174" xr:uid="{498BC030-5BDD-473D-8DA7-AF820D7EEB30}"/>
    <cellStyle name="40% - 强调文字颜色 6 5 2 6" xfId="1175" xr:uid="{9BE063B1-1CF5-453C-8EB0-E8432E449646}"/>
    <cellStyle name="40% - 强调文字颜色 6 5 3" xfId="1176" xr:uid="{C1B4C0D3-6A77-4D16-A485-F6570CA25B71}"/>
    <cellStyle name="40% - 强调文字颜色 6 5 4" xfId="1177" xr:uid="{2FA713FB-3C4F-41F4-89C8-159A2BC00D1C}"/>
    <cellStyle name="40% - 强调文字颜色 6 5 5" xfId="1178" xr:uid="{D61314DF-1699-43B8-BA90-58BFF1337672}"/>
    <cellStyle name="40% - 强调文字颜色 6 5 6" xfId="1179" xr:uid="{1DD4B0D5-E378-4196-B99F-889FDC5DCBAC}"/>
    <cellStyle name="40% - 强调文字颜色 6 5 7" xfId="1180" xr:uid="{156DEBE5-680B-4D2F-829B-2DCE3E23B385}"/>
    <cellStyle name="40% - 强调文字颜色 6 6" xfId="1181" xr:uid="{AD1A8553-9CC0-4FCE-9853-C4BD745F8A6C}"/>
    <cellStyle name="40% - 强调文字颜色 6 7" xfId="1182" xr:uid="{881062DA-6B3F-4A08-9523-5BFD2F7C56F2}"/>
    <cellStyle name="40% - 强调文字颜色 6 7 2" xfId="1183" xr:uid="{D395E2C4-FA39-4272-A8EB-374D9FE47109}"/>
    <cellStyle name="40% - 强调文字颜色 6 7 3" xfId="1184" xr:uid="{4B270BB0-5FA8-4FBF-9462-43A24E65B8FC}"/>
    <cellStyle name="40% - 强调文字颜色 6 7 4" xfId="1185" xr:uid="{91A80CE7-8153-4174-BD1E-CAC95ACCF53C}"/>
    <cellStyle name="40% - 强调文字颜色 6 7 5" xfId="1186" xr:uid="{FA955CB3-58C5-4D90-8330-387B83E5FBD3}"/>
    <cellStyle name="40% - 强调文字颜色 6 7 6" xfId="1187" xr:uid="{2AD639C6-5558-4D03-8086-A8416EA3F588}"/>
    <cellStyle name="40% - 强调文字颜色 6 8" xfId="1188" xr:uid="{46CCBFB7-7F04-4B9E-BF45-4E05CCE62D5D}"/>
    <cellStyle name="40% - 强调文字颜色 6 9" xfId="1189" xr:uid="{C4B2F4FD-5805-45A4-820A-CEAF23A819B6}"/>
    <cellStyle name="40% - 着色 1 2" xfId="1191" xr:uid="{069E0F3E-18D1-463C-AFEE-104A8A21A774}"/>
    <cellStyle name="40% - 着色 1 3" xfId="1192" xr:uid="{0FF27232-E457-419C-8914-7E2449331517}"/>
    <cellStyle name="40% - 着色 1 4" xfId="1190" xr:uid="{7D18F2C8-82A2-4785-8D35-3AED4EC4563B}"/>
    <cellStyle name="40% - 着色 2 2" xfId="1194" xr:uid="{3B69BC85-E5C8-428C-A921-B9A63563B321}"/>
    <cellStyle name="40% - 着色 2 3" xfId="1195" xr:uid="{F28F5544-4FF0-4C37-B4D7-F6AB45E2427F}"/>
    <cellStyle name="40% - 着色 2 4" xfId="1193" xr:uid="{1D8AAC43-9807-4004-876A-CC600FD94897}"/>
    <cellStyle name="40% - 着色 3 2" xfId="1197" xr:uid="{4D45B5D0-5C67-41BD-8B1E-622560157E95}"/>
    <cellStyle name="40% - 着色 3 3" xfId="1198" xr:uid="{61DE4D09-A816-4EB3-8A25-1451DB503E29}"/>
    <cellStyle name="40% - 着色 3 4" xfId="1196" xr:uid="{B3867481-355F-426A-A182-E5025D9759F5}"/>
    <cellStyle name="40% - 着色 4 2" xfId="1200" xr:uid="{0DEBB4D2-F958-4ECD-AC9A-0022FEC99B46}"/>
    <cellStyle name="40% - 着色 4 3" xfId="1201" xr:uid="{C0CFE931-0655-489F-A97E-1956C3C7BCE6}"/>
    <cellStyle name="40% - 着色 4 4" xfId="1199" xr:uid="{BB3B52B1-559E-4420-9E36-FF827166F7A1}"/>
    <cellStyle name="40% - 着色 5 2" xfId="1203" xr:uid="{2581D3D1-2A07-4DE6-8919-7432204AA25D}"/>
    <cellStyle name="40% - 着色 5 3" xfId="1204" xr:uid="{86029375-9C47-4923-BCF9-2B07A0EC749A}"/>
    <cellStyle name="40% - 着色 5 4" xfId="1202" xr:uid="{40C4ACAF-C35F-4ABE-A0FD-5A998057E914}"/>
    <cellStyle name="40% - 着色 6 2" xfId="1206" xr:uid="{EE4E19D0-7A07-4876-BF71-1B3BDAC7E7BF}"/>
    <cellStyle name="40% - 着色 6 3" xfId="1207" xr:uid="{324D2C7F-0AC5-4EB8-9414-D6D8B406645C}"/>
    <cellStyle name="40% - 着色 6 4" xfId="1205" xr:uid="{0077B61D-46AE-43E6-90EE-73DA5B4C0299}"/>
    <cellStyle name="60% - 强调文字颜色 1 2" xfId="1208" xr:uid="{BC253D58-15F7-4968-A213-91FE65FCA912}"/>
    <cellStyle name="60% - 强调文字颜色 1 3" xfId="32854" xr:uid="{F04009D4-9339-41CC-96F7-8DF90CC091AB}"/>
    <cellStyle name="60% - 强调文字颜色 2 2" xfId="1209" xr:uid="{7FB9280F-AD01-4243-AE1C-192844ADC43A}"/>
    <cellStyle name="60% - 强调文字颜色 2 3" xfId="32855" xr:uid="{429508D4-7E39-42D7-9E0D-583782F144ED}"/>
    <cellStyle name="60% - 强调文字颜色 3 2" xfId="1210" xr:uid="{ADB9A741-855F-4164-8790-A4CE57EA3C00}"/>
    <cellStyle name="60% - 强调文字颜色 3 3" xfId="32856" xr:uid="{99F6C55C-6863-4148-8338-8D39F40057F4}"/>
    <cellStyle name="60% - 强调文字颜色 4 2" xfId="1211" xr:uid="{3D8EDDF0-A702-4B10-A5A1-99D5D1EED89B}"/>
    <cellStyle name="60% - 强调文字颜色 4 3" xfId="32857" xr:uid="{935EC6F2-6094-4F64-97D9-F6E00E4678C5}"/>
    <cellStyle name="60% - 强调文字颜色 5 2" xfId="1212" xr:uid="{7E5BAA76-A4D3-41A5-9B67-412078F0908C}"/>
    <cellStyle name="60% - 强调文字颜色 5 3" xfId="32858" xr:uid="{7ABB4F16-787F-4B9F-938A-63C1F5C7F117}"/>
    <cellStyle name="60% - 强调文字颜色 6 2" xfId="1213" xr:uid="{B13F7F9D-CD3F-4D33-AAAB-E975570FEDAC}"/>
    <cellStyle name="60% - 强调文字颜色 6 3" xfId="32859" xr:uid="{0384327D-60C0-44EA-93F5-62280D48C4B5}"/>
    <cellStyle name="60% - 着色 1 2" xfId="1215" xr:uid="{1CAC28B2-2BFD-438F-8A42-7EEC3880AE4A}"/>
    <cellStyle name="60% - 着色 1 3" xfId="1216" xr:uid="{2910E15B-A8FF-4006-ABDF-FF3A1B233867}"/>
    <cellStyle name="60% - 着色 1 4" xfId="1214" xr:uid="{D0A6ABDA-87A5-4C80-A741-55AFAE9FD2FF}"/>
    <cellStyle name="60% - 着色 2 2" xfId="1218" xr:uid="{B7831200-E48A-40F3-B4AA-60957F896495}"/>
    <cellStyle name="60% - 着色 2 3" xfId="1219" xr:uid="{EDA7F08E-0D78-4A26-9E61-4EFAE83CB75F}"/>
    <cellStyle name="60% - 着色 2 4" xfId="1217" xr:uid="{3AFF4431-A561-4C8B-829B-557C8223B3C9}"/>
    <cellStyle name="60% - 着色 3 2" xfId="1221" xr:uid="{18C0A7B1-F4D1-4ECA-A6B8-29D04EEB8B06}"/>
    <cellStyle name="60% - 着色 3 3" xfId="1222" xr:uid="{D7C29B84-96BF-4A90-9ADE-B46553AA8663}"/>
    <cellStyle name="60% - 着色 3 4" xfId="1220" xr:uid="{C3592609-8A22-4441-8DF3-F8F305B9F448}"/>
    <cellStyle name="60% - 着色 4 2" xfId="1224" xr:uid="{CA6623FA-F9F7-4F37-B8F1-62B018317A26}"/>
    <cellStyle name="60% - 着色 4 3" xfId="1225" xr:uid="{DCC11F41-888E-4C53-BAD8-DFFF0B148E39}"/>
    <cellStyle name="60% - 着色 4 4" xfId="1223" xr:uid="{F7614163-C9FA-40B9-98CA-9291502631C2}"/>
    <cellStyle name="60% - 着色 5 2" xfId="1227" xr:uid="{8B5B4150-8974-4509-8B26-E59089AAC06C}"/>
    <cellStyle name="60% - 着色 5 3" xfId="1228" xr:uid="{112FF775-5896-44A8-82C5-3B8608AA1E52}"/>
    <cellStyle name="60% - 着色 5 4" xfId="1226" xr:uid="{DE9395AC-1A7E-4D5B-A9B6-0A003E91C1FF}"/>
    <cellStyle name="60% - 着色 6 2" xfId="1230" xr:uid="{7D3BD494-B2F7-4D54-8CAE-42513C24F74C}"/>
    <cellStyle name="60% - 着色 6 3" xfId="1231" xr:uid="{EA21CDE4-3E65-4D2C-A6A6-51935621CE74}"/>
    <cellStyle name="60% - 着色 6 4" xfId="1229" xr:uid="{03CBAF35-BE69-4BF9-A7F8-420FED276AD6}"/>
    <cellStyle name="Check value" xfId="1232" xr:uid="{45CE837B-6857-484E-8BF1-C9BEE3A1256D}"/>
    <cellStyle name="Currency_Sheet1" xfId="1233" xr:uid="{A36B5444-AB80-4425-8D79-31B5679602BA}"/>
    <cellStyle name="gcd" xfId="1234" xr:uid="{905406E6-0300-453F-BF59-4DA392D400F7}"/>
    <cellStyle name="gcd 2" xfId="1235" xr:uid="{247C45F8-6B1C-4FAB-8CEA-CBD42FB834B2}"/>
    <cellStyle name="gcd 2 2" xfId="1236" xr:uid="{DF85580A-6E77-4B87-A8B5-14E4FE9189BC}"/>
    <cellStyle name="Normal" xfId="1237" xr:uid="{C1A0935B-0051-4F70-BE59-5D23D333DF9B}"/>
    <cellStyle name="Normal 2" xfId="1238" xr:uid="{0C4C8CED-4B70-411E-98E3-B7AEAFCE0DDC}"/>
    <cellStyle name="Normal 2 10" xfId="1239" xr:uid="{248FA1D8-88B5-455A-A1C6-E855D475F20F}"/>
    <cellStyle name="Normal 2 11" xfId="1240" xr:uid="{13E81FEF-45F3-4DAB-804B-76CEF6666893}"/>
    <cellStyle name="Normal 2 11 2" xfId="32860" xr:uid="{D48DCFAD-00BB-45CC-B01A-17E872268E80}"/>
    <cellStyle name="Normal 2 12" xfId="1241" xr:uid="{EC322912-F465-4066-9840-CA6057012741}"/>
    <cellStyle name="Normal 2 13" xfId="1242" xr:uid="{3A3C658E-430F-40C3-ACFB-156C45E9F883}"/>
    <cellStyle name="Normal 2 14" xfId="1243" xr:uid="{80780D37-B876-4E8B-AA4A-019086A29C41}"/>
    <cellStyle name="Normal 2 15" xfId="32861" xr:uid="{D4870E25-50BA-4F0E-B448-ECF19389B302}"/>
    <cellStyle name="Normal 2 2" xfId="1244" xr:uid="{763F4D62-8120-4EBB-A16F-8F6170439F86}"/>
    <cellStyle name="Normal 2 2 10" xfId="1245" xr:uid="{71CE66D2-06E7-4533-8BAD-3DBBF21FFF16}"/>
    <cellStyle name="Normal 2 2 11" xfId="32862" xr:uid="{5C991E3E-435C-4E50-8218-6F109EC10D71}"/>
    <cellStyle name="Normal 2 2 2" xfId="1246" xr:uid="{61928F7E-512E-4FC7-8C73-D4640C81D6F1}"/>
    <cellStyle name="Normal 2 2 2 2" xfId="1247" xr:uid="{AE564214-FFB2-4EB5-86BA-4DB24DE7FFE1}"/>
    <cellStyle name="Normal 2 2 2 2 2" xfId="1248" xr:uid="{18527E4A-606E-4AC3-B1DB-660B048CD667}"/>
    <cellStyle name="Normal 2 2 2 2 2 2" xfId="1249" xr:uid="{0A40192A-6404-4EAD-AA08-8AA11C955798}"/>
    <cellStyle name="Normal 2 2 2 2 2 2 2" xfId="1250" xr:uid="{2AFA0A21-0618-4F38-9688-A812A937C31D}"/>
    <cellStyle name="Normal 2 2 2 2 2 3" xfId="1251" xr:uid="{F085D12D-C2C3-4791-B78F-3AF3B90521B0}"/>
    <cellStyle name="Normal 2 2 2 2 2 4" xfId="1252" xr:uid="{51A8D9D7-2EF0-4329-B2E4-2A8C705FFB6D}"/>
    <cellStyle name="Normal 2 2 2 2 2 4 2" xfId="32863" xr:uid="{F4EFD544-9A8B-43F6-91A3-A98FFE10739C}"/>
    <cellStyle name="Normal 2 2 2 2 3" xfId="1253" xr:uid="{B30A9005-0662-44CA-A5C4-EA7441832C7E}"/>
    <cellStyle name="Normal 2 2 2 2 3 2" xfId="1254" xr:uid="{C998C5D6-49B8-4FF6-A834-F5ED58EE45E2}"/>
    <cellStyle name="Normal 2 2 2 2 4" xfId="1255" xr:uid="{13BF2748-C2E4-4D09-8373-08CC50000733}"/>
    <cellStyle name="Normal 2 2 2 2 5" xfId="1256" xr:uid="{8EC6C9DC-ED04-4BFF-84A5-C6E7EE54B2DE}"/>
    <cellStyle name="Normal 2 2 2 2 5 2" xfId="32864" xr:uid="{5AEFB0D9-A5A6-4664-B189-98C8F9ED07DF}"/>
    <cellStyle name="Normal 2 2 2 2 6" xfId="1257" xr:uid="{E9CEE614-33C3-4912-890B-2F785A0EB0E8}"/>
    <cellStyle name="Normal 2 2 2 3" xfId="1258" xr:uid="{5BF322E4-0010-435D-AABE-ACE9BAF857A4}"/>
    <cellStyle name="Normal 2 2 2 3 2" xfId="1259" xr:uid="{2F367280-7BCA-48F1-BE2A-669B66123E93}"/>
    <cellStyle name="Normal 2 2 2 3 2 2" xfId="1260" xr:uid="{CED7E756-A958-4A71-B071-FEC19A20ABD1}"/>
    <cellStyle name="Normal 2 2 2 3 3" xfId="1261" xr:uid="{7A1D0BBC-28F2-4D48-B9F8-7EBCF3F0D549}"/>
    <cellStyle name="Normal 2 2 2 3 4" xfId="1262" xr:uid="{FC8AF92C-D5F4-4E55-BD27-9F00B45F277E}"/>
    <cellStyle name="Normal 2 2 2 3 4 2" xfId="32865" xr:uid="{805C3B5A-229E-4EB0-B369-765E3796C11C}"/>
    <cellStyle name="Normal 2 2 2 3 5" xfId="1263" xr:uid="{CAD8EB0F-E380-44A0-951E-A11D2DA3A9D4}"/>
    <cellStyle name="Normal 2 2 2 4" xfId="1264" xr:uid="{3BE883B0-B9C7-41FC-9A47-00950A467AFA}"/>
    <cellStyle name="Normal 2 2 2 4 2" xfId="1265" xr:uid="{4B409CB3-8C26-4A50-95F5-6836208F398E}"/>
    <cellStyle name="Normal 2 2 2 4 3" xfId="1266" xr:uid="{A5644641-16E4-4DE6-83C7-F3A99765C6EB}"/>
    <cellStyle name="Normal 2 2 2 5" xfId="1267" xr:uid="{C6418ED0-4BEF-443D-AE7C-BF6D3A1C8194}"/>
    <cellStyle name="Normal 2 2 2 6" xfId="1268" xr:uid="{F339A688-C309-4FA6-BC3D-2D676046B4D8}"/>
    <cellStyle name="Normal 2 2 2 6 2" xfId="32866" xr:uid="{DA476424-D075-4B64-BECE-20056011C00B}"/>
    <cellStyle name="Normal 2 2 2 7" xfId="1269" xr:uid="{B016CB16-3D1C-40B9-94B9-697AA55988EC}"/>
    <cellStyle name="Normal 2 2 2 8" xfId="32867" xr:uid="{9456AF53-C878-4DE0-A8CD-DA26F0428CF1}"/>
    <cellStyle name="Normal 2 2 3" xfId="1270" xr:uid="{2278C963-95FF-449D-BA4D-643B67657ECE}"/>
    <cellStyle name="Normal 2 2 3 2" xfId="1271" xr:uid="{AE51892D-4586-4B21-B0EE-170163AF9AAE}"/>
    <cellStyle name="Normal 2 2 3 2 2" xfId="1272" xr:uid="{FD35263D-890E-41A6-9615-21E7010488F8}"/>
    <cellStyle name="Normal 2 2 3 2 2 2" xfId="1273" xr:uid="{0BA43775-2181-4564-B2BE-B4A1D0B69D84}"/>
    <cellStyle name="Normal 2 2 3 2 3" xfId="1274" xr:uid="{275D6557-DC32-434F-A2A0-7D78EF753B4E}"/>
    <cellStyle name="Normal 2 2 3 2 4" xfId="1275" xr:uid="{0CEB8D55-42DC-46D6-9587-EEAA7E0D80B5}"/>
    <cellStyle name="Normal 2 2 3 2 4 2" xfId="32868" xr:uid="{9637F1B1-77A3-4724-9372-C52C05C09CFB}"/>
    <cellStyle name="Normal 2 2 3 3" xfId="1276" xr:uid="{DB102068-963F-4B78-976B-6D696E163B79}"/>
    <cellStyle name="Normal 2 2 3 3 2" xfId="1277" xr:uid="{756647ED-D141-43CF-9288-7A8BE492CD4F}"/>
    <cellStyle name="Normal 2 2 3 3 2 2" xfId="1278" xr:uid="{CDB4E42B-6BFC-4391-8927-90580955F291}"/>
    <cellStyle name="Normal 2 2 3 3 3" xfId="1279" xr:uid="{C251E84C-61CC-4932-8C86-3947BEB30914}"/>
    <cellStyle name="Normal 2 2 3 3 4" xfId="1280" xr:uid="{B3673C36-3552-4386-9ED3-53A48E22746C}"/>
    <cellStyle name="Normal 2 2 3 3 4 2" xfId="32869" xr:uid="{90BA5D42-E8A5-426E-A618-65A63745F2B8}"/>
    <cellStyle name="Normal 2 2 3 4" xfId="1281" xr:uid="{B42EB5C4-9D5E-492E-BE49-C8ED8CEE1A88}"/>
    <cellStyle name="Normal 2 2 3 4 2" xfId="1282" xr:uid="{29876919-30A0-4B57-A166-5274314CAFAF}"/>
    <cellStyle name="Normal 2 2 3 5" xfId="1283" xr:uid="{3A84E8E7-24BF-4E9F-BBC8-217FEC79AC3A}"/>
    <cellStyle name="Normal 2 2 3 6" xfId="1284" xr:uid="{D95A1C12-57D3-43C9-AF59-1053F176258C}"/>
    <cellStyle name="Normal 2 2 3 6 2" xfId="32870" xr:uid="{604FE58E-7BEC-42BB-B46F-56E401ECC12A}"/>
    <cellStyle name="Normal 2 2 3 7" xfId="1285" xr:uid="{5A1BA07F-1F40-4B88-A38B-2FB0C741B809}"/>
    <cellStyle name="Normal 2 2 4" xfId="1286" xr:uid="{EB006FB9-253E-48C1-A93F-094B0816425A}"/>
    <cellStyle name="Normal 2 2 4 2" xfId="1287" xr:uid="{569545F8-3123-4F9F-9CE5-AD582462A944}"/>
    <cellStyle name="Normal 2 2 4 2 2" xfId="1288" xr:uid="{14AB9DF5-518B-4574-898F-7785D39132EC}"/>
    <cellStyle name="Normal 2 2 4 3" xfId="1289" xr:uid="{5E68E7BA-8635-4BB2-A46C-9D88D4D3D20D}"/>
    <cellStyle name="Normal 2 2 4 4" xfId="1290" xr:uid="{5FB536E1-5062-4370-BA8E-174740BEB54F}"/>
    <cellStyle name="Normal 2 2 4 4 2" xfId="32871" xr:uid="{7642F33A-8A32-42E1-89E9-5EF8756675A7}"/>
    <cellStyle name="Normal 2 2 5" xfId="1291" xr:uid="{468EE6BE-5DC1-48A8-A21C-EB0BABE5626E}"/>
    <cellStyle name="Normal 2 2 5 2" xfId="1292" xr:uid="{C757303F-7920-4FD5-91D4-A20F4BDC7B07}"/>
    <cellStyle name="Normal 2 2 5 2 2" xfId="1293" xr:uid="{844BC39F-FB83-43F2-B919-AA5C4A0D1566}"/>
    <cellStyle name="Normal 2 2 5 3" xfId="1294" xr:uid="{31A9F0F3-69B6-4852-99D9-80C729519B7E}"/>
    <cellStyle name="Normal 2 2 5 4" xfId="1295" xr:uid="{ADA637EA-8DF1-40FB-A6DC-773BA47C6330}"/>
    <cellStyle name="Normal 2 2 5 4 2" xfId="32872" xr:uid="{8209E283-F90E-41A8-BF64-8F158A46D549}"/>
    <cellStyle name="Normal 2 2 6" xfId="1296" xr:uid="{ADC7AE47-0E93-459D-A9F3-B4B7C6BA86E0}"/>
    <cellStyle name="Normal 2 2 6 2" xfId="1297" xr:uid="{B02485A0-0AD7-4159-B786-6B872D0B7A48}"/>
    <cellStyle name="Normal 2 2 7" xfId="1298" xr:uid="{57624F33-1043-4146-AE32-33FE757C109E}"/>
    <cellStyle name="Normal 2 2 8" xfId="1299" xr:uid="{BEBEBF19-A52D-43D3-8308-A23247505848}"/>
    <cellStyle name="Normal 2 2 8 2" xfId="32873" xr:uid="{97E28182-284D-4D75-BD13-AB80A7B855BB}"/>
    <cellStyle name="Normal 2 2 9" xfId="1300" xr:uid="{F9A38E6D-95BF-4F14-A743-2391A639C23F}"/>
    <cellStyle name="Normal 2 3" xfId="1301" xr:uid="{37934392-A43C-4BDA-BB6A-4672C36CF39C}"/>
    <cellStyle name="Normal 2 3 10" xfId="1302" xr:uid="{3D8D600A-A7FD-4123-9C9A-540A14857A8F}"/>
    <cellStyle name="Normal 2 3 11" xfId="32874" xr:uid="{D31D9893-CC29-4A52-9A24-4037820E6F75}"/>
    <cellStyle name="Normal 2 3 2" xfId="1303" xr:uid="{E83698EE-F089-493E-87D6-14AD403AD490}"/>
    <cellStyle name="Normal 2 3 2 2" xfId="1304" xr:uid="{882FA420-4A73-4553-ACFD-1904546FC9D1}"/>
    <cellStyle name="Normal 2 3 2 2 2" xfId="1305" xr:uid="{B4BF168D-E75A-4A6A-B631-316DB6A22F81}"/>
    <cellStyle name="Normal 2 3 2 2 2 2" xfId="1306" xr:uid="{BB2B2956-FEA9-4B57-8F2C-7F82DD4B1D54}"/>
    <cellStyle name="Normal 2 3 2 2 2 2 2" xfId="1307" xr:uid="{2813AA6E-59AD-4436-8F9C-A8F8E8EF3D56}"/>
    <cellStyle name="Normal 2 3 2 2 2 3" xfId="1308" xr:uid="{3F781BA1-62AB-488E-9BE1-CD323173CBF7}"/>
    <cellStyle name="Normal 2 3 2 2 2 4" xfId="1309" xr:uid="{81EDFAB8-B549-4919-9100-8019AD610CF4}"/>
    <cellStyle name="Normal 2 3 2 2 2 4 2" xfId="32875" xr:uid="{5AC3C949-848D-4FAE-B0A7-96B20932B9C5}"/>
    <cellStyle name="Normal 2 3 2 2 3" xfId="1310" xr:uid="{AA6B8526-9B86-4333-92B7-5ED0F0AC3C7C}"/>
    <cellStyle name="Normal 2 3 2 2 3 2" xfId="1311" xr:uid="{E1BCAA6F-2914-40D3-A807-0BC22941B48F}"/>
    <cellStyle name="Normal 2 3 2 2 4" xfId="1312" xr:uid="{BA889043-F6D6-4102-95E4-D1D7F29B8A15}"/>
    <cellStyle name="Normal 2 3 2 2 5" xfId="1313" xr:uid="{EAE84FEF-F159-47D8-BECC-AC1926A917DA}"/>
    <cellStyle name="Normal 2 3 2 2 5 2" xfId="32876" xr:uid="{58D8B34F-B253-4453-B786-22980F2FCAF4}"/>
    <cellStyle name="Normal 2 3 2 3" xfId="1314" xr:uid="{8CF1F0D0-1B65-461E-A192-C8F875AEF72C}"/>
    <cellStyle name="Normal 2 3 2 3 2" xfId="1315" xr:uid="{2D17DA8D-F4F0-43EE-923F-20A4ABBEA28A}"/>
    <cellStyle name="Normal 2 3 2 3 2 2" xfId="1316" xr:uid="{7DF431D5-7A33-4ED9-8417-F9D5EFF4B0B5}"/>
    <cellStyle name="Normal 2 3 2 3 3" xfId="1317" xr:uid="{E4AC2EF3-406C-453D-9519-0B8E3F5317C8}"/>
    <cellStyle name="Normal 2 3 2 3 4" xfId="1318" xr:uid="{C021EE8F-1FD4-41F3-9700-3AD84B302A01}"/>
    <cellStyle name="Normal 2 3 2 3 4 2" xfId="32877" xr:uid="{C5954713-F844-4D33-887C-758E58F5982D}"/>
    <cellStyle name="Normal 2 3 2 4" xfId="1319" xr:uid="{B018B530-9BC8-48E6-8320-37C092C1E690}"/>
    <cellStyle name="Normal 2 3 2 4 2" xfId="1320" xr:uid="{B22AFC0E-490A-4C92-9198-65BCB926E7F9}"/>
    <cellStyle name="Normal 2 3 2 5" xfId="1321" xr:uid="{EE01B346-10FD-4E11-BB63-4EC3BF64448D}"/>
    <cellStyle name="Normal 2 3 2 6" xfId="1322" xr:uid="{F7C1D034-27D0-4B46-B4DC-C5C638E28480}"/>
    <cellStyle name="Normal 2 3 2 6 2" xfId="32878" xr:uid="{03761259-2812-4BB9-A0BE-FEC0F6D19AFC}"/>
    <cellStyle name="Normal 2 3 3" xfId="1323" xr:uid="{A7576112-BE8D-44A0-8F0E-CB8929420EAB}"/>
    <cellStyle name="Normal 2 3 3 2" xfId="1324" xr:uid="{005A73BD-1533-464C-98FD-80FF8440320E}"/>
    <cellStyle name="Normal 2 3 3 2 2" xfId="1325" xr:uid="{4534672C-1DD9-4B67-B2CE-27106ABB7A9E}"/>
    <cellStyle name="Normal 2 3 3 2 2 2" xfId="1326" xr:uid="{33759EA3-5D69-470E-BF7D-87170259C10E}"/>
    <cellStyle name="Normal 2 3 3 2 3" xfId="1327" xr:uid="{3C5D1A52-C36C-42F8-A036-DA860C4393C6}"/>
    <cellStyle name="Normal 2 3 3 2 4" xfId="1328" xr:uid="{C3A7F933-71B9-410B-8793-C4EB17A06ECF}"/>
    <cellStyle name="Normal 2 3 3 2 4 2" xfId="32879" xr:uid="{BA4B45B4-212A-49EC-B7FE-069F3EFBBE72}"/>
    <cellStyle name="Normal 2 3 3 3" xfId="1329" xr:uid="{07EE1458-3417-429C-B56D-3C4C88BE1088}"/>
    <cellStyle name="Normal 2 3 3 3 2" xfId="1330" xr:uid="{F8B4DC6B-8299-4075-8900-2688B17A8EAC}"/>
    <cellStyle name="Normal 2 3 3 3 2 2" xfId="1331" xr:uid="{73354063-711B-4AA9-850D-BCC0334DFEC1}"/>
    <cellStyle name="Normal 2 3 3 3 3" xfId="1332" xr:uid="{7032CE19-A51B-4522-97DF-E25B3D69A2E6}"/>
    <cellStyle name="Normal 2 3 3 3 4" xfId="1333" xr:uid="{1CC450F0-98F4-4CF0-9F7B-48559184A6C5}"/>
    <cellStyle name="Normal 2 3 3 3 4 2" xfId="32880" xr:uid="{A9328CD0-5C2C-43BD-A3BB-3EB8E0A0C120}"/>
    <cellStyle name="Normal 2 3 3 4" xfId="1334" xr:uid="{3581F01A-6CD6-4995-9440-6E08123142E1}"/>
    <cellStyle name="Normal 2 3 3 4 2" xfId="1335" xr:uid="{6D11DDD8-DB47-42E3-A53F-9805AF918048}"/>
    <cellStyle name="Normal 2 3 3 5" xfId="1336" xr:uid="{FB3899FB-9C69-46FD-98AF-97F3AFE6BEA9}"/>
    <cellStyle name="Normal 2 3 3 6" xfId="1337" xr:uid="{202B0EB2-4E4E-4BBE-99A6-92423FF15CD8}"/>
    <cellStyle name="Normal 2 3 3 6 2" xfId="32881" xr:uid="{2EEB10A5-FCC1-40AA-98CD-149C0D4AE08A}"/>
    <cellStyle name="Normal 2 3 4" xfId="1338" xr:uid="{871987F9-D9AA-412A-B07C-221503369268}"/>
    <cellStyle name="Normal 2 3 4 2" xfId="1339" xr:uid="{BB2F10A9-7336-409E-B04C-EFF26117042F}"/>
    <cellStyle name="Normal 2 3 4 2 2" xfId="1340" xr:uid="{AFA4AD97-7142-495D-874B-5A4D0517AC67}"/>
    <cellStyle name="Normal 2 3 4 3" xfId="1341" xr:uid="{550CBAF5-8244-477B-B298-A51505E6DF58}"/>
    <cellStyle name="Normal 2 3 4 4" xfId="1342" xr:uid="{B1272ABC-4F31-46A8-AD8B-539281C5ECC7}"/>
    <cellStyle name="Normal 2 3 4 4 2" xfId="32882" xr:uid="{707ADC13-9AAC-4E1C-999A-A54E91F87915}"/>
    <cellStyle name="Normal 2 3 5" xfId="1343" xr:uid="{6CBE1A4D-B2B2-4C28-94B3-27BC3D77E8B9}"/>
    <cellStyle name="Normal 2 3 5 2" xfId="1344" xr:uid="{5396FCCE-AAB8-4EE8-8269-99808D8930CA}"/>
    <cellStyle name="Normal 2 3 5 2 2" xfId="1345" xr:uid="{0B1C6905-90F1-4E8F-8623-C8C69002A96F}"/>
    <cellStyle name="Normal 2 3 5 3" xfId="1346" xr:uid="{FF83685E-5BD2-4CD6-9603-C5C55621E039}"/>
    <cellStyle name="Normal 2 3 5 4" xfId="1347" xr:uid="{164BD9ED-82C0-4224-B417-E08D86EB4A06}"/>
    <cellStyle name="Normal 2 3 5 4 2" xfId="32883" xr:uid="{7F972C4D-CCF3-4163-8A0B-671FE93EB071}"/>
    <cellStyle name="Normal 2 3 6" xfId="1348" xr:uid="{5BD34543-D6CB-4825-B3BF-158874EA5EB1}"/>
    <cellStyle name="Normal 2 3 6 2" xfId="1349" xr:uid="{BC930AF6-15A3-4B1F-91D9-A34E187F8672}"/>
    <cellStyle name="Normal 2 3 7" xfId="1350" xr:uid="{F4A30DA1-5093-46CF-8C49-8F23FBFB88FE}"/>
    <cellStyle name="Normal 2 3 8" xfId="1351" xr:uid="{093BAEFA-D327-4E3A-A777-95BC88943F15}"/>
    <cellStyle name="Normal 2 3 8 2" xfId="32884" xr:uid="{63F00CE9-D1C3-414E-8587-02485DA74643}"/>
    <cellStyle name="Normal 2 3 9" xfId="1352" xr:uid="{EDEBB023-28F5-4276-84D9-3ACE27D07D5A}"/>
    <cellStyle name="Normal 2 4" xfId="1353" xr:uid="{9CF078B1-A0E3-45EB-90F2-90FB1AEAFFEF}"/>
    <cellStyle name="Normal 2 4 2" xfId="1354" xr:uid="{4A59DD19-0662-4331-A9F7-AD10CAD0BC60}"/>
    <cellStyle name="Normal 2 4 2 2" xfId="1355" xr:uid="{B6D3A918-4393-4DB5-A53B-7ADC8ADFBEE1}"/>
    <cellStyle name="Normal 2 4 2 2 2" xfId="1356" xr:uid="{29FA13B9-36D2-4DD7-BF6A-E4CAAEFE5F40}"/>
    <cellStyle name="Normal 2 4 2 2 2 2" xfId="1357" xr:uid="{D0C1D074-567A-4D02-99B7-551A1CCF0EEB}"/>
    <cellStyle name="Normal 2 4 2 2 2 2 2" xfId="1358" xr:uid="{33269CAD-081F-4FC5-9450-A7F1059B444F}"/>
    <cellStyle name="Normal 2 4 2 2 2 3" xfId="1359" xr:uid="{3BD18C82-E2DF-4964-927E-21E42E8F828E}"/>
    <cellStyle name="Normal 2 4 2 2 2 4" xfId="1360" xr:uid="{368F0BD4-0F38-44FB-AF91-C342AD354872}"/>
    <cellStyle name="Normal 2 4 2 2 2 4 2" xfId="32885" xr:uid="{D77E8DCA-9115-42F7-9BCC-75C55D5BB904}"/>
    <cellStyle name="Normal 2 4 2 2 3" xfId="1361" xr:uid="{0C89E599-B5DC-4EC0-BB29-515BA9E06090}"/>
    <cellStyle name="Normal 2 4 2 2 3 2" xfId="1362" xr:uid="{437DF726-DDAC-4492-A801-211579142964}"/>
    <cellStyle name="Normal 2 4 2 2 4" xfId="1363" xr:uid="{82C21661-1C6A-4E65-8272-65CEE2463B2D}"/>
    <cellStyle name="Normal 2 4 2 2 5" xfId="1364" xr:uid="{F8547EA6-9ACC-477B-94C0-DE671C354F6A}"/>
    <cellStyle name="Normal 2 4 2 2 5 2" xfId="32886" xr:uid="{859649F7-B241-4E4E-BA49-D38E4C6AB67E}"/>
    <cellStyle name="Normal 2 4 2 3" xfId="1365" xr:uid="{D066DD2A-C729-4321-B140-F86612C2262D}"/>
    <cellStyle name="Normal 2 4 2 3 2" xfId="1366" xr:uid="{7243A357-7C36-4254-AD62-5019654352A0}"/>
    <cellStyle name="Normal 2 4 2 3 2 2" xfId="1367" xr:uid="{9D583457-43C1-4F6B-9CF7-7F19B4E38553}"/>
    <cellStyle name="Normal 2 4 2 3 3" xfId="1368" xr:uid="{23307632-49B2-4B28-A545-FED8CB9BE653}"/>
    <cellStyle name="Normal 2 4 2 3 4" xfId="1369" xr:uid="{381C57BD-D717-4CF0-A09B-4FBDF6F3800F}"/>
    <cellStyle name="Normal 2 4 2 3 4 2" xfId="32887" xr:uid="{519618D7-B95E-4A49-A4C9-11D711772667}"/>
    <cellStyle name="Normal 2 4 2 4" xfId="1370" xr:uid="{EAB1F13C-C2C7-4A3B-9752-CF725D5C4EDE}"/>
    <cellStyle name="Normal 2 4 2 4 2" xfId="1371" xr:uid="{AF146DCC-830A-4DB7-9879-DBFC979D9C70}"/>
    <cellStyle name="Normal 2 4 2 5" xfId="1372" xr:uid="{BFCA66FD-9B00-4C0A-93A1-30A7AE1BB569}"/>
    <cellStyle name="Normal 2 4 2 6" xfId="1373" xr:uid="{B5C5CE0C-34A3-4707-AC0E-282B024A0D98}"/>
    <cellStyle name="Normal 2 4 2 6 2" xfId="32888" xr:uid="{24027228-65D7-4DD4-83E2-D87FD6C64D9B}"/>
    <cellStyle name="Normal 2 4 3" xfId="1374" xr:uid="{EFC707C9-9DD8-4E9D-8E9E-609DE61B28E2}"/>
    <cellStyle name="Normal 2 4 3 2" xfId="1375" xr:uid="{55099225-32D3-4D7D-B319-491D2399FA16}"/>
    <cellStyle name="Normal 2 4 3 2 2" xfId="1376" xr:uid="{932BD4D1-33F1-4B91-B801-1159C0AC1571}"/>
    <cellStyle name="Normal 2 4 3 2 2 2" xfId="1377" xr:uid="{1CCADE93-F3DD-4E4F-AA81-4955472DBFCA}"/>
    <cellStyle name="Normal 2 4 3 2 3" xfId="1378" xr:uid="{C4276DBB-7CD0-4969-95D3-BB1CD82A3E46}"/>
    <cellStyle name="Normal 2 4 3 2 4" xfId="1379" xr:uid="{D8F9EF60-ABF0-4D6C-8892-8C49A62B8C72}"/>
    <cellStyle name="Normal 2 4 3 2 4 2" xfId="32889" xr:uid="{DBAA44AA-E86D-4898-8A13-AE6AB000FD34}"/>
    <cellStyle name="Normal 2 4 3 3" xfId="1380" xr:uid="{58550933-F46F-4997-AC1A-34DF82E3742A}"/>
    <cellStyle name="Normal 2 4 3 3 2" xfId="1381" xr:uid="{FF6A7C7B-B3BB-4E01-936F-26981DD486FB}"/>
    <cellStyle name="Normal 2 4 3 3 2 2" xfId="1382" xr:uid="{835691C2-40CB-49D2-9311-AD481271A2D2}"/>
    <cellStyle name="Normal 2 4 3 3 3" xfId="1383" xr:uid="{267697B3-4707-465D-B630-D941F97F298D}"/>
    <cellStyle name="Normal 2 4 3 3 4" xfId="1384" xr:uid="{4F19E5CE-4329-4438-B85C-506720269C44}"/>
    <cellStyle name="Normal 2 4 3 3 4 2" xfId="32890" xr:uid="{9D2E03FD-2987-4EF2-B124-82EBA39FC0CA}"/>
    <cellStyle name="Normal 2 4 3 4" xfId="1385" xr:uid="{9CB49B2E-8A21-4DC5-ABBE-6AD3A3E8F529}"/>
    <cellStyle name="Normal 2 4 3 4 2" xfId="1386" xr:uid="{D2004FD5-792B-440C-A01C-AD9ED5DD70F4}"/>
    <cellStyle name="Normal 2 4 3 5" xfId="1387" xr:uid="{32A61392-141A-46A4-8E1C-0B6921DE0DAC}"/>
    <cellStyle name="Normal 2 4 3 6" xfId="1388" xr:uid="{D2BF8E09-08B5-4F1F-9D6A-DF11DEDC0345}"/>
    <cellStyle name="Normal 2 4 3 6 2" xfId="32891" xr:uid="{5133B2ED-BEFC-430C-A927-DF0D085A1782}"/>
    <cellStyle name="Normal 2 4 4" xfId="1389" xr:uid="{3E1CA808-EB91-4AEE-865D-D8F100C6291D}"/>
    <cellStyle name="Normal 2 4 4 2" xfId="1390" xr:uid="{16B9BA95-338A-4946-89DE-B5D37259E4DD}"/>
    <cellStyle name="Normal 2 4 4 2 2" xfId="1391" xr:uid="{7FC3649E-BB07-4C20-A52C-4C13574393DF}"/>
    <cellStyle name="Normal 2 4 4 3" xfId="1392" xr:uid="{7713C76C-4309-4A34-9659-BEF58F538F7E}"/>
    <cellStyle name="Normal 2 4 4 4" xfId="1393" xr:uid="{79314E5E-56EC-4944-9D94-6ADD9E28F315}"/>
    <cellStyle name="Normal 2 4 4 4 2" xfId="32892" xr:uid="{696F1593-E202-4258-BFFB-E1D835CA73D9}"/>
    <cellStyle name="Normal 2 4 5" xfId="1394" xr:uid="{BC57F757-6A12-4015-92C3-A5609A6ED626}"/>
    <cellStyle name="Normal 2 4 5 2" xfId="1395" xr:uid="{190EBBDE-58E2-4928-B265-E68722EF4837}"/>
    <cellStyle name="Normal 2 4 5 2 2" xfId="1396" xr:uid="{A4B37501-6929-4B8E-8763-3F0262D91A6A}"/>
    <cellStyle name="Normal 2 4 5 3" xfId="1397" xr:uid="{93617D17-E4A4-4A45-B29C-D7F9798723B5}"/>
    <cellStyle name="Normal 2 4 5 4" xfId="1398" xr:uid="{A54876E4-A928-4398-A7CD-3C93E453AA38}"/>
    <cellStyle name="Normal 2 4 5 4 2" xfId="32893" xr:uid="{0B67C1A8-759F-45CE-A50E-BA4BE68A06CF}"/>
    <cellStyle name="Normal 2 4 6" xfId="1399" xr:uid="{25EEE772-72D0-448C-BBA5-3B57FA991D3A}"/>
    <cellStyle name="Normal 2 4 6 2" xfId="1400" xr:uid="{4B2D6029-499B-4F28-A0A3-CA53D79840B8}"/>
    <cellStyle name="Normal 2 4 7" xfId="1401" xr:uid="{ACB5479F-FC6E-4DC6-B0DD-358908D9C678}"/>
    <cellStyle name="Normal 2 4 8" xfId="1402" xr:uid="{A280C193-5875-4888-B36D-BF28C6FB7BA8}"/>
    <cellStyle name="Normal 2 4 8 2" xfId="32894" xr:uid="{8AAFE8EB-4119-4484-A659-379DCC6E218F}"/>
    <cellStyle name="Normal 2 4 9" xfId="1403" xr:uid="{2C2ACA96-96A5-4FE1-83EB-E71C147184C9}"/>
    <cellStyle name="Normal 2 5" xfId="1404" xr:uid="{903F1727-BF9B-4D45-AEC9-35856CF17562}"/>
    <cellStyle name="Normal 2 5 2" xfId="1405" xr:uid="{E9DF2AFF-D546-4791-BBAD-923E418AC6CA}"/>
    <cellStyle name="Normal 2 5 2 2" xfId="1406" xr:uid="{6A43618D-9E40-4543-8E8B-22AD52DA0DFB}"/>
    <cellStyle name="Normal 2 5 2 2 2" xfId="1407" xr:uid="{694F3C23-4ECB-49FB-A3CD-0C3894634D48}"/>
    <cellStyle name="Normal 2 5 2 2 2 2" xfId="1408" xr:uid="{DED159D2-9936-4CA8-8E25-833369DC05E4}"/>
    <cellStyle name="Normal 2 5 2 2 3" xfId="1409" xr:uid="{948AB62C-112C-4D32-A5F8-36D73A880B54}"/>
    <cellStyle name="Normal 2 5 2 2 4" xfId="1410" xr:uid="{E35C8294-A349-4965-AEA3-5C9B3E726056}"/>
    <cellStyle name="Normal 2 5 2 2 4 2" xfId="32895" xr:uid="{DB314E2E-73A4-4D6D-8F09-ED139C26FD3C}"/>
    <cellStyle name="Normal 2 5 2 3" xfId="1411" xr:uid="{F55A0E95-BC00-404B-BE05-63E45A780DF5}"/>
    <cellStyle name="Normal 2 5 2 3 2" xfId="1412" xr:uid="{63E69417-DB07-4D5E-9737-A705DFF740E1}"/>
    <cellStyle name="Normal 2 5 2 4" xfId="1413" xr:uid="{79ADB601-318D-41D9-8DCD-D1189F780AAE}"/>
    <cellStyle name="Normal 2 5 2 5" xfId="1414" xr:uid="{C4E26A88-AE93-4E50-84B8-5A5B2167A636}"/>
    <cellStyle name="Normal 2 5 2 5 2" xfId="32896" xr:uid="{80CEEF0D-EE09-4C6C-9835-C7512DF05E39}"/>
    <cellStyle name="Normal 2 5 3" xfId="1415" xr:uid="{1BCC8C2D-B97A-497C-BC67-7DFEA9A6815A}"/>
    <cellStyle name="Normal 2 5 3 2" xfId="1416" xr:uid="{6587260C-AB90-47D4-A744-35ED88996D86}"/>
    <cellStyle name="Normal 2 5 3 2 2" xfId="1417" xr:uid="{C5D9CA98-E9B3-44B8-9384-256F84FA46B8}"/>
    <cellStyle name="Normal 2 5 3 3" xfId="1418" xr:uid="{E9AE8017-C8C2-4705-81DF-D05034D1E3B4}"/>
    <cellStyle name="Normal 2 5 3 4" xfId="1419" xr:uid="{8F7188BF-6737-4843-AB02-8E6952542DC9}"/>
    <cellStyle name="Normal 2 5 3 4 2" xfId="32897" xr:uid="{20057E0E-31FE-4DAA-A5DC-D52694CFF0C1}"/>
    <cellStyle name="Normal 2 5 4" xfId="1420" xr:uid="{E3363B15-75CE-4286-8370-2CE5C1B60240}"/>
    <cellStyle name="Normal 2 5 4 2" xfId="1421" xr:uid="{55499E74-8DB5-49DC-ADA7-D568DFDFABE7}"/>
    <cellStyle name="Normal 2 5 5" xfId="1422" xr:uid="{E8098BE8-5C9F-4F0B-9C3F-12B32C557A7B}"/>
    <cellStyle name="Normal 2 5 6" xfId="1423" xr:uid="{AE2EF8CC-46BB-425A-99E1-0380DED0A3DB}"/>
    <cellStyle name="Normal 2 5 6 2" xfId="32898" xr:uid="{1A35019C-262E-4FD2-B1D3-019981BF0B2C}"/>
    <cellStyle name="Normal 2 6" xfId="1424" xr:uid="{52561AA8-8827-419B-A526-671076183E58}"/>
    <cellStyle name="Normal 2 6 2" xfId="1425" xr:uid="{135D7D05-B6BD-4C2D-82DE-BA2FB1795928}"/>
    <cellStyle name="Normal 2 6 2 2" xfId="1426" xr:uid="{73D76F19-89C6-4187-888C-02185A7C0105}"/>
    <cellStyle name="Normal 2 6 2 2 2" xfId="1427" xr:uid="{8446342C-11F9-4F12-8F46-55F315C8E92F}"/>
    <cellStyle name="Normal 2 6 2 3" xfId="1428" xr:uid="{4984E539-C9ED-468C-8A52-51141E500963}"/>
    <cellStyle name="Normal 2 6 2 4" xfId="1429" xr:uid="{16C3D765-5255-486B-84FB-EF84FD6E2269}"/>
    <cellStyle name="Normal 2 6 2 4 2" xfId="32899" xr:uid="{64B4467D-8F83-4704-8C3C-491EA74FFD43}"/>
    <cellStyle name="Normal 2 6 3" xfId="1430" xr:uid="{55129887-BAEA-4676-B00A-FB8624B95031}"/>
    <cellStyle name="Normal 2 6 3 2" xfId="1431" xr:uid="{2EC67565-CE48-481C-BFD8-8C224A3F91FF}"/>
    <cellStyle name="Normal 2 6 3 2 2" xfId="1432" xr:uid="{056893BC-DC72-4DF8-930C-70FAB61E18E7}"/>
    <cellStyle name="Normal 2 6 3 3" xfId="1433" xr:uid="{871204A2-92B3-44E5-9E38-2CD2B7A20186}"/>
    <cellStyle name="Normal 2 6 3 4" xfId="1434" xr:uid="{965069FF-26D5-4A4C-A8C8-455204118DD0}"/>
    <cellStyle name="Normal 2 6 3 4 2" xfId="32900" xr:uid="{948E6C23-6534-4F5B-855C-221A07589992}"/>
    <cellStyle name="Normal 2 6 4" xfId="1435" xr:uid="{C61CB9AF-7AFB-402B-87AA-02153A80F6AC}"/>
    <cellStyle name="Normal 2 6 4 2" xfId="1436" xr:uid="{7DEFC2C9-2E93-414B-9DEC-9107B305D99B}"/>
    <cellStyle name="Normal 2 6 5" xfId="1437" xr:uid="{0CAF7E75-44E1-4CB0-BC80-5AB3ACB8F199}"/>
    <cellStyle name="Normal 2 6 6" xfId="1438" xr:uid="{B6CBF88D-C70F-49FC-A371-C44411DB29CF}"/>
    <cellStyle name="Normal 2 6 6 2" xfId="32901" xr:uid="{102A43DB-8D1E-433F-8A92-812157A7B9D1}"/>
    <cellStyle name="Normal 2 7" xfId="1439" xr:uid="{43722899-9A0F-4BE1-B58B-BE2DD283DA39}"/>
    <cellStyle name="Normal 2 7 10" xfId="1440" xr:uid="{F64A50C1-3511-466F-BA6C-8CCD452FCA0B}"/>
    <cellStyle name="Normal 2 7 11" xfId="1441" xr:uid="{7A3A5665-C344-4B39-B870-404CD882F02F}"/>
    <cellStyle name="Normal 2 7 12" xfId="1442" xr:uid="{B8D0918B-D96F-45CD-894B-5579BB018F60}"/>
    <cellStyle name="Normal 2 7 13" xfId="1443" xr:uid="{59B22733-EEB9-4797-B996-6ECE33BB2D45}"/>
    <cellStyle name="Normal 2 7 14" xfId="1444" xr:uid="{3EAE6618-4BC2-4530-9834-A90C69140A62}"/>
    <cellStyle name="Normal 2 7 2" xfId="1445" xr:uid="{F4B7A87B-3A1B-4E34-ADEE-3A6DA7124215}"/>
    <cellStyle name="Normal 2 7 2 10" xfId="1446" xr:uid="{D14AD3BD-9415-4EBB-980B-A96A98994E81}"/>
    <cellStyle name="Normal 2 7 2 11" xfId="1447" xr:uid="{7D57BEAA-3CEC-4FDF-A1BF-7934B1CD31EA}"/>
    <cellStyle name="Normal 2 7 2 12" xfId="1448" xr:uid="{21178F04-16A9-4710-8D0E-0933C24A2ED7}"/>
    <cellStyle name="Normal 2 7 2 13" xfId="1449" xr:uid="{D7654995-EE6D-40F9-9807-BF1CA46E2A63}"/>
    <cellStyle name="Normal 2 7 2 2" xfId="1450" xr:uid="{FE06ACE6-6A1E-4193-AEC5-3D6CAF03BCD5}"/>
    <cellStyle name="Normal 2 7 2 2 10" xfId="1451" xr:uid="{55679E92-E910-4028-91D1-510CD033C326}"/>
    <cellStyle name="Normal 2 7 2 2 2" xfId="1452" xr:uid="{4421EFDF-6035-4BAD-A89D-74F3A71C23B1}"/>
    <cellStyle name="Normal 2 7 2 2 2 2" xfId="1453" xr:uid="{6F932DF2-1733-43FB-BEC1-354B930FCBB5}"/>
    <cellStyle name="Normal 2 7 2 2 2 2 2" xfId="1454" xr:uid="{BC7C346E-4CB9-4ABF-B6C5-6644F3482E39}"/>
    <cellStyle name="Normal 2 7 2 2 2 2 2 2" xfId="1455" xr:uid="{A533821F-11F4-4198-B3B0-62F859FE446D}"/>
    <cellStyle name="Normal 2 7 2 2 2 2 2 3" xfId="1456" xr:uid="{6706E8EC-AF31-4A03-B14D-CAED3DCFB90F}"/>
    <cellStyle name="Normal 2 7 2 2 2 2 2 4" xfId="1457" xr:uid="{E33E5BF2-2352-4BF4-9667-9C1831349190}"/>
    <cellStyle name="Normal 2 7 2 2 2 2 2 5" xfId="1458" xr:uid="{E3012BF0-FE86-4063-AB8C-DE9F8C210C6F}"/>
    <cellStyle name="Normal 2 7 2 2 2 2 2 6" xfId="1459" xr:uid="{E74CD830-A9B1-4AFB-8561-555D26F6BCC3}"/>
    <cellStyle name="Normal 2 7 2 2 2 2 3" xfId="1460" xr:uid="{A0E8AA6A-40D7-48A6-A27D-EFC15AB10310}"/>
    <cellStyle name="Normal 2 7 2 2 2 2 4" xfId="1461" xr:uid="{39FCB01B-3FCF-4D84-810A-F13E72ADECAC}"/>
    <cellStyle name="Normal 2 7 2 2 2 2 5" xfId="1462" xr:uid="{278738E1-6825-4168-846D-C2D7DA5C26B7}"/>
    <cellStyle name="Normal 2 7 2 2 2 2 6" xfId="1463" xr:uid="{4BDAA42E-445C-47BC-99A1-B17964B3EBFD}"/>
    <cellStyle name="Normal 2 7 2 2 2 2 7" xfId="1464" xr:uid="{52BA58E8-E553-4678-B518-A39859209A19}"/>
    <cellStyle name="Normal 2 7 2 2 2 3" xfId="1465" xr:uid="{4DED09DB-7640-455C-94F1-DF708619DDF8}"/>
    <cellStyle name="Normal 2 7 2 2 2 3 2" xfId="1466" xr:uid="{4FFD5E43-01D6-46EF-855F-ED3133947CAC}"/>
    <cellStyle name="Normal 2 7 2 2 2 3 3" xfId="1467" xr:uid="{E47C1D7F-C028-4BE0-A8E8-5C1E2BF9B6A7}"/>
    <cellStyle name="Normal 2 7 2 2 2 3 4" xfId="1468" xr:uid="{E36EA5C1-0320-4FDC-A2BC-7C998E72B6A6}"/>
    <cellStyle name="Normal 2 7 2 2 2 3 5" xfId="1469" xr:uid="{DE1A3FDF-9DEE-4B28-9BC7-39C68E87F95E}"/>
    <cellStyle name="Normal 2 7 2 2 2 3 6" xfId="1470" xr:uid="{DEB69F9B-A4E9-431E-8AB6-8F93281804D1}"/>
    <cellStyle name="Normal 2 7 2 2 2 4" xfId="1471" xr:uid="{2FAF69BA-6E16-4A91-9547-946C8A5DA9E2}"/>
    <cellStyle name="Normal 2 7 2 2 2 5" xfId="1472" xr:uid="{73571831-5A36-4FB4-8358-EC1752405E92}"/>
    <cellStyle name="Normal 2 7 2 2 2 6" xfId="1473" xr:uid="{7C669BFC-18FD-47D8-9832-B2C4811C87EC}"/>
    <cellStyle name="Normal 2 7 2 2 2 7" xfId="1474" xr:uid="{36A38ED1-C44D-4702-8ABB-6384DEB0D743}"/>
    <cellStyle name="Normal 2 7 2 2 2 8" xfId="1475" xr:uid="{67FC110B-44E9-4578-86B3-78A711586FFA}"/>
    <cellStyle name="Normal 2 7 2 2 3" xfId="1476" xr:uid="{DACC1E07-ABC2-4D74-81ED-F575DEFD2488}"/>
    <cellStyle name="Normal 2 7 2 2 3 2" xfId="1477" xr:uid="{F0B2068B-5F36-4B83-967C-BD85757F4196}"/>
    <cellStyle name="Normal 2 7 2 2 3 2 2" xfId="1478" xr:uid="{C3868036-63D6-4C78-ABA1-6361C85E4241}"/>
    <cellStyle name="Normal 2 7 2 2 3 2 2 2" xfId="1479" xr:uid="{48B8DFF5-C06A-4822-AE6A-39A1BBEF1DBD}"/>
    <cellStyle name="Normal 2 7 2 2 3 2 2 3" xfId="1480" xr:uid="{8D0D342E-6A43-4DAF-9DAE-91BFF9FF990C}"/>
    <cellStyle name="Normal 2 7 2 2 3 2 2 4" xfId="1481" xr:uid="{A3D269CB-395E-4EDC-AA21-50741507AE6E}"/>
    <cellStyle name="Normal 2 7 2 2 3 2 2 5" xfId="1482" xr:uid="{BE4094E2-ACC2-4C16-977C-B18C6863DF4D}"/>
    <cellStyle name="Normal 2 7 2 2 3 2 2 6" xfId="1483" xr:uid="{AA7C6B49-155C-4248-80F5-A61BCD9AB6F0}"/>
    <cellStyle name="Normal 2 7 2 2 3 2 3" xfId="1484" xr:uid="{C28E20AF-1994-4E7A-99A5-E3D14821A8FA}"/>
    <cellStyle name="Normal 2 7 2 2 3 2 4" xfId="1485" xr:uid="{0F4333E0-954F-4A0B-83DA-511513D76704}"/>
    <cellStyle name="Normal 2 7 2 2 3 2 5" xfId="1486" xr:uid="{71696B69-C1AA-4189-98DF-D2E08D588D1F}"/>
    <cellStyle name="Normal 2 7 2 2 3 2 6" xfId="1487" xr:uid="{7EB654E8-2FC6-4EB0-BCB5-3FF1C61DC9AB}"/>
    <cellStyle name="Normal 2 7 2 2 3 2 7" xfId="1488" xr:uid="{8120041F-E57B-49ED-AFBC-A281FE1BFFCD}"/>
    <cellStyle name="Normal 2 7 2 2 3 3" xfId="1489" xr:uid="{D1421195-09A6-4F25-ADB8-B783D84F1E00}"/>
    <cellStyle name="Normal 2 7 2 2 3 3 2" xfId="1490" xr:uid="{7BE8EE85-E06A-4862-B3D2-61A1BD8C946E}"/>
    <cellStyle name="Normal 2 7 2 2 3 3 3" xfId="1491" xr:uid="{9C497072-7A37-4722-BD38-336F91B21542}"/>
    <cellStyle name="Normal 2 7 2 2 3 3 4" xfId="1492" xr:uid="{1119FB2A-DBF4-49BF-B6A3-05B9C185116C}"/>
    <cellStyle name="Normal 2 7 2 2 3 3 5" xfId="1493" xr:uid="{0FE2387A-770C-4DCC-A5BD-E2E623F47EB3}"/>
    <cellStyle name="Normal 2 7 2 2 3 3 6" xfId="1494" xr:uid="{3134F760-C82D-4AA5-A056-0C2189E3EF0B}"/>
    <cellStyle name="Normal 2 7 2 2 3 4" xfId="1495" xr:uid="{9D73E78B-82FF-4A76-B142-770736E8752B}"/>
    <cellStyle name="Normal 2 7 2 2 3 5" xfId="1496" xr:uid="{F64C1A95-B7BF-43CA-AFB0-E168263C99B6}"/>
    <cellStyle name="Normal 2 7 2 2 3 6" xfId="1497" xr:uid="{0E4BF406-16FC-405E-869B-333FF79E08DA}"/>
    <cellStyle name="Normal 2 7 2 2 3 7" xfId="1498" xr:uid="{CD05B1BC-7614-4EB1-8180-0AE26CC65441}"/>
    <cellStyle name="Normal 2 7 2 2 3 8" xfId="1499" xr:uid="{EB0CBE4C-3F06-4759-BD93-DBBD19887DF1}"/>
    <cellStyle name="Normal 2 7 2 2 4" xfId="1500" xr:uid="{83B90337-5B76-40A5-BF56-534A0023CD46}"/>
    <cellStyle name="Normal 2 7 2 2 4 2" xfId="1501" xr:uid="{D739CC9C-88AD-4BAB-BBD0-99CF982D524E}"/>
    <cellStyle name="Normal 2 7 2 2 4 2 2" xfId="1502" xr:uid="{6790496B-DAF1-415A-9D2A-D670E831902C}"/>
    <cellStyle name="Normal 2 7 2 2 4 2 3" xfId="1503" xr:uid="{E2386961-9BD7-4F80-96B3-AC23D9EEC391}"/>
    <cellStyle name="Normal 2 7 2 2 4 2 4" xfId="1504" xr:uid="{A8CC41EB-F804-45F8-8295-B40E88E23E23}"/>
    <cellStyle name="Normal 2 7 2 2 4 2 5" xfId="1505" xr:uid="{A65252D0-F819-43BC-93E8-7FD22F4FD554}"/>
    <cellStyle name="Normal 2 7 2 2 4 2 6" xfId="1506" xr:uid="{906F6DA1-B1A4-49A0-A9E3-0ADECCA9A331}"/>
    <cellStyle name="Normal 2 7 2 2 4 3" xfId="1507" xr:uid="{28AA4ADF-52ED-4A70-88AB-359148FEDCF3}"/>
    <cellStyle name="Normal 2 7 2 2 4 4" xfId="1508" xr:uid="{17FDE2C4-12AC-4301-9824-78166D645253}"/>
    <cellStyle name="Normal 2 7 2 2 4 5" xfId="1509" xr:uid="{D7B9F3D2-79D2-4051-B2A6-6A977DA82F67}"/>
    <cellStyle name="Normal 2 7 2 2 4 6" xfId="1510" xr:uid="{7FB5BAB1-DE15-4207-A044-2F1BF6A12D16}"/>
    <cellStyle name="Normal 2 7 2 2 4 7" xfId="1511" xr:uid="{6E91AE0E-F458-4D09-911A-3A6149FD6C3A}"/>
    <cellStyle name="Normal 2 7 2 2 5" xfId="1512" xr:uid="{BF6C34A1-2CDC-4A21-AAB2-16616908F2D2}"/>
    <cellStyle name="Normal 2 7 2 2 5 2" xfId="1513" xr:uid="{452C463D-E65D-499B-AF9D-243F894CD771}"/>
    <cellStyle name="Normal 2 7 2 2 5 3" xfId="1514" xr:uid="{81B013FA-05EB-4D71-A525-097DC5E1E8A6}"/>
    <cellStyle name="Normal 2 7 2 2 5 4" xfId="1515" xr:uid="{99872343-49B5-4899-B94F-486FEEA8FA2E}"/>
    <cellStyle name="Normal 2 7 2 2 5 5" xfId="1516" xr:uid="{75EAF573-59DB-4884-A850-DE3CB4CF5D76}"/>
    <cellStyle name="Normal 2 7 2 2 5 6" xfId="1517" xr:uid="{14879EE6-A9A5-4461-9432-91601A104F30}"/>
    <cellStyle name="Normal 2 7 2 2 6" xfId="1518" xr:uid="{5D6A7204-B5CE-4775-BB43-2247CC729ACA}"/>
    <cellStyle name="Normal 2 7 2 2 7" xfId="1519" xr:uid="{5F12CFA2-6C83-4350-BB79-476629E70952}"/>
    <cellStyle name="Normal 2 7 2 2 8" xfId="1520" xr:uid="{1E0D5332-01F7-45AC-A57B-ABB663E36FB3}"/>
    <cellStyle name="Normal 2 7 2 2 9" xfId="1521" xr:uid="{09AAE483-0C43-465E-9B49-13C98A7EAA50}"/>
    <cellStyle name="Normal 2 7 2 3" xfId="1522" xr:uid="{DE2A9A25-551F-4FC6-B0C5-4AF96C7DE5F1}"/>
    <cellStyle name="Normal 2 7 2 3 2" xfId="1523" xr:uid="{673BE6CB-7EB7-45CD-818C-5192B7DBE1F9}"/>
    <cellStyle name="Normal 2 7 2 3 2 2" xfId="1524" xr:uid="{307EAA51-5142-48A1-8434-70D7C4B24851}"/>
    <cellStyle name="Normal 2 7 2 3 2 2 2" xfId="1525" xr:uid="{39E5D69E-0CC0-47B9-AE40-39329119ED25}"/>
    <cellStyle name="Normal 2 7 2 3 2 2 3" xfId="1526" xr:uid="{316D1D5F-E2B9-4599-BC56-B9488E5003A5}"/>
    <cellStyle name="Normal 2 7 2 3 2 2 4" xfId="1527" xr:uid="{3713A0D9-7E3D-4BE9-9B2D-ACB84D90D70F}"/>
    <cellStyle name="Normal 2 7 2 3 2 2 5" xfId="1528" xr:uid="{2E03DB4A-8E39-4DB2-8E47-1C8EE9258B56}"/>
    <cellStyle name="Normal 2 7 2 3 2 2 6" xfId="1529" xr:uid="{61C06135-1A10-4E3F-BC03-BAAE33C1A684}"/>
    <cellStyle name="Normal 2 7 2 3 2 3" xfId="1530" xr:uid="{BE8414D9-9262-4F23-B560-59CC29DD7C08}"/>
    <cellStyle name="Normal 2 7 2 3 2 4" xfId="1531" xr:uid="{3AD37CF7-F1BF-4BFC-9CB1-1DA8EEF1AF75}"/>
    <cellStyle name="Normal 2 7 2 3 2 5" xfId="1532" xr:uid="{538E3EB7-D681-40DC-BB88-BCEDAA79C465}"/>
    <cellStyle name="Normal 2 7 2 3 2 6" xfId="1533" xr:uid="{98121009-9264-4005-83B2-39560D8B00B0}"/>
    <cellStyle name="Normal 2 7 2 3 2 7" xfId="1534" xr:uid="{8FA50E57-CC98-4FB5-A0FE-F0EA222BC289}"/>
    <cellStyle name="Normal 2 7 2 3 3" xfId="1535" xr:uid="{B598820A-0559-4213-B593-888CF78FB978}"/>
    <cellStyle name="Normal 2 7 2 3 3 2" xfId="1536" xr:uid="{B01950EE-E5F0-4461-AA9E-B5D8D33DD7F9}"/>
    <cellStyle name="Normal 2 7 2 3 3 3" xfId="1537" xr:uid="{1F028396-BBB3-4AD9-9BBE-80BD100D9A67}"/>
    <cellStyle name="Normal 2 7 2 3 3 4" xfId="1538" xr:uid="{55D0A3F1-4E71-4C37-B4B8-06DCD5CE9372}"/>
    <cellStyle name="Normal 2 7 2 3 3 5" xfId="1539" xr:uid="{4667328E-D013-45B3-99C9-1E58A1F8D065}"/>
    <cellStyle name="Normal 2 7 2 3 3 6" xfId="1540" xr:uid="{FB1E4D92-EBD9-4796-A75F-B4E9B6B280EB}"/>
    <cellStyle name="Normal 2 7 2 3 4" xfId="1541" xr:uid="{CAB06604-6DB7-4211-AFD6-9DEFD19AE525}"/>
    <cellStyle name="Normal 2 7 2 3 5" xfId="1542" xr:uid="{E0AB5310-2667-483A-8A55-5FDB5418B264}"/>
    <cellStyle name="Normal 2 7 2 3 6" xfId="1543" xr:uid="{A92386F1-E87F-4EA6-8CBF-1837199F189F}"/>
    <cellStyle name="Normal 2 7 2 3 7" xfId="1544" xr:uid="{2A973948-044D-4AFA-AFC6-7F6ADFAA3B1F}"/>
    <cellStyle name="Normal 2 7 2 3 8" xfId="1545" xr:uid="{41FFAE55-883F-440A-9725-FD218F33823B}"/>
    <cellStyle name="Normal 2 7 2 4" xfId="1546" xr:uid="{08A5616E-5B0A-4593-93DD-9C2FBD68D9DF}"/>
    <cellStyle name="Normal 2 7 2 4 2" xfId="1547" xr:uid="{7DC63BAF-FBB8-4796-B798-739A40F3618E}"/>
    <cellStyle name="Normal 2 7 2 4 2 2" xfId="1548" xr:uid="{CE9DB85C-71D0-4390-8B4A-BF61C5E18722}"/>
    <cellStyle name="Normal 2 7 2 4 2 2 2" xfId="1549" xr:uid="{C36ED637-E7BC-4B00-A398-6B90C35B06FB}"/>
    <cellStyle name="Normal 2 7 2 4 2 2 3" xfId="1550" xr:uid="{76AEA01A-6F12-49DC-B276-EECD593FA31C}"/>
    <cellStyle name="Normal 2 7 2 4 2 2 4" xfId="1551" xr:uid="{80BCE377-29B8-44B7-9673-5B5B73DF4B0F}"/>
    <cellStyle name="Normal 2 7 2 4 2 2 5" xfId="1552" xr:uid="{E730A918-699C-4CF3-B7DD-27B5E6DBFC50}"/>
    <cellStyle name="Normal 2 7 2 4 2 2 6" xfId="1553" xr:uid="{EF494DB7-5E32-4CA6-9075-20347F95B1C2}"/>
    <cellStyle name="Normal 2 7 2 4 2 3" xfId="1554" xr:uid="{EB06E8B1-3CAA-4A3F-819D-49B4BB4FAB84}"/>
    <cellStyle name="Normal 2 7 2 4 2 4" xfId="1555" xr:uid="{FD5A0F2D-2EC8-4B75-AF5B-0760DD0BE5C1}"/>
    <cellStyle name="Normal 2 7 2 4 2 5" xfId="1556" xr:uid="{A1A3EACB-1502-4F88-8E40-F7172DB8D495}"/>
    <cellStyle name="Normal 2 7 2 4 2 6" xfId="1557" xr:uid="{1911DA6A-82AC-420C-A9F1-BA276608BEA1}"/>
    <cellStyle name="Normal 2 7 2 4 2 7" xfId="1558" xr:uid="{F9877E41-2076-47EA-BDAA-55531C151782}"/>
    <cellStyle name="Normal 2 7 2 4 3" xfId="1559" xr:uid="{992AA85B-43E8-49B0-8F86-A3BDBA86846D}"/>
    <cellStyle name="Normal 2 7 2 4 3 2" xfId="1560" xr:uid="{8B8AF820-6DFE-4277-879B-B9C3CAC2FCD8}"/>
    <cellStyle name="Normal 2 7 2 4 3 3" xfId="1561" xr:uid="{B0EF6A5B-32A2-4BE9-8F6A-D0A90BC32ED4}"/>
    <cellStyle name="Normal 2 7 2 4 3 4" xfId="1562" xr:uid="{4D245379-F0B4-4221-88A6-6D1BE07A81F4}"/>
    <cellStyle name="Normal 2 7 2 4 3 5" xfId="1563" xr:uid="{7E88F997-E43C-49B0-8504-9D495830ACBB}"/>
    <cellStyle name="Normal 2 7 2 4 3 6" xfId="1564" xr:uid="{F0607656-B422-4A92-B3C0-E68DCC187B54}"/>
    <cellStyle name="Normal 2 7 2 4 4" xfId="1565" xr:uid="{B415001D-F011-4B3D-AF46-C05A537092EA}"/>
    <cellStyle name="Normal 2 7 2 4 5" xfId="1566" xr:uid="{82280192-2A10-460E-8222-EF2A1C646B40}"/>
    <cellStyle name="Normal 2 7 2 4 6" xfId="1567" xr:uid="{B8526B6D-3150-42E1-9A57-1400CABB267E}"/>
    <cellStyle name="Normal 2 7 2 4 7" xfId="1568" xr:uid="{941B2D9A-9E16-4D16-965A-F99FE1DE06E9}"/>
    <cellStyle name="Normal 2 7 2 4 8" xfId="1569" xr:uid="{4E606F89-7DA8-4BC2-BF5A-402E4F4AE135}"/>
    <cellStyle name="Normal 2 7 2 5" xfId="1570" xr:uid="{EFEF2C44-6D57-4DF9-9D4C-DF6A9DC8ECC2}"/>
    <cellStyle name="Normal 2 7 2 5 2" xfId="1571" xr:uid="{5DF7A872-115E-42E6-A20C-5BE34D6FA274}"/>
    <cellStyle name="Normal 2 7 2 5 2 2" xfId="1572" xr:uid="{3979B271-7803-4DD1-83BA-D5A6B35370CF}"/>
    <cellStyle name="Normal 2 7 2 5 2 3" xfId="1573" xr:uid="{E9E56D3B-CE6E-4B85-8D11-F9158FA79659}"/>
    <cellStyle name="Normal 2 7 2 5 2 4" xfId="1574" xr:uid="{069162AE-6634-4089-BF4E-485B12159899}"/>
    <cellStyle name="Normal 2 7 2 5 2 5" xfId="1575" xr:uid="{E95C61DF-B028-4AD7-97A1-98C8EA0BD6A3}"/>
    <cellStyle name="Normal 2 7 2 5 2 6" xfId="1576" xr:uid="{EB075C84-98BF-45E2-A18D-BB906AE50026}"/>
    <cellStyle name="Normal 2 7 2 5 3" xfId="1577" xr:uid="{5A769CA2-6335-4ABE-89EE-EE159AFDD1EF}"/>
    <cellStyle name="Normal 2 7 2 5 4" xfId="1578" xr:uid="{E07992BF-2913-4DF7-9AD5-AAD8F3519976}"/>
    <cellStyle name="Normal 2 7 2 5 5" xfId="1579" xr:uid="{163BB4EA-B15B-4DF8-835B-B1DF3D5C5456}"/>
    <cellStyle name="Normal 2 7 2 5 6" xfId="1580" xr:uid="{D11FB31C-1414-447F-84DE-9FAD9E30B65F}"/>
    <cellStyle name="Normal 2 7 2 5 7" xfId="1581" xr:uid="{97156453-F4C0-4D12-808F-803169E71A3D}"/>
    <cellStyle name="Normal 2 7 2 6" xfId="1582" xr:uid="{1A5D4200-4E24-4F60-9A2E-54838C101209}"/>
    <cellStyle name="Normal 2 7 2 6 2" xfId="1583" xr:uid="{CCE50D85-6370-444D-8FD2-57836B8FE2CA}"/>
    <cellStyle name="Normal 2 7 2 6 3" xfId="1584" xr:uid="{2A142B05-A39A-40EA-A914-EB144F8653F6}"/>
    <cellStyle name="Normal 2 7 2 6 4" xfId="1585" xr:uid="{19D10A2A-36BC-436D-A453-B3C374ABB2A9}"/>
    <cellStyle name="Normal 2 7 2 6 5" xfId="1586" xr:uid="{2E9084B1-EB28-412C-AA8B-A555289CC1D7}"/>
    <cellStyle name="Normal 2 7 2 6 6" xfId="1587" xr:uid="{EB30E0BA-7325-495D-83FB-2F0C5442F539}"/>
    <cellStyle name="Normal 2 7 2 7" xfId="1588" xr:uid="{CECC34BE-6E24-47FB-A17B-1EF957AF07F6}"/>
    <cellStyle name="Normal 2 7 2 8" xfId="1589" xr:uid="{2318C238-F481-44F8-959A-2CD7683B2BB5}"/>
    <cellStyle name="Normal 2 7 2 9" xfId="1590" xr:uid="{DAE6789F-4A10-4439-AC4B-1358C2FFD1FD}"/>
    <cellStyle name="Normal 2 7 3" xfId="1591" xr:uid="{058D945F-1DE0-41FC-BF60-D3B7E58FCC2B}"/>
    <cellStyle name="Normal 2 7 3 10" xfId="1592" xr:uid="{1F6D6603-10C0-4E70-9B66-A2F1065D9458}"/>
    <cellStyle name="Normal 2 7 3 11" xfId="1593" xr:uid="{CA48ED27-76F9-4CC8-A00F-E9479AF56F6F}"/>
    <cellStyle name="Normal 2 7 3 12" xfId="1594" xr:uid="{7FBF5A3E-3639-483D-9FDB-052D37BF7E2A}"/>
    <cellStyle name="Normal 2 7 3 2" xfId="1595" xr:uid="{C59E46A8-9232-4008-9F74-959C937BE97C}"/>
    <cellStyle name="Normal 2 7 3 2 10" xfId="1596" xr:uid="{A4BB15AF-61F8-47C2-A76E-08587FE86356}"/>
    <cellStyle name="Normal 2 7 3 2 2" xfId="1597" xr:uid="{20E8D53B-FEFF-44BB-BFDA-C8FF701A633A}"/>
    <cellStyle name="Normal 2 7 3 2 2 2" xfId="1598" xr:uid="{E221D1B2-034D-4054-B2F9-E13800AA2F93}"/>
    <cellStyle name="Normal 2 7 3 2 2 2 2" xfId="1599" xr:uid="{696E97EC-A253-4A96-A6DD-4575462B6F6E}"/>
    <cellStyle name="Normal 2 7 3 2 2 2 2 2" xfId="1600" xr:uid="{848B6059-50B1-458F-9AB1-DA2D9E8E255C}"/>
    <cellStyle name="Normal 2 7 3 2 2 2 2 3" xfId="1601" xr:uid="{5AAD2EAF-D30D-406C-9827-40119397CFE4}"/>
    <cellStyle name="Normal 2 7 3 2 2 2 2 4" xfId="1602" xr:uid="{0326D169-4A45-4C1D-8A49-D911C8B8245F}"/>
    <cellStyle name="Normal 2 7 3 2 2 2 2 5" xfId="1603" xr:uid="{0FB0138F-2A68-4425-AFE5-51261F1378F4}"/>
    <cellStyle name="Normal 2 7 3 2 2 2 2 6" xfId="1604" xr:uid="{C48084DE-38DD-4B59-91F5-0090673ED5C6}"/>
    <cellStyle name="Normal 2 7 3 2 2 2 3" xfId="1605" xr:uid="{068622BD-00B0-4641-AAB5-6600934452C9}"/>
    <cellStyle name="Normal 2 7 3 2 2 2 4" xfId="1606" xr:uid="{EA703BFF-618E-4111-B54A-78597523605F}"/>
    <cellStyle name="Normal 2 7 3 2 2 2 5" xfId="1607" xr:uid="{5841F2C2-0E0D-41DA-A5C8-59B7C5E8B872}"/>
    <cellStyle name="Normal 2 7 3 2 2 2 6" xfId="1608" xr:uid="{1108C3C8-62E5-4B22-AA50-2B2B5FF7FEEE}"/>
    <cellStyle name="Normal 2 7 3 2 2 2 7" xfId="1609" xr:uid="{824CBFDF-3714-4AE8-9F46-C73F0C5B14C3}"/>
    <cellStyle name="Normal 2 7 3 2 2 3" xfId="1610" xr:uid="{E6878675-1D8C-4FB6-AD93-308C2D2CE8BA}"/>
    <cellStyle name="Normal 2 7 3 2 2 3 2" xfId="1611" xr:uid="{E0835BFB-75AF-4BF4-A79E-270BCA618D85}"/>
    <cellStyle name="Normal 2 7 3 2 2 3 3" xfId="1612" xr:uid="{9CB0B04B-1238-4216-ADEA-89DE7AE2CAE6}"/>
    <cellStyle name="Normal 2 7 3 2 2 3 4" xfId="1613" xr:uid="{0A490AA8-6A24-4C9C-86FA-9213886D32FC}"/>
    <cellStyle name="Normal 2 7 3 2 2 3 5" xfId="1614" xr:uid="{EBD8E011-43B7-4693-A579-4D89F360540C}"/>
    <cellStyle name="Normal 2 7 3 2 2 3 6" xfId="1615" xr:uid="{F629F205-8F18-481F-B5EC-A4E6C55C29AB}"/>
    <cellStyle name="Normal 2 7 3 2 2 4" xfId="1616" xr:uid="{6057C9C2-451D-4AEB-BABE-25515F653080}"/>
    <cellStyle name="Normal 2 7 3 2 2 5" xfId="1617" xr:uid="{FF9E2725-AC67-48E6-8E49-239B68CDADC7}"/>
    <cellStyle name="Normal 2 7 3 2 2 6" xfId="1618" xr:uid="{AEE42F6B-4C1A-4D85-AD57-3F3744F073DC}"/>
    <cellStyle name="Normal 2 7 3 2 2 7" xfId="1619" xr:uid="{794FA898-0A39-4DE8-8ABC-860692C02E72}"/>
    <cellStyle name="Normal 2 7 3 2 2 8" xfId="1620" xr:uid="{870139C0-6902-49B7-8A9B-70551329B502}"/>
    <cellStyle name="Normal 2 7 3 2 3" xfId="1621" xr:uid="{13515EB4-825A-486F-B5E4-FD5C07DA1CE3}"/>
    <cellStyle name="Normal 2 7 3 2 3 2" xfId="1622" xr:uid="{525BF9E5-85CA-40CA-A9BC-CB1D2AB8B863}"/>
    <cellStyle name="Normal 2 7 3 2 3 2 2" xfId="1623" xr:uid="{A9AA2058-E87E-4930-97C4-B55089D73982}"/>
    <cellStyle name="Normal 2 7 3 2 3 2 2 2" xfId="1624" xr:uid="{7C54A9BE-F2E1-4D91-98BC-12576568FF6D}"/>
    <cellStyle name="Normal 2 7 3 2 3 2 2 3" xfId="1625" xr:uid="{7F751A15-BBC1-4BFB-9BD0-3C5E60F3A43F}"/>
    <cellStyle name="Normal 2 7 3 2 3 2 2 4" xfId="1626" xr:uid="{C6DAC36A-F7D6-4C44-B229-F5730B696848}"/>
    <cellStyle name="Normal 2 7 3 2 3 2 2 5" xfId="1627" xr:uid="{7961912C-3F27-433A-87DA-FC424BAA0CA3}"/>
    <cellStyle name="Normal 2 7 3 2 3 2 2 6" xfId="1628" xr:uid="{A7CE1A09-20E8-47EB-97E0-B363232F3E8B}"/>
    <cellStyle name="Normal 2 7 3 2 3 2 3" xfId="1629" xr:uid="{937511C6-FCF0-4890-82A9-33EDE8775FEE}"/>
    <cellStyle name="Normal 2 7 3 2 3 2 4" xfId="1630" xr:uid="{69099623-4346-40E4-9011-933543E4D6F3}"/>
    <cellStyle name="Normal 2 7 3 2 3 2 5" xfId="1631" xr:uid="{D14E4BB3-C135-4247-A3CE-5F920B80BFBE}"/>
    <cellStyle name="Normal 2 7 3 2 3 2 6" xfId="1632" xr:uid="{2DD25D44-37C9-438E-8594-187277EBB54C}"/>
    <cellStyle name="Normal 2 7 3 2 3 2 7" xfId="1633" xr:uid="{A68865CB-8BE5-4B86-960B-EACEA6C7C847}"/>
    <cellStyle name="Normal 2 7 3 2 3 3" xfId="1634" xr:uid="{B00D65CB-8AB1-4062-9C97-B7A96D3F9693}"/>
    <cellStyle name="Normal 2 7 3 2 3 3 2" xfId="1635" xr:uid="{3407922E-A72B-469F-87B8-5BD43C0B8123}"/>
    <cellStyle name="Normal 2 7 3 2 3 3 3" xfId="1636" xr:uid="{8D748CC8-7538-4D66-B6A4-C5749B986219}"/>
    <cellStyle name="Normal 2 7 3 2 3 3 4" xfId="1637" xr:uid="{AFA60529-E23C-4DC7-A48A-E48D10D192FA}"/>
    <cellStyle name="Normal 2 7 3 2 3 3 5" xfId="1638" xr:uid="{2EEEF00C-38A0-4E9F-BBFC-DABD9406409F}"/>
    <cellStyle name="Normal 2 7 3 2 3 3 6" xfId="1639" xr:uid="{5ACFB230-149A-4A4E-B154-A998CC3B6164}"/>
    <cellStyle name="Normal 2 7 3 2 3 4" xfId="1640" xr:uid="{F909EAAE-83A6-4CB6-8768-D3EA76E53405}"/>
    <cellStyle name="Normal 2 7 3 2 3 5" xfId="1641" xr:uid="{D3BCCE61-6D4A-4D09-9816-6E1606CB5F2E}"/>
    <cellStyle name="Normal 2 7 3 2 3 6" xfId="1642" xr:uid="{1005D0D1-31D9-4CB4-A8DF-B5CF56DC0FC8}"/>
    <cellStyle name="Normal 2 7 3 2 3 7" xfId="1643" xr:uid="{555DB37A-6349-4F74-B034-F6E84DBC34CD}"/>
    <cellStyle name="Normal 2 7 3 2 3 8" xfId="1644" xr:uid="{6509FE31-C560-4B04-8ED5-69F87D1AB27B}"/>
    <cellStyle name="Normal 2 7 3 2 4" xfId="1645" xr:uid="{B79C88F8-76EF-428F-9201-C8194853EE90}"/>
    <cellStyle name="Normal 2 7 3 2 4 2" xfId="1646" xr:uid="{343B6825-8681-4009-9EF0-106117E92773}"/>
    <cellStyle name="Normal 2 7 3 2 4 2 2" xfId="1647" xr:uid="{2737084D-D088-45F4-9DB2-69B2B4B973FF}"/>
    <cellStyle name="Normal 2 7 3 2 4 2 3" xfId="1648" xr:uid="{93B5FC48-1808-4AF9-BA8A-1EFB1CDCDF2E}"/>
    <cellStyle name="Normal 2 7 3 2 4 2 4" xfId="1649" xr:uid="{3397CFA4-DDEF-499E-A075-86F964A40AC2}"/>
    <cellStyle name="Normal 2 7 3 2 4 2 5" xfId="1650" xr:uid="{4006F7C8-89C9-4BFE-89FC-3E04D7734E83}"/>
    <cellStyle name="Normal 2 7 3 2 4 2 6" xfId="1651" xr:uid="{65B1702B-05D6-4421-9197-8AD0B5AC7701}"/>
    <cellStyle name="Normal 2 7 3 2 4 3" xfId="1652" xr:uid="{66E5E4B7-FAF3-4B81-A3A4-9CCFFA8C6CDF}"/>
    <cellStyle name="Normal 2 7 3 2 4 4" xfId="1653" xr:uid="{67370988-BAEF-4D09-ABF7-29A5FC229AC5}"/>
    <cellStyle name="Normal 2 7 3 2 4 5" xfId="1654" xr:uid="{6D4F9DBC-D2A9-4CD6-B2AE-C2D1E7C2381F}"/>
    <cellStyle name="Normal 2 7 3 2 4 6" xfId="1655" xr:uid="{E2D7B704-D138-4DDF-B896-B31DB3EFBBAE}"/>
    <cellStyle name="Normal 2 7 3 2 4 7" xfId="1656" xr:uid="{551B6DAF-949E-4CDB-8939-1A8621888036}"/>
    <cellStyle name="Normal 2 7 3 2 5" xfId="1657" xr:uid="{DE4007CF-7285-4C75-85BF-0875BCED6B98}"/>
    <cellStyle name="Normal 2 7 3 2 5 2" xfId="1658" xr:uid="{AAE88B9C-5892-480F-AC68-A9B390735394}"/>
    <cellStyle name="Normal 2 7 3 2 5 3" xfId="1659" xr:uid="{C0B357FF-94B2-4451-B6D4-E49C965A2931}"/>
    <cellStyle name="Normal 2 7 3 2 5 4" xfId="1660" xr:uid="{1C3F22C2-44F9-46E8-B3A4-AE61F9855E4B}"/>
    <cellStyle name="Normal 2 7 3 2 5 5" xfId="1661" xr:uid="{A1EC9934-F27E-4D20-A189-91BE3FCC77BF}"/>
    <cellStyle name="Normal 2 7 3 2 5 6" xfId="1662" xr:uid="{23F39B6C-7B5F-4937-B315-EE1165E921F7}"/>
    <cellStyle name="Normal 2 7 3 2 6" xfId="1663" xr:uid="{37749150-38CE-4450-8AC9-FDB83C35F2AF}"/>
    <cellStyle name="Normal 2 7 3 2 7" xfId="1664" xr:uid="{4FC90D32-1FA6-4613-B430-6CBE8B4304DA}"/>
    <cellStyle name="Normal 2 7 3 2 8" xfId="1665" xr:uid="{B9ADC580-8832-459B-8CCA-89168A62F8F3}"/>
    <cellStyle name="Normal 2 7 3 2 9" xfId="1666" xr:uid="{09DAB460-FA6A-4105-A5FC-F6FFCA57A627}"/>
    <cellStyle name="Normal 2 7 3 3" xfId="1667" xr:uid="{911DDA1A-A77B-4930-B29F-A8AD31AC7DAC}"/>
    <cellStyle name="Normal 2 7 3 3 2" xfId="1668" xr:uid="{792B0580-9F89-48AA-96B7-08E9B9899581}"/>
    <cellStyle name="Normal 2 7 3 3 2 2" xfId="1669" xr:uid="{1DE709A4-AB25-417C-9EBB-87762854EFA5}"/>
    <cellStyle name="Normal 2 7 3 3 2 2 2" xfId="1670" xr:uid="{862B5E5D-D790-41D1-823B-D2D2E944A541}"/>
    <cellStyle name="Normal 2 7 3 3 2 2 3" xfId="1671" xr:uid="{087861D5-8A30-410B-94C7-E9043E664E66}"/>
    <cellStyle name="Normal 2 7 3 3 2 2 4" xfId="1672" xr:uid="{86187482-4967-4106-B334-1097E45E4719}"/>
    <cellStyle name="Normal 2 7 3 3 2 2 5" xfId="1673" xr:uid="{41102E7F-39A7-4ADC-9EE8-06E890BDF57A}"/>
    <cellStyle name="Normal 2 7 3 3 2 2 6" xfId="1674" xr:uid="{A82E7F58-6398-4AFF-91B8-7679E5874D82}"/>
    <cellStyle name="Normal 2 7 3 3 2 3" xfId="1675" xr:uid="{4245EAA6-4E1F-4C69-B9F7-998879F3EBEA}"/>
    <cellStyle name="Normal 2 7 3 3 2 4" xfId="1676" xr:uid="{4A75B5E0-A1A2-4194-85E2-D7FBC3905E6B}"/>
    <cellStyle name="Normal 2 7 3 3 2 5" xfId="1677" xr:uid="{63943939-FF3A-42F2-AFB2-73C48AE32680}"/>
    <cellStyle name="Normal 2 7 3 3 2 6" xfId="1678" xr:uid="{0BF2DDF8-0544-472E-81FC-CC16BDA911F1}"/>
    <cellStyle name="Normal 2 7 3 3 2 7" xfId="1679" xr:uid="{32241020-2344-49B3-8DF7-9FD737A3F194}"/>
    <cellStyle name="Normal 2 7 3 3 3" xfId="1680" xr:uid="{7DB4379F-8326-4997-AB48-0B1F51C9D8F3}"/>
    <cellStyle name="Normal 2 7 3 3 3 2" xfId="1681" xr:uid="{B679D269-8C75-4C47-B0C2-78AF92017ECE}"/>
    <cellStyle name="Normal 2 7 3 3 3 3" xfId="1682" xr:uid="{DBBC2021-5698-48FA-9DCE-EE7464603789}"/>
    <cellStyle name="Normal 2 7 3 3 3 4" xfId="1683" xr:uid="{82062019-260E-420B-8693-97C5CA3B45BD}"/>
    <cellStyle name="Normal 2 7 3 3 3 5" xfId="1684" xr:uid="{2CE8D92D-2AE3-409A-A0FB-EF68E001F195}"/>
    <cellStyle name="Normal 2 7 3 3 3 6" xfId="1685" xr:uid="{93CA6EDB-FAF6-4DEA-8287-4E481DDC6BA2}"/>
    <cellStyle name="Normal 2 7 3 3 4" xfId="1686" xr:uid="{72EF2650-43A8-4FB1-83BD-E45B84A04F9E}"/>
    <cellStyle name="Normal 2 7 3 3 5" xfId="1687" xr:uid="{09DD7EBC-24E0-435C-89FE-7427168824F8}"/>
    <cellStyle name="Normal 2 7 3 3 6" xfId="1688" xr:uid="{880F62E1-D0D6-4D7D-A164-BEE7254325E2}"/>
    <cellStyle name="Normal 2 7 3 3 7" xfId="1689" xr:uid="{B6DABEAB-A9EA-4908-B40D-0A05B1B1A161}"/>
    <cellStyle name="Normal 2 7 3 3 8" xfId="1690" xr:uid="{A4D3ACD5-8A4E-46D8-A0AF-27E3555A46CA}"/>
    <cellStyle name="Normal 2 7 3 4" xfId="1691" xr:uid="{B49E2346-9AAB-4F0D-A571-B596C3841F95}"/>
    <cellStyle name="Normal 2 7 3 4 2" xfId="1692" xr:uid="{710F6848-ABFB-4A17-8977-F7FC6D5DECEB}"/>
    <cellStyle name="Normal 2 7 3 4 2 2" xfId="1693" xr:uid="{EDACCC5A-CFEC-4343-80A6-D385635EF944}"/>
    <cellStyle name="Normal 2 7 3 4 2 2 2" xfId="1694" xr:uid="{067AD18D-3DD9-4B3E-A656-6C50D87745F9}"/>
    <cellStyle name="Normal 2 7 3 4 2 2 3" xfId="1695" xr:uid="{2EE22626-941B-40F4-A1B0-CEBC1CBDB474}"/>
    <cellStyle name="Normal 2 7 3 4 2 2 4" xfId="1696" xr:uid="{519BDF2B-AED9-4FBC-8962-3470581BC019}"/>
    <cellStyle name="Normal 2 7 3 4 2 2 5" xfId="1697" xr:uid="{B996CA77-5839-40C2-ABBE-BCB64361AFE0}"/>
    <cellStyle name="Normal 2 7 3 4 2 2 6" xfId="1698" xr:uid="{45321A4B-C977-41EA-83DB-C9255C061F4D}"/>
    <cellStyle name="Normal 2 7 3 4 2 3" xfId="1699" xr:uid="{0F98D6C6-ABCA-4AA2-B63E-E77C57745DF3}"/>
    <cellStyle name="Normal 2 7 3 4 2 4" xfId="1700" xr:uid="{B351E5D0-8F33-49FA-935C-DAB182DD7793}"/>
    <cellStyle name="Normal 2 7 3 4 2 5" xfId="1701" xr:uid="{5F8E1DBD-6EB5-4137-A76E-B5CA1EF4F62E}"/>
    <cellStyle name="Normal 2 7 3 4 2 6" xfId="1702" xr:uid="{70593942-535B-49D5-B397-4DC9BAD8CE5C}"/>
    <cellStyle name="Normal 2 7 3 4 2 7" xfId="1703" xr:uid="{463102FC-C56A-452A-9D7B-F718E286E336}"/>
    <cellStyle name="Normal 2 7 3 4 3" xfId="1704" xr:uid="{70C6F486-7574-4E1C-A70D-F8E47B4B327C}"/>
    <cellStyle name="Normal 2 7 3 4 3 2" xfId="1705" xr:uid="{E80D0441-C83C-48A1-83DF-B94EC1814DFE}"/>
    <cellStyle name="Normal 2 7 3 4 3 3" xfId="1706" xr:uid="{2110DCB6-84D2-461E-8E36-0DA5D7C8DDE0}"/>
    <cellStyle name="Normal 2 7 3 4 3 4" xfId="1707" xr:uid="{E8E6C256-F878-474B-A198-19CB1C5C4AD9}"/>
    <cellStyle name="Normal 2 7 3 4 3 5" xfId="1708" xr:uid="{2748AE3E-FEB4-4209-B376-115B74DBC036}"/>
    <cellStyle name="Normal 2 7 3 4 3 6" xfId="1709" xr:uid="{287785B3-CAA6-4888-AC47-300C5094B00C}"/>
    <cellStyle name="Normal 2 7 3 4 4" xfId="1710" xr:uid="{BC58C95A-6833-4319-8B2A-54549A44828F}"/>
    <cellStyle name="Normal 2 7 3 4 5" xfId="1711" xr:uid="{0D24A422-0D74-4BF1-A7CF-EC59E00FC0FB}"/>
    <cellStyle name="Normal 2 7 3 4 6" xfId="1712" xr:uid="{F0FCA7EC-B971-4902-9F41-0DD2834B0DEA}"/>
    <cellStyle name="Normal 2 7 3 4 7" xfId="1713" xr:uid="{7F368A91-8068-4F7C-973F-CF6675091C1E}"/>
    <cellStyle name="Normal 2 7 3 4 8" xfId="1714" xr:uid="{2954E3C7-42DE-4CE1-8D40-7D0CCAB09EC7}"/>
    <cellStyle name="Normal 2 7 3 5" xfId="1715" xr:uid="{A503039A-09EA-442F-844D-B0DCBE1B3AEF}"/>
    <cellStyle name="Normal 2 7 3 5 2" xfId="1716" xr:uid="{9E54A67F-4843-4D3B-8BEC-D41B4F1F3838}"/>
    <cellStyle name="Normal 2 7 3 5 2 2" xfId="1717" xr:uid="{79F4E5CA-312C-41F2-96E8-290CE0E1DCFF}"/>
    <cellStyle name="Normal 2 7 3 5 2 3" xfId="1718" xr:uid="{9F99D921-21D5-4975-95C6-8958F1DEA2C4}"/>
    <cellStyle name="Normal 2 7 3 5 2 4" xfId="1719" xr:uid="{77673FFD-C356-4DAF-A07C-9718A6EB3BE3}"/>
    <cellStyle name="Normal 2 7 3 5 2 5" xfId="1720" xr:uid="{B85C06CC-E2DB-44E5-B02E-4A2C3FAB40A2}"/>
    <cellStyle name="Normal 2 7 3 5 2 6" xfId="1721" xr:uid="{2C151A7E-7DAC-4645-9325-2BBDA75433CC}"/>
    <cellStyle name="Normal 2 7 3 5 3" xfId="1722" xr:uid="{873380AF-5405-419A-97D6-7A6C49EC611B}"/>
    <cellStyle name="Normal 2 7 3 5 4" xfId="1723" xr:uid="{EDE7E526-C12B-4B87-A529-C4DD86ACE194}"/>
    <cellStyle name="Normal 2 7 3 5 5" xfId="1724" xr:uid="{27577B83-939E-4CB8-BBEE-F988976DC938}"/>
    <cellStyle name="Normal 2 7 3 5 6" xfId="1725" xr:uid="{DDB3F7BA-5AD6-441B-A737-B350F86285CE}"/>
    <cellStyle name="Normal 2 7 3 5 7" xfId="1726" xr:uid="{BA4F1FEA-2565-40AF-928E-1E79AE18A707}"/>
    <cellStyle name="Normal 2 7 3 6" xfId="1727" xr:uid="{AD8E2F34-834B-4293-90CF-390BE4825B9F}"/>
    <cellStyle name="Normal 2 7 3 6 2" xfId="1728" xr:uid="{5F98833B-9AC4-459A-8B8E-2B57977A0629}"/>
    <cellStyle name="Normal 2 7 3 6 3" xfId="1729" xr:uid="{2559B803-3589-4201-97C5-5EB67969259B}"/>
    <cellStyle name="Normal 2 7 3 6 4" xfId="1730" xr:uid="{48C90AD1-8C75-446C-B692-B0E951336367}"/>
    <cellStyle name="Normal 2 7 3 6 5" xfId="1731" xr:uid="{59E67F82-1DAB-4490-A3BD-4FFBFC0AC6BA}"/>
    <cellStyle name="Normal 2 7 3 6 6" xfId="1732" xr:uid="{C36FDF38-D871-44A9-9998-F07E02A8F112}"/>
    <cellStyle name="Normal 2 7 3 7" xfId="1733" xr:uid="{F0D1E02E-0963-49A5-A4C3-D6C869B78F6A}"/>
    <cellStyle name="Normal 2 7 3 8" xfId="1734" xr:uid="{D7C58394-7705-41C0-BCB5-8E73B7C9F23E}"/>
    <cellStyle name="Normal 2 7 3 9" xfId="1735" xr:uid="{5D4F8B2D-4172-4873-ACAB-C7EC6EA5F3FF}"/>
    <cellStyle name="Normal 2 7 4" xfId="1736" xr:uid="{48CC1F77-62D2-45C8-BEE5-F75A9C12E5B7}"/>
    <cellStyle name="Normal 2 7 4 10" xfId="1737" xr:uid="{750C609F-CF0A-442E-81A8-3CBD3FBBF91C}"/>
    <cellStyle name="Normal 2 7 4 11" xfId="1738" xr:uid="{85739F01-D114-4ABF-821E-11700D02EF02}"/>
    <cellStyle name="Normal 2 7 4 12" xfId="32902" xr:uid="{A48DB619-E199-445B-82D6-F349406F1F7A}"/>
    <cellStyle name="Normal 2 7 4 2" xfId="1739" xr:uid="{8C062C5D-0D50-4FEA-8CAF-D91FF7EB6F93}"/>
    <cellStyle name="Normal 2 7 4 2 2" xfId="1740" xr:uid="{5929DA1C-47D3-44A4-8096-0E1AB8360C56}"/>
    <cellStyle name="Normal 2 7 4 2 2 2" xfId="1741" xr:uid="{CEFE3830-C904-4BED-983A-026F5171D959}"/>
    <cellStyle name="Normal 2 7 4 2 2 2 2" xfId="1742" xr:uid="{7987D147-5E9F-48D7-A3B1-3EA16576C760}"/>
    <cellStyle name="Normal 2 7 4 2 2 2 3" xfId="1743" xr:uid="{932900CB-7CB9-4B1A-A339-BF7D9B02B7F0}"/>
    <cellStyle name="Normal 2 7 4 2 2 2 4" xfId="1744" xr:uid="{1F1E46C3-4A33-45C9-83C1-5DC752762EE3}"/>
    <cellStyle name="Normal 2 7 4 2 2 2 5" xfId="1745" xr:uid="{5D9049D3-9E94-411D-BAF8-B6237E4CEC49}"/>
    <cellStyle name="Normal 2 7 4 2 2 2 6" xfId="1746" xr:uid="{07DFDD1A-3D54-40BF-AF6C-09CC4C706170}"/>
    <cellStyle name="Normal 2 7 4 2 2 3" xfId="1747" xr:uid="{B5CD8FCB-6BA0-44D8-AE46-5E1AB20D5D7A}"/>
    <cellStyle name="Normal 2 7 4 2 2 4" xfId="1748" xr:uid="{1B1F5922-4AB4-4C69-B802-A5DA30FED8EF}"/>
    <cellStyle name="Normal 2 7 4 2 2 5" xfId="1749" xr:uid="{28DBCE1A-C718-402E-BF0E-06D3AEC15F8B}"/>
    <cellStyle name="Normal 2 7 4 2 2 6" xfId="1750" xr:uid="{A9059912-1E63-4652-B6E0-972C91A7016D}"/>
    <cellStyle name="Normal 2 7 4 2 2 7" xfId="1751" xr:uid="{0811843B-623B-4B3A-877E-5694441B8C59}"/>
    <cellStyle name="Normal 2 7 4 2 3" xfId="1752" xr:uid="{95F41663-595C-47CA-89FD-E335A44DF664}"/>
    <cellStyle name="Normal 2 7 4 2 3 2" xfId="1753" xr:uid="{1A8A2440-0C4C-4152-A77C-5DE2A2025B6D}"/>
    <cellStyle name="Normal 2 7 4 2 3 3" xfId="1754" xr:uid="{C7E1A6AC-3E11-4CB9-BBA0-D6B32D37E6DF}"/>
    <cellStyle name="Normal 2 7 4 2 3 4" xfId="1755" xr:uid="{7A7DFBCD-A8BE-4801-B738-CAD3694C3933}"/>
    <cellStyle name="Normal 2 7 4 2 3 5" xfId="1756" xr:uid="{16F735AE-4E9C-4B0F-A352-90733FB4A46E}"/>
    <cellStyle name="Normal 2 7 4 2 3 6" xfId="1757" xr:uid="{CAEAC98D-CE9C-46C1-B997-7AFB3D18BFBC}"/>
    <cellStyle name="Normal 2 7 4 2 4" xfId="1758" xr:uid="{CB5A68BD-6323-4FAF-A6B1-318BCA412213}"/>
    <cellStyle name="Normal 2 7 4 2 5" xfId="1759" xr:uid="{6C1E9F76-6701-4923-B844-03C7F02B0C57}"/>
    <cellStyle name="Normal 2 7 4 2 6" xfId="1760" xr:uid="{0E2B606D-4E89-4671-8FA6-658F2667884A}"/>
    <cellStyle name="Normal 2 7 4 2 7" xfId="1761" xr:uid="{E58E84B4-09BB-4297-8600-640454A8E4AF}"/>
    <cellStyle name="Normal 2 7 4 2 8" xfId="1762" xr:uid="{EF9C944A-542D-4779-9542-B23C128A70C4}"/>
    <cellStyle name="Normal 2 7 4 3" xfId="1763" xr:uid="{B0D51839-F4F3-4350-A827-2E04DABDD447}"/>
    <cellStyle name="Normal 2 7 4 3 2" xfId="1764" xr:uid="{59C68D9E-19BD-49EB-B8D9-2CE7D880C7BF}"/>
    <cellStyle name="Normal 2 7 4 3 2 2" xfId="1765" xr:uid="{0B9E6622-B740-4ABF-A367-465760D2B954}"/>
    <cellStyle name="Normal 2 7 4 3 2 2 2" xfId="1766" xr:uid="{24F22E36-3A26-45B1-AEF1-64C8A4333745}"/>
    <cellStyle name="Normal 2 7 4 3 2 2 3" xfId="1767" xr:uid="{2A13B1CB-57DA-4A69-A9DA-D66481E70B1F}"/>
    <cellStyle name="Normal 2 7 4 3 2 2 4" xfId="1768" xr:uid="{5C325741-CE10-4DB6-AB51-50418342F39D}"/>
    <cellStyle name="Normal 2 7 4 3 2 2 5" xfId="1769" xr:uid="{1E445B75-6F14-4CEF-99E9-298A299D82C3}"/>
    <cellStyle name="Normal 2 7 4 3 2 2 6" xfId="1770" xr:uid="{BDFDC984-74FA-4662-97D1-F426C46CC49D}"/>
    <cellStyle name="Normal 2 7 4 3 2 3" xfId="1771" xr:uid="{00CF468C-9D7B-433C-8C7F-FCBF9D1CF5D1}"/>
    <cellStyle name="Normal 2 7 4 3 2 4" xfId="1772" xr:uid="{44F5CA2C-A22B-472F-B0FD-E2ECEACE793B}"/>
    <cellStyle name="Normal 2 7 4 3 2 5" xfId="1773" xr:uid="{9F2ED3A9-E86C-43B7-B335-0C4CC3462A1A}"/>
    <cellStyle name="Normal 2 7 4 3 2 6" xfId="1774" xr:uid="{38EF6A6B-95CD-4BBB-BDA4-69B01BC9D123}"/>
    <cellStyle name="Normal 2 7 4 3 2 7" xfId="1775" xr:uid="{7D2AAA7C-B7F5-4AC6-9339-C172AE658E0B}"/>
    <cellStyle name="Normal 2 7 4 3 3" xfId="1776" xr:uid="{EDD558C5-AD91-43EB-B98C-8904BA96A2C1}"/>
    <cellStyle name="Normal 2 7 4 3 3 2" xfId="1777" xr:uid="{15212F45-5D3E-4F45-967C-044BB7D5E39A}"/>
    <cellStyle name="Normal 2 7 4 3 3 3" xfId="1778" xr:uid="{C019B774-1192-4D18-A517-561D50B8341E}"/>
    <cellStyle name="Normal 2 7 4 3 3 4" xfId="1779" xr:uid="{256ECD41-70AE-4B27-8BD2-0F49761D9065}"/>
    <cellStyle name="Normal 2 7 4 3 3 5" xfId="1780" xr:uid="{CE7E791D-F7C1-4807-9EF3-92A75A32727B}"/>
    <cellStyle name="Normal 2 7 4 3 3 6" xfId="1781" xr:uid="{1B0F418B-A027-4D66-9ED6-3EECEB35FD1D}"/>
    <cellStyle name="Normal 2 7 4 3 4" xfId="1782" xr:uid="{F97D9A23-F0D8-4512-89FC-FE41E6225106}"/>
    <cellStyle name="Normal 2 7 4 3 5" xfId="1783" xr:uid="{81D4F54C-7FA6-4413-B9EC-267A5CCDDA18}"/>
    <cellStyle name="Normal 2 7 4 3 6" xfId="1784" xr:uid="{AB313EF3-EF59-4BED-947A-4B8A631D5580}"/>
    <cellStyle name="Normal 2 7 4 3 7" xfId="1785" xr:uid="{D5660F07-0C45-4C7A-9C76-505A1C03D3E1}"/>
    <cellStyle name="Normal 2 7 4 3 8" xfId="1786" xr:uid="{27D7F679-3D44-498F-A627-408E7AC4E52D}"/>
    <cellStyle name="Normal 2 7 4 4" xfId="1787" xr:uid="{B893F14B-81EF-4F4D-B099-C2D636C0D982}"/>
    <cellStyle name="Normal 2 7 4 4 2" xfId="1788" xr:uid="{BBEAA9EE-6289-4116-B340-8A2ADAFFD19D}"/>
    <cellStyle name="Normal 2 7 4 4 2 2" xfId="1789" xr:uid="{47310E55-5B26-44F5-88E3-725660BD402B}"/>
    <cellStyle name="Normal 2 7 4 4 2 3" xfId="1790" xr:uid="{DDF06D8D-B6B7-4C57-BAC1-40332F4F7E48}"/>
    <cellStyle name="Normal 2 7 4 4 2 4" xfId="1791" xr:uid="{90FC2DAA-E54C-492C-9F7B-EE98DD74B638}"/>
    <cellStyle name="Normal 2 7 4 4 2 5" xfId="1792" xr:uid="{993369A6-9753-4A98-960D-F376A477B895}"/>
    <cellStyle name="Normal 2 7 4 4 2 6" xfId="1793" xr:uid="{A14E798D-B6C1-48DB-A261-ACBF706D8219}"/>
    <cellStyle name="Normal 2 7 4 4 3" xfId="1794" xr:uid="{A2656107-E28F-4E10-ADB3-7CD9B3716914}"/>
    <cellStyle name="Normal 2 7 4 4 4" xfId="1795" xr:uid="{346CAE71-A6FD-4B5A-903A-D5D84A8BCB21}"/>
    <cellStyle name="Normal 2 7 4 4 5" xfId="1796" xr:uid="{AB34F2BF-3262-42B5-87ED-93E180CF0D46}"/>
    <cellStyle name="Normal 2 7 4 4 6" xfId="1797" xr:uid="{062E9619-3F4D-4074-B83C-D4ED7C65E267}"/>
    <cellStyle name="Normal 2 7 4 4 7" xfId="1798" xr:uid="{482FD3A0-5058-49BA-A8B8-14FF072C69A9}"/>
    <cellStyle name="Normal 2 7 4 5" xfId="1799" xr:uid="{077C57DC-2BE3-4D70-9F73-B852E740D3D3}"/>
    <cellStyle name="Normal 2 7 4 5 2" xfId="1800" xr:uid="{F8EE3FCD-2336-4F3B-8B85-EFBCB04CEAE4}"/>
    <cellStyle name="Normal 2 7 4 5 3" xfId="1801" xr:uid="{F36C2490-5881-45C1-96E0-096D11A2F925}"/>
    <cellStyle name="Normal 2 7 4 5 4" xfId="1802" xr:uid="{221FE103-9A2A-4846-A5F0-4FCE746098F4}"/>
    <cellStyle name="Normal 2 7 4 5 5" xfId="1803" xr:uid="{A44D2AC0-4077-4F7D-B417-92A36ECDBDDD}"/>
    <cellStyle name="Normal 2 7 4 5 6" xfId="1804" xr:uid="{8E5C566F-24C9-4A55-87F1-6F74D55FDDD7}"/>
    <cellStyle name="Normal 2 7 4 6" xfId="1805" xr:uid="{55EC87B4-72C1-4B83-B3BB-5F614886AC13}"/>
    <cellStyle name="Normal 2 7 4 7" xfId="1806" xr:uid="{8E5BC22C-3585-40EA-B52C-323C039CCA82}"/>
    <cellStyle name="Normal 2 7 4 8" xfId="1807" xr:uid="{1A47AAE7-E877-43BB-9F57-726D9C24CC4E}"/>
    <cellStyle name="Normal 2 7 4 9" xfId="1808" xr:uid="{20D5C0F1-1748-4AA2-921D-789FAC39378C}"/>
    <cellStyle name="Normal 2 7 5" xfId="1809" xr:uid="{B7666407-D43C-495C-A9E0-18E652CBE5EB}"/>
    <cellStyle name="Normal 2 7 5 2" xfId="1810" xr:uid="{49463BE2-8194-4AE3-B0A6-4A0EB9595178}"/>
    <cellStyle name="Normal 2 7 5 2 2" xfId="1811" xr:uid="{22FFE3EF-1768-46F0-8F55-7E473550F103}"/>
    <cellStyle name="Normal 2 7 5 2 2 2" xfId="1812" xr:uid="{F15E051F-4758-458C-A895-52D7A8A81922}"/>
    <cellStyle name="Normal 2 7 5 2 2 3" xfId="1813" xr:uid="{F0D790D3-72B2-45AC-98B2-51E87533937A}"/>
    <cellStyle name="Normal 2 7 5 2 2 4" xfId="1814" xr:uid="{10655D7D-FD5A-451F-9777-1A4F14F01382}"/>
    <cellStyle name="Normal 2 7 5 2 2 5" xfId="1815" xr:uid="{8DFD457B-62FB-4D1A-8EA7-C2A8132E0B5A}"/>
    <cellStyle name="Normal 2 7 5 2 2 6" xfId="1816" xr:uid="{099D9FFB-7F58-44A4-92EB-8CB73592394B}"/>
    <cellStyle name="Normal 2 7 5 2 3" xfId="1817" xr:uid="{98D5D3E8-90B0-488D-B0B3-43A882F0EFFD}"/>
    <cellStyle name="Normal 2 7 5 2 4" xfId="1818" xr:uid="{3ABC1AE4-2D28-4FAA-A59D-D56362C9F342}"/>
    <cellStyle name="Normal 2 7 5 2 5" xfId="1819" xr:uid="{AEA991B0-EE1A-4C92-BFE9-533E3D6EED82}"/>
    <cellStyle name="Normal 2 7 5 2 6" xfId="1820" xr:uid="{E94A206D-60D2-4B04-95C0-6F63FC80BAE5}"/>
    <cellStyle name="Normal 2 7 5 2 7" xfId="1821" xr:uid="{82F81AFB-9CD5-4518-BC2C-3620B744E0D8}"/>
    <cellStyle name="Normal 2 7 5 3" xfId="1822" xr:uid="{719C950D-75F1-40DB-A63C-00A5FBD19C94}"/>
    <cellStyle name="Normal 2 7 5 3 2" xfId="1823" xr:uid="{AFB21A71-CB00-4E9A-B70D-66731AC38092}"/>
    <cellStyle name="Normal 2 7 5 3 3" xfId="1824" xr:uid="{DAA294EE-E82C-4386-B106-AECFC49A21CC}"/>
    <cellStyle name="Normal 2 7 5 3 4" xfId="1825" xr:uid="{CF47C935-E980-470A-84FD-CD9E827F8C91}"/>
    <cellStyle name="Normal 2 7 5 3 5" xfId="1826" xr:uid="{1120CBF8-B4FD-4F56-B066-CE794E9609E7}"/>
    <cellStyle name="Normal 2 7 5 3 6" xfId="1827" xr:uid="{8BC68E10-0CC6-4D59-9CB7-EB95D7B52A6B}"/>
    <cellStyle name="Normal 2 7 5 4" xfId="1828" xr:uid="{D451062A-2978-4758-9AA9-BFD129229270}"/>
    <cellStyle name="Normal 2 7 5 5" xfId="1829" xr:uid="{007F20A8-6A12-4878-AB9C-B29BC658822E}"/>
    <cellStyle name="Normal 2 7 5 6" xfId="1830" xr:uid="{7476F683-FA9B-4841-BF03-E920E75DC8F5}"/>
    <cellStyle name="Normal 2 7 5 7" xfId="1831" xr:uid="{FE3B9707-6BC1-4BB1-B4C0-074DCF1DDCBE}"/>
    <cellStyle name="Normal 2 7 5 8" xfId="1832" xr:uid="{3E9CBC13-DE37-4CAD-9E7E-78BBB1CA9D30}"/>
    <cellStyle name="Normal 2 7 6" xfId="1833" xr:uid="{DEE5E017-DE6E-4195-A6D3-8FB6C1CF9952}"/>
    <cellStyle name="Normal 2 7 6 2" xfId="1834" xr:uid="{63450ADC-C6F5-4715-B6B7-F8E25E55AAB4}"/>
    <cellStyle name="Normal 2 7 6 2 2" xfId="1835" xr:uid="{DF879718-1C68-488B-A7AB-D68F9B1EFDCA}"/>
    <cellStyle name="Normal 2 7 6 2 2 2" xfId="1836" xr:uid="{9C05ED34-04A4-44A8-A60E-191B363B46ED}"/>
    <cellStyle name="Normal 2 7 6 2 2 3" xfId="1837" xr:uid="{962D438A-96CC-4119-B156-96B16AD226BE}"/>
    <cellStyle name="Normal 2 7 6 2 2 4" xfId="1838" xr:uid="{B821A6B0-BCFE-4979-A2B7-AEA6FD4D6C36}"/>
    <cellStyle name="Normal 2 7 6 2 2 5" xfId="1839" xr:uid="{2FE3A46C-C9F1-4919-B4CA-1200C573564D}"/>
    <cellStyle name="Normal 2 7 6 2 2 6" xfId="1840" xr:uid="{60867C8E-E789-4867-B18D-A93ADD14A04C}"/>
    <cellStyle name="Normal 2 7 6 2 3" xfId="1841" xr:uid="{803C30CF-5D43-408A-9409-8939BFDB88AD}"/>
    <cellStyle name="Normal 2 7 6 2 4" xfId="1842" xr:uid="{9FF6339A-253C-47F0-AADC-FD856B87872F}"/>
    <cellStyle name="Normal 2 7 6 2 5" xfId="1843" xr:uid="{C7E27CD6-04B5-4256-859B-67A322983D3C}"/>
    <cellStyle name="Normal 2 7 6 2 6" xfId="1844" xr:uid="{0F622524-6309-4AA9-A4CB-C2644204ECD0}"/>
    <cellStyle name="Normal 2 7 6 2 7" xfId="1845" xr:uid="{5E50FD8D-6774-4264-BB83-195B47D97DFA}"/>
    <cellStyle name="Normal 2 7 6 3" xfId="1846" xr:uid="{060ACA69-B13A-4772-B099-7347CE8E273E}"/>
    <cellStyle name="Normal 2 7 6 3 2" xfId="1847" xr:uid="{EDDB2A76-1188-4BA9-A103-30740B50B6B9}"/>
    <cellStyle name="Normal 2 7 6 3 3" xfId="1848" xr:uid="{F6BDF147-3C9A-4A0C-A5AA-B6FEFC7382A0}"/>
    <cellStyle name="Normal 2 7 6 3 4" xfId="1849" xr:uid="{7C408361-737B-4879-B357-1E55B808F58D}"/>
    <cellStyle name="Normal 2 7 6 3 5" xfId="1850" xr:uid="{FB257247-A887-44B7-9BA2-D068402E5B15}"/>
    <cellStyle name="Normal 2 7 6 3 6" xfId="1851" xr:uid="{53EC0F6A-8CAE-4CF6-93FD-A4E77D0CE544}"/>
    <cellStyle name="Normal 2 7 6 4" xfId="1852" xr:uid="{54CA430A-CD9B-4C49-993C-B6FBDC0C8975}"/>
    <cellStyle name="Normal 2 7 6 5" xfId="1853" xr:uid="{5F49094B-2997-4B7A-A4D8-244EDC13D9CF}"/>
    <cellStyle name="Normal 2 7 6 6" xfId="1854" xr:uid="{85F9D3E8-8BFA-4598-ADDC-8F59D7D9D7DC}"/>
    <cellStyle name="Normal 2 7 6 7" xfId="1855" xr:uid="{94DCE71A-A6BF-44E0-88AA-EE2D5440987D}"/>
    <cellStyle name="Normal 2 7 6 8" xfId="1856" xr:uid="{00EA6CB6-DDD4-4D18-875A-4AEF4D0773F7}"/>
    <cellStyle name="Normal 2 7 7" xfId="1857" xr:uid="{9EA7AB1A-645A-4617-9EE3-81453BA4E7EB}"/>
    <cellStyle name="Normal 2 7 7 2" xfId="1858" xr:uid="{14D2EF75-6724-44FB-999F-B0A20EEEE04B}"/>
    <cellStyle name="Normal 2 7 7 2 2" xfId="1859" xr:uid="{162EBE31-5C0F-4D29-927C-91178FAC2A04}"/>
    <cellStyle name="Normal 2 7 7 2 3" xfId="1860" xr:uid="{7B1795E7-381D-4BFC-8B57-ECB2FCFB7B35}"/>
    <cellStyle name="Normal 2 7 7 2 4" xfId="1861" xr:uid="{0F626947-AFA5-40B8-918F-0BB930C46E83}"/>
    <cellStyle name="Normal 2 7 7 2 5" xfId="1862" xr:uid="{8507B1B6-81CE-43C6-BF7A-1D5709BEB5AF}"/>
    <cellStyle name="Normal 2 7 7 2 6" xfId="1863" xr:uid="{1C7F15D3-0056-4B49-9547-D54D84ED02DA}"/>
    <cellStyle name="Normal 2 7 7 3" xfId="1864" xr:uid="{47433068-50C3-4986-A6B0-3B66249DA142}"/>
    <cellStyle name="Normal 2 7 7 4" xfId="1865" xr:uid="{0F498295-52A3-4A01-B78E-E7CBE9C41181}"/>
    <cellStyle name="Normal 2 7 7 5" xfId="1866" xr:uid="{9D216783-5A55-497C-8F47-A3CE0C61EC01}"/>
    <cellStyle name="Normal 2 7 7 6" xfId="1867" xr:uid="{1732382B-E32F-4292-AAE6-4D36DE40307C}"/>
    <cellStyle name="Normal 2 7 7 7" xfId="1868" xr:uid="{1ACAF76C-03CC-407B-8045-633450935977}"/>
    <cellStyle name="Normal 2 7 8" xfId="1869" xr:uid="{8B7BFB76-4246-42B4-ADFB-7D33B9A6F544}"/>
    <cellStyle name="Normal 2 7 8 2" xfId="1870" xr:uid="{4BFB1C54-AA68-4442-8DD6-BDC4A93C95CD}"/>
    <cellStyle name="Normal 2 7 8 3" xfId="1871" xr:uid="{790F490A-5A3C-4D5C-B32A-84604C1ED6E0}"/>
    <cellStyle name="Normal 2 7 8 4" xfId="1872" xr:uid="{2D0A2122-F1A9-49B4-8FC2-97075C0CBF17}"/>
    <cellStyle name="Normal 2 7 8 5" xfId="1873" xr:uid="{FF576398-6296-4F54-8EE8-A4F30251C725}"/>
    <cellStyle name="Normal 2 7 8 6" xfId="1874" xr:uid="{C6953533-5202-4356-B95A-5389CC7DBC94}"/>
    <cellStyle name="Normal 2 7 9" xfId="1875" xr:uid="{3C9AACD2-8EF7-4F3F-AE6F-D1235B75FF73}"/>
    <cellStyle name="Normal 2 8" xfId="1876" xr:uid="{8D35F397-FF8B-4AC9-9165-56EEBDB40595}"/>
    <cellStyle name="Normal 2 8 2" xfId="1877" xr:uid="{1494CD31-5462-49BD-B851-5AFC85651DF8}"/>
    <cellStyle name="Normal 2 8 2 2" xfId="1878" xr:uid="{6CF309B3-AFCB-4537-89A8-6B4567F32879}"/>
    <cellStyle name="Normal 2 8 3" xfId="1879" xr:uid="{0CE55655-DBE6-44F2-8306-DE371C4B30A8}"/>
    <cellStyle name="Normal 2 8 4" xfId="1880" xr:uid="{7616C265-5913-4168-A599-0B964FDD2A7B}"/>
    <cellStyle name="Normal 2 8 4 2" xfId="32903" xr:uid="{C4B6BEC3-034B-48EE-821A-C5534C53ACAE}"/>
    <cellStyle name="Normal 2 9" xfId="1881" xr:uid="{07365FF4-B7DB-4421-B65F-F5BDE412C9FF}"/>
    <cellStyle name="Normal 2 9 2" xfId="1882" xr:uid="{C0B19359-E5AE-445D-8E4C-CDDF4371FF99}"/>
    <cellStyle name="Normal 3" xfId="1883" xr:uid="{ED35B55F-3872-4B41-8DEC-BC0967794211}"/>
    <cellStyle name="Normal 3 10" xfId="1884" xr:uid="{179C31D9-BE01-4E45-BF0C-66792C70D41C}"/>
    <cellStyle name="Normal 3 11" xfId="1885" xr:uid="{C6534DD7-DE19-467E-9E8C-162298B1CB88}"/>
    <cellStyle name="Normal 3 12" xfId="1886" xr:uid="{1DE9827D-9603-40E0-9DBD-7390D3E17AC9}"/>
    <cellStyle name="Normal 3 13" xfId="1887" xr:uid="{381C184D-EE6B-49BD-BA46-7DE12F516CA2}"/>
    <cellStyle name="Normal 3 14" xfId="32904" xr:uid="{15A47ED8-4116-42A4-8DDE-22467C7AC86F}"/>
    <cellStyle name="Normal 3 2" xfId="1888" xr:uid="{B34D62D9-FA40-411E-A445-D2D54C540936}"/>
    <cellStyle name="Normal 3 2 10" xfId="1889" xr:uid="{54509ADE-6583-474C-93AD-16B43E291914}"/>
    <cellStyle name="Normal 3 2 11" xfId="32905" xr:uid="{1CEF53BE-220B-4BF5-A787-73370947A901}"/>
    <cellStyle name="Normal 3 2 2" xfId="1890" xr:uid="{E2AA4E99-2928-4558-8232-3AF45A5722E4}"/>
    <cellStyle name="Normal 3 2 2 2" xfId="1891" xr:uid="{7A8609EF-03ED-4ED4-83ED-822135078671}"/>
    <cellStyle name="Normal 3 2 2 2 2" xfId="1892" xr:uid="{A6997500-1F00-496F-87D7-4B26D03AD1A6}"/>
    <cellStyle name="Normal 3 2 2 2 2 2" xfId="1893" xr:uid="{ED8F3491-E176-41C3-8C91-E1937400EF27}"/>
    <cellStyle name="Normal 3 2 2 2 2 2 2" xfId="1894" xr:uid="{80739B39-7DD3-4F78-BFAB-66CDE1A9AD00}"/>
    <cellStyle name="Normal 3 2 2 2 2 3" xfId="1895" xr:uid="{39E692EE-ACAE-4863-8F5D-17F5A985DE2D}"/>
    <cellStyle name="Normal 3 2 2 2 2 4" xfId="1896" xr:uid="{4E9D921E-7125-4364-BDDD-B6B5489D96E5}"/>
    <cellStyle name="Normal 3 2 2 2 2 4 2" xfId="32906" xr:uid="{C3959AD6-C278-479A-91AD-345503EE18E6}"/>
    <cellStyle name="Normal 3 2 2 2 3" xfId="1897" xr:uid="{0ED6F998-F9C9-4CC1-AEE8-D7E2D4D37252}"/>
    <cellStyle name="Normal 3 2 2 2 3 2" xfId="1898" xr:uid="{93A6C8B2-15A9-43F0-90C5-898B63B805F4}"/>
    <cellStyle name="Normal 3 2 2 2 4" xfId="1899" xr:uid="{9D807CDB-2F6A-43B1-97E2-E5FE77773B9E}"/>
    <cellStyle name="Normal 3 2 2 2 5" xfId="1900" xr:uid="{6EAC19F4-BA96-425C-901B-BCB139821DF7}"/>
    <cellStyle name="Normal 3 2 2 2 5 2" xfId="32907" xr:uid="{256D0C0E-8B7F-41BF-B9D7-7DEF7AB85708}"/>
    <cellStyle name="Normal 3 2 2 3" xfId="1901" xr:uid="{F8C571CC-A05C-404C-B90B-5E652B8282DE}"/>
    <cellStyle name="Normal 3 2 2 3 2" xfId="1902" xr:uid="{B397279E-A8F9-4291-BF28-B41AF59D8C55}"/>
    <cellStyle name="Normal 3 2 2 3 2 2" xfId="1903" xr:uid="{0FCAD000-9D0D-4CF3-BF5B-9A8B5AEE5972}"/>
    <cellStyle name="Normal 3 2 2 3 3" xfId="1904" xr:uid="{F18F31DB-47E2-4903-A38E-1F2C2DEB34D9}"/>
    <cellStyle name="Normal 3 2 2 3 4" xfId="1905" xr:uid="{4116CF86-B450-4861-90FF-BC8262A36031}"/>
    <cellStyle name="Normal 3 2 2 3 4 2" xfId="32908" xr:uid="{5529AD16-68E5-459C-B0C0-04F2A9F52D43}"/>
    <cellStyle name="Normal 3 2 2 4" xfId="1906" xr:uid="{FB55686F-A066-484B-A4FA-02B844D9BB46}"/>
    <cellStyle name="Normal 3 2 2 4 2" xfId="1907" xr:uid="{5B1AF9F4-7F11-44F2-B2BC-8A537C1D0776}"/>
    <cellStyle name="Normal 3 2 2 5" xfId="1908" xr:uid="{C45BBB32-6E90-4C9B-B27D-CB694B172AD0}"/>
    <cellStyle name="Normal 3 2 2 6" xfId="1909" xr:uid="{8740E5EE-7E76-48D6-A529-9038F4CAEC32}"/>
    <cellStyle name="Normal 3 2 2 6 2" xfId="32909" xr:uid="{BB59F948-D5B9-444C-8CCE-45D197A4E52C}"/>
    <cellStyle name="Normal 3 2 2 7" xfId="1910" xr:uid="{7FF49EDD-814C-4A92-8337-9917D22057BD}"/>
    <cellStyle name="Normal 3 2 2 8" xfId="32910" xr:uid="{4C49ECB3-3826-4CFC-B58D-2397B932D21B}"/>
    <cellStyle name="Normal 3 2 3" xfId="1911" xr:uid="{DE43F19C-D57C-4DED-A882-6BF454903646}"/>
    <cellStyle name="Normal 3 2 3 2" xfId="1912" xr:uid="{96D01360-04DD-4279-9695-8E13F11D31A0}"/>
    <cellStyle name="Normal 3 2 3 2 2" xfId="1913" xr:uid="{F18E2F99-EC49-48FE-9777-233F1FA6E111}"/>
    <cellStyle name="Normal 3 2 3 2 2 2" xfId="1914" xr:uid="{2A7E9034-E002-4359-9119-3CA697DA52EB}"/>
    <cellStyle name="Normal 3 2 3 2 3" xfId="1915" xr:uid="{09F85D33-48E6-4D50-A9EC-FDFF4D437442}"/>
    <cellStyle name="Normal 3 2 3 2 4" xfId="1916" xr:uid="{21D0AC60-EC19-40BC-A006-A4A86538F66C}"/>
    <cellStyle name="Normal 3 2 3 2 4 2" xfId="32911" xr:uid="{5FCB9219-EACF-46DB-922A-0077D4D91898}"/>
    <cellStyle name="Normal 3 2 3 3" xfId="1917" xr:uid="{D273506C-7B67-40C8-8386-9C7156B11AE1}"/>
    <cellStyle name="Normal 3 2 3 3 2" xfId="1918" xr:uid="{3DED0B16-95FE-48CE-951B-E2C8AA0DF383}"/>
    <cellStyle name="Normal 3 2 3 3 2 2" xfId="1919" xr:uid="{37612D58-8E55-4F38-AFE1-6637A2168257}"/>
    <cellStyle name="Normal 3 2 3 3 3" xfId="1920" xr:uid="{BE06FD9B-A12F-4AF0-8505-5F5DDDF5DD3A}"/>
    <cellStyle name="Normal 3 2 3 3 4" xfId="1921" xr:uid="{8B369310-829D-46E2-AFE0-11AA68F15F9B}"/>
    <cellStyle name="Normal 3 2 3 3 4 2" xfId="32912" xr:uid="{1E76D2CD-E280-46D7-84A7-522578309A69}"/>
    <cellStyle name="Normal 3 2 3 4" xfId="1922" xr:uid="{F631DCB6-98C5-42BA-8E58-17A8D1391EBA}"/>
    <cellStyle name="Normal 3 2 3 4 2" xfId="1923" xr:uid="{BDFD1790-7E78-455D-AA00-B3845CBD5213}"/>
    <cellStyle name="Normal 3 2 3 5" xfId="1924" xr:uid="{5DFF4B43-CBF8-4431-8491-0BF03939E669}"/>
    <cellStyle name="Normal 3 2 3 6" xfId="1925" xr:uid="{DC887537-D2D6-4A3E-BD84-E147583B6471}"/>
    <cellStyle name="Normal 3 2 3 6 2" xfId="32913" xr:uid="{959ACC34-078E-4A8A-AD3C-F8BABF6DCE2C}"/>
    <cellStyle name="Normal 3 2 4" xfId="1926" xr:uid="{0ABAE438-CE66-40D8-AD24-5AF1EE7EFF9C}"/>
    <cellStyle name="Normal 3 2 4 2" xfId="1927" xr:uid="{4DA417B8-16DA-4FE0-BB6E-6975CBEA7771}"/>
    <cellStyle name="Normal 3 2 4 2 2" xfId="1928" xr:uid="{8961DA51-7A5C-4E21-B975-EFE891EF37D2}"/>
    <cellStyle name="Normal 3 2 4 3" xfId="1929" xr:uid="{63A93F75-A517-40DD-A529-2CE83605C481}"/>
    <cellStyle name="Normal 3 2 4 4" xfId="1930" xr:uid="{27018A79-DFA5-41F1-B7EB-06DE686A801B}"/>
    <cellStyle name="Normal 3 2 4 4 2" xfId="32914" xr:uid="{134FE7E3-426E-4CC6-96D3-76670C630AD3}"/>
    <cellStyle name="Normal 3 2 5" xfId="1931" xr:uid="{233BD293-F4C6-4DE8-AB03-45CEFB452A55}"/>
    <cellStyle name="Normal 3 2 5 2" xfId="1932" xr:uid="{F79F666A-1439-4445-8E1D-C848B3A7324B}"/>
    <cellStyle name="Normal 3 2 5 2 2" xfId="1933" xr:uid="{8C246484-6507-4715-9D89-443382668640}"/>
    <cellStyle name="Normal 3 2 5 3" xfId="1934" xr:uid="{BE25BE01-D9A2-40AB-B32F-FC83F95EFAAB}"/>
    <cellStyle name="Normal 3 2 5 4" xfId="1935" xr:uid="{0685D870-3A71-449F-BF6B-91EDBE458B4B}"/>
    <cellStyle name="Normal 3 2 5 4 2" xfId="32915" xr:uid="{0913E04E-780D-4FA1-A37B-4728869C8875}"/>
    <cellStyle name="Normal 3 2 6" xfId="1936" xr:uid="{CE1B70B2-BDB8-471D-8A11-03654583CB1F}"/>
    <cellStyle name="Normal 3 2 6 2" xfId="1937" xr:uid="{B6F3983C-262E-4285-BED1-F349D61EE629}"/>
    <cellStyle name="Normal 3 2 7" xfId="1938" xr:uid="{B7007F25-5A44-4834-B073-EBC1966B31B7}"/>
    <cellStyle name="Normal 3 2 8" xfId="1939" xr:uid="{8091361D-8A9B-45CE-8388-5A1A3F3A10B2}"/>
    <cellStyle name="Normal 3 2 8 2" xfId="32916" xr:uid="{7C0752B9-D211-4293-8741-2980A058A78E}"/>
    <cellStyle name="Normal 3 2 9" xfId="1940" xr:uid="{8F52052A-98E6-4708-8F8D-2E509A2B3D46}"/>
    <cellStyle name="Normal 3 3" xfId="1941" xr:uid="{00A6254F-2BBE-493D-8FE9-16B56F952D36}"/>
    <cellStyle name="Normal 3 3 2" xfId="1942" xr:uid="{5E9DC6A1-63B5-427D-8215-AA936D70F95E}"/>
    <cellStyle name="Normal 3 3 2 2" xfId="1943" xr:uid="{FB487E56-0945-46EC-AB8F-A28532AB915E}"/>
    <cellStyle name="Normal 3 3 2 2 2" xfId="1944" xr:uid="{A7796DA3-8A43-48D3-9A44-69C1C0E577F9}"/>
    <cellStyle name="Normal 3 3 2 2 2 2" xfId="1945" xr:uid="{82DA5E71-283F-4777-80A5-E1E94C7461AE}"/>
    <cellStyle name="Normal 3 3 2 2 3" xfId="1946" xr:uid="{B0F04147-13AC-4F37-8E19-B89CA981AA62}"/>
    <cellStyle name="Normal 3 3 2 2 4" xfId="1947" xr:uid="{50CA1394-6FE0-4E25-B0FA-24A4655D309C}"/>
    <cellStyle name="Normal 3 3 2 2 4 2" xfId="32917" xr:uid="{6DAD5202-7136-41C8-A9E6-9E97C7276175}"/>
    <cellStyle name="Normal 3 3 2 3" xfId="1948" xr:uid="{BAE40439-374C-4BE8-A61B-5028D7F47AEE}"/>
    <cellStyle name="Normal 3 3 2 3 2" xfId="1949" xr:uid="{17949839-C4D5-49D4-B49A-29CDF77528C5}"/>
    <cellStyle name="Normal 3 3 2 3 2 2" xfId="1950" xr:uid="{7A8FB1D1-6E52-41A0-9835-2DD9433BA8E0}"/>
    <cellStyle name="Normal 3 3 2 3 3" xfId="1951" xr:uid="{9AF7D775-5B30-4813-8B55-A83A230E30D5}"/>
    <cellStyle name="Normal 3 3 2 3 4" xfId="1952" xr:uid="{E9F1F2DE-C11F-4A5C-B0D2-34826756DBCD}"/>
    <cellStyle name="Normal 3 3 2 3 4 2" xfId="32918" xr:uid="{1828A531-3BCC-4A20-A799-48C465BE0041}"/>
    <cellStyle name="Normal 3 3 2 4" xfId="1953" xr:uid="{7DF039A6-5602-4F39-ABBE-55139485617F}"/>
    <cellStyle name="Normal 3 3 2 4 2" xfId="1954" xr:uid="{68E70475-A2DC-45EA-93C9-249797797CEF}"/>
    <cellStyle name="Normal 3 3 2 5" xfId="1955" xr:uid="{B092A439-4A9D-4DC5-B43B-4D45F06206AB}"/>
    <cellStyle name="Normal 3 3 2 6" xfId="1956" xr:uid="{73CC30C5-04EA-4E0D-B6B2-77ACC14D4F29}"/>
    <cellStyle name="Normal 3 3 2 6 2" xfId="32919" xr:uid="{98F28D98-26D2-4D1C-977C-40BC5550619E}"/>
    <cellStyle name="Normal 3 3 3" xfId="1957" xr:uid="{BFB3D9BF-1154-45DB-8918-5060A28F542B}"/>
    <cellStyle name="Normal 3 3 3 2" xfId="1958" xr:uid="{8BA3D104-CE70-407E-878A-47ED098E858E}"/>
    <cellStyle name="Normal 3 3 3 2 2" xfId="1959" xr:uid="{0D9ACB42-6F39-4E9A-A57D-465DE944FB7C}"/>
    <cellStyle name="Normal 3 3 3 3" xfId="1960" xr:uid="{7108E61F-3948-4A38-A0EF-EAC68F717140}"/>
    <cellStyle name="Normal 3 3 3 4" xfId="1961" xr:uid="{3CCBC870-CA2E-4CFC-8028-AB23CA7DF2AA}"/>
    <cellStyle name="Normal 3 3 3 4 2" xfId="32920" xr:uid="{0925CC55-D4AC-42D5-B013-1B8D45F9EB4D}"/>
    <cellStyle name="Normal 3 3 4" xfId="1962" xr:uid="{E138A559-12A4-4C30-B0FD-A966F980EABF}"/>
    <cellStyle name="Normal 3 3 4 2" xfId="1963" xr:uid="{116699A3-E9B8-40F7-B641-27C1F879FBE4}"/>
    <cellStyle name="Normal 3 3 4 2 2" xfId="1964" xr:uid="{75A25C62-716B-423C-BBE7-329AF1CBF81D}"/>
    <cellStyle name="Normal 3 3 4 3" xfId="1965" xr:uid="{E2C161F1-8E31-46E0-969E-B9FEC0876ACA}"/>
    <cellStyle name="Normal 3 3 4 4" xfId="1966" xr:uid="{8EEE0794-AB7E-4155-8066-75CA4CFB0267}"/>
    <cellStyle name="Normal 3 3 4 4 2" xfId="32921" xr:uid="{4FE2A8D7-C071-4EEE-BEF0-BDE1FB4E88AE}"/>
    <cellStyle name="Normal 3 3 5" xfId="1967" xr:uid="{FC11DDCB-709F-4F5F-BFAD-D4859CA54D99}"/>
    <cellStyle name="Normal 3 3 5 2" xfId="1968" xr:uid="{04AADC66-5423-4B02-9AB5-44D62BA5D2B5}"/>
    <cellStyle name="Normal 3 3 6" xfId="1969" xr:uid="{ED1A3E88-11B0-4ACC-BCBE-3D97DE56EA7D}"/>
    <cellStyle name="Normal 3 3 7" xfId="1970" xr:uid="{2A839DF9-FFCF-4054-9C94-C2C27D146381}"/>
    <cellStyle name="Normal 3 3 7 2" xfId="32922" xr:uid="{616CFF4A-9F5F-435D-8703-2540DC6A85B2}"/>
    <cellStyle name="Normal 3 3 8" xfId="1971" xr:uid="{EC15AE06-ACBC-4397-8BC8-BE5A8660E6D3}"/>
    <cellStyle name="Normal 3 3 9" xfId="32923" xr:uid="{00E8B714-2828-40AE-B6C9-AF64618C7B98}"/>
    <cellStyle name="Normal 3 4" xfId="1972" xr:uid="{6FD9F8F9-4F6D-4FFF-B135-E27CEF15F510}"/>
    <cellStyle name="Normal 3 4 2" xfId="1973" xr:uid="{7CD6E042-27FD-4B7A-95D9-1BC7351B1BEE}"/>
    <cellStyle name="Normal 3 4 2 2" xfId="1974" xr:uid="{373C09C9-1FD5-4590-89D7-80BA9D3F6A37}"/>
    <cellStyle name="Normal 3 4 2 2 2" xfId="1975" xr:uid="{418AB9CD-CA3D-44C5-96DD-4966755178E9}"/>
    <cellStyle name="Normal 3 4 2 3" xfId="1976" xr:uid="{E77DAB50-074D-44AB-A16E-4B8D2CFA4AB1}"/>
    <cellStyle name="Normal 3 4 2 4" xfId="1977" xr:uid="{8D06FCB3-25F2-488C-B5F0-51B73C78BE1A}"/>
    <cellStyle name="Normal 3 4 2 4 2" xfId="32924" xr:uid="{C6C68840-3AF3-49D5-BFA2-C966FBEBC19D}"/>
    <cellStyle name="Normal 3 4 3" xfId="1978" xr:uid="{1153F4C2-3A0D-4398-8EBA-E6FD7E25A12F}"/>
    <cellStyle name="Normal 3 4 3 2" xfId="1979" xr:uid="{BEDE7ED0-3280-47A9-9733-77F2CC7F5614}"/>
    <cellStyle name="Normal 3 4 3 2 2" xfId="1980" xr:uid="{F2413AFE-43C8-40C4-9866-65C0592D4C78}"/>
    <cellStyle name="Normal 3 4 3 3" xfId="1981" xr:uid="{01F3988C-97C5-42E4-89D7-4C4783D9D5A1}"/>
    <cellStyle name="Normal 3 4 3 4" xfId="1982" xr:uid="{0786EC09-78F2-4667-B91C-0AFFE8AD1085}"/>
    <cellStyle name="Normal 3 4 3 4 2" xfId="32925" xr:uid="{64654DA9-DB40-4959-A4E6-2F764E0DD88A}"/>
    <cellStyle name="Normal 3 4 4" xfId="1983" xr:uid="{4C629FB2-B712-432F-9778-03F7AF540324}"/>
    <cellStyle name="Normal 3 4 4 2" xfId="1984" xr:uid="{E0D80CC9-CCDA-4602-9119-54B00568309C}"/>
    <cellStyle name="Normal 3 4 5" xfId="1985" xr:uid="{BD566776-AE3C-4806-8C78-2074386174A0}"/>
    <cellStyle name="Normal 3 4 6" xfId="1986" xr:uid="{8661D251-6F4D-45A3-A358-280B8C5751D8}"/>
    <cellStyle name="Normal 3 4 6 2" xfId="32926" xr:uid="{D6C50456-7A33-4901-9F73-1C77F3F84AE6}"/>
    <cellStyle name="Normal 3 4 7" xfId="1987" xr:uid="{E1135415-052B-4C31-AD5A-16EC02FABDBB}"/>
    <cellStyle name="Normal 3 5" xfId="1988" xr:uid="{5B3C9D15-0A0C-4025-8743-4C864C60E4EE}"/>
    <cellStyle name="Normal 3 5 2" xfId="1989" xr:uid="{BC64AAFD-8DB3-4A11-82F6-2DDB64242A91}"/>
    <cellStyle name="Normal 3 5 2 2" xfId="1990" xr:uid="{FBEC635F-5143-4A8E-AA28-1E6C7AB709A2}"/>
    <cellStyle name="Normal 3 5 3" xfId="1991" xr:uid="{4260712B-457E-494A-88AD-9839059BB4FB}"/>
    <cellStyle name="Normal 3 5 4" xfId="1992" xr:uid="{7EA22F2E-7A99-4BB3-8DE3-ECF10C049B53}"/>
    <cellStyle name="Normal 3 5 4 2" xfId="32927" xr:uid="{D1BD1511-AE75-469C-956C-CCC8C50B45DF}"/>
    <cellStyle name="Normal 3 6" xfId="1993" xr:uid="{0BEAA60D-14BC-49FB-9348-35AC57BBB5FF}"/>
    <cellStyle name="Normal 3 6 2" xfId="1994" xr:uid="{96ECFC42-F3BE-4589-AFB8-673B2C619FEA}"/>
    <cellStyle name="Normal 3 6 2 2" xfId="1995" xr:uid="{16160EA4-D986-46D3-9848-9F0252755E5A}"/>
    <cellStyle name="Normal 3 6 3" xfId="1996" xr:uid="{DAC45ABB-E9D6-4075-A14B-AECE01A40120}"/>
    <cellStyle name="Normal 3 6 4" xfId="1997" xr:uid="{2ABD6C31-C8AE-47B1-B289-01258AAF06A7}"/>
    <cellStyle name="Normal 3 6 4 2" xfId="32928" xr:uid="{6938F4B2-30AE-4613-8812-0C497E9D5EB7}"/>
    <cellStyle name="Normal 3 7" xfId="1998" xr:uid="{BBF3F1CB-FB88-482A-B95F-2F19EC1A30B0}"/>
    <cellStyle name="Normal 3 7 2" xfId="1999" xr:uid="{EFFB95A6-E168-4628-8C3C-7427498BC985}"/>
    <cellStyle name="Normal 3 7 3" xfId="2000" xr:uid="{C58CCE7E-7B9B-4564-922A-A05865828B15}"/>
    <cellStyle name="Normal 3 8" xfId="2001" xr:uid="{E30DCADE-3EE8-4A6A-B3BC-83F4D5EF833E}"/>
    <cellStyle name="Normal 3 9" xfId="2002" xr:uid="{34D841BB-ED38-4B4D-AE79-B6B048575493}"/>
    <cellStyle name="Normal 3 9 2" xfId="32929" xr:uid="{0E4388C5-D2D0-42EC-9A58-9088733C9B09}"/>
    <cellStyle name="Normal 4" xfId="2003" xr:uid="{73DE7572-B382-4ACF-AEC0-7B25642D8543}"/>
    <cellStyle name="Normal 4 2" xfId="2004" xr:uid="{EAEB6911-F167-45A6-98A1-C4512D3E8AFA}"/>
    <cellStyle name="Normal 4 2 2" xfId="32930" xr:uid="{D2318972-B412-4B17-9BE0-4D411BEFBF7D}"/>
    <cellStyle name="Normal 4 3" xfId="2005" xr:uid="{2B3C5556-4EFD-461A-B7F4-3905B9C10E07}"/>
    <cellStyle name="Normal 4 4" xfId="32931" xr:uid="{1C4352F7-DC6D-4851-9C54-69197D130A86}"/>
    <cellStyle name="Normal 5" xfId="2006" xr:uid="{A629C065-F235-4973-B378-C36DBA7DC796}"/>
    <cellStyle name="Normal 5 2" xfId="2007" xr:uid="{1D2DFCD1-31C7-4ADA-B1C2-188D66B1C926}"/>
    <cellStyle name="Normal 5 3" xfId="32932" xr:uid="{0225F404-719E-4903-8334-8A6489329B65}"/>
    <cellStyle name="Normal 6" xfId="2008" xr:uid="{1A5E2A94-2C82-4106-B651-796F696B54E4}"/>
    <cellStyle name="Normal 7" xfId="32933" xr:uid="{C2BD4EF3-3863-4797-8373-6CDFDF854215}"/>
    <cellStyle name="Normal_20120202 Sample Statistic_to Rating" xfId="2009" xr:uid="{18491BDB-7B06-4102-AA99-EDD63CFFF54C}"/>
    <cellStyle name="s]_x000d__x000a_;load=C:\WINDOWS\VERINST.EXE APMAPP.EXE _x000d__x000a_run=_x000d__x000a_Beep=yes_x000d__x000a_NullPort=None_x000d__x000a_BorderWidth=3_x000d__x000a_CursorBlinkRate=780_x000d__x000a_Double" xfId="2010" xr:uid="{004AFFA5-D636-40AE-9C17-3A2B71D4FA0F}"/>
    <cellStyle name="Standard 2" xfId="2011" xr:uid="{4BE91160-18A8-41EC-B85B-D47AB1D986D0}"/>
    <cellStyle name="Standard 2 2" xfId="2012" xr:uid="{26119D23-A98D-444D-A91C-D84B3854A348}"/>
    <cellStyle name="XLConnect.Numeric" xfId="2013" xr:uid="{FC3287A2-4DD8-436A-8CA5-F798B1B1B7DB}"/>
    <cellStyle name="XLConnect.Numeric 10" xfId="2014" xr:uid="{266D2685-A818-4B32-9A7B-61BDFD468BB6}"/>
    <cellStyle name="XLConnect.Numeric 10 2" xfId="2015" xr:uid="{5829B16F-67FF-4EB2-BC40-46E1EE391530}"/>
    <cellStyle name="XLConnect.Numeric 10 2 2" xfId="2016" xr:uid="{2E275410-DA20-4EDE-B7E5-CB2EDF47A034}"/>
    <cellStyle name="XLConnect.Numeric 10 3" xfId="2017" xr:uid="{57F7E131-2FE3-4D8F-87E3-183A634A96AB}"/>
    <cellStyle name="XLConnect.Numeric 10 4" xfId="2018" xr:uid="{9F4D0BA9-B91D-4A79-A5AA-3A0682D0050D}"/>
    <cellStyle name="XLConnect.Numeric 10 4 2" xfId="32934" xr:uid="{D83BB9B2-EE90-45B0-B41E-C10179E285FC}"/>
    <cellStyle name="XLConnect.Numeric 10 5" xfId="2019" xr:uid="{F0097633-FCED-41FA-AC55-9B7904F917C5}"/>
    <cellStyle name="XLConnect.Numeric 11" xfId="2020" xr:uid="{0A9276C5-450F-4B4F-9805-74FFE19EC23A}"/>
    <cellStyle name="XLConnect.Numeric 11 2" xfId="2021" xr:uid="{F16A04F6-B5C4-486D-BC49-17740B69ABE6}"/>
    <cellStyle name="XLConnect.Numeric 11 3" xfId="2022" xr:uid="{F9B9338A-7C34-4F39-BAF3-F0EA153DB0E4}"/>
    <cellStyle name="XLConnect.Numeric 12" xfId="2023" xr:uid="{7383B38E-6E20-4512-A46E-2567B9F5AADF}"/>
    <cellStyle name="XLConnect.Numeric 13" xfId="2024" xr:uid="{6EAD8A7C-295F-4B2C-9E1C-B36CA8A1C795}"/>
    <cellStyle name="XLConnect.Numeric 13 2" xfId="32935" xr:uid="{C6B011D3-CABB-49CC-8F24-88BA01F71218}"/>
    <cellStyle name="XLConnect.Numeric 14" xfId="2025" xr:uid="{B7BFBA77-1F24-4E47-A1C4-32656D7445FD}"/>
    <cellStyle name="XLConnect.Numeric 2" xfId="2026" xr:uid="{E143A695-1CA5-422E-B720-658235285F71}"/>
    <cellStyle name="XLConnect.Numeric 2 10" xfId="2027" xr:uid="{DB9E4924-2FE1-443D-8AD7-46F5450BEFDE}"/>
    <cellStyle name="XLConnect.Numeric 2 2" xfId="2028" xr:uid="{C7B4CC33-701A-416C-B110-91C0BA325ED7}"/>
    <cellStyle name="XLConnect.Numeric 2 2 2" xfId="2029" xr:uid="{5FAA3373-61E4-407F-9B8D-F1779F50D2B2}"/>
    <cellStyle name="XLConnect.Numeric 2 2 2 2" xfId="2030" xr:uid="{DEE88849-4F66-4C2F-B346-18259695D68D}"/>
    <cellStyle name="XLConnect.Numeric 2 2 2 2 2" xfId="2031" xr:uid="{370F8780-BF30-4850-A7A1-F912FC969610}"/>
    <cellStyle name="XLConnect.Numeric 2 2 2 2 2 2" xfId="2032" xr:uid="{BA9BDE17-91B7-43B1-BE52-6A5E5B5C7D35}"/>
    <cellStyle name="XLConnect.Numeric 2 2 2 2 3" xfId="2033" xr:uid="{9D2FBD9A-9ABB-4C9C-AEC8-2EAC2DFF305E}"/>
    <cellStyle name="XLConnect.Numeric 2 2 2 2 4" xfId="2034" xr:uid="{CD3A9C10-C11D-41F7-8D07-4E8668A701D6}"/>
    <cellStyle name="XLConnect.Numeric 2 2 2 2 4 2" xfId="32936" xr:uid="{365EE6CA-06C5-46EE-82E3-CC44CF668D7E}"/>
    <cellStyle name="XLConnect.Numeric 2 2 2 2 5" xfId="2035" xr:uid="{FD88EBE5-EDA7-4E68-8706-BBFD32317E47}"/>
    <cellStyle name="XLConnect.Numeric 2 2 2 3" xfId="2036" xr:uid="{80D7028B-FF19-4360-8D9F-0C2413109AA1}"/>
    <cellStyle name="XLConnect.Numeric 2 2 2 3 2" xfId="2037" xr:uid="{FD4DECC5-76E0-4CD1-8E4B-EFA5192A19FA}"/>
    <cellStyle name="XLConnect.Numeric 2 2 2 3 3" xfId="2038" xr:uid="{40D25E1E-5437-41A6-8E7B-F6CBE5FA16A8}"/>
    <cellStyle name="XLConnect.Numeric 2 2 2 4" xfId="2039" xr:uid="{48E5E1EE-FE4A-41C5-A3D9-14B7D644CDD2}"/>
    <cellStyle name="XLConnect.Numeric 2 2 2 4 2" xfId="2040" xr:uid="{E036D75A-5737-42D5-9417-6D1DC61A8742}"/>
    <cellStyle name="XLConnect.Numeric 2 2 2 5" xfId="2041" xr:uid="{C7EDAD95-B29A-4F49-9DB3-E4987AC61517}"/>
    <cellStyle name="XLConnect.Numeric 2 2 2 5 2" xfId="2042" xr:uid="{E0F7B3E8-17B4-4111-B1E2-E6D6B3A0C60C}"/>
    <cellStyle name="XLConnect.Numeric 2 2 2 5 3" xfId="32937" xr:uid="{18D19C32-9FF7-4206-8F47-7299FE8317D4}"/>
    <cellStyle name="XLConnect.Numeric 2 2 2 6" xfId="2043" xr:uid="{8CB3BE72-30E3-40BC-BF4E-AE595B46F346}"/>
    <cellStyle name="XLConnect.Numeric 2 2 2 7" xfId="2044" xr:uid="{220A69B2-E7D7-49BE-B537-8B9800D79E5F}"/>
    <cellStyle name="XLConnect.Numeric 2 2 3" xfId="2045" xr:uid="{CA012BBB-1729-40B6-AD59-CE48AB766163}"/>
    <cellStyle name="XLConnect.Numeric 2 2 3 2" xfId="2046" xr:uid="{1E305B6B-E255-40A9-95AC-90D40E784D9A}"/>
    <cellStyle name="XLConnect.Numeric 2 2 3 2 2" xfId="2047" xr:uid="{F3B2E929-AFF3-45C2-99DD-3E4352FE089E}"/>
    <cellStyle name="XLConnect.Numeric 2 2 3 3" xfId="2048" xr:uid="{0B01FF69-42A3-4DEA-8F5E-37495191B528}"/>
    <cellStyle name="XLConnect.Numeric 2 2 3 4" xfId="2049" xr:uid="{59323CEE-9E47-4C9B-AE28-560DFF9FEDEA}"/>
    <cellStyle name="XLConnect.Numeric 2 2 3 4 2" xfId="32938" xr:uid="{47D8E6F0-8451-42F1-BD80-4E351C74AACE}"/>
    <cellStyle name="XLConnect.Numeric 2 2 3 5" xfId="2050" xr:uid="{19071150-99AF-4F6E-BE2E-CF470C575786}"/>
    <cellStyle name="XLConnect.Numeric 2 2 4" xfId="2051" xr:uid="{D349E3B9-1A49-4B6F-86F8-2BD9A5A2A298}"/>
    <cellStyle name="XLConnect.Numeric 2 2 4 2" xfId="2052" xr:uid="{6BB6BB66-BB5E-4CF4-BB68-CD06978C896B}"/>
    <cellStyle name="XLConnect.Numeric 2 2 4 3" xfId="2053" xr:uid="{25FFB86F-0AFD-4990-B92C-08800C98B61A}"/>
    <cellStyle name="XLConnect.Numeric 2 2 5" xfId="2054" xr:uid="{FD0472EA-CAA4-4F27-BCF0-84A848D9D866}"/>
    <cellStyle name="XLConnect.Numeric 2 2 5 2" xfId="2055" xr:uid="{1B986130-4B6E-4EB7-8844-19289844FB9E}"/>
    <cellStyle name="XLConnect.Numeric 2 2 6" xfId="2056" xr:uid="{633CD105-25C2-40E9-8A27-026CB1834D12}"/>
    <cellStyle name="XLConnect.Numeric 2 2 6 2" xfId="2057" xr:uid="{D8E1B938-FE11-457C-AEE6-20D21DF50C58}"/>
    <cellStyle name="XLConnect.Numeric 2 2 6 3" xfId="32939" xr:uid="{457E8C69-774A-41DA-8DAA-4D08EDC2EA5A}"/>
    <cellStyle name="XLConnect.Numeric 2 2 7" xfId="2058" xr:uid="{8BBC6748-24E0-461E-9501-9762D6E940CA}"/>
    <cellStyle name="XLConnect.Numeric 2 2 8" xfId="2059" xr:uid="{367D0689-984A-4B4D-B82F-3649AE43BCC8}"/>
    <cellStyle name="XLConnect.Numeric 2 3" xfId="2060" xr:uid="{1D8C25F0-2819-4FBE-8722-520B7349B3AF}"/>
    <cellStyle name="XLConnect.Numeric 2 3 2" xfId="2061" xr:uid="{936A4DEF-B5BF-4BCC-A69D-ED382C2767E7}"/>
    <cellStyle name="XLConnect.Numeric 2 3 2 2" xfId="2062" xr:uid="{8B38C55B-F43A-46AF-A79A-09360FAC04B8}"/>
    <cellStyle name="XLConnect.Numeric 2 3 2 2 2" xfId="2063" xr:uid="{D806ACBD-7FFA-4694-A1ED-0FB7E79CA270}"/>
    <cellStyle name="XLConnect.Numeric 2 3 2 2 3" xfId="2064" xr:uid="{2D48EFE4-A0CE-4271-BA42-0821580F38F8}"/>
    <cellStyle name="XLConnect.Numeric 2 3 2 3" xfId="2065" xr:uid="{6807DA74-EE87-45D5-BD8C-B875BEEC07E7}"/>
    <cellStyle name="XLConnect.Numeric 2 3 2 3 2" xfId="2066" xr:uid="{5C81BE59-92B2-4F4F-96DD-6A92C436AD97}"/>
    <cellStyle name="XLConnect.Numeric 2 3 2 4" xfId="2067" xr:uid="{A02A2926-EF44-4D5F-9482-D96D90C64003}"/>
    <cellStyle name="XLConnect.Numeric 2 3 2 4 2" xfId="2068" xr:uid="{34726C1B-2611-41D2-B698-B1549C2F321A}"/>
    <cellStyle name="XLConnect.Numeric 2 3 2 4 3" xfId="32940" xr:uid="{C592F86B-E25F-4B5C-9C74-971219C88576}"/>
    <cellStyle name="XLConnect.Numeric 2 3 2 5" xfId="2069" xr:uid="{B75AFC4C-F269-4BC8-9883-B627B58EBEB8}"/>
    <cellStyle name="XLConnect.Numeric 2 3 2 6" xfId="2070" xr:uid="{3CF36FD6-2B17-489B-A82B-FAAEA8084240}"/>
    <cellStyle name="XLConnect.Numeric 2 3 2 7" xfId="2071" xr:uid="{E079837C-1031-4EAA-8670-36A3074DFA0A}"/>
    <cellStyle name="XLConnect.Numeric 2 3 3" xfId="2072" xr:uid="{2C3F7E11-74A7-43F3-A94E-00DC905D01E2}"/>
    <cellStyle name="XLConnect.Numeric 2 3 3 2" xfId="2073" xr:uid="{67F2BE55-005B-4B40-A6D6-068B502F461B}"/>
    <cellStyle name="XLConnect.Numeric 2 3 3 2 2" xfId="2074" xr:uid="{9C5224F6-AA33-4C08-9AC9-EE164F76F5AF}"/>
    <cellStyle name="XLConnect.Numeric 2 3 3 3" xfId="2075" xr:uid="{FB7A3E5C-7F15-421E-9BAE-CF83B4054A84}"/>
    <cellStyle name="XLConnect.Numeric 2 3 3 4" xfId="2076" xr:uid="{9B0E5653-2A3C-4003-A781-6E3914450279}"/>
    <cellStyle name="XLConnect.Numeric 2 3 3 4 2" xfId="32941" xr:uid="{D1EB06C7-3601-4E99-8AA8-28A1CF223ACE}"/>
    <cellStyle name="XLConnect.Numeric 2 3 3 5" xfId="2077" xr:uid="{D234B03F-F1D2-4D3C-B520-1926ECB98278}"/>
    <cellStyle name="XLConnect.Numeric 2 3 4" xfId="2078" xr:uid="{0C09E1B1-EA37-4AB3-87C9-1DCF167D7F12}"/>
    <cellStyle name="XLConnect.Numeric 2 3 4 2" xfId="2079" xr:uid="{5542544C-50AA-4618-ADE5-717735398746}"/>
    <cellStyle name="XLConnect.Numeric 2 3 4 3" xfId="2080" xr:uid="{B75E9092-7CD8-4957-9E90-AA4EE207179E}"/>
    <cellStyle name="XLConnect.Numeric 2 3 5" xfId="2081" xr:uid="{FB7AC364-DC7A-4D9C-9814-934E234EA31B}"/>
    <cellStyle name="XLConnect.Numeric 2 3 5 2" xfId="2082" xr:uid="{3F897718-317C-4A2D-9D31-32B83AC04CAD}"/>
    <cellStyle name="XLConnect.Numeric 2 3 6" xfId="2083" xr:uid="{12ECB34B-B9A0-4591-BB40-C04071A903CD}"/>
    <cellStyle name="XLConnect.Numeric 2 3 6 2" xfId="2084" xr:uid="{C0423A36-1E42-451C-BF91-5D37D4454547}"/>
    <cellStyle name="XLConnect.Numeric 2 3 6 3" xfId="32942" xr:uid="{8FE1FE11-D851-4BE8-9261-E6453B8F184E}"/>
    <cellStyle name="XLConnect.Numeric 2 3 7" xfId="2085" xr:uid="{EAB84ACA-2424-430D-A547-2A1321DDC36F}"/>
    <cellStyle name="XLConnect.Numeric 2 3 8" xfId="2086" xr:uid="{E2BAB0CE-B418-43C9-8FD7-B16BD043C13E}"/>
    <cellStyle name="XLConnect.Numeric 2 4" xfId="2087" xr:uid="{24C3B2E0-D4B8-4699-A4C1-BAB0463F7E3E}"/>
    <cellStyle name="XLConnect.Numeric 2 4 2" xfId="2088" xr:uid="{731303C9-4685-45A3-A18A-EB6064E52F8B}"/>
    <cellStyle name="XLConnect.Numeric 2 4 2 2" xfId="2089" xr:uid="{6B961D29-FD6F-4DB3-9825-D7537ED8E5D0}"/>
    <cellStyle name="XLConnect.Numeric 2 4 2 3" xfId="2090" xr:uid="{49168DF6-A02B-4611-9350-7C63FCCEE1F8}"/>
    <cellStyle name="XLConnect.Numeric 2 4 3" xfId="2091" xr:uid="{5FFD454B-7E2D-482A-9BE1-1A01D50B5E87}"/>
    <cellStyle name="XLConnect.Numeric 2 4 3 2" xfId="2092" xr:uid="{E5DFD344-AD01-4A95-A6A8-4C3FF3B9E696}"/>
    <cellStyle name="XLConnect.Numeric 2 4 4" xfId="2093" xr:uid="{E2A66C12-1F0E-4153-91F8-0DC9B6CA52E0}"/>
    <cellStyle name="XLConnect.Numeric 2 4 4 2" xfId="2094" xr:uid="{33636654-BAAE-46D5-8A8C-4EFF38FD83C9}"/>
    <cellStyle name="XLConnect.Numeric 2 4 4 3" xfId="32943" xr:uid="{08968004-8E2F-4BCF-80AE-75D6E696E5CF}"/>
    <cellStyle name="XLConnect.Numeric 2 4 5" xfId="2095" xr:uid="{35655BEB-1882-4000-8DF3-66F1389ECA4B}"/>
    <cellStyle name="XLConnect.Numeric 2 4 6" xfId="2096" xr:uid="{26373077-4046-49B3-9EC6-CF783D57F3ED}"/>
    <cellStyle name="XLConnect.Numeric 2 4 7" xfId="2097" xr:uid="{740AF58A-A712-4809-9A0E-4E3B980B1C48}"/>
    <cellStyle name="XLConnect.Numeric 2 5" xfId="2098" xr:uid="{09DCF400-F3C3-4916-9000-85ED3836EF47}"/>
    <cellStyle name="XLConnect.Numeric 2 5 2" xfId="2099" xr:uid="{E251B32A-8E69-4F78-8ECC-F684B50B74E2}"/>
    <cellStyle name="XLConnect.Numeric 2 5 2 2" xfId="2100" xr:uid="{5722651A-5807-4D45-A229-93174FF16379}"/>
    <cellStyle name="XLConnect.Numeric 2 5 3" xfId="2101" xr:uid="{D6EC8EBE-F3AD-4EE1-BEFE-250FED5BE895}"/>
    <cellStyle name="XLConnect.Numeric 2 5 4" xfId="2102" xr:uid="{C6F95D9F-0298-4FC8-B254-7ACBABF99DD9}"/>
    <cellStyle name="XLConnect.Numeric 2 5 4 2" xfId="32944" xr:uid="{9483E4BC-8F64-45F8-A42E-890AA4CF8312}"/>
    <cellStyle name="XLConnect.Numeric 2 5 5" xfId="2103" xr:uid="{065ACC3D-1DD0-4D19-857E-AFE4B14441B8}"/>
    <cellStyle name="XLConnect.Numeric 2 6" xfId="2104" xr:uid="{FC74602F-19F2-4FDC-8E64-8B5D12F6CE0B}"/>
    <cellStyle name="XLConnect.Numeric 2 6 2" xfId="2105" xr:uid="{D25D7BD2-E31A-41B0-B955-D5196D1D08DE}"/>
    <cellStyle name="XLConnect.Numeric 2 6 3" xfId="2106" xr:uid="{446C168D-0D8B-42E8-B28A-EBCA781C5A8B}"/>
    <cellStyle name="XLConnect.Numeric 2 7" xfId="2107" xr:uid="{78806CBC-37E9-4AF7-908F-E1003C88D058}"/>
    <cellStyle name="XLConnect.Numeric 2 7 2" xfId="2108" xr:uid="{650528E7-BD91-422C-8192-D89E6AC7642A}"/>
    <cellStyle name="XLConnect.Numeric 2 8" xfId="2109" xr:uid="{4BF0A59D-05BF-4D9C-A4F8-BBCDFE67D21C}"/>
    <cellStyle name="XLConnect.Numeric 2 8 2" xfId="2110" xr:uid="{E0816CC2-2821-410C-BEC5-DDC52CF6870A}"/>
    <cellStyle name="XLConnect.Numeric 2 8 3" xfId="32945" xr:uid="{1D239099-042C-4469-838E-3527DF9F800A}"/>
    <cellStyle name="XLConnect.Numeric 2 9" xfId="2111" xr:uid="{2A931B5A-D537-48A8-86D6-C117A828AFBB}"/>
    <cellStyle name="XLConnect.Numeric 2 9 2" xfId="2112" xr:uid="{A5EC2577-1A64-499C-A2F8-622F0B9A50E5}"/>
    <cellStyle name="XLConnect.Numeric 3" xfId="2113" xr:uid="{FA8D6768-1B35-4F7D-A8D0-1E4BEE038D36}"/>
    <cellStyle name="XLConnect.Numeric 3 2" xfId="2114" xr:uid="{7513C651-3CFE-4064-A9D1-F0C1C8CBA9C4}"/>
    <cellStyle name="XLConnect.Numeric 3 2 2" xfId="2115" xr:uid="{C3E894D7-FCBD-4AC3-B50E-4D133DA3E043}"/>
    <cellStyle name="XLConnect.Numeric 3 2 2 2" xfId="2116" xr:uid="{9D30EB0B-2C66-4E13-988D-36B17029348D}"/>
    <cellStyle name="XLConnect.Numeric 3 2 2 2 2" xfId="2117" xr:uid="{348F17EB-8349-4C35-9F5F-1E7E3CBF7B2B}"/>
    <cellStyle name="XLConnect.Numeric 3 2 2 2 2 2" xfId="2118" xr:uid="{94E0FBE3-7817-403D-B840-51F0FA72E396}"/>
    <cellStyle name="XLConnect.Numeric 3 2 2 2 3" xfId="2119" xr:uid="{07F168F8-4853-42BD-8E3C-502A50B6E254}"/>
    <cellStyle name="XLConnect.Numeric 3 2 2 2 4" xfId="2120" xr:uid="{C5BF0F13-2926-41EB-8F3F-75FE54B57BE1}"/>
    <cellStyle name="XLConnect.Numeric 3 2 2 2 4 2" xfId="32946" xr:uid="{42F48903-A0AB-485C-A11D-BC67145C1D8D}"/>
    <cellStyle name="XLConnect.Numeric 3 2 2 3" xfId="2121" xr:uid="{0991D8A2-45C2-40B9-8FC8-5DE908708752}"/>
    <cellStyle name="XLConnect.Numeric 3 2 2 3 2" xfId="2122" xr:uid="{A5FC8D3E-04C1-4E6C-8D6A-1C594AB1B347}"/>
    <cellStyle name="XLConnect.Numeric 3 2 2 4" xfId="2123" xr:uid="{6708CE59-68DC-4A1D-AB85-C32F0D63977B}"/>
    <cellStyle name="XLConnect.Numeric 3 2 2 5" xfId="2124" xr:uid="{25E9CFAB-2948-4F9C-B27F-948A6C9789C9}"/>
    <cellStyle name="XLConnect.Numeric 3 2 2 5 2" xfId="32947" xr:uid="{F2C6DD0F-8505-41F8-ABD9-558260D60970}"/>
    <cellStyle name="XLConnect.Numeric 3 2 2 6" xfId="2125" xr:uid="{975BCEA8-8B94-4BB8-81ED-267B5FE9111A}"/>
    <cellStyle name="XLConnect.Numeric 3 2 3" xfId="2126" xr:uid="{1E279BCD-7A41-4920-89A5-DED93C723F99}"/>
    <cellStyle name="XLConnect.Numeric 3 2 3 2" xfId="2127" xr:uid="{391EDE86-9A39-4162-ABF2-ADA8D7836C1B}"/>
    <cellStyle name="XLConnect.Numeric 3 2 3 2 2" xfId="2128" xr:uid="{1FD1DA79-FBB7-4224-B278-4AEFFDC5768A}"/>
    <cellStyle name="XLConnect.Numeric 3 2 3 3" xfId="2129" xr:uid="{6A4FA880-E456-4045-B190-D4092887C4AD}"/>
    <cellStyle name="XLConnect.Numeric 3 2 3 4" xfId="2130" xr:uid="{ED87E980-9443-4B58-AC1C-9361F79D00DC}"/>
    <cellStyle name="XLConnect.Numeric 3 2 3 4 2" xfId="32948" xr:uid="{68056F91-05E9-4B17-B411-C199A883A69B}"/>
    <cellStyle name="XLConnect.Numeric 3 2 3 5" xfId="2131" xr:uid="{30BAB041-EF61-444D-BF16-131A31B7589E}"/>
    <cellStyle name="XLConnect.Numeric 3 2 4" xfId="2132" xr:uid="{6848C884-BD70-4153-B502-07955673A223}"/>
    <cellStyle name="XLConnect.Numeric 3 2 4 2" xfId="2133" xr:uid="{9F1B91F3-2D27-4BFB-A8A6-70CEC6B27BD9}"/>
    <cellStyle name="XLConnect.Numeric 3 2 4 3" xfId="2134" xr:uid="{7E12062A-6324-4556-BD51-0CC9C2D159FF}"/>
    <cellStyle name="XLConnect.Numeric 3 2 5" xfId="2135" xr:uid="{D73D0D3E-C4B4-4768-BC74-0F731A8E0B9C}"/>
    <cellStyle name="XLConnect.Numeric 3 2 5 2" xfId="2136" xr:uid="{B6D17883-D9BE-4541-9FA9-0B606CF68B41}"/>
    <cellStyle name="XLConnect.Numeric 3 2 6" xfId="2137" xr:uid="{56B723A3-777F-419A-96B4-52271BDB64D0}"/>
    <cellStyle name="XLConnect.Numeric 3 2 6 2" xfId="2138" xr:uid="{819F853B-5B34-4BEF-9988-25EFA9289D46}"/>
    <cellStyle name="XLConnect.Numeric 3 2 6 3" xfId="32949" xr:uid="{0DC90762-DEB0-42DE-B104-844146482DFB}"/>
    <cellStyle name="XLConnect.Numeric 3 2 7" xfId="2139" xr:uid="{574FD0E6-12D9-44F8-B35B-910A5907FF4D}"/>
    <cellStyle name="XLConnect.Numeric 3 3" xfId="2140" xr:uid="{C887248F-055D-4AB9-A348-2A30A97EA4D2}"/>
    <cellStyle name="XLConnect.Numeric 3 3 2" xfId="2141" xr:uid="{74F11A55-25B6-486B-B4A5-6B080E159406}"/>
    <cellStyle name="XLConnect.Numeric 3 3 2 2" xfId="2142" xr:uid="{3DC9059D-2713-440F-9838-176725B998F8}"/>
    <cellStyle name="XLConnect.Numeric 3 3 2 2 2" xfId="2143" xr:uid="{749E8449-DFDF-4863-89B3-354209AB4505}"/>
    <cellStyle name="XLConnect.Numeric 3 3 2 3" xfId="2144" xr:uid="{6FDD7980-7320-412A-B3AE-F4EA671E459F}"/>
    <cellStyle name="XLConnect.Numeric 3 3 2 4" xfId="2145" xr:uid="{97E8CC7E-6688-4260-99F0-86AB7D672D29}"/>
    <cellStyle name="XLConnect.Numeric 3 3 2 4 2" xfId="32950" xr:uid="{06761A0D-D41F-427C-A3C1-CAF3667BD0FF}"/>
    <cellStyle name="XLConnect.Numeric 3 3 3" xfId="2146" xr:uid="{70FE0D42-E38C-4527-83EE-76E37AD2EB7B}"/>
    <cellStyle name="XLConnect.Numeric 3 3 3 2" xfId="2147" xr:uid="{3C7698EB-C6BC-453B-B9F1-782BC767416F}"/>
    <cellStyle name="XLConnect.Numeric 3 3 4" xfId="2148" xr:uid="{7AD27553-F28E-4C93-93B0-75DF0AE9EB86}"/>
    <cellStyle name="XLConnect.Numeric 3 3 5" xfId="2149" xr:uid="{36D683CC-8F25-4D47-AD72-9E48D03726F2}"/>
    <cellStyle name="XLConnect.Numeric 3 3 5 2" xfId="32951" xr:uid="{753F0209-FA5C-4BF5-9F70-3FF096005976}"/>
    <cellStyle name="XLConnect.Numeric 3 3 6" xfId="2150" xr:uid="{19295623-4354-4313-9914-85A1F70BEE0D}"/>
    <cellStyle name="XLConnect.Numeric 3 4" xfId="2151" xr:uid="{64B78AF8-C04A-495C-BD79-169D4C614D90}"/>
    <cellStyle name="XLConnect.Numeric 3 4 2" xfId="2152" xr:uid="{1C4C6175-08E5-43C0-A4A7-0556B9CB25C7}"/>
    <cellStyle name="XLConnect.Numeric 3 4 2 2" xfId="2153" xr:uid="{6BFD8D8A-1854-484E-B155-F8C04801BED0}"/>
    <cellStyle name="XLConnect.Numeric 3 4 3" xfId="2154" xr:uid="{2CA5E8EE-1B67-4AB1-B34B-605F17259C35}"/>
    <cellStyle name="XLConnect.Numeric 3 4 4" xfId="2155" xr:uid="{29E48E14-AC11-4393-A0CC-EE0C5E6502B7}"/>
    <cellStyle name="XLConnect.Numeric 3 4 4 2" xfId="32952" xr:uid="{91393CBE-CD1D-49ED-81FD-0917223A7D10}"/>
    <cellStyle name="XLConnect.Numeric 3 4 5" xfId="2156" xr:uid="{569D19B8-ECCF-4F85-BA74-5282C38F9ADC}"/>
    <cellStyle name="XLConnect.Numeric 3 5" xfId="2157" xr:uid="{F0409089-3DFB-4280-81BA-71254C0A13E2}"/>
    <cellStyle name="XLConnect.Numeric 3 5 2" xfId="2158" xr:uid="{9D155F0E-1A83-4C35-B79C-D302576B676B}"/>
    <cellStyle name="XLConnect.Numeric 3 5 3" xfId="2159" xr:uid="{2FE1F835-4249-46DC-A195-BE2FE7F0BB09}"/>
    <cellStyle name="XLConnect.Numeric 3 6" xfId="2160" xr:uid="{A721141D-A85F-4D45-B1AE-272A599E4800}"/>
    <cellStyle name="XLConnect.Numeric 3 6 2" xfId="2161" xr:uid="{73F4886E-663B-4EBF-9F35-F3F0B0454556}"/>
    <cellStyle name="XLConnect.Numeric 3 7" xfId="2162" xr:uid="{62A0D100-CDBB-42CD-A89F-5381A2DA56E2}"/>
    <cellStyle name="XLConnect.Numeric 3 7 2" xfId="2163" xr:uid="{1BBD4F41-519D-4258-B09A-E0CE6DFF9B5F}"/>
    <cellStyle name="XLConnect.Numeric 3 7 3" xfId="32953" xr:uid="{84D3FFBE-2E53-4914-B90C-6C8A9F4CF63B}"/>
    <cellStyle name="XLConnect.Numeric 3 8" xfId="2164" xr:uid="{1A81B10E-B860-4D8C-8822-0BD2B8C5BBB8}"/>
    <cellStyle name="XLConnect.Numeric 4" xfId="2165" xr:uid="{7DE9AA69-7A6E-4BB6-9993-1C1B81A42327}"/>
    <cellStyle name="XLConnect.Numeric 4 2" xfId="2166" xr:uid="{ABAADF7B-C7CC-43F8-8203-EDD3EB5497D1}"/>
    <cellStyle name="XLConnect.Numeric 4 2 2" xfId="2167" xr:uid="{4DCBDB7A-0959-4DF5-82DD-266A554C0535}"/>
    <cellStyle name="XLConnect.Numeric 4 2 2 2" xfId="2168" xr:uid="{5C2D80B9-2114-4633-B66E-2319B61DBBF6}"/>
    <cellStyle name="XLConnect.Numeric 4 2 2 2 2" xfId="2169" xr:uid="{379A9B89-9CCE-4EBD-99D7-35F532C371A3}"/>
    <cellStyle name="XLConnect.Numeric 4 2 2 3" xfId="2170" xr:uid="{508A92F7-597E-4C77-B33C-9A46FCAEEE57}"/>
    <cellStyle name="XLConnect.Numeric 4 2 2 4" xfId="2171" xr:uid="{F50C8949-8ECE-489C-B93A-6A45401503D2}"/>
    <cellStyle name="XLConnect.Numeric 4 2 2 4 2" xfId="32954" xr:uid="{AA7CCA26-9396-4FBE-AF5D-9C06C7EC5FA6}"/>
    <cellStyle name="XLConnect.Numeric 4 2 3" xfId="2172" xr:uid="{520749BE-7B3B-45CF-951C-4B12C62EF209}"/>
    <cellStyle name="XLConnect.Numeric 4 2 3 2" xfId="2173" xr:uid="{551F5210-F738-447F-9FFF-87DD12DB3098}"/>
    <cellStyle name="XLConnect.Numeric 4 2 4" xfId="2174" xr:uid="{19924873-ECEE-49DC-8F7A-5103ABFFBB88}"/>
    <cellStyle name="XLConnect.Numeric 4 2 5" xfId="2175" xr:uid="{FE319693-CE46-4780-9A30-E6C3412BFB5F}"/>
    <cellStyle name="XLConnect.Numeric 4 2 5 2" xfId="32955" xr:uid="{46D3F993-2BEE-4DF3-980E-154403782314}"/>
    <cellStyle name="XLConnect.Numeric 4 3" xfId="2176" xr:uid="{2A9E421C-E911-4694-A0F5-1406617C70E0}"/>
    <cellStyle name="XLConnect.Numeric 4 3 2" xfId="2177" xr:uid="{391EAB24-4FEA-4958-AF9D-D21756224E44}"/>
    <cellStyle name="XLConnect.Numeric 4 3 2 2" xfId="2178" xr:uid="{5EF12363-B7EC-4565-AC43-883B251FA837}"/>
    <cellStyle name="XLConnect.Numeric 4 3 3" xfId="2179" xr:uid="{DB72B7F5-F60A-41EA-8BB7-3041A63DB5B2}"/>
    <cellStyle name="XLConnect.Numeric 4 3 4" xfId="2180" xr:uid="{1A56D634-061A-454F-AB22-079BBDD893A8}"/>
    <cellStyle name="XLConnect.Numeric 4 3 4 2" xfId="32956" xr:uid="{37D52F69-54FD-45FC-AB3B-387652F8376E}"/>
    <cellStyle name="XLConnect.Numeric 4 4" xfId="2181" xr:uid="{3CB78C79-3D62-4CC5-83BD-6F2FAD0CBF4C}"/>
    <cellStyle name="XLConnect.Numeric 4 4 2" xfId="2182" xr:uid="{E44C5B35-F82F-4AA7-9BEF-E10F78A77D87}"/>
    <cellStyle name="XLConnect.Numeric 4 5" xfId="2183" xr:uid="{3C2DF686-C28B-4EAA-AE43-0FA96FB61D37}"/>
    <cellStyle name="XLConnect.Numeric 4 6" xfId="2184" xr:uid="{AB20BAAB-C998-4AE7-9D5B-6CD341C10C37}"/>
    <cellStyle name="XLConnect.Numeric 4 6 2" xfId="32957" xr:uid="{89581049-5E4A-49A1-8105-571D6F70BC42}"/>
    <cellStyle name="XLConnect.Numeric 4 7" xfId="2185" xr:uid="{24F2FC1F-49ED-4DBE-93F2-28B0F3709781}"/>
    <cellStyle name="XLConnect.Numeric 4 8" xfId="2186" xr:uid="{22B54EEA-5893-49F9-8D61-FA4F59A67E36}"/>
    <cellStyle name="XLConnect.Numeric 5" xfId="2187" xr:uid="{2982216D-55EA-4283-8A8E-155CD9009B6C}"/>
    <cellStyle name="XLConnect.Numeric 5 2" xfId="2188" xr:uid="{F4839B2A-D378-436F-858D-C9BD3B9EAFF7}"/>
    <cellStyle name="XLConnect.Numeric 5 2 2" xfId="2189" xr:uid="{C74CF24E-A120-407C-A512-AE2F8ADB2404}"/>
    <cellStyle name="XLConnect.Numeric 5 2 2 2" xfId="2190" xr:uid="{7F750A31-38D5-4FEA-A378-367F6897E1A7}"/>
    <cellStyle name="XLConnect.Numeric 5 2 3" xfId="2191" xr:uid="{6D5DD349-FB41-4F23-823E-E0F36FAD1DBC}"/>
    <cellStyle name="XLConnect.Numeric 5 2 4" xfId="2192" xr:uid="{4CA61A60-C780-4D87-87D8-1582009E2E6E}"/>
    <cellStyle name="XLConnect.Numeric 5 2 4 2" xfId="32958" xr:uid="{FFE95FF2-8A32-45D4-85DB-EB89C550B832}"/>
    <cellStyle name="XLConnect.Numeric 5 3" xfId="2193" xr:uid="{20C27D1B-1E87-436F-BD88-8ED912AD113F}"/>
    <cellStyle name="XLConnect.Numeric 5 3 2" xfId="2194" xr:uid="{F45F5A8F-4AEE-4282-9909-0554A337D56C}"/>
    <cellStyle name="XLConnect.Numeric 5 3 2 2" xfId="2195" xr:uid="{445257FF-BDA8-443D-8E22-A5CAEAEE668A}"/>
    <cellStyle name="XLConnect.Numeric 5 3 3" xfId="2196" xr:uid="{35F50878-A25F-4F43-94B0-16F56C743F13}"/>
    <cellStyle name="XLConnect.Numeric 5 3 4" xfId="2197" xr:uid="{DD53098B-C4EF-4173-B9AD-6B34DCCA5B6E}"/>
    <cellStyle name="XLConnect.Numeric 5 3 4 2" xfId="32959" xr:uid="{2529D852-E6D9-43E1-8A57-ABD426A05B74}"/>
    <cellStyle name="XLConnect.Numeric 5 4" xfId="2198" xr:uid="{318E3316-6599-434C-948E-40A39438DECE}"/>
    <cellStyle name="XLConnect.Numeric 5 4 2" xfId="2199" xr:uid="{ABCB0F4C-132C-4996-B2D2-22B37A95F7B1}"/>
    <cellStyle name="XLConnect.Numeric 5 5" xfId="2200" xr:uid="{F6E42404-CCBF-4372-B6BE-65DECF4C6118}"/>
    <cellStyle name="XLConnect.Numeric 5 6" xfId="2201" xr:uid="{0341ECEC-AD7E-4920-A9AA-DE9A13CB4B08}"/>
    <cellStyle name="XLConnect.Numeric 5 6 2" xfId="32960" xr:uid="{0E24F299-E724-4BC1-8576-860C463042ED}"/>
    <cellStyle name="XLConnect.Numeric 5 7" xfId="2202" xr:uid="{CD995462-B12E-4D88-AA54-7675B9CDA3FA}"/>
    <cellStyle name="XLConnect.Numeric 6" xfId="2203" xr:uid="{178F6D70-4140-43E4-B2F1-48D832725C0A}"/>
    <cellStyle name="XLConnect.Numeric 6 2" xfId="2204" xr:uid="{FAF9A115-A6A0-4E52-B854-72F83AD883C5}"/>
    <cellStyle name="XLConnect.Numeric 6 2 2" xfId="2205" xr:uid="{FA47813D-EBE0-49E3-AB04-3AB92E2A6328}"/>
    <cellStyle name="XLConnect.Numeric 6 2 2 2" xfId="2206" xr:uid="{28C364A1-F20F-4A9C-A0F7-7F60D9DFB2E4}"/>
    <cellStyle name="XLConnect.Numeric 6 2 3" xfId="2207" xr:uid="{CD42FA1C-CED7-41CA-B808-792D031F1917}"/>
    <cellStyle name="XLConnect.Numeric 6 2 4" xfId="2208" xr:uid="{5F2BEDD4-3583-4452-96A8-303ACFA71379}"/>
    <cellStyle name="XLConnect.Numeric 6 2 4 2" xfId="32961" xr:uid="{E67B4572-7ABF-47C0-BBF8-8C64FD57FED1}"/>
    <cellStyle name="XLConnect.Numeric 6 2 5" xfId="2209" xr:uid="{65480C5B-5581-4C72-B36A-8A4442C2F5A9}"/>
    <cellStyle name="XLConnect.Numeric 6 3" xfId="2210" xr:uid="{FE119263-B201-4271-AF35-D7A049B6DD6A}"/>
    <cellStyle name="XLConnect.Numeric 6 3 2" xfId="2211" xr:uid="{9421E5D5-9792-43FF-97F3-D63ED333CA17}"/>
    <cellStyle name="XLConnect.Numeric 6 3 3" xfId="2212" xr:uid="{A5775AC5-9468-4C2A-90DF-731F6E297218}"/>
    <cellStyle name="XLConnect.Numeric 6 4" xfId="2213" xr:uid="{6BB990B5-E18E-4608-9156-28D3ED3D8289}"/>
    <cellStyle name="XLConnect.Numeric 6 4 2" xfId="2214" xr:uid="{2726AF14-0DFF-4838-A094-BFA6794A1E30}"/>
    <cellStyle name="XLConnect.Numeric 6 5" xfId="2215" xr:uid="{AA685C2E-6D48-4176-A1D6-544635B9534A}"/>
    <cellStyle name="XLConnect.Numeric 6 5 2" xfId="2216" xr:uid="{75F981C6-572A-4478-B437-CF766C7AEE8D}"/>
    <cellStyle name="XLConnect.Numeric 6 5 3" xfId="32962" xr:uid="{36D47153-D037-4F8E-9794-479F83BFB371}"/>
    <cellStyle name="XLConnect.Numeric 6 6" xfId="2217" xr:uid="{6618CEEE-FC3A-4E49-83A0-46C1BFB6FA89}"/>
    <cellStyle name="XLConnect.Numeric 6 7" xfId="2218" xr:uid="{40C50586-2C1E-4B9C-B5A0-613E78F67A4C}"/>
    <cellStyle name="XLConnect.Numeric 7" xfId="2219" xr:uid="{2814E91B-46A2-4AFC-9A87-64CE159A2A29}"/>
    <cellStyle name="XLConnect.Numeric 7 2" xfId="2220" xr:uid="{6BB4359C-14FB-4FA3-AD9B-83E2B80658F1}"/>
    <cellStyle name="XLConnect.Numeric 7 2 2" xfId="2221" xr:uid="{F613097D-5D2C-4411-91E7-8EB55B4BD76A}"/>
    <cellStyle name="XLConnect.Numeric 7 2 2 2" xfId="2222" xr:uid="{B140199F-4FC4-4FF3-A99A-B9BEAD8BDB4A}"/>
    <cellStyle name="XLConnect.Numeric 7 2 3" xfId="2223" xr:uid="{BF5350AC-00D1-48D0-AD7D-737F25FA8FA4}"/>
    <cellStyle name="XLConnect.Numeric 7 2 4" xfId="2224" xr:uid="{7066295B-0581-4748-8C7B-3EC557C7506B}"/>
    <cellStyle name="XLConnect.Numeric 7 2 4 2" xfId="32963" xr:uid="{57283498-D1EF-42B4-BF9A-EA279947ECFB}"/>
    <cellStyle name="XLConnect.Numeric 7 3" xfId="2225" xr:uid="{58BF3C53-190B-4172-A445-34A79C6756EA}"/>
    <cellStyle name="XLConnect.Numeric 7 3 2" xfId="2226" xr:uid="{A1189CD9-1A36-4A2F-9FC3-DDFE60ED3304}"/>
    <cellStyle name="XLConnect.Numeric 7 4" xfId="2227" xr:uid="{E697D3BE-AC4F-4D45-9AEC-E7219239C9C2}"/>
    <cellStyle name="XLConnect.Numeric 7 5" xfId="2228" xr:uid="{A875BD5D-7D0B-4481-84CC-502CEE677E5F}"/>
    <cellStyle name="XLConnect.Numeric 7 5 2" xfId="32964" xr:uid="{2A43F37E-B8B5-4C3E-B8B9-8DD12A797D39}"/>
    <cellStyle name="XLConnect.Numeric 7 6" xfId="2229" xr:uid="{F7B588AF-909A-460E-98F5-B1F0D7AED411}"/>
    <cellStyle name="XLConnect.Numeric 8" xfId="2230" xr:uid="{33FAA830-E740-42FA-921B-41745B4C9157}"/>
    <cellStyle name="XLConnect.Numeric 8 2" xfId="2231" xr:uid="{BF84303B-9825-4168-A913-A4BC77FB873C}"/>
    <cellStyle name="XLConnect.Numeric 8 2 2" xfId="2232" xr:uid="{A0D31A70-E7F1-4709-9656-F4CF6E4EB120}"/>
    <cellStyle name="XLConnect.Numeric 8 3" xfId="2233" xr:uid="{C050768C-1FE2-4EB1-943D-07E13C5086CA}"/>
    <cellStyle name="XLConnect.Numeric 8 4" xfId="2234" xr:uid="{7811477C-21CE-4B15-BAC6-67D1AC09955B}"/>
    <cellStyle name="XLConnect.Numeric 8 4 2" xfId="32965" xr:uid="{982F0947-5639-418F-9A92-413075572A52}"/>
    <cellStyle name="XLConnect.Numeric 8 5" xfId="2235" xr:uid="{01835AD5-6CE3-4DA7-B867-5CA7562ACF22}"/>
    <cellStyle name="XLConnect.Numeric 9" xfId="2236" xr:uid="{2AB63002-E79D-477F-A280-183D5D684DF6}"/>
    <cellStyle name="XLConnect.Numeric 9 2" xfId="2237" xr:uid="{53D74C17-DC8A-4748-B83B-1C8920ADB827}"/>
    <cellStyle name="XLConnect.Numeric 9 2 2" xfId="2238" xr:uid="{33F9C5D4-CEC6-4895-9686-9B9AD27D325D}"/>
    <cellStyle name="XLConnect.Numeric 9 3" xfId="2239" xr:uid="{4A1063DC-6E38-4162-B534-EF7199E83953}"/>
    <cellStyle name="XLConnect.Numeric 9 4" xfId="2240" xr:uid="{B0E27C4C-58F9-4170-BDB6-668F3B69AF66}"/>
    <cellStyle name="XLConnect.Numeric 9 4 2" xfId="32966" xr:uid="{A1EB9098-519A-4C0E-9379-55BEF4C91312}"/>
    <cellStyle name="XLConnect.Numeric 9 5" xfId="2241" xr:uid="{02E9F6F4-08BF-456E-B56B-368A0DFD75BE}"/>
    <cellStyle name="百分比" xfId="5" builtinId="5"/>
    <cellStyle name="百分比 10" xfId="2242" xr:uid="{372F42E8-AACE-4D6C-9AE3-895A48F82D62}"/>
    <cellStyle name="百分比 10 10" xfId="2243" xr:uid="{FC60809C-8195-49B4-BB7E-4287F3C1D810}"/>
    <cellStyle name="百分比 10 2" xfId="2244" xr:uid="{0667DB9D-F0C7-4FA3-B2AA-684F5D7BA61C}"/>
    <cellStyle name="百分比 10 2 2" xfId="2245" xr:uid="{27580B1E-BFBF-4C31-B29C-E510FB6CA1CF}"/>
    <cellStyle name="百分比 10 2 2 2" xfId="2246" xr:uid="{56A4BDF0-AF0A-4809-9959-F20CC0F231C7}"/>
    <cellStyle name="百分比 10 2 2 2 2" xfId="2247" xr:uid="{37A3B3C3-889D-4814-A4B7-E543A9D4704E}"/>
    <cellStyle name="百分比 10 2 2 2 2 2" xfId="13" xr:uid="{13CE529F-CBF3-46B6-B780-78DFE832A17B}"/>
    <cellStyle name="百分比 10 2 2 2 3" xfId="2248" xr:uid="{C63299A1-5785-4AAD-BA05-68CFBF95B07F}"/>
    <cellStyle name="百分比 10 2 2 2 3 2" xfId="2249" xr:uid="{BFE90F24-DD70-4E5E-8845-7F1E34F5AB6C}"/>
    <cellStyle name="百分比 10 2 2 2 4" xfId="2250" xr:uid="{CBA9BA0F-DEAB-475B-B85E-DE643DF32D6B}"/>
    <cellStyle name="百分比 10 2 2 2 4 2" xfId="32967" xr:uid="{8B62EA44-DA90-44E4-BF7C-B46175A2CCDA}"/>
    <cellStyle name="百分比 10 2 2 2 5" xfId="2251" xr:uid="{2799F31A-4D5B-498E-A863-290CCC2D0552}"/>
    <cellStyle name="百分比 10 2 2 2 6" xfId="2252" xr:uid="{75031958-15CB-471E-A3AA-24C36CAE1424}"/>
    <cellStyle name="百分比 10 2 2 2 7" xfId="2253" xr:uid="{008B7135-51F6-4149-90C7-E5C89FA04625}"/>
    <cellStyle name="百分比 10 2 2 3" xfId="2254" xr:uid="{0BFAD3C7-E306-4B28-BD14-F89268200310}"/>
    <cellStyle name="百分比 10 2 2 3 2" xfId="2255" xr:uid="{F5D79D27-851C-45F3-8E58-78999DAB3CDC}"/>
    <cellStyle name="百分比 10 2 2 3 2 2" xfId="2256" xr:uid="{95719C36-EA88-48F2-9C69-2B9C18526C4C}"/>
    <cellStyle name="百分比 10 2 2 3 3" xfId="2257" xr:uid="{C093EDD6-4339-4324-A90B-C2EA461AA93C}"/>
    <cellStyle name="百分比 10 2 2 3 4" xfId="2258" xr:uid="{6318E56D-B9BF-454E-9B74-0D43DA0A0D6B}"/>
    <cellStyle name="百分比 10 2 2 3 4 2" xfId="32968" xr:uid="{5C8D0B93-6751-4FA1-B5D5-B511BC6DEF2B}"/>
    <cellStyle name="百分比 10 2 2 3 5" xfId="2259" xr:uid="{574F7E54-479E-49A8-A0D6-23763578A274}"/>
    <cellStyle name="百分比 10 2 2 4" xfId="2260" xr:uid="{BABAA853-39DA-4F61-A5D6-A54B66405D9C}"/>
    <cellStyle name="百分比 10 2 2 4 2" xfId="2261" xr:uid="{D0FF2709-983C-4CFE-976D-5547C06A27EC}"/>
    <cellStyle name="百分比 10 2 2 5" xfId="2262" xr:uid="{997E8953-7C18-4EBF-9929-A457651EC240}"/>
    <cellStyle name="百分比 10 2 2 5 2" xfId="2263" xr:uid="{6FCAADFE-8903-4C48-82FF-19D5D05A980B}"/>
    <cellStyle name="百分比 10 2 2 6" xfId="2264" xr:uid="{8BB18AF9-5994-492D-828F-438C37482A15}"/>
    <cellStyle name="百分比 10 2 2 6 2" xfId="32969" xr:uid="{59F8525D-A3C9-4F2C-A011-C9C4D81998CA}"/>
    <cellStyle name="百分比 10 2 2 7" xfId="2265" xr:uid="{5DA53486-DED4-4710-BCD6-CE2E48BB6E35}"/>
    <cellStyle name="百分比 10 2 2 8" xfId="2266" xr:uid="{4E3DB00E-2172-4633-8A8F-F3BB84510C38}"/>
    <cellStyle name="百分比 10 2 3" xfId="2267" xr:uid="{2C8C35AD-F6C3-4192-B800-638AF8BD75D8}"/>
    <cellStyle name="百分比 10 2 3 2" xfId="2268" xr:uid="{C2BDF110-0383-4ED0-B974-44E48AE04D61}"/>
    <cellStyle name="百分比 10 2 3 2 2" xfId="2269" xr:uid="{171CF457-A1E9-4A8B-B38D-70445DBFDA59}"/>
    <cellStyle name="百分比 10 2 3 3" xfId="2270" xr:uid="{28467612-C88D-45B0-BAF5-6B61E1A91404}"/>
    <cellStyle name="百分比 10 2 3 4" xfId="2271" xr:uid="{24917D1F-4322-489D-B152-8D06D00DBA58}"/>
    <cellStyle name="百分比 10 2 3 4 2" xfId="32970" xr:uid="{72F61ED7-EC03-444A-B36F-D80FBB601A51}"/>
    <cellStyle name="百分比 10 2 4" xfId="2272" xr:uid="{3B3C6691-AE6B-4274-8599-B61A266FDADB}"/>
    <cellStyle name="百分比 10 2 4 2" xfId="2273" xr:uid="{D85702DC-CED1-4DF2-826B-4B97988E560B}"/>
    <cellStyle name="百分比 10 2 4 2 2" xfId="2274" xr:uid="{5B12A12C-B302-4464-A2F1-46F489DFAF2C}"/>
    <cellStyle name="百分比 10 2 4 3" xfId="2275" xr:uid="{ACFFE3D7-0AEC-4CD7-85EB-22CA3E9C8784}"/>
    <cellStyle name="百分比 10 2 4 4" xfId="2276" xr:uid="{C4BB9F8B-7FF2-44FB-A439-6C36C494E20E}"/>
    <cellStyle name="百分比 10 2 4 4 2" xfId="32971" xr:uid="{A24F45A9-9B40-4D0B-8C1A-2E7A86270794}"/>
    <cellStyle name="百分比 10 2 5" xfId="2277" xr:uid="{5A270C66-A17C-4231-9E79-6C340263F86A}"/>
    <cellStyle name="百分比 10 2 5 2" xfId="2278" xr:uid="{0A535C4E-94F0-47A3-8690-E67AEFB28271}"/>
    <cellStyle name="百分比 10 2 6" xfId="2279" xr:uid="{2ACA0562-4042-484A-8954-38A82D57F402}"/>
    <cellStyle name="百分比 10 2 7" xfId="2280" xr:uid="{EF85313B-8A3C-4742-B555-A235F97FEB28}"/>
    <cellStyle name="百分比 10 2 7 2" xfId="32972" xr:uid="{3BF7E43B-CC78-47AD-9985-C2764D387636}"/>
    <cellStyle name="百分比 10 2 8" xfId="2281" xr:uid="{7EE7BD5E-CB0D-4C4C-A640-47DF7EA7BB85}"/>
    <cellStyle name="百分比 10 3" xfId="2282" xr:uid="{CD92CC93-C339-4DB9-B086-E19B5A34071C}"/>
    <cellStyle name="百分比 10 3 2" xfId="2283" xr:uid="{9FE177F9-5D15-4AB6-82B7-CE696E40CB23}"/>
    <cellStyle name="百分比 10 3 2 2" xfId="2284" xr:uid="{E81CBCAA-9F82-4091-9630-2254096233CD}"/>
    <cellStyle name="百分比 10 3 2 2 2" xfId="2285" xr:uid="{EF65C2D3-DD0D-46C8-AA64-E84848F2BC7A}"/>
    <cellStyle name="百分比 10 3 2 3" xfId="2286" xr:uid="{20F11C34-9585-450A-911B-BA9EA56EA51B}"/>
    <cellStyle name="百分比 10 3 2 4" xfId="2287" xr:uid="{B59E4F4A-6BD6-4E4B-AAB4-F889EAE856CA}"/>
    <cellStyle name="百分比 10 3 2 4 2" xfId="32973" xr:uid="{07FC8B04-1374-419D-BEED-F0D10D450C0E}"/>
    <cellStyle name="百分比 10 3 3" xfId="2288" xr:uid="{67AD5345-D674-4803-A0CF-DEB7AC84E1CD}"/>
    <cellStyle name="百分比 10 3 3 2" xfId="2289" xr:uid="{3EE752C3-615B-4D35-8FB0-DE81B6ADF996}"/>
    <cellStyle name="百分比 10 3 3 2 2" xfId="2290" xr:uid="{4A8A166A-B613-4A97-B447-6814B211897A}"/>
    <cellStyle name="百分比 10 3 3 3" xfId="2291" xr:uid="{64255094-1C69-4B8F-9A19-B713A97FA801}"/>
    <cellStyle name="百分比 10 3 3 4" xfId="2292" xr:uid="{1609D97F-C65B-40D2-BB15-2784F8E96C61}"/>
    <cellStyle name="百分比 10 3 3 4 2" xfId="32974" xr:uid="{9A2724E8-C0F0-40F6-A4B6-1B25C78A6E64}"/>
    <cellStyle name="百分比 10 3 4" xfId="2293" xr:uid="{C7714412-0D1B-45F6-B12D-806BFE8FB6E9}"/>
    <cellStyle name="百分比 10 3 4 2" xfId="2294" xr:uid="{45D03649-A2A4-4332-AA4F-100714DBA5DC}"/>
    <cellStyle name="百分比 10 3 5" xfId="2295" xr:uid="{BD6A63ED-4539-4F47-9591-A79D32DCD030}"/>
    <cellStyle name="百分比 10 3 6" xfId="2296" xr:uid="{66F7CC36-4F8F-4721-A3B4-F8E1BA3FEA69}"/>
    <cellStyle name="百分比 10 3 6 2" xfId="32975" xr:uid="{33A560FB-737E-4E7A-8F5C-006F44B8701A}"/>
    <cellStyle name="百分比 10 3 7" xfId="2297" xr:uid="{C6308B98-A4D0-46B5-95A3-8D0091F978CF}"/>
    <cellStyle name="百分比 10 4" xfId="2298" xr:uid="{2280590F-2530-4435-A863-057B8271F80D}"/>
    <cellStyle name="百分比 10 4 2" xfId="2299" xr:uid="{02224A26-EC46-4191-ADE4-4743B5FCB90E}"/>
    <cellStyle name="百分比 10 4 2 2" xfId="2300" xr:uid="{AA690EC0-0C4A-4432-80D0-2F3AAD3D4CFC}"/>
    <cellStyle name="百分比 10 4 3" xfId="2301" xr:uid="{10A7DD8B-5382-45AE-AC0C-0DCA8B2AEC92}"/>
    <cellStyle name="百分比 10 4 4" xfId="2302" xr:uid="{B37110B9-9577-427F-82F6-99B419748AA3}"/>
    <cellStyle name="百分比 10 4 4 2" xfId="32976" xr:uid="{A063AD15-B4C0-4001-BEDC-67298AEA86B7}"/>
    <cellStyle name="百分比 10 4 5" xfId="2303" xr:uid="{AD747F2E-C8CE-4604-9559-AA78B04BE8DE}"/>
    <cellStyle name="百分比 10 5" xfId="2304" xr:uid="{666D3943-0FF4-4D9F-9E5D-FC9E865B0260}"/>
    <cellStyle name="百分比 10 5 2" xfId="2305" xr:uid="{8A15BE25-14DD-4B91-83CA-6C1DE0DD8EDF}"/>
    <cellStyle name="百分比 10 5 2 2" xfId="2306" xr:uid="{442D4B64-487F-4960-ACA5-51C161B6961C}"/>
    <cellStyle name="百分比 10 5 3" xfId="2307" xr:uid="{209C4AB0-FD18-4A7C-B8D6-66EAF8CF208B}"/>
    <cellStyle name="百分比 10 5 3 2" xfId="2308" xr:uid="{2E5F8A4B-8D7B-416F-B5C7-01BBF87D7209}"/>
    <cellStyle name="百分比 10 5 4" xfId="2309" xr:uid="{0CD82EE1-D3F0-4403-ADE4-65790AF24BA9}"/>
    <cellStyle name="百分比 10 5 4 2" xfId="32977" xr:uid="{C196165D-7E67-4307-82EB-6497A6CB9FFC}"/>
    <cellStyle name="百分比 10 5 5" xfId="2310" xr:uid="{85E9CBE2-F04C-43FE-8444-D8B14C1FFD33}"/>
    <cellStyle name="百分比 10 5 6" xfId="2311" xr:uid="{74237413-3FF7-4DE5-8EC4-4D32B6A2F2C9}"/>
    <cellStyle name="百分比 10 5 7" xfId="2312" xr:uid="{7CEBF2E4-8CDD-4D9B-891A-92BFEAB5DC9E}"/>
    <cellStyle name="百分比 10 6" xfId="2313" xr:uid="{ECA82908-DAC3-428C-98FF-DF54078BF2A2}"/>
    <cellStyle name="百分比 10 6 2" xfId="2314" xr:uid="{38197D90-C80A-417A-978E-C8B66E8B3C4B}"/>
    <cellStyle name="百分比 10 7" xfId="2315" xr:uid="{19722AC4-571A-4861-BEBB-834F495736B4}"/>
    <cellStyle name="百分比 10 7 2" xfId="2316" xr:uid="{B25D179C-BEDC-4FD9-9A37-C577D119B22B}"/>
    <cellStyle name="百分比 10 8" xfId="2317" xr:uid="{71924CD8-9EDC-4B4E-B8CD-0748CC2C496D}"/>
    <cellStyle name="百分比 10 8 2" xfId="32978" xr:uid="{E6303261-9C7A-4A35-8169-3809CE6CAB78}"/>
    <cellStyle name="百分比 10 9" xfId="2318" xr:uid="{2DEDC7E8-145B-4BB1-A663-24EC268A2A5F}"/>
    <cellStyle name="百分比 10 9 2" xfId="2319" xr:uid="{13EB20BE-960F-4750-A17E-E95EF25FAD41}"/>
    <cellStyle name="百分比 11" xfId="2320" xr:uid="{F526729E-15CB-4424-8EB1-9818B9F7549C}"/>
    <cellStyle name="百分比 11 10" xfId="2321" xr:uid="{5FC7B04D-A75E-46F8-8AD4-FBE2936C5B17}"/>
    <cellStyle name="百分比 11 2" xfId="2322" xr:uid="{485A8DE5-BA73-4186-9CD8-D07B2345F9E2}"/>
    <cellStyle name="百分比 11 2 2" xfId="2323" xr:uid="{4EB2C17E-849F-4DB7-9AB5-110D6A3A429C}"/>
    <cellStyle name="百分比 11 2 2 2" xfId="2324" xr:uid="{8A560DBD-F52D-4547-AD90-3706C4B40913}"/>
    <cellStyle name="百分比 11 2 2 3" xfId="2325" xr:uid="{EE8351D7-9DE9-4041-9737-5CCD63E015CA}"/>
    <cellStyle name="百分比 11 2 2 4" xfId="2326" xr:uid="{F8D32C43-4F5B-46B7-BA93-4B4A68550791}"/>
    <cellStyle name="百分比 11 2 2 5" xfId="2327" xr:uid="{E4F0D5F2-F605-4AEF-AF3B-C424F7CB9AB2}"/>
    <cellStyle name="百分比 11 2 2 6" xfId="2328" xr:uid="{8E4988F5-DDDB-43AE-8DDC-3AB7D331A932}"/>
    <cellStyle name="百分比 11 2 3" xfId="2329" xr:uid="{0818EBB8-46BD-4CF2-962C-D8BF2181C44C}"/>
    <cellStyle name="百分比 11 2 4" xfId="2330" xr:uid="{C1BDE058-6953-4948-9849-56699FC10CC2}"/>
    <cellStyle name="百分比 11 2 5" xfId="2331" xr:uid="{DADBC3E0-1A5B-4E31-9C60-8931C037CCDC}"/>
    <cellStyle name="百分比 11 2 6" xfId="2332" xr:uid="{6C963CA2-34C7-4082-A6D7-1BE59266AD4E}"/>
    <cellStyle name="百分比 11 2 7" xfId="2333" xr:uid="{23BE4130-ED86-4D33-97A1-56348920563B}"/>
    <cellStyle name="百分比 11 2 8" xfId="2334" xr:uid="{5F2A7A02-6CDB-423A-BC50-EBCE3177B6D4}"/>
    <cellStyle name="百分比 11 3" xfId="2335" xr:uid="{2181F6D6-D0E9-49B3-ACCD-AC48CC4292C8}"/>
    <cellStyle name="百分比 11 3 2" xfId="2336" xr:uid="{0588BC5A-8DD4-48A0-A78E-46B5A66F07C0}"/>
    <cellStyle name="百分比 11 3 2 2" xfId="2337" xr:uid="{0D032BE4-0EBF-4171-BFAD-01E9918405A9}"/>
    <cellStyle name="百分比 11 3 2 3" xfId="2338" xr:uid="{60BADD61-5E32-4CF0-B605-4D4BFB842D33}"/>
    <cellStyle name="百分比 11 3 2 4" xfId="2339" xr:uid="{9A97FCEB-57B0-43DE-B8B7-7CD05C095516}"/>
    <cellStyle name="百分比 11 3 2 5" xfId="2340" xr:uid="{F3785B6E-88F0-4420-B47D-C0AE05E59184}"/>
    <cellStyle name="百分比 11 3 2 6" xfId="2341" xr:uid="{7753CAA8-5B8F-4916-B435-08E19D16B131}"/>
    <cellStyle name="百分比 11 3 3" xfId="2342" xr:uid="{48A8D89E-75F5-4F44-A49F-84C5B9CA0D38}"/>
    <cellStyle name="百分比 11 3 4" xfId="2343" xr:uid="{37A99A9A-E0D2-4D09-A8CF-C848BD612AA3}"/>
    <cellStyle name="百分比 11 3 5" xfId="2344" xr:uid="{4E5FF43B-6765-44F8-88F3-9A88F22011BC}"/>
    <cellStyle name="百分比 11 3 6" xfId="2345" xr:uid="{AAB64771-F597-440E-BB85-865D180F5C6C}"/>
    <cellStyle name="百分比 11 3 7" xfId="2346" xr:uid="{D20E5801-B9C5-4BDE-852C-B097AEDC0FD5}"/>
    <cellStyle name="百分比 11 3 8" xfId="2347" xr:uid="{3C675894-4E7F-4955-A19E-07BD5F285083}"/>
    <cellStyle name="百分比 11 4" xfId="2348" xr:uid="{7F8DAEBC-A16E-43FD-8AF1-CE47E9E57FB6}"/>
    <cellStyle name="百分比 11 4 2" xfId="2349" xr:uid="{C75F99FA-649F-49B2-A9F7-7FA05992F85E}"/>
    <cellStyle name="百分比 11 4 3" xfId="2350" xr:uid="{BC0D6A11-1A50-4EEE-AAD2-3C3756043340}"/>
    <cellStyle name="百分比 11 4 4" xfId="2351" xr:uid="{36B1F9DC-CB02-4725-9C05-0F8F302C5109}"/>
    <cellStyle name="百分比 11 4 5" xfId="2352" xr:uid="{889C2C0A-FB92-4F5B-A6DA-437197D95B46}"/>
    <cellStyle name="百分比 11 4 6" xfId="2353" xr:uid="{5AE6834A-9D19-43E8-9E17-23A63EE65194}"/>
    <cellStyle name="百分比 11 4 7" xfId="2354" xr:uid="{BD406E57-B9BE-4F50-94B2-1A3817F5D298}"/>
    <cellStyle name="百分比 11 5" xfId="2355" xr:uid="{40372E0B-C6C7-4974-BAA4-C2B619EB1FB4}"/>
    <cellStyle name="百分比 11 5 2" xfId="2356" xr:uid="{2AD5F935-00CC-4594-877A-F7BCF2FDD2C0}"/>
    <cellStyle name="百分比 11 6" xfId="2357" xr:uid="{FE894830-E40C-4E40-9906-D77234C3EED2}"/>
    <cellStyle name="百分比 11 7" xfId="2358" xr:uid="{2EB60DA4-6534-4784-BDE6-F88E7635D4C7}"/>
    <cellStyle name="百分比 11 8" xfId="2359" xr:uid="{03B8C98A-7686-4ABE-B6FD-95D032614C76}"/>
    <cellStyle name="百分比 11 9" xfId="2360" xr:uid="{7D83E138-7B19-4693-9BD1-F027A0189DCD}"/>
    <cellStyle name="百分比 12" xfId="2361" xr:uid="{9C57B725-6DCA-45E5-BD26-CC8F641C08C5}"/>
    <cellStyle name="百分比 12 2" xfId="2362" xr:uid="{DE21B418-FA6C-4091-8B20-19ACC05211EB}"/>
    <cellStyle name="百分比 12 2 2" xfId="2363" xr:uid="{B89DB9B9-32C6-45CC-959C-568CF4A33B2D}"/>
    <cellStyle name="百分比 12 2 3" xfId="2364" xr:uid="{D9C98AC6-5B0E-47A4-9613-7360A141F5B4}"/>
    <cellStyle name="百分比 12 2 4" xfId="2365" xr:uid="{282A66CB-3229-4107-88B3-0AE0065276A8}"/>
    <cellStyle name="百分比 12 2 5" xfId="2366" xr:uid="{7B98F9E4-7E8C-43F1-B6AA-E6A46C6817D8}"/>
    <cellStyle name="百分比 12 2 6" xfId="2367" xr:uid="{3DC1AF38-E558-4151-B9DE-912549A2DAE1}"/>
    <cellStyle name="百分比 12 2 7" xfId="2368" xr:uid="{8AE85C58-AE4B-45EF-A8A4-54EAFFE69A8A}"/>
    <cellStyle name="百分比 12 3" xfId="2369" xr:uid="{853A7A55-4667-4E30-BD6B-230193AE477F}"/>
    <cellStyle name="百分比 12 3 2" xfId="2370" xr:uid="{1D4B24B5-776D-4FC6-8259-FC3CD3F23EFE}"/>
    <cellStyle name="百分比 12 4" xfId="2371" xr:uid="{B3BA60C0-DAB3-4670-992F-1E436AA1A5E5}"/>
    <cellStyle name="百分比 12 5" xfId="2372" xr:uid="{85C4678F-8BA8-44FA-8BC6-A8F871B87805}"/>
    <cellStyle name="百分比 12 6" xfId="2373" xr:uid="{8C9D9A7B-33BC-4DB8-AB6D-3932649F8149}"/>
    <cellStyle name="百分比 12 7" xfId="2374" xr:uid="{ED111DEB-BE55-4AEB-923A-E8B697964131}"/>
    <cellStyle name="百分比 12 8" xfId="2375" xr:uid="{1105ADBB-947B-44B0-BD27-D37C4DB71D32}"/>
    <cellStyle name="百分比 13" xfId="2376" xr:uid="{0EC7BBDF-90BD-4D14-8137-B777B5E84BD1}"/>
    <cellStyle name="百分比 13 2" xfId="2377" xr:uid="{6E455C37-B5D9-4F32-87FF-1E687BC918BE}"/>
    <cellStyle name="百分比 13 2 2" xfId="2378" xr:uid="{E4282A34-2CF3-44E8-AF91-F46A403E18C9}"/>
    <cellStyle name="百分比 13 3" xfId="2379" xr:uid="{0558257E-DCD4-4D84-A3AF-014FFBB4EE1E}"/>
    <cellStyle name="百分比 13 4" xfId="2380" xr:uid="{8497F595-0C9F-4DBC-B349-AC8CA0C35E2F}"/>
    <cellStyle name="百分比 13 5" xfId="2381" xr:uid="{E18340AE-3417-4F06-B2A5-C59619E42298}"/>
    <cellStyle name="百分比 13 6" xfId="2382" xr:uid="{F984B195-F0D1-4433-9417-1AB81985CEB7}"/>
    <cellStyle name="百分比 14" xfId="2383" xr:uid="{3F59B0B7-6251-4843-A109-F56BE4D5F9D9}"/>
    <cellStyle name="百分比 14 2" xfId="2384" xr:uid="{B4FB73A5-AACF-4AEC-9692-F6346413B2E5}"/>
    <cellStyle name="百分比 14 2 2" xfId="2385" xr:uid="{41F05DC3-FE37-4680-B8E4-E4F0C550D1E2}"/>
    <cellStyle name="百分比 14 2 2 2" xfId="2386" xr:uid="{4A79480E-5DE3-4033-A8D0-6351C5F2ED9D}"/>
    <cellStyle name="百分比 14 2 3" xfId="2387" xr:uid="{1E9481E1-78A1-4538-B0C6-E759D3A3A8AD}"/>
    <cellStyle name="百分比 14 2 4" xfId="2388" xr:uid="{37DEED5F-DD82-4A06-8E12-1FEDE765CB6F}"/>
    <cellStyle name="百分比 14 2 4 2" xfId="32979" xr:uid="{137CD729-A376-4D59-A9BD-263ADF015CAE}"/>
    <cellStyle name="百分比 14 3" xfId="2389" xr:uid="{5398EB3C-FAA9-4B61-A2EA-0F81DE48173E}"/>
    <cellStyle name="百分比 14 3 2" xfId="2390" xr:uid="{B6A13972-A6BA-454E-98D1-0B20F9CBA4F1}"/>
    <cellStyle name="百分比 14 4" xfId="2391" xr:uid="{8F8A7C93-5BA7-4B52-A8D9-6E48FD97E49F}"/>
    <cellStyle name="百分比 14 5" xfId="2392" xr:uid="{4CEF1DC4-49FE-40AE-9549-B14A5FBD8A1F}"/>
    <cellStyle name="百分比 14 5 2" xfId="32980" xr:uid="{96A852FA-8B5D-42F3-8293-5E312B83EBEE}"/>
    <cellStyle name="百分比 15" xfId="2393" xr:uid="{1018028F-D8C1-4C40-B847-ED6F221AB0EC}"/>
    <cellStyle name="百分比 15 2" xfId="2394" xr:uid="{78D6BDE9-9AFF-4265-99C8-A19DAC0B1666}"/>
    <cellStyle name="百分比 15 2 2" xfId="2395" xr:uid="{5A92FD9A-1FC2-421E-A8E2-10F6A43B7E83}"/>
    <cellStyle name="百分比 15 2 3" xfId="2396" xr:uid="{868E954C-840B-40DA-BC5D-FFC1344D56AD}"/>
    <cellStyle name="百分比 15 2 4" xfId="2397" xr:uid="{59ED328C-837D-4E47-8EF4-919E751BF7C0}"/>
    <cellStyle name="百分比 15 2 5" xfId="2398" xr:uid="{5390E655-905A-4A46-8BCA-EB99AE01EBB3}"/>
    <cellStyle name="百分比 15 2 6" xfId="2399" xr:uid="{61A9982E-6282-403D-B970-10CC225E53FD}"/>
    <cellStyle name="百分比 15 2 7" xfId="2400" xr:uid="{092155FA-69BB-4C8D-B3ED-A29B8DCB6E07}"/>
    <cellStyle name="百分比 15 3" xfId="2401" xr:uid="{F2C8B2AF-DBDF-4014-AA7F-E5427E8A36F9}"/>
    <cellStyle name="百分比 15 4" xfId="2402" xr:uid="{53324A35-594A-4C2F-A331-F18B05EFAC6B}"/>
    <cellStyle name="百分比 15 5" xfId="2403" xr:uid="{C7ACA6D9-9B85-49A2-A7ED-4147D869601D}"/>
    <cellStyle name="百分比 15 6" xfId="2404" xr:uid="{A4D1448E-D29C-4CF2-9638-64A62AB15533}"/>
    <cellStyle name="百分比 15 7" xfId="2405" xr:uid="{E98A5166-57DC-449B-B5CB-543E23D24F93}"/>
    <cellStyle name="百分比 15 8" xfId="2406" xr:uid="{5F310D2D-8E51-4BCB-8FE1-84384F933180}"/>
    <cellStyle name="百分比 16" xfId="2407" xr:uid="{B8CCA9AF-3808-46E2-B4A4-AD0039C3374B}"/>
    <cellStyle name="百分比 17" xfId="2408" xr:uid="{7BCD9685-F478-49E2-8D83-A69E1599FEC9}"/>
    <cellStyle name="百分比 18" xfId="2409" xr:uid="{5FE93097-B218-45AB-A686-DBD9960D6DD6}"/>
    <cellStyle name="百分比 18 2" xfId="32981" xr:uid="{AEFAC818-8F28-48C9-B9FC-6D3E715382A8}"/>
    <cellStyle name="百分比 19" xfId="2410" xr:uid="{468F3271-0FDF-4A24-B936-8C11E6676B76}"/>
    <cellStyle name="百分比 2" xfId="4" xr:uid="{BC51D6FD-483E-45E2-B3F5-10A63B1D5010}"/>
    <cellStyle name="百分比 2 10" xfId="2412" xr:uid="{294223C6-25D0-4366-876E-74DED5D88BC1}"/>
    <cellStyle name="百分比 2 10 2" xfId="2413" xr:uid="{9BA39158-D349-4DF5-88A5-A9654D4719B6}"/>
    <cellStyle name="百分比 2 10 2 2" xfId="2414" xr:uid="{836F4B5E-FDF7-41E5-A40C-07AAA91376DA}"/>
    <cellStyle name="百分比 2 10 2 2 2" xfId="2415" xr:uid="{BBB6DE38-8891-4935-AB78-764CF24DC5F5}"/>
    <cellStyle name="百分比 2 10 2 3" xfId="2416" xr:uid="{F6F2A024-E3E5-4F5A-9B96-68023BE2AD8C}"/>
    <cellStyle name="百分比 2 10 2 4" xfId="2417" xr:uid="{28F60ADC-A7F0-4C3B-A7CF-89B924CFA4C5}"/>
    <cellStyle name="百分比 2 10 2 4 2" xfId="32982" xr:uid="{040677E2-137F-4DEE-B87A-C76B162C21FD}"/>
    <cellStyle name="百分比 2 10 3" xfId="2418" xr:uid="{E9CA23B8-35DC-4858-9041-A806DEF9EF91}"/>
    <cellStyle name="百分比 2 10 3 2" xfId="2419" xr:uid="{5BEE384D-0712-4BE8-BA45-1E4A23C58E67}"/>
    <cellStyle name="百分比 2 10 4" xfId="2420" xr:uid="{08199D9B-A2DA-44BE-B1C2-C8F185ADBB10}"/>
    <cellStyle name="百分比 2 10 5" xfId="2421" xr:uid="{75AE156E-9AAF-4D06-A63D-61301F95B652}"/>
    <cellStyle name="百分比 2 10 5 2" xfId="32983" xr:uid="{CF3581DD-4672-4A68-AA43-5B3455AAA7E3}"/>
    <cellStyle name="百分比 2 10 6" xfId="2422" xr:uid="{63C03396-2333-4C0C-A1DC-70A0D7ED232E}"/>
    <cellStyle name="百分比 2 11" xfId="2423" xr:uid="{9C23E2EB-514B-47E8-A590-25CD4F6EBC9A}"/>
    <cellStyle name="百分比 2 11 2" xfId="2424" xr:uid="{099A4319-C177-4A8E-9E81-09ABF7322A74}"/>
    <cellStyle name="百分比 2 11 2 2" xfId="2425" xr:uid="{1F299429-2948-4C73-A16D-9B18CDE158DB}"/>
    <cellStyle name="百分比 2 11 3" xfId="2426" xr:uid="{76154D8B-D48F-48E7-B73E-0D999CF081E9}"/>
    <cellStyle name="百分比 2 11 3 2" xfId="2427" xr:uid="{ED0BDAD2-612A-44DF-A23F-314718FD2793}"/>
    <cellStyle name="百分比 2 11 4" xfId="2428" xr:uid="{11C0BB12-929A-491E-85CF-34AE6883C860}"/>
    <cellStyle name="百分比 2 11 5" xfId="2429" xr:uid="{34A9512F-37E6-4958-9B52-6314FFDA3734}"/>
    <cellStyle name="百分比 2 11 6" xfId="2430" xr:uid="{A92A1F47-4D95-4AC9-B290-A35BC53E37FA}"/>
    <cellStyle name="百分比 2 12" xfId="2431" xr:uid="{FBB22D6D-8A78-4433-89CC-5DE28BD6E846}"/>
    <cellStyle name="百分比 2 12 2" xfId="2432" xr:uid="{8282934A-FF2E-446C-936F-0C41D87016A4}"/>
    <cellStyle name="百分比 2 12 2 2" xfId="2433" xr:uid="{C3FC9E08-B397-4A21-9B7A-F12EAF341167}"/>
    <cellStyle name="百分比 2 12 3" xfId="2434" xr:uid="{31DA8EEA-72BC-4D95-915B-26551E60D221}"/>
    <cellStyle name="百分比 2 12 4" xfId="2435" xr:uid="{FECBEC01-DD8C-4EFB-ACAC-73FB041933E1}"/>
    <cellStyle name="百分比 2 12 4 2" xfId="32984" xr:uid="{B51C1B44-9404-4575-B3EB-51B3B699BCBC}"/>
    <cellStyle name="百分比 2 12 5" xfId="2436" xr:uid="{1DFB93EA-9A9A-484E-B714-A56E5C9F4031}"/>
    <cellStyle name="百分比 2 13" xfId="2437" xr:uid="{66F8E2DE-1E41-4AE8-9CD3-13F948087CF0}"/>
    <cellStyle name="百分比 2 13 2" xfId="2438" xr:uid="{1900E6AE-302F-4E7A-9FAC-A6B87157DECA}"/>
    <cellStyle name="百分比 2 13 2 2" xfId="2439" xr:uid="{3D304863-0CB6-4C03-ACD5-6B3E1DFD144C}"/>
    <cellStyle name="百分比 2 13 3" xfId="2440" xr:uid="{01736AA4-75EB-49E7-950E-4F0A7DD1C98A}"/>
    <cellStyle name="百分比 2 13 4" xfId="2441" xr:uid="{F62D9990-CD2A-42E3-B44D-A335FBDCEDC8}"/>
    <cellStyle name="百分比 2 13 4 2" xfId="32985" xr:uid="{65A35280-FC0B-4119-84B2-9F3A6697A876}"/>
    <cellStyle name="百分比 2 13 5" xfId="2442" xr:uid="{4EADF199-7FFF-48DD-9CF2-727CF4F50911}"/>
    <cellStyle name="百分比 2 14" xfId="2443" xr:uid="{9DD46321-089D-4397-B956-77B20885562C}"/>
    <cellStyle name="百分比 2 14 2" xfId="2444" xr:uid="{B5D40407-1BF7-4524-AD00-2668EFB4EC58}"/>
    <cellStyle name="百分比 2 15" xfId="2445" xr:uid="{F172FD82-29BF-4C1D-8FD3-019153FEBE4A}"/>
    <cellStyle name="百分比 2 16" xfId="2446" xr:uid="{77A35DFE-C7C3-4E30-BAF6-20708982FC7A}"/>
    <cellStyle name="百分比 2 17" xfId="2447" xr:uid="{A6B0F502-6193-49E9-BB08-6AF5093BD3F0}"/>
    <cellStyle name="百分比 2 18" xfId="2448" xr:uid="{6A30B2B2-4161-47BC-9DF7-4C3D16386E29}"/>
    <cellStyle name="百分比 2 19" xfId="2411" xr:uid="{834599B0-7EB9-4F2D-B61C-34DBEF1934E3}"/>
    <cellStyle name="百分比 2 2" xfId="2449" xr:uid="{6F931C47-7C6D-4113-BD99-F3A5F256FC3F}"/>
    <cellStyle name="百分比 2 2 10" xfId="2450" xr:uid="{9E7021E7-5927-4602-A223-C397ECE17818}"/>
    <cellStyle name="百分比 2 2 10 2" xfId="2451" xr:uid="{524A9B27-3B23-43ED-8922-7F5D8247A628}"/>
    <cellStyle name="百分比 2 2 10 2 2" xfId="2452" xr:uid="{ACEEB425-3C86-430B-8F3C-0C788993D483}"/>
    <cellStyle name="百分比 2 2 10 3" xfId="2453" xr:uid="{58C3DF1D-5DBE-4E91-B469-DF6E4B579469}"/>
    <cellStyle name="百分比 2 2 10 3 2" xfId="2454" xr:uid="{1B13EBCA-E023-494D-AC58-C7CD3747A46C}"/>
    <cellStyle name="百分比 2 2 10 4" xfId="2455" xr:uid="{CD9FD2FF-1306-41F5-BABE-8F29830057B7}"/>
    <cellStyle name="百分比 2 2 10 4 2" xfId="32986" xr:uid="{A175D30D-D8C5-4D72-A5ED-765F7A2E4092}"/>
    <cellStyle name="百分比 2 2 10 5" xfId="2456" xr:uid="{DC348161-37C8-4474-84BD-9AB7B7B03EB7}"/>
    <cellStyle name="百分比 2 2 10 6" xfId="2457" xr:uid="{596E853E-EF5A-4CA7-B863-7CD84B7C4138}"/>
    <cellStyle name="百分比 2 2 10 7" xfId="2458" xr:uid="{D659BB05-E0AA-4A2A-9D3F-437091DDCF2D}"/>
    <cellStyle name="百分比 2 2 11" xfId="2459" xr:uid="{2A3228AE-305C-4986-957E-5B446610236B}"/>
    <cellStyle name="百分比 2 2 11 2" xfId="2460" xr:uid="{518C67E2-64EF-4475-950E-FCD8C625517B}"/>
    <cellStyle name="百分比 2 2 11 2 2" xfId="2461" xr:uid="{D7DB83FD-E647-4821-96F6-DD81993AB2C2}"/>
    <cellStyle name="百分比 2 2 11 3" xfId="2462" xr:uid="{DF833AF2-6834-4CC9-912A-94E0878F6D53}"/>
    <cellStyle name="百分比 2 2 11 4" xfId="2463" xr:uid="{21E7F70D-310B-4911-A777-CC5EA380540C}"/>
    <cellStyle name="百分比 2 2 11 4 2" xfId="32987" xr:uid="{BACEB705-050C-42CC-B6C9-F8D491A6BE28}"/>
    <cellStyle name="百分比 2 2 11 5" xfId="2464" xr:uid="{61E870CF-53D6-4B00-B59D-3BDADE1A4AB3}"/>
    <cellStyle name="百分比 2 2 12" xfId="2465" xr:uid="{325F03D9-5DAC-4A27-A0AA-234EFC875A91}"/>
    <cellStyle name="百分比 2 2 12 2" xfId="2466" xr:uid="{6A509C48-5FBA-442D-B4CE-FF62CA8A63CB}"/>
    <cellStyle name="百分比 2 2 13" xfId="2467" xr:uid="{A08B44ED-EB20-4546-9A46-2CEAD1D603AD}"/>
    <cellStyle name="百分比 2 2 13 2" xfId="2468" xr:uid="{A3B961E4-ECD2-41E0-BDB6-A66F540680E8}"/>
    <cellStyle name="百分比 2 2 14" xfId="2469" xr:uid="{DFC0DA13-2AFD-4102-9C0E-695B7FBE7DFD}"/>
    <cellStyle name="百分比 2 2 14 2" xfId="32988" xr:uid="{1B6D691D-D0C8-41FE-A9EF-1BA79E7E601A}"/>
    <cellStyle name="百分比 2 2 15" xfId="2470" xr:uid="{F97A5891-1192-4E2E-9089-E0A953214C2C}"/>
    <cellStyle name="百分比 2 2 15 2" xfId="2471" xr:uid="{222A2779-F339-45FA-B0E3-1EDD1DDBE9D3}"/>
    <cellStyle name="百分比 2 2 16" xfId="2472" xr:uid="{13907C3A-027F-4A6A-BE87-BE68698C8692}"/>
    <cellStyle name="百分比 2 2 2" xfId="2473" xr:uid="{EC30C956-DCAF-4CD5-9739-9B551471D036}"/>
    <cellStyle name="百分比 2 2 2 10" xfId="2474" xr:uid="{7FC7BB66-8CF2-47C4-ABE6-E51AD5EE1099}"/>
    <cellStyle name="百分比 2 2 2 10 2" xfId="32989" xr:uid="{85FF398D-E355-495D-8EF9-EC69F672773F}"/>
    <cellStyle name="百分比 2 2 2 11" xfId="2475" xr:uid="{D01ECC2E-2651-450D-B261-D52484815191}"/>
    <cellStyle name="百分比 2 2 2 11 2" xfId="2476" xr:uid="{2EFCB8F3-5961-40E5-BB43-189E9AE8654E}"/>
    <cellStyle name="百分比 2 2 2 12" xfId="2477" xr:uid="{F3BDDB32-C10F-42B8-9157-17350C785AA4}"/>
    <cellStyle name="百分比 2 2 2 2" xfId="2478" xr:uid="{644A82DE-3E49-4D5A-AC23-A77CB067A5F5}"/>
    <cellStyle name="百分比 2 2 2 2 10" xfId="2479" xr:uid="{F2416D96-89CD-4121-AC9E-C2022F8F6079}"/>
    <cellStyle name="百分比 2 2 2 2 11" xfId="2480" xr:uid="{1091B629-B0B8-40BE-963E-96C6CD475304}"/>
    <cellStyle name="百分比 2 2 2 2 2" xfId="2481" xr:uid="{97469AB7-1107-476B-96AC-1AC3A48D1FB3}"/>
    <cellStyle name="百分比 2 2 2 2 2 2" xfId="2482" xr:uid="{A44B3370-12B9-4508-880E-5CA79F42B34B}"/>
    <cellStyle name="百分比 2 2 2 2 2 2 2" xfId="2483" xr:uid="{E0698A3F-BA3C-47A2-A3D5-1FB1497D4849}"/>
    <cellStyle name="百分比 2 2 2 2 2 2 2 2" xfId="2484" xr:uid="{617BD709-37E8-4D1B-BEC9-636B262B3C96}"/>
    <cellStyle name="百分比 2 2 2 2 2 2 2 2 2" xfId="2485" xr:uid="{29841779-A7DA-482D-9EB0-018C70509DFF}"/>
    <cellStyle name="百分比 2 2 2 2 2 2 2 3" xfId="2486" xr:uid="{4466E786-72E1-433A-99EB-61BDA0D2D18E}"/>
    <cellStyle name="百分比 2 2 2 2 2 2 2 4" xfId="2487" xr:uid="{64FEF653-731D-41E9-B8C4-09FB16982D56}"/>
    <cellStyle name="百分比 2 2 2 2 2 2 2 4 2" xfId="32990" xr:uid="{B4973327-D0DF-4BEA-9672-AE2FBB872CA3}"/>
    <cellStyle name="百分比 2 2 2 2 2 2 2 5" xfId="2488" xr:uid="{B18A5FE3-2DC2-4D8F-9260-7DD69EE0BF25}"/>
    <cellStyle name="百分比 2 2 2 2 2 2 3" xfId="2489" xr:uid="{82DFE3CD-22BC-45EE-81FB-2CD22BB74B70}"/>
    <cellStyle name="百分比 2 2 2 2 2 2 3 2" xfId="2490" xr:uid="{FE15ED1B-8110-46B0-9E89-23B28FA61EF1}"/>
    <cellStyle name="百分比 2 2 2 2 2 2 3 2 2" xfId="2491" xr:uid="{1276615D-DB24-48DA-BEE2-B54AF94D25B9}"/>
    <cellStyle name="百分比 2 2 2 2 2 2 3 3" xfId="2492" xr:uid="{ED1A7423-6DBE-47EE-A9F3-D6FA6B0600CA}"/>
    <cellStyle name="百分比 2 2 2 2 2 2 3 4" xfId="2493" xr:uid="{56835D25-D451-4085-80F4-80C69CA8CDDC}"/>
    <cellStyle name="百分比 2 2 2 2 2 2 3 4 2" xfId="32991" xr:uid="{B409A482-FCC2-4513-A78A-511EAAFDB395}"/>
    <cellStyle name="百分比 2 2 2 2 2 2 3 5" xfId="2494" xr:uid="{6B77DABF-41AF-453E-9F23-8CD4F1A2446D}"/>
    <cellStyle name="百分比 2 2 2 2 2 2 4" xfId="2495" xr:uid="{F197F9B9-4DDD-4E88-8C98-6EE5134883A3}"/>
    <cellStyle name="百分比 2 2 2 2 2 2 4 2" xfId="2496" xr:uid="{5DBE8F9A-A44A-441D-B79C-4C2B44A0F051}"/>
    <cellStyle name="百分比 2 2 2 2 2 2 5" xfId="2497" xr:uid="{F5B39DCE-E5D5-4984-B037-645CB69004A2}"/>
    <cellStyle name="百分比 2 2 2 2 2 2 5 2" xfId="2498" xr:uid="{411080A6-9110-4319-AE3A-303C2D9185EC}"/>
    <cellStyle name="百分比 2 2 2 2 2 2 6" xfId="2499" xr:uid="{314B5555-9843-4201-A624-4B317C28DFBE}"/>
    <cellStyle name="百分比 2 2 2 2 2 2 6 2" xfId="32992" xr:uid="{F63649E6-47A8-44F0-A625-FA10C1599264}"/>
    <cellStyle name="百分比 2 2 2 2 2 2 7" xfId="2500" xr:uid="{631AF2CE-F381-45E4-A0FB-D895975A96DE}"/>
    <cellStyle name="百分比 2 2 2 2 2 3" xfId="2501" xr:uid="{D4F1C7FC-F375-4899-B09F-E6D179FCF08F}"/>
    <cellStyle name="百分比 2 2 2 2 2 3 2" xfId="2502" xr:uid="{B9203096-EDB9-4D26-963E-2F55ADD84C87}"/>
    <cellStyle name="百分比 2 2 2 2 2 3 2 2" xfId="2503" xr:uid="{62F32F81-A8EF-4295-8CBE-CE0ECEEF8935}"/>
    <cellStyle name="百分比 2 2 2 2 2 3 3" xfId="2504" xr:uid="{FB636736-E760-4B14-BAA7-F6551DEB23CD}"/>
    <cellStyle name="百分比 2 2 2 2 2 3 3 2" xfId="2505" xr:uid="{1DE44C94-8EB6-47AF-BAA7-8BEE3A73A894}"/>
    <cellStyle name="百分比 2 2 2 2 2 3 4" xfId="2506" xr:uid="{E0D3DFA9-F0CF-4A0B-9DFA-DA2B1D47B5A8}"/>
    <cellStyle name="百分比 2 2 2 2 2 3 4 2" xfId="32993" xr:uid="{B5FAF8D4-5576-4AD4-8323-928B4415E7CB}"/>
    <cellStyle name="百分比 2 2 2 2 2 3 5" xfId="2507" xr:uid="{5911084B-3505-46CD-ADD6-C717D986EAD7}"/>
    <cellStyle name="百分比 2 2 2 2 2 3 6" xfId="2508" xr:uid="{34543C4E-FD79-46CC-BCCB-F4241A72F99F}"/>
    <cellStyle name="百分比 2 2 2 2 2 3 7" xfId="2509" xr:uid="{7807C140-9266-41FD-9861-15F759B5E4C0}"/>
    <cellStyle name="百分比 2 2 2 2 2 4" xfId="2510" xr:uid="{2DC7F902-3CF3-4740-BB69-F2A06D99D797}"/>
    <cellStyle name="百分比 2 2 2 2 2 4 2" xfId="2511" xr:uid="{95BC2B61-BA6A-4047-8820-AD21DA3622DD}"/>
    <cellStyle name="百分比 2 2 2 2 2 4 2 2" xfId="2512" xr:uid="{03BB3C96-6248-4E5C-B074-3D2179C505CC}"/>
    <cellStyle name="百分比 2 2 2 2 2 4 3" xfId="2513" xr:uid="{9F5C7D5C-C94B-4D6D-9D9F-09EC581F4599}"/>
    <cellStyle name="百分比 2 2 2 2 2 4 4" xfId="2514" xr:uid="{72CC19BD-1E34-46CE-8EAB-0699EC7EB3AC}"/>
    <cellStyle name="百分比 2 2 2 2 2 4 4 2" xfId="32994" xr:uid="{C5FF221C-6971-4D4B-A082-CBC54BDCDCB2}"/>
    <cellStyle name="百分比 2 2 2 2 2 4 5" xfId="2515" xr:uid="{D461CF84-DA32-436D-A6DB-E6E29DA4D3BC}"/>
    <cellStyle name="百分比 2 2 2 2 2 5" xfId="2516" xr:uid="{004370B0-11F4-4D79-9C82-0D2419858EA4}"/>
    <cellStyle name="百分比 2 2 2 2 2 5 2" xfId="2517" xr:uid="{4BBFAECF-C3BF-42F3-AC87-E90C33AE5CDE}"/>
    <cellStyle name="百分比 2 2 2 2 2 6" xfId="2518" xr:uid="{939E779C-0C0E-4DB2-B870-2E6C9D72D86F}"/>
    <cellStyle name="百分比 2 2 2 2 2 6 2" xfId="2519" xr:uid="{C9ABC502-A8C0-41B0-B137-D72904E05659}"/>
    <cellStyle name="百分比 2 2 2 2 2 7" xfId="2520" xr:uid="{42FE0C12-1E00-41D3-8CAF-887361E5D1A4}"/>
    <cellStyle name="百分比 2 2 2 2 2 7 2" xfId="32995" xr:uid="{DED3DDAA-644C-4CEE-99E2-48D4C6771440}"/>
    <cellStyle name="百分比 2 2 2 2 2 8" xfId="2521" xr:uid="{C90795A7-9AB9-4909-9F6D-CB852E230FFC}"/>
    <cellStyle name="百分比 2 2 2 2 2 9" xfId="2522" xr:uid="{64ABDCB4-3CB9-4852-B6B1-3B969B9B032A}"/>
    <cellStyle name="百分比 2 2 2 2 3" xfId="2523" xr:uid="{C59B67DB-A17C-4762-9A99-18EA0A0EFAC7}"/>
    <cellStyle name="百分比 2 2 2 2 3 2" xfId="2524" xr:uid="{574BCA0F-043B-464B-87F5-51F2E27841DE}"/>
    <cellStyle name="百分比 2 2 2 2 3 2 2" xfId="2525" xr:uid="{880F19F6-D5F0-40C4-94C7-E938207774CF}"/>
    <cellStyle name="百分比 2 2 2 2 3 2 2 2" xfId="2526" xr:uid="{59AED2BB-768A-4AD7-91FC-CA3C8033BD6D}"/>
    <cellStyle name="百分比 2 2 2 2 3 2 3" xfId="2527" xr:uid="{60ADD93D-AE65-4F0F-BF21-02CAF2A20A2C}"/>
    <cellStyle name="百分比 2 2 2 2 3 2 3 2" xfId="2528" xr:uid="{3FEE2B62-8DB7-4862-8157-C88E8E32C5F9}"/>
    <cellStyle name="百分比 2 2 2 2 3 2 4" xfId="2529" xr:uid="{27A4ADB9-AB68-4B31-9A0C-73530B27F2DE}"/>
    <cellStyle name="百分比 2 2 2 2 3 2 4 2" xfId="32996" xr:uid="{1418B6B1-1D46-4E7A-8DF3-6F22C33C0983}"/>
    <cellStyle name="百分比 2 2 2 2 3 2 5" xfId="2530" xr:uid="{DC77574B-B2D7-4E8B-A388-0042A4866D36}"/>
    <cellStyle name="百分比 2 2 2 2 3 2 6" xfId="2531" xr:uid="{6A3A475C-27DC-4A70-B05D-E726005AD1AF}"/>
    <cellStyle name="百分比 2 2 2 2 3 2 7" xfId="2532" xr:uid="{1B32BB32-5B89-4498-B213-0AACB13F354E}"/>
    <cellStyle name="百分比 2 2 2 2 3 3" xfId="2533" xr:uid="{45884922-47B8-4BA2-B13C-166736FD72D7}"/>
    <cellStyle name="百分比 2 2 2 2 3 3 2" xfId="2534" xr:uid="{299C94F4-95BE-415C-A168-D81E889A6BA3}"/>
    <cellStyle name="百分比 2 2 2 2 3 3 2 2" xfId="2535" xr:uid="{ACBAE5EC-85DD-48A0-A117-ACCB8EACEC92}"/>
    <cellStyle name="百分比 2 2 2 2 3 3 3" xfId="2536" xr:uid="{EA6E0A6F-6C10-4F1B-9A57-CBE88926F893}"/>
    <cellStyle name="百分比 2 2 2 2 3 3 4" xfId="2537" xr:uid="{B337E037-C6E5-4FA6-BBED-25C3DD0EB41B}"/>
    <cellStyle name="百分比 2 2 2 2 3 3 4 2" xfId="32997" xr:uid="{DB8A860D-1BFE-4B83-A94A-F6BFE8ED28EC}"/>
    <cellStyle name="百分比 2 2 2 2 3 3 5" xfId="2538" xr:uid="{A87752AD-A852-46B7-B3BB-65228A9983AB}"/>
    <cellStyle name="百分比 2 2 2 2 3 4" xfId="2539" xr:uid="{BC12CEB9-CC3A-4898-A53C-3D4A2CFAADDD}"/>
    <cellStyle name="百分比 2 2 2 2 3 4 2" xfId="2540" xr:uid="{011BF189-2CCA-4CD1-AE19-9D2C4B9DCE50}"/>
    <cellStyle name="百分比 2 2 2 2 3 5" xfId="2541" xr:uid="{525617B5-74C5-43A3-9E58-17C2B5578EF5}"/>
    <cellStyle name="百分比 2 2 2 2 3 5 2" xfId="2542" xr:uid="{3049267D-45F5-4D14-94C3-8320D9477097}"/>
    <cellStyle name="百分比 2 2 2 2 3 6" xfId="2543" xr:uid="{F789AE09-BC2C-4377-85A4-3CF217E39D1F}"/>
    <cellStyle name="百分比 2 2 2 2 3 6 2" xfId="32998" xr:uid="{09C8FC28-F658-4BEA-A75D-838A7248AC85}"/>
    <cellStyle name="百分比 2 2 2 2 3 7" xfId="2544" xr:uid="{F1202139-6FF0-4DC3-B324-0B2C213BF779}"/>
    <cellStyle name="百分比 2 2 2 2 3 8" xfId="2545" xr:uid="{E06ED13F-4517-484D-9DC1-2EC4B6926153}"/>
    <cellStyle name="百分比 2 2 2 2 4" xfId="2546" xr:uid="{EAE866B6-E17B-4D7E-88A7-E9DCC9EA4F9F}"/>
    <cellStyle name="百分比 2 2 2 2 4 2" xfId="2547" xr:uid="{E3F3571B-B1E4-4352-A237-C2F0BABDF4C0}"/>
    <cellStyle name="百分比 2 2 2 2 4 2 2" xfId="2548" xr:uid="{D354DCD0-7081-4B03-9B83-2B6038AFEEEF}"/>
    <cellStyle name="百分比 2 2 2 2 4 3" xfId="2549" xr:uid="{E369A46E-3C39-4EDB-B653-8A68018A1CFD}"/>
    <cellStyle name="百分比 2 2 2 2 4 3 2" xfId="2550" xr:uid="{16CD1B4E-67D3-4492-A763-BEC8547D8FC7}"/>
    <cellStyle name="百分比 2 2 2 2 4 4" xfId="2551" xr:uid="{D82E1185-5024-4FE1-9663-80CC08283345}"/>
    <cellStyle name="百分比 2 2 2 2 4 4 2" xfId="32999" xr:uid="{09B7845E-724F-4BD1-A9C4-6E6F27FC4035}"/>
    <cellStyle name="百分比 2 2 2 2 4 5" xfId="2552" xr:uid="{EBC48E4A-AA6A-4D35-9D35-BCCA2E5E9915}"/>
    <cellStyle name="百分比 2 2 2 2 4 6" xfId="2553" xr:uid="{FB3EB7E3-8B67-4175-A11E-E1013D8B6B2F}"/>
    <cellStyle name="百分比 2 2 2 2 4 7" xfId="2554" xr:uid="{742D49E0-7091-4174-8BCC-964EBA8CCE4E}"/>
    <cellStyle name="百分比 2 2 2 2 5" xfId="2555" xr:uid="{391105B9-DA6C-40DC-B421-6B895DFB12A4}"/>
    <cellStyle name="百分比 2 2 2 2 5 2" xfId="2556" xr:uid="{5BF5F0BE-635A-4869-8CAD-2FABA02A2B01}"/>
    <cellStyle name="百分比 2 2 2 2 5 2 2" xfId="2557" xr:uid="{4DC3A9E9-D99A-4184-99BA-90A03CB74EE7}"/>
    <cellStyle name="百分比 2 2 2 2 5 3" xfId="2558" xr:uid="{2A9E65F4-EA95-4731-9CD7-006AB5BB61AD}"/>
    <cellStyle name="百分比 2 2 2 2 5 3 2" xfId="2559" xr:uid="{311ADCD6-45CC-46A1-8DF5-8BB07304BC99}"/>
    <cellStyle name="百分比 2 2 2 2 5 4" xfId="2560" xr:uid="{5C4E68D6-162E-46E4-87C4-5A448EA6D316}"/>
    <cellStyle name="百分比 2 2 2 2 5 4 2" xfId="33000" xr:uid="{A6A9189F-89E7-41E1-8E49-96BFDAC708F4}"/>
    <cellStyle name="百分比 2 2 2 2 5 5" xfId="2561" xr:uid="{4ECEC0FA-3040-4C5C-9423-EB0B407C6C55}"/>
    <cellStyle name="百分比 2 2 2 2 5 6" xfId="2562" xr:uid="{DF6D8E8E-22AF-4685-B522-1EFCD2796381}"/>
    <cellStyle name="百分比 2 2 2 2 5 7" xfId="2563" xr:uid="{1B469B6F-04A9-4150-A843-8ACD04CF18AD}"/>
    <cellStyle name="百分比 2 2 2 2 6" xfId="2564" xr:uid="{8C33684D-4FB6-47EB-B170-7BA5A1428D95}"/>
    <cellStyle name="百分比 2 2 2 2 6 2" xfId="2565" xr:uid="{5F6053A4-DDF0-46D9-93E8-06A13F23265C}"/>
    <cellStyle name="百分比 2 2 2 2 7" xfId="2566" xr:uid="{5431D82E-304E-43F6-BF98-6EC06221E907}"/>
    <cellStyle name="百分比 2 2 2 2 7 2" xfId="2567" xr:uid="{2BB3CD73-D0B5-466A-A1FF-CB149A345111}"/>
    <cellStyle name="百分比 2 2 2 2 8" xfId="2568" xr:uid="{CFBD63D8-B903-4993-926C-E92D25430C18}"/>
    <cellStyle name="百分比 2 2 2 2 8 2" xfId="33001" xr:uid="{4A027816-F79E-4F86-A472-5171629897DF}"/>
    <cellStyle name="百分比 2 2 2 2 9" xfId="2569" xr:uid="{963CE424-3D0D-4C5A-8D32-387DB97A61C4}"/>
    <cellStyle name="百分比 2 2 2 2 9 2" xfId="2570" xr:uid="{22B4E903-F9BA-4776-A0D6-141ADA2FF7C3}"/>
    <cellStyle name="百分比 2 2 2 3" xfId="2571" xr:uid="{CEB754D7-2F48-4D3F-B920-EE5B56D1E871}"/>
    <cellStyle name="百分比 2 2 2 3 2" xfId="2572" xr:uid="{DB040A9D-911C-47C6-9F9C-FE7E2C3FCA02}"/>
    <cellStyle name="百分比 2 2 2 3 2 2" xfId="2573" xr:uid="{A7A93F5E-F6CC-4E63-9FC5-86AF20AA06BD}"/>
    <cellStyle name="百分比 2 2 2 3 2 2 2" xfId="2574" xr:uid="{50873961-94BD-4405-BE9A-63A0F935BE3D}"/>
    <cellStyle name="百分比 2 2 2 3 2 2 2 2" xfId="2575" xr:uid="{8DF2B2BB-8195-4462-BAFC-E8907C633BF8}"/>
    <cellStyle name="百分比 2 2 2 3 2 2 2 2 2" xfId="2576" xr:uid="{E4863E19-37EC-4E34-8E62-A3F20AED8F31}"/>
    <cellStyle name="百分比 2 2 2 3 2 2 2 3" xfId="2577" xr:uid="{F7689A62-112C-4C17-9D50-12CC0B4B91DD}"/>
    <cellStyle name="百分比 2 2 2 3 2 2 2 4" xfId="2578" xr:uid="{24B6DAEE-01DF-493F-89CF-81E00AC1B3F1}"/>
    <cellStyle name="百分比 2 2 2 3 2 2 2 4 2" xfId="33002" xr:uid="{80FAA485-EB74-4F48-B7FD-8AF6D90726F5}"/>
    <cellStyle name="百分比 2 2 2 3 2 2 3" xfId="2579" xr:uid="{E3419BCE-777E-48F0-AC8C-739CE19326D2}"/>
    <cellStyle name="百分比 2 2 2 3 2 2 3 2" xfId="2580" xr:uid="{4140EB44-086C-40F3-BE29-97CF93578828}"/>
    <cellStyle name="百分比 2 2 2 3 2 2 4" xfId="2581" xr:uid="{3DA9861D-B72A-4443-AB14-0400F8023BD6}"/>
    <cellStyle name="百分比 2 2 2 3 2 2 5" xfId="2582" xr:uid="{29487107-2A82-4A56-9F21-D252527B0C4B}"/>
    <cellStyle name="百分比 2 2 2 3 2 2 5 2" xfId="33003" xr:uid="{6DC36E09-E85B-4FE1-9286-6E42F664C6F8}"/>
    <cellStyle name="百分比 2 2 2 3 2 3" xfId="2583" xr:uid="{DE320F8A-4B1A-4D4C-8D7A-B1F9BB5A0E61}"/>
    <cellStyle name="百分比 2 2 2 3 2 3 2" xfId="2584" xr:uid="{D8DB3C44-D8CF-46DD-84D0-C2D437753CC0}"/>
    <cellStyle name="百分比 2 2 2 3 2 3 2 2" xfId="2585" xr:uid="{7702F39C-1BE8-4C24-81B0-88F59AA418B7}"/>
    <cellStyle name="百分比 2 2 2 3 2 3 3" xfId="2586" xr:uid="{A94690AA-13A0-47C2-A818-4C05BDCC5F96}"/>
    <cellStyle name="百分比 2 2 2 3 2 3 4" xfId="2587" xr:uid="{74C2F4EF-AC1E-43A1-BFD4-E81C79393F29}"/>
    <cellStyle name="百分比 2 2 2 3 2 3 4 2" xfId="33004" xr:uid="{48D6872F-49F9-45F3-830D-65B727E922A1}"/>
    <cellStyle name="百分比 2 2 2 3 2 4" xfId="2588" xr:uid="{FE1DF730-2A4E-4181-9C8B-D70C4CCABF3C}"/>
    <cellStyle name="百分比 2 2 2 3 2 4 2" xfId="2589" xr:uid="{97FF87F4-348E-448C-A1EC-6E179A162C59}"/>
    <cellStyle name="百分比 2 2 2 3 2 5" xfId="2590" xr:uid="{3CAC79D8-9C15-46CF-B317-5406C264A6E5}"/>
    <cellStyle name="百分比 2 2 2 3 2 6" xfId="2591" xr:uid="{15FE57E4-F4A8-4D95-A61F-717A4117F9A5}"/>
    <cellStyle name="百分比 2 2 2 3 2 6 2" xfId="33005" xr:uid="{6FD236CB-D376-41CC-B941-9E479FE35DD5}"/>
    <cellStyle name="百分比 2 2 2 3 3" xfId="2592" xr:uid="{46321FC2-1638-4DD3-A013-A722E6352672}"/>
    <cellStyle name="百分比 2 2 2 3 3 2" xfId="2593" xr:uid="{3447A4E7-8795-4ED6-BA38-AC3733A1035E}"/>
    <cellStyle name="百分比 2 2 2 3 3 2 2" xfId="2594" xr:uid="{FA3BA958-2202-4948-BC60-7B36FA80E706}"/>
    <cellStyle name="百分比 2 2 2 3 3 2 2 2" xfId="2595" xr:uid="{EBDE6FC8-A42C-44BB-9424-93715D0412C0}"/>
    <cellStyle name="百分比 2 2 2 3 3 2 3" xfId="2596" xr:uid="{F335768D-4291-407B-ADAE-BD40B56E7EE1}"/>
    <cellStyle name="百分比 2 2 2 3 3 2 4" xfId="2597" xr:uid="{8220922F-3F5F-463F-B187-6F33337BCCC4}"/>
    <cellStyle name="百分比 2 2 2 3 3 2 4 2" xfId="33006" xr:uid="{BBA7CAA6-8DF9-49D7-A1DF-7388144F260B}"/>
    <cellStyle name="百分比 2 2 2 3 3 2 5" xfId="2598" xr:uid="{236F5733-1F25-4F99-B1DA-59D0DDBB6D4F}"/>
    <cellStyle name="百分比 2 2 2 3 3 3" xfId="2599" xr:uid="{ACAC522E-FBB5-4BD5-8CD7-68DD045977C2}"/>
    <cellStyle name="百分比 2 2 2 3 3 3 2" xfId="2600" xr:uid="{8347D096-C5BC-4C06-88B7-7C10D3BFB0D6}"/>
    <cellStyle name="百分比 2 2 2 3 3 3 2 2" xfId="2601" xr:uid="{5B43A88F-613B-46E1-9E55-2DB5B3FE5AB1}"/>
    <cellStyle name="百分比 2 2 2 3 3 3 3" xfId="2602" xr:uid="{C3156D4E-383E-416E-957B-9262D2228C13}"/>
    <cellStyle name="百分比 2 2 2 3 3 3 4" xfId="2603" xr:uid="{FFCB9955-6394-4A5C-B13D-08B20463C354}"/>
    <cellStyle name="百分比 2 2 2 3 3 3 4 2" xfId="33007" xr:uid="{0E1E4B3D-1D36-4FC1-996F-CEF7052015D6}"/>
    <cellStyle name="百分比 2 2 2 3 3 3 5" xfId="2604" xr:uid="{9ED70E0B-E519-4349-AD9A-5B96CF396BD5}"/>
    <cellStyle name="百分比 2 2 2 3 3 4" xfId="2605" xr:uid="{56490002-C90E-4CF2-AD6F-59D9148CDD52}"/>
    <cellStyle name="百分比 2 2 2 3 3 4 2" xfId="2606" xr:uid="{26E164B4-7D8E-4021-879A-8E7B22C79282}"/>
    <cellStyle name="百分比 2 2 2 3 3 5" xfId="2607" xr:uid="{50297334-C7BC-49CA-88BB-B5F362A58601}"/>
    <cellStyle name="百分比 2 2 2 3 3 5 2" xfId="2608" xr:uid="{6847CACF-E155-4A82-A6B6-DFE6A2F581D2}"/>
    <cellStyle name="百分比 2 2 2 3 3 6" xfId="2609" xr:uid="{5A2D3421-C53D-47F4-B2CC-9610848EEA55}"/>
    <cellStyle name="百分比 2 2 2 3 3 6 2" xfId="33008" xr:uid="{A106B261-A9E5-46C9-B16D-37F23020602A}"/>
    <cellStyle name="百分比 2 2 2 3 3 7" xfId="2610" xr:uid="{2593E549-C386-4397-9141-C650EB0AD7D0}"/>
    <cellStyle name="百分比 2 2 2 3 4" xfId="2611" xr:uid="{FF0DC96E-8181-48D9-92BB-C2DAA563BF1D}"/>
    <cellStyle name="百分比 2 2 2 3 4 2" xfId="2612" xr:uid="{8E3927E5-9278-4D45-8F3B-8C782094C195}"/>
    <cellStyle name="百分比 2 2 2 3 4 2 2" xfId="2613" xr:uid="{1F046BCB-17BB-4CB6-80B6-EB9560A9128D}"/>
    <cellStyle name="百分比 2 2 2 3 4 3" xfId="2614" xr:uid="{68F9864A-9DA8-4E00-9A7C-4EC262E42E82}"/>
    <cellStyle name="百分比 2 2 2 3 4 3 2" xfId="2615" xr:uid="{834C8E40-A30A-48A4-B8FA-AB207D1C571D}"/>
    <cellStyle name="百分比 2 2 2 3 4 4" xfId="2616" xr:uid="{1600A996-CB68-417E-BF90-800FD2EE226E}"/>
    <cellStyle name="百分比 2 2 2 3 4 4 2" xfId="33009" xr:uid="{94971D86-0537-40C5-89DD-1015EAA506AD}"/>
    <cellStyle name="百分比 2 2 2 3 4 5" xfId="2617" xr:uid="{77EF11E0-7900-4D2D-9983-BAB71AEE1BB2}"/>
    <cellStyle name="百分比 2 2 2 3 4 6" xfId="2618" xr:uid="{07FD6684-5751-4537-8E10-8868FEB607F2}"/>
    <cellStyle name="百分比 2 2 2 3 4 7" xfId="2619" xr:uid="{3B44E1F3-AA84-495E-BD85-577C4EE9A9C6}"/>
    <cellStyle name="百分比 2 2 2 3 5" xfId="2620" xr:uid="{8DD77390-77AC-43C4-9500-F4FDFE632BBA}"/>
    <cellStyle name="百分比 2 2 2 3 5 2" xfId="2621" xr:uid="{6AEC1081-FF15-4583-8823-D2F4E6B541C3}"/>
    <cellStyle name="百分比 2 2 2 3 5 2 2" xfId="2622" xr:uid="{2FEE6EA0-37F8-4768-91FA-B4B1D1727524}"/>
    <cellStyle name="百分比 2 2 2 3 5 3" xfId="2623" xr:uid="{DF5CADD1-48ED-4069-BE0A-64630E6D3A3C}"/>
    <cellStyle name="百分比 2 2 2 3 5 4" xfId="2624" xr:uid="{B76B52E4-892E-41E9-8532-4C6868AAA544}"/>
    <cellStyle name="百分比 2 2 2 3 5 4 2" xfId="33010" xr:uid="{087C2FED-583F-431C-81B3-F79BDF6A61D5}"/>
    <cellStyle name="百分比 2 2 2 3 5 5" xfId="2625" xr:uid="{7C4786C4-14E7-4CE1-9215-44F8C5BAAB72}"/>
    <cellStyle name="百分比 2 2 2 3 6" xfId="2626" xr:uid="{B56B9BD2-5F3B-4F8D-86FF-9C8B9E7B6297}"/>
    <cellStyle name="百分比 2 2 2 3 6 2" xfId="2627" xr:uid="{0114D8FB-69B7-4504-BAFB-15361AD47519}"/>
    <cellStyle name="百分比 2 2 2 3 7" xfId="2628" xr:uid="{E9170F21-E920-4AFE-9242-950A778ABA1F}"/>
    <cellStyle name="百分比 2 2 2 3 7 2" xfId="2629" xr:uid="{BDE8CA61-2036-456A-9226-EE4A8D7F60E0}"/>
    <cellStyle name="百分比 2 2 2 3 8" xfId="2630" xr:uid="{BD632214-6D43-41AB-AA49-AC3EEACD3A89}"/>
    <cellStyle name="百分比 2 2 2 3 8 2" xfId="33011" xr:uid="{C1FB091C-39BC-44A3-9C84-1873B98A8304}"/>
    <cellStyle name="百分比 2 2 2 3 9" xfId="2631" xr:uid="{B38F1BAD-DA82-4511-9D67-377C82EE7FFC}"/>
    <cellStyle name="百分比 2 2 2 3 9 2" xfId="2632" xr:uid="{023F8364-BA18-4E8A-8C24-F05D2D96739B}"/>
    <cellStyle name="百分比 2 2 2 4" xfId="2633" xr:uid="{7C0D2B1A-4177-467E-A33B-9EEB6CDCF637}"/>
    <cellStyle name="百分比 2 2 2 4 2" xfId="2634" xr:uid="{9BA14DC1-238D-4A6B-8671-E20E67CB9147}"/>
    <cellStyle name="百分比 2 2 2 4 2 2" xfId="2635" xr:uid="{7059A641-C098-4A23-A410-4EF4D975AAA7}"/>
    <cellStyle name="百分比 2 2 2 4 2 2 2" xfId="2636" xr:uid="{06D31944-2363-4FE4-ADC7-E23D51E638C0}"/>
    <cellStyle name="百分比 2 2 2 4 2 2 2 2" xfId="2637" xr:uid="{A252A885-E8CB-456F-80DD-739A6298808B}"/>
    <cellStyle name="百分比 2 2 2 4 2 2 3" xfId="2638" xr:uid="{5FD14A89-C1D8-4F19-963D-6F32774E9E3F}"/>
    <cellStyle name="百分比 2 2 2 4 2 2 4" xfId="2639" xr:uid="{7AA5006B-863D-492C-B6D1-F7AFCF5621DB}"/>
    <cellStyle name="百分比 2 2 2 4 2 2 4 2" xfId="33012" xr:uid="{9CB2F44E-6C88-4602-9036-93DBE3829486}"/>
    <cellStyle name="百分比 2 2 2 4 2 3" xfId="2640" xr:uid="{6150DAF9-E820-4FEF-98C3-3DF543E1B2EC}"/>
    <cellStyle name="百分比 2 2 2 4 2 3 2" xfId="2641" xr:uid="{D0B59991-5904-4231-9140-1C269AE5F7A5}"/>
    <cellStyle name="百分比 2 2 2 4 2 3 2 2" xfId="2642" xr:uid="{E36DACD2-A70F-41E2-B4C9-2CA373DC43FB}"/>
    <cellStyle name="百分比 2 2 2 4 2 3 3" xfId="2643" xr:uid="{4C22505B-D1FA-4A8F-9053-A111BC4B5F66}"/>
    <cellStyle name="百分比 2 2 2 4 2 3 4" xfId="2644" xr:uid="{C747A424-DB95-4C6E-B172-1F55E1ACC05D}"/>
    <cellStyle name="百分比 2 2 2 4 2 3 4 2" xfId="33013" xr:uid="{2A0A9DBD-71D8-4082-8658-11EFF1EBDAD0}"/>
    <cellStyle name="百分比 2 2 2 4 2 4" xfId="2645" xr:uid="{93F4EDC9-0CD9-4238-8BAE-6E4D47ED147A}"/>
    <cellStyle name="百分比 2 2 2 4 2 4 2" xfId="2646" xr:uid="{ACA345DD-0757-4AB8-BCA1-95E28F2CF550}"/>
    <cellStyle name="百分比 2 2 2 4 2 5" xfId="2647" xr:uid="{B92AC467-3F6C-4582-AFD5-3AFAA64264AB}"/>
    <cellStyle name="百分比 2 2 2 4 2 6" xfId="2648" xr:uid="{65D6187A-3D95-4924-8E85-33617716FD76}"/>
    <cellStyle name="百分比 2 2 2 4 2 6 2" xfId="33014" xr:uid="{4F0EACA9-F387-4AEE-8324-80306B957515}"/>
    <cellStyle name="百分比 2 2 2 4 3" xfId="2649" xr:uid="{B422B6E5-137C-4815-85EF-E659848C0846}"/>
    <cellStyle name="百分比 2 2 2 4 3 2" xfId="2650" xr:uid="{0D1CCDF1-AF37-4BA4-8B5F-285E66BBFEEF}"/>
    <cellStyle name="百分比 2 2 2 4 3 2 2" xfId="2651" xr:uid="{97F2DDFA-2BE2-4F5A-A92F-C7885023CC62}"/>
    <cellStyle name="百分比 2 2 2 4 3 3" xfId="2652" xr:uid="{EC18F274-8A3B-4F4D-BF59-16E6BCE28440}"/>
    <cellStyle name="百分比 2 2 2 4 3 4" xfId="2653" xr:uid="{3A2F5B9D-FD20-42F8-99CF-7F11FA24A995}"/>
    <cellStyle name="百分比 2 2 2 4 3 4 2" xfId="33015" xr:uid="{0F347B12-0BD7-4AAA-9E21-A81F6591B32E}"/>
    <cellStyle name="百分比 2 2 2 4 4" xfId="2654" xr:uid="{A13755F0-67E5-48CC-8A47-E844EE593275}"/>
    <cellStyle name="百分比 2 2 2 4 4 2" xfId="2655" xr:uid="{3D238E07-639D-4D47-83C5-60E9F6F3008D}"/>
    <cellStyle name="百分比 2 2 2 4 4 2 2" xfId="2656" xr:uid="{B6057BC2-9317-4BF6-8449-9D597FF56756}"/>
    <cellStyle name="百分比 2 2 2 4 4 3" xfId="2657" xr:uid="{7508362D-FB27-430D-A810-8E8289562858}"/>
    <cellStyle name="百分比 2 2 2 4 4 4" xfId="2658" xr:uid="{C5960765-9485-4D49-8CCE-ABAF732BF13F}"/>
    <cellStyle name="百分比 2 2 2 4 4 4 2" xfId="33016" xr:uid="{CCCEC809-6AA9-43A7-AEBE-9939AB0B8DD7}"/>
    <cellStyle name="百分比 2 2 2 4 5" xfId="2659" xr:uid="{69FFA4F9-BC3D-4BF4-A5AD-E018857E1CBD}"/>
    <cellStyle name="百分比 2 2 2 4 5 2" xfId="2660" xr:uid="{94EF0EBB-8CF4-43FB-91E3-450A39257A1B}"/>
    <cellStyle name="百分比 2 2 2 4 6" xfId="2661" xr:uid="{29563B51-EF74-4773-8827-0E95D3051F6C}"/>
    <cellStyle name="百分比 2 2 2 4 7" xfId="2662" xr:uid="{6868968E-1420-416A-B25B-0F044CCEC37D}"/>
    <cellStyle name="百分比 2 2 2 4 7 2" xfId="33017" xr:uid="{3D0E292B-65E0-44AD-8925-16EEE11BEABD}"/>
    <cellStyle name="百分比 2 2 2 4 8" xfId="2663" xr:uid="{AEA26DB7-D67C-44D7-AC16-0387410BE0A2}"/>
    <cellStyle name="百分比 2 2 2 5" xfId="2664" xr:uid="{32D0C763-6020-45AC-9EB7-EAC891A6926F}"/>
    <cellStyle name="百分比 2 2 2 5 2" xfId="2665" xr:uid="{ADA022E7-CB3C-4245-96FA-60FCF5BD3D96}"/>
    <cellStyle name="百分比 2 2 2 5 2 2" xfId="2666" xr:uid="{741B6708-0762-4FEE-9566-F1420ED74629}"/>
    <cellStyle name="百分比 2 2 2 5 2 2 2" xfId="2667" xr:uid="{6E08A295-624B-43D7-9AF9-633F691DCA39}"/>
    <cellStyle name="百分比 2 2 2 5 2 2 2 2" xfId="2668" xr:uid="{E8184A5A-3239-48DD-8DC3-0B3A35186F80}"/>
    <cellStyle name="百分比 2 2 2 5 2 2 3" xfId="2669" xr:uid="{3263B05F-8798-4C84-ABDC-2D6C0BEB359D}"/>
    <cellStyle name="百分比 2 2 2 5 2 2 4" xfId="2670" xr:uid="{738CAF0E-F0E0-400A-91CE-200BE1F46217}"/>
    <cellStyle name="百分比 2 2 2 5 2 2 4 2" xfId="33018" xr:uid="{DA93FFAA-1BFF-4D6B-A476-CA6E1ED9976A}"/>
    <cellStyle name="百分比 2 2 2 5 2 3" xfId="2671" xr:uid="{875BAA82-F962-4491-BD13-92795D0B7DD8}"/>
    <cellStyle name="百分比 2 2 2 5 2 3 2" xfId="2672" xr:uid="{5E5E8B43-9796-41C1-9C79-3C2B9A1E1FA0}"/>
    <cellStyle name="百分比 2 2 2 5 2 4" xfId="2673" xr:uid="{2F26E98F-4960-4C66-B46A-356BCF7D3516}"/>
    <cellStyle name="百分比 2 2 2 5 2 5" xfId="2674" xr:uid="{5FD5A946-7AF7-4AAE-9320-AE490ED0F5E9}"/>
    <cellStyle name="百分比 2 2 2 5 2 5 2" xfId="33019" xr:uid="{67B2F6E5-0731-4B13-9390-4DAFDBB9843B}"/>
    <cellStyle name="百分比 2 2 2 5 3" xfId="2675" xr:uid="{52E6AF0B-83A8-43A7-9730-1CA63459D5B2}"/>
    <cellStyle name="百分比 2 2 2 5 3 2" xfId="2676" xr:uid="{FD192CF3-74E3-459E-8062-755FA6B7535B}"/>
    <cellStyle name="百分比 2 2 2 5 3 2 2" xfId="2677" xr:uid="{BA8BB9ED-E95A-499F-976D-E498816227E1}"/>
    <cellStyle name="百分比 2 2 2 5 3 3" xfId="2678" xr:uid="{4E7181B8-EF41-4B55-8679-4E6EE73E7585}"/>
    <cellStyle name="百分比 2 2 2 5 3 4" xfId="2679" xr:uid="{8CC0C86C-FC6C-4BE4-9726-AF35337EC4AD}"/>
    <cellStyle name="百分比 2 2 2 5 3 4 2" xfId="33020" xr:uid="{9999A4DA-5D75-40CD-A709-B6A9C17B6939}"/>
    <cellStyle name="百分比 2 2 2 5 4" xfId="2680" xr:uid="{19FDC98B-2B85-4A03-8E73-1E8C32913666}"/>
    <cellStyle name="百分比 2 2 2 5 4 2" xfId="2681" xr:uid="{7187CE25-89CF-4DDC-BFA9-CFA708C67E37}"/>
    <cellStyle name="百分比 2 2 2 5 5" xfId="2682" xr:uid="{2885425F-0FA9-4D9F-B922-AD9C3F0593A6}"/>
    <cellStyle name="百分比 2 2 2 5 6" xfId="2683" xr:uid="{BFDB1AAF-782D-412A-B85F-3258666729B3}"/>
    <cellStyle name="百分比 2 2 2 5 6 2" xfId="33021" xr:uid="{75D5A424-CA14-433A-A3DA-20C62E37C7AB}"/>
    <cellStyle name="百分比 2 2 2 6" xfId="2684" xr:uid="{48DDB07D-9099-4ABA-A7B5-4D30F67FA11E}"/>
    <cellStyle name="百分比 2 2 2 6 2" xfId="2685" xr:uid="{71A57B87-08FF-4B3D-859B-AF43B2D8B6B5}"/>
    <cellStyle name="百分比 2 2 2 6 2 2" xfId="2686" xr:uid="{81A4828C-C2BF-4BF7-9306-16341638C14E}"/>
    <cellStyle name="百分比 2 2 2 6 2 2 2" xfId="2687" xr:uid="{88D90B9E-2D98-40B0-A404-8A8CB6F593E0}"/>
    <cellStyle name="百分比 2 2 2 6 2 3" xfId="2688" xr:uid="{C20E6FA9-6964-4635-9975-2D529CF60368}"/>
    <cellStyle name="百分比 2 2 2 6 2 4" xfId="2689" xr:uid="{D0365FC1-209B-4930-84C8-2C303E3E7C1A}"/>
    <cellStyle name="百分比 2 2 2 6 2 4 2" xfId="33022" xr:uid="{0A91E5A9-C077-417D-B97F-2A2FB3E3D256}"/>
    <cellStyle name="百分比 2 2 2 6 2 5" xfId="2690" xr:uid="{55E17145-E01C-4341-B7BC-A4D20E87F019}"/>
    <cellStyle name="百分比 2 2 2 6 3" xfId="2691" xr:uid="{0C1006BF-76BA-4AB1-AC36-2B736C179CBF}"/>
    <cellStyle name="百分比 2 2 2 6 3 2" xfId="2692" xr:uid="{45A0B417-8AA6-4ADA-AE27-D4BA94DBFEED}"/>
    <cellStyle name="百分比 2 2 2 6 4" xfId="2693" xr:uid="{B326FE42-E657-4360-84DE-C08467CD7218}"/>
    <cellStyle name="百分比 2 2 2 6 4 2" xfId="2694" xr:uid="{238A7183-BCA5-41A6-A5FF-98431D3CB18E}"/>
    <cellStyle name="百分比 2 2 2 6 5" xfId="2695" xr:uid="{1B72479D-160F-49DF-8A52-39C92110A0C5}"/>
    <cellStyle name="百分比 2 2 2 6 5 2" xfId="33023" xr:uid="{C00FCC6D-E60D-4058-898A-4CA131387469}"/>
    <cellStyle name="百分比 2 2 2 6 6" xfId="2696" xr:uid="{F98D6BB1-B016-444D-B46F-FD7E5D2F3CE7}"/>
    <cellStyle name="百分比 2 2 2 6 7" xfId="2697" xr:uid="{F237D2AE-CD12-42D0-BFC6-24FEFB3F3A2F}"/>
    <cellStyle name="百分比 2 2 2 7" xfId="2698" xr:uid="{E4562771-02A3-454D-8193-08AE5D23FB9D}"/>
    <cellStyle name="百分比 2 2 2 7 2" xfId="2699" xr:uid="{8B2C40E1-E6C9-4EE2-8D5D-FE7D6AF380A3}"/>
    <cellStyle name="百分比 2 2 2 7 2 2" xfId="2700" xr:uid="{55333B95-61A7-4197-8224-0E2D2D33EC37}"/>
    <cellStyle name="百分比 2 2 2 7 3" xfId="2701" xr:uid="{DC6ED22D-50A2-4DFD-B013-849867147785}"/>
    <cellStyle name="百分比 2 2 2 7 3 2" xfId="2702" xr:uid="{B5190B6E-87CF-4305-A985-080E889FAC0D}"/>
    <cellStyle name="百分比 2 2 2 7 4" xfId="2703" xr:uid="{B368FAFE-8655-4600-9B32-678B3C5B22D0}"/>
    <cellStyle name="百分比 2 2 2 7 4 2" xfId="33024" xr:uid="{85739FD3-6AB0-4FF7-AA30-5ED857197197}"/>
    <cellStyle name="百分比 2 2 2 7 5" xfId="2704" xr:uid="{C3BB4AEA-8418-497B-B49B-963DAABFF8CA}"/>
    <cellStyle name="百分比 2 2 2 7 6" xfId="2705" xr:uid="{6A2BCBD2-CC93-4799-A3E6-FFAA60180046}"/>
    <cellStyle name="百分比 2 2 2 7 7" xfId="2706" xr:uid="{D63197BC-C89D-4750-8A03-AB7780AE64E7}"/>
    <cellStyle name="百分比 2 2 2 8" xfId="2707" xr:uid="{9C1C683E-04C9-4545-83AA-01AEA8CBF631}"/>
    <cellStyle name="百分比 2 2 2 8 2" xfId="2708" xr:uid="{D0653201-17F5-4CAD-8A98-28773B82630F}"/>
    <cellStyle name="百分比 2 2 2 9" xfId="2709" xr:uid="{DAC56584-E82B-4C3C-B7D8-09692A3D6889}"/>
    <cellStyle name="百分比 2 2 2 9 2" xfId="2710" xr:uid="{C13EB8BD-A787-4B5C-8A6C-57BFB42F8CB7}"/>
    <cellStyle name="百分比 2 2 3" xfId="2711" xr:uid="{968CAA39-6908-490D-925F-45FEBCCA30DC}"/>
    <cellStyle name="百分比 2 2 3 10" xfId="2712" xr:uid="{C8B836FC-178C-41F6-9FB7-6C1D7447C653}"/>
    <cellStyle name="百分比 2 2 3 11" xfId="2713" xr:uid="{2397AFD3-36D6-47EE-9544-EFB156B77C62}"/>
    <cellStyle name="百分比 2 2 3 2" xfId="2714" xr:uid="{DA699962-31FF-4FE6-9AF7-A94AC0C649DD}"/>
    <cellStyle name="百分比 2 2 3 2 10" xfId="2715" xr:uid="{1FC0BC64-8CC9-475F-8B25-09D1DC56AB4F}"/>
    <cellStyle name="百分比 2 2 3 2 2" xfId="2716" xr:uid="{1781411F-333D-4FCE-821B-3EB037398B07}"/>
    <cellStyle name="百分比 2 2 3 2 2 2" xfId="2717" xr:uid="{61621CBD-5C87-43BD-BF09-6CF087A2CD55}"/>
    <cellStyle name="百分比 2 2 3 2 2 2 2" xfId="2718" xr:uid="{2ECEAB7E-AB8C-4D0B-836C-07C365AF4B72}"/>
    <cellStyle name="百分比 2 2 3 2 2 2 2 2" xfId="2719" xr:uid="{58ABF357-0B05-4C24-90D9-00E443584651}"/>
    <cellStyle name="百分比 2 2 3 2 2 2 2 2 2" xfId="2720" xr:uid="{3DE84D36-28B9-431E-98F0-71663EB13A66}"/>
    <cellStyle name="百分比 2 2 3 2 2 2 2 3" xfId="2721" xr:uid="{7088BC42-E5BE-4117-AD22-F49754B277DC}"/>
    <cellStyle name="百分比 2 2 3 2 2 2 2 4" xfId="2722" xr:uid="{C1254B58-7C98-4A28-A67A-FB1DA6204F89}"/>
    <cellStyle name="百分比 2 2 3 2 2 2 2 4 2" xfId="33025" xr:uid="{125CC994-3A5F-4522-A0AA-C892C9DAC548}"/>
    <cellStyle name="百分比 2 2 3 2 2 2 3" xfId="2723" xr:uid="{4D5A6ED1-8919-4F51-A028-0F4526FF4AC1}"/>
    <cellStyle name="百分比 2 2 3 2 2 2 3 2" xfId="2724" xr:uid="{81803BD8-265A-469E-BA93-61AA837ACF01}"/>
    <cellStyle name="百分比 2 2 3 2 2 2 4" xfId="2725" xr:uid="{E8537C28-6FAB-4218-8BEB-BD63AA754137}"/>
    <cellStyle name="百分比 2 2 3 2 2 2 5" xfId="2726" xr:uid="{FD30EDE2-8998-489B-8BE9-6DCC0A29539F}"/>
    <cellStyle name="百分比 2 2 3 2 2 2 5 2" xfId="33026" xr:uid="{EF3A386C-FA2F-4291-9FF9-16240B56290A}"/>
    <cellStyle name="百分比 2 2 3 2 2 2 6" xfId="2727" xr:uid="{8076912A-6CF9-4E51-9BEF-C76B5D4A2BF8}"/>
    <cellStyle name="百分比 2 2 3 2 2 3" xfId="2728" xr:uid="{26C3CD07-F28B-4023-8111-AC01A7830870}"/>
    <cellStyle name="百分比 2 2 3 2 2 3 2" xfId="2729" xr:uid="{85923D8A-F782-4B8E-AA76-8B3A86AA8C18}"/>
    <cellStyle name="百分比 2 2 3 2 2 3 2 2" xfId="2730" xr:uid="{322C04B2-8677-416B-8196-D556DF13E582}"/>
    <cellStyle name="百分比 2 2 3 2 2 3 3" xfId="2731" xr:uid="{7A8911F7-CD46-4662-A142-82907081B34D}"/>
    <cellStyle name="百分比 2 2 3 2 2 3 4" xfId="2732" xr:uid="{B3D014A9-C83C-4463-8F89-76E65A6F8C7D}"/>
    <cellStyle name="百分比 2 2 3 2 2 3 4 2" xfId="33027" xr:uid="{BAEE109C-3A2D-43C6-80C8-E84F2A49E1D5}"/>
    <cellStyle name="百分比 2 2 3 2 2 3 5" xfId="2733" xr:uid="{86617652-0969-4453-B6C6-1114FF88FD06}"/>
    <cellStyle name="百分比 2 2 3 2 2 4" xfId="2734" xr:uid="{83AD5005-92A8-4A87-A439-C66B4D4FD835}"/>
    <cellStyle name="百分比 2 2 3 2 2 4 2" xfId="2735" xr:uid="{1FDB0EA0-6276-4FAE-8BC5-ED9624C86BB2}"/>
    <cellStyle name="百分比 2 2 3 2 2 5" xfId="2736" xr:uid="{203B914C-DB2F-4C0F-8187-F1696E08B09A}"/>
    <cellStyle name="百分比 2 2 3 2 2 5 2" xfId="2737" xr:uid="{1B82CE7E-6A71-43B6-AACB-209F9FE14237}"/>
    <cellStyle name="百分比 2 2 3 2 2 6" xfId="2738" xr:uid="{5D865694-7395-48EE-85CC-9AF78DC75A09}"/>
    <cellStyle name="百分比 2 2 3 2 2 6 2" xfId="33028" xr:uid="{1585BD15-C1A4-4441-984D-6F0E988792A4}"/>
    <cellStyle name="百分比 2 2 3 2 2 7" xfId="2739" xr:uid="{CBAEA260-3A05-4D60-8E96-154E234B82DA}"/>
    <cellStyle name="百分比 2 2 3 2 3" xfId="2740" xr:uid="{76459ADF-3D98-4D73-BD08-707D8C137474}"/>
    <cellStyle name="百分比 2 2 3 2 3 2" xfId="2741" xr:uid="{C199917B-1DB0-4BC7-B798-290E05C8C96E}"/>
    <cellStyle name="百分比 2 2 3 2 3 2 2" xfId="2742" xr:uid="{265D22E9-A51B-4634-819A-5FB72E68B086}"/>
    <cellStyle name="百分比 2 2 3 2 3 2 2 2" xfId="2743" xr:uid="{CD2700B6-2697-4D17-9C25-3F4B55A955EE}"/>
    <cellStyle name="百分比 2 2 3 2 3 2 3" xfId="2744" xr:uid="{6E3E4696-9D9A-4E65-82AF-BD8987DF1892}"/>
    <cellStyle name="百分比 2 2 3 2 3 2 4" xfId="2745" xr:uid="{BF04EA9D-E270-42F8-8A5A-2D841F32DDC8}"/>
    <cellStyle name="百分比 2 2 3 2 3 2 4 2" xfId="33029" xr:uid="{B81A0F4E-57CF-442E-84D2-D641891FEC18}"/>
    <cellStyle name="百分比 2 2 3 2 3 2 5" xfId="2746" xr:uid="{89F2450A-7396-4FC1-A981-88E2A78F8F6F}"/>
    <cellStyle name="百分比 2 2 3 2 3 3" xfId="2747" xr:uid="{2884E8D7-3C97-4E01-A3B6-8DC074B47260}"/>
    <cellStyle name="百分比 2 2 3 2 3 3 2" xfId="2748" xr:uid="{8672ADB2-B9EF-4E0C-9E34-175ED3666136}"/>
    <cellStyle name="百分比 2 2 3 2 3 3 2 2" xfId="2749" xr:uid="{FAF62263-CF17-45CE-8DEC-0E75ECB44B11}"/>
    <cellStyle name="百分比 2 2 3 2 3 3 3" xfId="2750" xr:uid="{39248478-39EA-4E62-9C1A-35309219D97F}"/>
    <cellStyle name="百分比 2 2 3 2 3 3 4" xfId="2751" xr:uid="{53B01E49-21DE-4F0E-8C22-729BFDAC8895}"/>
    <cellStyle name="百分比 2 2 3 2 3 3 4 2" xfId="33030" xr:uid="{72C29112-7F3A-4876-8AE6-79B7DFEDBA8B}"/>
    <cellStyle name="百分比 2 2 3 2 3 3 5" xfId="2752" xr:uid="{5BDC27EA-C0B6-42CC-B995-F94EF7512962}"/>
    <cellStyle name="百分比 2 2 3 2 3 4" xfId="2753" xr:uid="{E0333CB4-2C20-46CD-BBAC-42631C74C398}"/>
    <cellStyle name="百分比 2 2 3 2 3 4 2" xfId="2754" xr:uid="{E1ADEB7F-3BB7-4E81-992E-B3F0CA151C52}"/>
    <cellStyle name="百分比 2 2 3 2 3 5" xfId="2755" xr:uid="{4CD64660-18E0-40CD-B8BA-F926EBB21B03}"/>
    <cellStyle name="百分比 2 2 3 2 3 5 2" xfId="2756" xr:uid="{93534D4B-5CF5-4789-B279-83313109CBA8}"/>
    <cellStyle name="百分比 2 2 3 2 3 6" xfId="2757" xr:uid="{30EBE42A-D3DA-4558-8C4D-AF6BBF52F4CE}"/>
    <cellStyle name="百分比 2 2 3 2 3 6 2" xfId="33031" xr:uid="{104A9108-0DEA-4505-BC9B-791F5DA24114}"/>
    <cellStyle name="百分比 2 2 3 2 3 7" xfId="2758" xr:uid="{6C82A19D-5F6D-4ECD-A9A3-EDA55A1F4701}"/>
    <cellStyle name="百分比 2 2 3 2 4" xfId="2759" xr:uid="{80B85897-FFFE-4600-B1D6-650676B9B567}"/>
    <cellStyle name="百分比 2 2 3 2 4 2" xfId="2760" xr:uid="{D928665A-CA25-4FEF-B0BC-BC160A3691A7}"/>
    <cellStyle name="百分比 2 2 3 2 4 2 2" xfId="2761" xr:uid="{3D79C718-41B0-4572-8843-C3855E9DF14F}"/>
    <cellStyle name="百分比 2 2 3 2 4 3" xfId="2762" xr:uid="{9080C494-42CA-4F33-972D-27A7E753921C}"/>
    <cellStyle name="百分比 2 2 3 2 4 3 2" xfId="2763" xr:uid="{3CE3AA7E-F4C3-44CA-9BBF-DA842C7F54A0}"/>
    <cellStyle name="百分比 2 2 3 2 4 4" xfId="2764" xr:uid="{FA68CC9A-B43B-4060-BF7D-77D4658EAC4A}"/>
    <cellStyle name="百分比 2 2 3 2 4 4 2" xfId="33032" xr:uid="{29E3BA52-7700-4110-94D5-453E66210B31}"/>
    <cellStyle name="百分比 2 2 3 2 4 5" xfId="2765" xr:uid="{1D946068-2C82-4BA6-BE40-9A806776B494}"/>
    <cellStyle name="百分比 2 2 3 2 4 6" xfId="2766" xr:uid="{7A606555-41A9-41CE-8D34-3D16445A725F}"/>
    <cellStyle name="百分比 2 2 3 2 4 7" xfId="2767" xr:uid="{E26A53FC-AA35-4709-961C-BCD942F42AED}"/>
    <cellStyle name="百分比 2 2 3 2 5" xfId="2768" xr:uid="{58D8306C-FE3C-4631-BCFB-773E9B7B3060}"/>
    <cellStyle name="百分比 2 2 3 2 5 2" xfId="2769" xr:uid="{F92CAC03-AC0F-4C98-AF4C-314239C1438F}"/>
    <cellStyle name="百分比 2 2 3 2 5 2 2" xfId="2770" xr:uid="{02A0D6CD-7339-4E65-996E-5AE2EBB0CF44}"/>
    <cellStyle name="百分比 2 2 3 2 5 3" xfId="2771" xr:uid="{3F23F4A5-BF56-4D38-B366-E2B0EC919E18}"/>
    <cellStyle name="百分比 2 2 3 2 5 4" xfId="2772" xr:uid="{6597D2C5-32BA-4AC1-9ADC-6EA37919583B}"/>
    <cellStyle name="百分比 2 2 3 2 5 4 2" xfId="33033" xr:uid="{958C324D-DEBE-48EA-9179-185AF6560AE7}"/>
    <cellStyle name="百分比 2 2 3 2 5 5" xfId="2773" xr:uid="{73195F1D-186D-4170-BFC1-C08913131E2B}"/>
    <cellStyle name="百分比 2 2 3 2 6" xfId="2774" xr:uid="{13843881-80AE-4E9F-9065-1C7FFAD615E2}"/>
    <cellStyle name="百分比 2 2 3 2 6 2" xfId="2775" xr:uid="{A023EBB9-A27E-42A1-9D2B-1351FA79E68E}"/>
    <cellStyle name="百分比 2 2 3 2 7" xfId="2776" xr:uid="{DC5DB6D4-487D-4C57-B3BC-8F1D86E80220}"/>
    <cellStyle name="百分比 2 2 3 2 7 2" xfId="2777" xr:uid="{88C3389C-D49F-4B3D-A215-17182F422E7A}"/>
    <cellStyle name="百分比 2 2 3 2 8" xfId="2778" xr:uid="{B9040747-1B14-4855-B181-5911A8E055FA}"/>
    <cellStyle name="百分比 2 2 3 2 8 2" xfId="33034" xr:uid="{135C0A12-D190-4578-B6EA-E1E4883BF3D6}"/>
    <cellStyle name="百分比 2 2 3 2 9" xfId="2779" xr:uid="{923B7A7F-EFAF-492C-A700-F9399E978FF7}"/>
    <cellStyle name="百分比 2 2 3 3" xfId="2780" xr:uid="{6A457A62-A305-4D63-BEA2-124AF83C38A1}"/>
    <cellStyle name="百分比 2 2 3 3 2" xfId="2781" xr:uid="{7E622DB6-034D-4FDD-903B-71AB1C3895AD}"/>
    <cellStyle name="百分比 2 2 3 3 2 2" xfId="2782" xr:uid="{9073FDA7-C70C-4D30-ABF4-2C75763DD39F}"/>
    <cellStyle name="百分比 2 2 3 3 2 2 2" xfId="2783" xr:uid="{5E9613FC-4EFE-4360-B55D-D9DAE3BFA6EE}"/>
    <cellStyle name="百分比 2 2 3 3 2 2 2 2" xfId="2784" xr:uid="{21EAA505-07E8-43BF-A4D7-E015B10F0B8A}"/>
    <cellStyle name="百分比 2 2 3 3 2 2 3" xfId="2785" xr:uid="{CA95DAED-9985-4ADB-86E6-DAB94C111F41}"/>
    <cellStyle name="百分比 2 2 3 3 2 2 4" xfId="2786" xr:uid="{DBDA739C-CC58-45D8-AD76-5F216A4A62CF}"/>
    <cellStyle name="百分比 2 2 3 3 2 2 4 2" xfId="33035" xr:uid="{11676A2E-E566-46CC-988C-034D6C0F22EA}"/>
    <cellStyle name="百分比 2 2 3 3 2 2 5" xfId="2787" xr:uid="{A1B8FE88-7F50-4713-B7CB-CBF1D2166E0F}"/>
    <cellStyle name="百分比 2 2 3 3 2 3" xfId="2788" xr:uid="{77ACB87C-D700-4366-8985-E08DB91E6B69}"/>
    <cellStyle name="百分比 2 2 3 3 2 3 2" xfId="2789" xr:uid="{06304C9E-A75F-4243-B69F-3E49C36094B8}"/>
    <cellStyle name="百分比 2 2 3 3 2 3 2 2" xfId="2790" xr:uid="{F84B61CE-2E27-4A64-A7FF-80EA44A7CBBA}"/>
    <cellStyle name="百分比 2 2 3 3 2 3 3" xfId="2791" xr:uid="{D3CFBC46-9D25-42BD-95C5-C6F96AF4E568}"/>
    <cellStyle name="百分比 2 2 3 3 2 3 4" xfId="2792" xr:uid="{9E474668-2CE0-4379-8B88-1653BA9246D5}"/>
    <cellStyle name="百分比 2 2 3 3 2 3 4 2" xfId="33036" xr:uid="{DBDD9E34-D42D-48B9-B6B0-3BB424A30636}"/>
    <cellStyle name="百分比 2 2 3 3 2 3 5" xfId="2793" xr:uid="{ECF21B7D-C98B-4BCD-BE4B-4B54F7D20603}"/>
    <cellStyle name="百分比 2 2 3 3 2 4" xfId="2794" xr:uid="{3D1E81E7-A09F-4C25-BAC9-0F79D95E14FD}"/>
    <cellStyle name="百分比 2 2 3 3 2 4 2" xfId="2795" xr:uid="{89C21171-4106-4180-BF87-94219450A4F4}"/>
    <cellStyle name="百分比 2 2 3 3 2 5" xfId="2796" xr:uid="{C886C5C1-C78F-4A97-BC2F-6B01448E07CC}"/>
    <cellStyle name="百分比 2 2 3 3 2 5 2" xfId="2797" xr:uid="{83E8B2B6-EAC6-4933-938F-59E216652470}"/>
    <cellStyle name="百分比 2 2 3 3 2 6" xfId="2798" xr:uid="{6E35D316-AAF2-4213-BF88-8456B760AC31}"/>
    <cellStyle name="百分比 2 2 3 3 2 6 2" xfId="33037" xr:uid="{D7D56F2B-8770-4741-B3FE-CB1869E82ECD}"/>
    <cellStyle name="百分比 2 2 3 3 2 7" xfId="2799" xr:uid="{1B032DA8-BE9F-4E18-AACA-E666CCE6BAAF}"/>
    <cellStyle name="百分比 2 2 3 3 3" xfId="2800" xr:uid="{E99C4E48-3653-4ADB-B791-4045F1B85F21}"/>
    <cellStyle name="百分比 2 2 3 3 3 2" xfId="2801" xr:uid="{E2ECABBD-0983-44D8-94BD-A81211AE0AF2}"/>
    <cellStyle name="百分比 2 2 3 3 3 2 2" xfId="2802" xr:uid="{A0190DDE-84D2-4146-9648-C95A40D8C91D}"/>
    <cellStyle name="百分比 2 2 3 3 3 3" xfId="2803" xr:uid="{7461F496-2874-482D-A663-ECC4D35F6BFE}"/>
    <cellStyle name="百分比 2 2 3 3 3 3 2" xfId="2804" xr:uid="{BFB0D70D-96BE-44BC-A1DB-C7244EDF5FDF}"/>
    <cellStyle name="百分比 2 2 3 3 3 4" xfId="2805" xr:uid="{B80ADA07-2325-44C7-8210-422204AB270C}"/>
    <cellStyle name="百分比 2 2 3 3 3 4 2" xfId="33038" xr:uid="{C5A24CEF-DB36-4773-80B2-2844CDC2A6F3}"/>
    <cellStyle name="百分比 2 2 3 3 3 5" xfId="2806" xr:uid="{A6A98C28-6FFF-4C25-A8E1-D79B367550F5}"/>
    <cellStyle name="百分比 2 2 3 3 3 6" xfId="2807" xr:uid="{ACE0AFB5-2F23-460E-9F65-DBAE5594DCAE}"/>
    <cellStyle name="百分比 2 2 3 3 3 7" xfId="2808" xr:uid="{AAC4F124-CB5A-45FB-BC5C-FE5AEA4EF6D9}"/>
    <cellStyle name="百分比 2 2 3 3 4" xfId="2809" xr:uid="{A5C61BCD-6C20-4454-B756-F9EF93A44E8B}"/>
    <cellStyle name="百分比 2 2 3 3 4 2" xfId="2810" xr:uid="{3F94A827-E08A-4FDF-ACF1-3F20A2FFC32F}"/>
    <cellStyle name="百分比 2 2 3 3 4 2 2" xfId="2811" xr:uid="{E015A236-62A5-4F19-B905-6D8762D6690B}"/>
    <cellStyle name="百分比 2 2 3 3 4 3" xfId="2812" xr:uid="{A46AA3DF-F586-43C2-AA46-1F4BE4686EF5}"/>
    <cellStyle name="百分比 2 2 3 3 4 4" xfId="2813" xr:uid="{19EFB3A1-8036-4187-B7BF-CA6D40A41544}"/>
    <cellStyle name="百分比 2 2 3 3 4 4 2" xfId="33039" xr:uid="{12C42CA2-2D94-4B2C-A6B0-4B000DF69A15}"/>
    <cellStyle name="百分比 2 2 3 3 4 5" xfId="2814" xr:uid="{46DFBB6D-5C71-4C1E-A454-D6CD0CE865D5}"/>
    <cellStyle name="百分比 2 2 3 3 5" xfId="2815" xr:uid="{D9859022-F25D-4A6E-BD0E-B984FD0B53FD}"/>
    <cellStyle name="百分比 2 2 3 3 5 2" xfId="2816" xr:uid="{79998FCE-C720-4520-96E4-A7C497E44C6D}"/>
    <cellStyle name="百分比 2 2 3 3 6" xfId="2817" xr:uid="{9AD94A03-EE85-44DA-A518-14B5F6EBB329}"/>
    <cellStyle name="百分比 2 2 3 3 6 2" xfId="2818" xr:uid="{BC1AA98E-F420-4A98-95E5-0CBA5F0293E8}"/>
    <cellStyle name="百分比 2 2 3 3 7" xfId="2819" xr:uid="{C6049253-34B2-45EC-B95D-1FE16CC4FAE6}"/>
    <cellStyle name="百分比 2 2 3 3 7 2" xfId="33040" xr:uid="{9F52E166-0550-4644-9774-1E63F1B2A1CD}"/>
    <cellStyle name="百分比 2 2 3 3 8" xfId="2820" xr:uid="{635EDD46-11EA-43F5-9383-4856661208BF}"/>
    <cellStyle name="百分比 2 2 3 3 9" xfId="2821" xr:uid="{A374ED58-AEC1-40F5-81F9-8472E7F64D78}"/>
    <cellStyle name="百分比 2 2 3 4" xfId="2822" xr:uid="{16E234EE-44FD-409D-9A86-5658F987E936}"/>
    <cellStyle name="百分比 2 2 3 4 2" xfId="2823" xr:uid="{11ADA9B1-22D7-41D1-A77A-6BE445D64C4E}"/>
    <cellStyle name="百分比 2 2 3 4 2 2" xfId="2824" xr:uid="{F58522FC-898F-452B-A5A4-E237FF51E1D1}"/>
    <cellStyle name="百分比 2 2 3 4 2 2 2" xfId="2825" xr:uid="{5B1BC13B-4324-4AF9-997D-BF7A4923B57E}"/>
    <cellStyle name="百分比 2 2 3 4 2 3" xfId="2826" xr:uid="{1DE3CF5D-B46E-4515-97AB-E2011C5ACD6E}"/>
    <cellStyle name="百分比 2 2 3 4 2 4" xfId="2827" xr:uid="{D842B172-5DF8-4D38-9DD5-409E7192E2A6}"/>
    <cellStyle name="百分比 2 2 3 4 2 4 2" xfId="33041" xr:uid="{29D148DA-BA8E-4058-B507-4AF6135C4B8B}"/>
    <cellStyle name="百分比 2 2 3 4 2 5" xfId="2828" xr:uid="{1CD2FBAF-A2D5-4674-B830-A4DC4379CFDA}"/>
    <cellStyle name="百分比 2 2 3 4 3" xfId="2829" xr:uid="{32ED91B7-D700-44EA-A8F8-E9124E0513D6}"/>
    <cellStyle name="百分比 2 2 3 4 3 2" xfId="2830" xr:uid="{B2DC1ABA-4125-473D-8FDD-D5EDD3DE9604}"/>
    <cellStyle name="百分比 2 2 3 4 3 2 2" xfId="2831" xr:uid="{7407AB68-E054-4BEE-9F6A-2DE823668507}"/>
    <cellStyle name="百分比 2 2 3 4 3 3" xfId="2832" xr:uid="{C257C9B0-B547-4F8C-8452-7914997D8BF9}"/>
    <cellStyle name="百分比 2 2 3 4 3 4" xfId="2833" xr:uid="{1B515BFA-B19E-4BA7-8775-E134AEF4A629}"/>
    <cellStyle name="百分比 2 2 3 4 3 4 2" xfId="33042" xr:uid="{D7FF7151-22D0-40F2-8B83-014AAFA47C7A}"/>
    <cellStyle name="百分比 2 2 3 4 3 5" xfId="2834" xr:uid="{F0576674-3CB6-45F1-940B-5EAA95D31B59}"/>
    <cellStyle name="百分比 2 2 3 4 4" xfId="2835" xr:uid="{09E4CFC5-05C7-4186-BB50-B211B9BBDFC3}"/>
    <cellStyle name="百分比 2 2 3 4 4 2" xfId="2836" xr:uid="{BBEFB87F-6C6E-4E86-8A21-40F64EFC459A}"/>
    <cellStyle name="百分比 2 2 3 4 5" xfId="2837" xr:uid="{6E2C9EBE-22B4-40AE-966A-A14105475D82}"/>
    <cellStyle name="百分比 2 2 3 4 5 2" xfId="2838" xr:uid="{328D4087-3D0A-46B5-BDCA-6FAB3CC817EE}"/>
    <cellStyle name="百分比 2 2 3 4 6" xfId="2839" xr:uid="{263EE0B5-B691-4384-AA71-9843D54182CB}"/>
    <cellStyle name="百分比 2 2 3 4 6 2" xfId="33043" xr:uid="{E2F5297C-C7E5-4510-8DBB-6EB599CBD5A2}"/>
    <cellStyle name="百分比 2 2 3 4 7" xfId="2840" xr:uid="{53FA411A-3392-470F-B6D2-3C161717924D}"/>
    <cellStyle name="百分比 2 2 3 5" xfId="2841" xr:uid="{A903201A-FA2B-4D21-B2E6-EAED59EA33E7}"/>
    <cellStyle name="百分比 2 2 3 5 2" xfId="2842" xr:uid="{7E33C134-342C-4C16-BF1F-DD29C1590742}"/>
    <cellStyle name="百分比 2 2 3 5 2 2" xfId="2843" xr:uid="{8A67F4DF-36B9-46D1-A3F4-8CF8109315C0}"/>
    <cellStyle name="百分比 2 2 3 5 3" xfId="2844" xr:uid="{25EFDDB1-71AC-4F6E-977D-02DBD5D71F03}"/>
    <cellStyle name="百分比 2 2 3 5 3 2" xfId="2845" xr:uid="{6BF2D758-6216-4888-92D6-008A5872A821}"/>
    <cellStyle name="百分比 2 2 3 5 4" xfId="2846" xr:uid="{F7A79694-37AB-480A-AB68-03A7088FD41F}"/>
    <cellStyle name="百分比 2 2 3 5 4 2" xfId="33044" xr:uid="{107E97B6-D099-4809-981D-FC8CBA12A6EC}"/>
    <cellStyle name="百分比 2 2 3 5 5" xfId="2847" xr:uid="{5C2D03FB-D300-4EE0-9C2A-A9F88AD66052}"/>
    <cellStyle name="百分比 2 2 3 5 6" xfId="2848" xr:uid="{6184EB00-2634-47C9-BC85-428A602FDD9D}"/>
    <cellStyle name="百分比 2 2 3 5 7" xfId="2849" xr:uid="{828DC614-C70E-49CF-A69F-A2EB061239D1}"/>
    <cellStyle name="百分比 2 2 3 6" xfId="2850" xr:uid="{6EC6D4D8-4FD9-4B91-99D4-7E4E4AF28EC2}"/>
    <cellStyle name="百分比 2 2 3 6 2" xfId="2851" xr:uid="{EB037285-16BD-4906-A072-62C0C5B8BC46}"/>
    <cellStyle name="百分比 2 2 3 6 2 2" xfId="2852" xr:uid="{681869F6-2348-4255-9A6C-E8C041E71E9A}"/>
    <cellStyle name="百分比 2 2 3 6 3" xfId="2853" xr:uid="{51E9CF00-3214-414E-8C70-C2F1100B29A5}"/>
    <cellStyle name="百分比 2 2 3 6 4" xfId="2854" xr:uid="{C3DF6770-180A-4A62-B58B-CCE1CD0D0010}"/>
    <cellStyle name="百分比 2 2 3 6 4 2" xfId="33045" xr:uid="{B1284F1E-4F71-42D9-A678-2910F5508E3F}"/>
    <cellStyle name="百分比 2 2 3 6 5" xfId="2855" xr:uid="{198C4D9D-0496-4EDC-B37B-169253A219C9}"/>
    <cellStyle name="百分比 2 2 3 7" xfId="2856" xr:uid="{4AD77CD8-4849-4B5F-9378-718980BA7DB6}"/>
    <cellStyle name="百分比 2 2 3 7 2" xfId="2857" xr:uid="{490DA1CE-76AA-43AF-BF3D-5D8932E12688}"/>
    <cellStyle name="百分比 2 2 3 8" xfId="2858" xr:uid="{6B2484DF-AA9D-4143-AEC9-FEEA493FF4B6}"/>
    <cellStyle name="百分比 2 2 3 8 2" xfId="2859" xr:uid="{DA38EFC9-2428-4FA7-8C20-68D24C0037D3}"/>
    <cellStyle name="百分比 2 2 3 9" xfId="2860" xr:uid="{1FFB5388-E384-4933-8062-EBA4B60A354D}"/>
    <cellStyle name="百分比 2 2 3 9 2" xfId="33046" xr:uid="{43BEF4E7-490D-4C18-A3C1-884C7C6458C5}"/>
    <cellStyle name="百分比 2 2 4" xfId="2861" xr:uid="{54836B28-9650-438B-8249-BCF164E60740}"/>
    <cellStyle name="百分比 2 2 4 10" xfId="2862" xr:uid="{A1DC17FD-58D6-493B-ABDB-D3850C2D1380}"/>
    <cellStyle name="百分比 2 2 4 11" xfId="2863" xr:uid="{1A86F70B-3EAC-45DC-BA75-DF61BEBD8DF2}"/>
    <cellStyle name="百分比 2 2 4 2" xfId="2864" xr:uid="{1E6B0B33-D98F-4AB1-8D99-6DC5E5E5CA22}"/>
    <cellStyle name="百分比 2 2 4 2 2" xfId="2865" xr:uid="{0E2A10FB-E998-4A0F-BA05-F64D5C39DFD8}"/>
    <cellStyle name="百分比 2 2 4 2 2 2" xfId="2866" xr:uid="{8654801F-C8DF-4793-9DBF-7AC41B86E713}"/>
    <cellStyle name="百分比 2 2 4 2 2 2 2" xfId="2867" xr:uid="{FDBA1C9E-DBF6-431A-9680-5C789BFA35BF}"/>
    <cellStyle name="百分比 2 2 4 2 2 2 2 2" xfId="2868" xr:uid="{080D3E21-2FF4-4D21-AE93-74D3625FDA82}"/>
    <cellStyle name="百分比 2 2 4 2 2 2 3" xfId="2869" xr:uid="{BAE3AC50-51D3-4644-A766-3E65B4D05E2E}"/>
    <cellStyle name="百分比 2 2 4 2 2 2 4" xfId="2870" xr:uid="{E5F5C447-7648-4DE3-BE1F-3AA1DDBDA851}"/>
    <cellStyle name="百分比 2 2 4 2 2 2 4 2" xfId="33047" xr:uid="{6C3E39D6-490E-4BCA-B31A-03C61925682B}"/>
    <cellStyle name="百分比 2 2 4 2 2 2 5" xfId="2871" xr:uid="{14804081-253D-479D-8745-789013F3FCEC}"/>
    <cellStyle name="百分比 2 2 4 2 2 3" xfId="2872" xr:uid="{0AF4E959-536D-409E-B52C-E41AC3860E66}"/>
    <cellStyle name="百分比 2 2 4 2 2 3 2" xfId="2873" xr:uid="{32C7045E-6748-4680-8210-9EF511A5610E}"/>
    <cellStyle name="百分比 2 2 4 2 2 3 2 2" xfId="2874" xr:uid="{80F7B391-A214-46E5-A06C-887BD7987F74}"/>
    <cellStyle name="百分比 2 2 4 2 2 3 3" xfId="2875" xr:uid="{CFF89B63-6DFD-42E7-85DE-D0BB8EB602ED}"/>
    <cellStyle name="百分比 2 2 4 2 2 3 4" xfId="2876" xr:uid="{D8E02F6F-5F90-46B7-8FA1-985D6402EAF7}"/>
    <cellStyle name="百分比 2 2 4 2 2 3 4 2" xfId="33048" xr:uid="{1993D8CE-CAB4-4312-ADDC-3046714EA7A8}"/>
    <cellStyle name="百分比 2 2 4 2 2 3 5" xfId="2877" xr:uid="{7EC7801E-D45A-4C3E-8ADF-3AF98893172F}"/>
    <cellStyle name="百分比 2 2 4 2 2 4" xfId="2878" xr:uid="{1E01B1B3-6314-4671-BAF5-C57A97F895FB}"/>
    <cellStyle name="百分比 2 2 4 2 2 4 2" xfId="2879" xr:uid="{3927EE78-0B85-48B7-B2E7-014B18DB1866}"/>
    <cellStyle name="百分比 2 2 4 2 2 5" xfId="2880" xr:uid="{315A4948-59E2-4F00-B453-4EB24A4BEA1C}"/>
    <cellStyle name="百分比 2 2 4 2 2 5 2" xfId="2881" xr:uid="{D85DAC38-0BE8-4E06-A836-5B74F7F6DA89}"/>
    <cellStyle name="百分比 2 2 4 2 2 6" xfId="2882" xr:uid="{294ACF65-9E1D-41C2-A622-FBF7F899C7A1}"/>
    <cellStyle name="百分比 2 2 4 2 2 6 2" xfId="33049" xr:uid="{7F79A204-04E4-446B-B2B4-47DAABBC6A4D}"/>
    <cellStyle name="百分比 2 2 4 2 2 7" xfId="2883" xr:uid="{1D930D22-8CE4-42F4-91EC-EB42B143B10B}"/>
    <cellStyle name="百分比 2 2 4 2 3" xfId="2884" xr:uid="{F103F3AC-D9D3-4B10-813D-1363ED6206C5}"/>
    <cellStyle name="百分比 2 2 4 2 3 2" xfId="2885" xr:uid="{765F5246-1219-4505-8497-5FE48661FD66}"/>
    <cellStyle name="百分比 2 2 4 2 3 2 2" xfId="2886" xr:uid="{956DD264-8E99-4047-80D8-1DC458423EFF}"/>
    <cellStyle name="百分比 2 2 4 2 3 3" xfId="2887" xr:uid="{A8DC1080-D912-41F6-9F0D-BB0855CF6A74}"/>
    <cellStyle name="百分比 2 2 4 2 3 3 2" xfId="2888" xr:uid="{F347EA9F-D2B2-4CE5-B841-D89DF17BC16A}"/>
    <cellStyle name="百分比 2 2 4 2 3 4" xfId="2889" xr:uid="{485624E4-0275-4F71-A6EA-CA9B24793037}"/>
    <cellStyle name="百分比 2 2 4 2 3 4 2" xfId="33050" xr:uid="{E1ED6AB1-5709-4C12-84AF-15E101AE37F7}"/>
    <cellStyle name="百分比 2 2 4 2 3 5" xfId="2890" xr:uid="{34D67DD2-B3F0-4980-9FA5-758572987D96}"/>
    <cellStyle name="百分比 2 2 4 2 3 6" xfId="2891" xr:uid="{56D82755-313C-431A-97A1-2A4BB5462728}"/>
    <cellStyle name="百分比 2 2 4 2 3 7" xfId="2892" xr:uid="{2E223780-0B97-4810-9B68-F5269C06E2F6}"/>
    <cellStyle name="百分比 2 2 4 2 4" xfId="2893" xr:uid="{78E4897A-C21A-4429-B18F-8ACAFAE3D8B3}"/>
    <cellStyle name="百分比 2 2 4 2 4 2" xfId="2894" xr:uid="{8EFB72FE-4ED6-4DDB-8936-038347C4D70B}"/>
    <cellStyle name="百分比 2 2 4 2 4 2 2" xfId="2895" xr:uid="{54FC67FD-63AD-49B4-8C6C-B5FB35B7A160}"/>
    <cellStyle name="百分比 2 2 4 2 4 3" xfId="2896" xr:uid="{41295369-86D6-4D20-A1AF-BAE7EA095251}"/>
    <cellStyle name="百分比 2 2 4 2 4 4" xfId="2897" xr:uid="{03404380-BF4A-495E-A570-4F20F3D85CA8}"/>
    <cellStyle name="百分比 2 2 4 2 4 4 2" xfId="33051" xr:uid="{BFEC98C8-F17F-4B89-8105-3FCD44B1E9CA}"/>
    <cellStyle name="百分比 2 2 4 2 4 5" xfId="2898" xr:uid="{5489F8C4-2019-4BEA-B480-F8B61221C679}"/>
    <cellStyle name="百分比 2 2 4 2 5" xfId="2899" xr:uid="{AFC74004-633D-4F8D-AA71-22BA4B8E5586}"/>
    <cellStyle name="百分比 2 2 4 2 5 2" xfId="2900" xr:uid="{35015609-4A21-4F96-BC3B-07485BC91E7B}"/>
    <cellStyle name="百分比 2 2 4 2 6" xfId="2901" xr:uid="{35EB816A-FA9F-47DB-8BA4-698E3FFDD826}"/>
    <cellStyle name="百分比 2 2 4 2 6 2" xfId="2902" xr:uid="{1D7779B3-51E8-45D3-B042-3969AEBBDF8F}"/>
    <cellStyle name="百分比 2 2 4 2 7" xfId="2903" xr:uid="{10B21F5F-0CD2-4017-B193-182346C1E964}"/>
    <cellStyle name="百分比 2 2 4 2 7 2" xfId="33052" xr:uid="{D28557AD-3537-4D75-9D58-CA289ACEA63C}"/>
    <cellStyle name="百分比 2 2 4 2 8" xfId="2904" xr:uid="{15948D9A-06E3-415C-A2A0-BB8EF93FCB1B}"/>
    <cellStyle name="百分比 2 2 4 2 9" xfId="2905" xr:uid="{4EE6F9D8-D016-4A19-90CF-B75A954AC917}"/>
    <cellStyle name="百分比 2 2 4 3" xfId="2906" xr:uid="{4DFCBE52-89A9-4E7B-9BDA-50FBCF271471}"/>
    <cellStyle name="百分比 2 2 4 3 2" xfId="2907" xr:uid="{C80C565C-ECF6-4EC9-ACEA-6F6AAD30EF03}"/>
    <cellStyle name="百分比 2 2 4 3 2 2" xfId="2908" xr:uid="{1BDF6E2A-638F-4AD2-AFD7-817B35CCE13B}"/>
    <cellStyle name="百分比 2 2 4 3 2 2 2" xfId="2909" xr:uid="{D5A87244-7F86-4578-BBD0-532205E99F6A}"/>
    <cellStyle name="百分比 2 2 4 3 2 3" xfId="2910" xr:uid="{F0BFE364-068A-43E4-928F-620398FA5A47}"/>
    <cellStyle name="百分比 2 2 4 3 2 3 2" xfId="2911" xr:uid="{D71CD38E-76DE-4034-B228-4D23C83241F9}"/>
    <cellStyle name="百分比 2 2 4 3 2 4" xfId="2912" xr:uid="{80F403C3-630A-49B1-9BE5-CF6F30333667}"/>
    <cellStyle name="百分比 2 2 4 3 2 4 2" xfId="33053" xr:uid="{F29D1817-137B-440D-921C-E85E20917366}"/>
    <cellStyle name="百分比 2 2 4 3 2 5" xfId="2913" xr:uid="{91BB3675-EF8D-4DB1-BED4-F4E7FC7FFDB0}"/>
    <cellStyle name="百分比 2 2 4 3 2 6" xfId="2914" xr:uid="{3E803551-E655-4B6B-B8F9-47D970511650}"/>
    <cellStyle name="百分比 2 2 4 3 2 7" xfId="2915" xr:uid="{BAE273C9-33DA-42A7-9B46-27AA8357DF42}"/>
    <cellStyle name="百分比 2 2 4 3 3" xfId="2916" xr:uid="{CB23E8D3-94D8-481D-BCC9-67836F009107}"/>
    <cellStyle name="百分比 2 2 4 3 3 2" xfId="2917" xr:uid="{A8891B19-3004-4B7F-9FA3-3B7EFAB6DB18}"/>
    <cellStyle name="百分比 2 2 4 3 3 2 2" xfId="2918" xr:uid="{01344A33-BE8D-43A2-A226-EAD99C43B315}"/>
    <cellStyle name="百分比 2 2 4 3 3 3" xfId="2919" xr:uid="{D83DEC0F-F24C-4BE6-9F83-E06D2E290CD5}"/>
    <cellStyle name="百分比 2 2 4 3 3 4" xfId="2920" xr:uid="{7DE40204-E6AE-4CA3-8D65-F339C9DF4D0B}"/>
    <cellStyle name="百分比 2 2 4 3 3 4 2" xfId="33054" xr:uid="{F23F3A56-C3AB-4BAD-8D1B-F588F8DC774F}"/>
    <cellStyle name="百分比 2 2 4 3 3 5" xfId="2921" xr:uid="{F00EA357-A743-413D-9C8B-687E8D5CEC21}"/>
    <cellStyle name="百分比 2 2 4 3 4" xfId="2922" xr:uid="{FB18E7ED-1431-43D6-912A-4444D96925AF}"/>
    <cellStyle name="百分比 2 2 4 3 4 2" xfId="2923" xr:uid="{61ECD74A-4A28-4502-87FA-FFE7A53D8355}"/>
    <cellStyle name="百分比 2 2 4 3 5" xfId="2924" xr:uid="{DAB713CF-88FE-442A-86D9-6400D12A19E7}"/>
    <cellStyle name="百分比 2 2 4 3 5 2" xfId="2925" xr:uid="{C93FF52F-8AF6-4744-BA11-24253779AFA1}"/>
    <cellStyle name="百分比 2 2 4 3 6" xfId="2926" xr:uid="{9A24955E-0437-480C-A130-42D12F9EFF93}"/>
    <cellStyle name="百分比 2 2 4 3 6 2" xfId="33055" xr:uid="{1679BE30-0180-49A3-8F43-BB991DE5D336}"/>
    <cellStyle name="百分比 2 2 4 3 7" xfId="2927" xr:uid="{42DBB6BF-1352-4BEA-8928-F508F0CEDE8A}"/>
    <cellStyle name="百分比 2 2 4 3 8" xfId="2928" xr:uid="{A277E8D2-ECFA-4D3C-AC0C-36FDC14F2D0B}"/>
    <cellStyle name="百分比 2 2 4 4" xfId="2929" xr:uid="{3714C2B5-621F-4856-AACF-2CB829EF004B}"/>
    <cellStyle name="百分比 2 2 4 4 2" xfId="2930" xr:uid="{7868D719-2BCB-4AE0-8063-D264A5A27EB1}"/>
    <cellStyle name="百分比 2 2 4 4 2 2" xfId="2931" xr:uid="{3EE5C18B-B2D6-4BC0-BCAD-0A092136D37E}"/>
    <cellStyle name="百分比 2 2 4 4 3" xfId="2932" xr:uid="{2A708F70-6481-4640-9461-A257DD33A66A}"/>
    <cellStyle name="百分比 2 2 4 4 3 2" xfId="2933" xr:uid="{DDF2DD39-CEEB-4D54-A8C7-E58B9E3A9182}"/>
    <cellStyle name="百分比 2 2 4 4 4" xfId="2934" xr:uid="{1B35431A-D7F2-4CC3-B1A5-C632F8CFDB5A}"/>
    <cellStyle name="百分比 2 2 4 4 4 2" xfId="33056" xr:uid="{9C5042EE-83B0-400E-97FD-7B6643AE7A62}"/>
    <cellStyle name="百分比 2 2 4 4 5" xfId="2935" xr:uid="{03F7F22B-2515-46BF-A608-DDCEBA87F5B3}"/>
    <cellStyle name="百分比 2 2 4 4 6" xfId="2936" xr:uid="{C5C88B99-5FE2-4B2A-83D3-50EA08FEE30D}"/>
    <cellStyle name="百分比 2 2 4 4 7" xfId="2937" xr:uid="{14413538-540F-4BF4-8DB0-8A1CCFCF71AA}"/>
    <cellStyle name="百分比 2 2 4 5" xfId="2938" xr:uid="{69507623-028B-456D-9118-E074BC1697B0}"/>
    <cellStyle name="百分比 2 2 4 5 2" xfId="2939" xr:uid="{40DC561E-7CBA-41E9-816C-EA0AABE6CE49}"/>
    <cellStyle name="百分比 2 2 4 5 2 2" xfId="2940" xr:uid="{E1D76F88-38F0-4CC7-944C-D1C9CF37E0D4}"/>
    <cellStyle name="百分比 2 2 4 5 3" xfId="2941" xr:uid="{55F270D0-FA87-4B6C-A426-165D4F4AB2B6}"/>
    <cellStyle name="百分比 2 2 4 5 3 2" xfId="2942" xr:uid="{568869FC-4BC1-4577-8549-E5DDB9044066}"/>
    <cellStyle name="百分比 2 2 4 5 4" xfId="2943" xr:uid="{0E233C97-ABED-4BDF-8D9E-148749AD7084}"/>
    <cellStyle name="百分比 2 2 4 5 4 2" xfId="33057" xr:uid="{578CE229-870F-473D-9189-F4E8092B55FC}"/>
    <cellStyle name="百分比 2 2 4 5 5" xfId="2944" xr:uid="{9B2C8936-C8A9-4E61-A125-FF5AE4833526}"/>
    <cellStyle name="百分比 2 2 4 5 6" xfId="2945" xr:uid="{5C99B1E7-050D-4F73-86AB-AB9535546840}"/>
    <cellStyle name="百分比 2 2 4 5 7" xfId="2946" xr:uid="{573F42C3-4CD1-4415-978F-7EC44D0D912A}"/>
    <cellStyle name="百分比 2 2 4 6" xfId="2947" xr:uid="{46BCDC27-C218-45DF-BA47-95FEE36451D8}"/>
    <cellStyle name="百分比 2 2 4 6 2" xfId="2948" xr:uid="{C57B793B-527F-4542-911A-4D43CF7A7FDD}"/>
    <cellStyle name="百分比 2 2 4 7" xfId="2949" xr:uid="{60C90F30-042F-40FA-83EE-3E43DBFA64E1}"/>
    <cellStyle name="百分比 2 2 4 7 2" xfId="2950" xr:uid="{60B8D5AA-EFB6-43F7-8034-7872A14AC932}"/>
    <cellStyle name="百分比 2 2 4 8" xfId="2951" xr:uid="{2E6316EF-1F49-455D-9FA5-C366C0FA5EFB}"/>
    <cellStyle name="百分比 2 2 4 8 2" xfId="33058" xr:uid="{0DD86A9B-F18C-4F07-BC0B-E0F620741D7B}"/>
    <cellStyle name="百分比 2 2 4 9" xfId="2952" xr:uid="{9BC41881-EF92-4D1E-8869-333CE678542D}"/>
    <cellStyle name="百分比 2 2 4 9 2" xfId="2953" xr:uid="{1FDB1DC2-30A0-4029-9A15-65B192CAB332}"/>
    <cellStyle name="百分比 2 2 5" xfId="2954" xr:uid="{EBF7E4F0-0030-47AA-AFCD-2DB920359F67}"/>
    <cellStyle name="百分比 2 2 5 10" xfId="2955" xr:uid="{873BA7CD-4413-4FC5-80D4-FC4DA7991BBE}"/>
    <cellStyle name="百分比 2 2 5 2" xfId="2956" xr:uid="{F77FC403-6E2C-45EF-B175-3CCB8B33873F}"/>
    <cellStyle name="百分比 2 2 5 2 2" xfId="2957" xr:uid="{C8AEE51D-D653-484F-9BEA-3FEE004FC458}"/>
    <cellStyle name="百分比 2 2 5 2 2 2" xfId="2958" xr:uid="{33B79B37-185D-41B9-B014-535C87C3FD46}"/>
    <cellStyle name="百分比 2 2 5 2 2 2 2" xfId="2959" xr:uid="{4BB7A095-BDAF-4380-823F-A37947E96075}"/>
    <cellStyle name="百分比 2 2 5 2 2 2 2 2" xfId="2960" xr:uid="{8D90B76F-DD44-470A-9FC8-D5914FC0B89F}"/>
    <cellStyle name="百分比 2 2 5 2 2 2 3" xfId="2961" xr:uid="{BA561DA1-F28B-41DF-A388-EDBF77BDA361}"/>
    <cellStyle name="百分比 2 2 5 2 2 2 4" xfId="2962" xr:uid="{A1C7561B-06E6-408F-B79B-30576BD91A0B}"/>
    <cellStyle name="百分比 2 2 5 2 2 2 4 2" xfId="33059" xr:uid="{E8040619-F64B-42DD-B12C-8D26C63A9068}"/>
    <cellStyle name="百分比 2 2 5 2 2 3" xfId="2963" xr:uid="{5A6390A3-37D4-4BE6-832B-1AEEF9BF8A9F}"/>
    <cellStyle name="百分比 2 2 5 2 2 3 2" xfId="2964" xr:uid="{5A4E3458-41CF-4C9E-865A-00E5C217AE67}"/>
    <cellStyle name="百分比 2 2 5 2 2 4" xfId="2965" xr:uid="{572DC347-44A8-45C0-83AD-6C5C23B5F875}"/>
    <cellStyle name="百分比 2 2 5 2 2 5" xfId="2966" xr:uid="{4FD2D8FB-4B1E-4F03-B4E7-84C710F887DC}"/>
    <cellStyle name="百分比 2 2 5 2 2 5 2" xfId="33060" xr:uid="{FBCBA700-3ABA-4038-8243-61A80AE362CA}"/>
    <cellStyle name="百分比 2 2 5 2 3" xfId="2967" xr:uid="{39CBCBC3-A669-450D-91C6-DB3B23E97BAA}"/>
    <cellStyle name="百分比 2 2 5 2 3 2" xfId="2968" xr:uid="{F33C8603-A5C7-48F6-87D2-0A01EF78AD60}"/>
    <cellStyle name="百分比 2 2 5 2 3 2 2" xfId="2969" xr:uid="{0BF7F50E-C3B1-4DCA-9E72-0A5C061A3FEA}"/>
    <cellStyle name="百分比 2 2 5 2 3 3" xfId="2970" xr:uid="{E1A8BE14-4F43-4F1F-BF84-B4DDF9A983D6}"/>
    <cellStyle name="百分比 2 2 5 2 3 4" xfId="2971" xr:uid="{E49F7AA1-0832-4F28-A0A9-DFDBA70AE2CC}"/>
    <cellStyle name="百分比 2 2 5 2 3 4 2" xfId="33061" xr:uid="{2B519E65-72C6-4C36-9C1C-75AB776825C6}"/>
    <cellStyle name="百分比 2 2 5 2 4" xfId="2972" xr:uid="{FF0F0A38-1610-422C-8B3F-32B1278AA120}"/>
    <cellStyle name="百分比 2 2 5 2 4 2" xfId="2973" xr:uid="{5505AD63-0CFA-4FF2-BA50-83694F7A5882}"/>
    <cellStyle name="百分比 2 2 5 2 5" xfId="2974" xr:uid="{9514C27A-B20F-4D50-A1E1-E08B1C64B90C}"/>
    <cellStyle name="百分比 2 2 5 2 6" xfId="2975" xr:uid="{3A4BC9BF-1D28-4164-87B7-4A28482FA5A6}"/>
    <cellStyle name="百分比 2 2 5 2 6 2" xfId="33062" xr:uid="{65AC39AD-AC00-49FE-B33B-3D1E0252584C}"/>
    <cellStyle name="百分比 2 2 5 2 7" xfId="2976" xr:uid="{0DEFD9F1-DF8E-4431-AAC2-0D8FCD843BDF}"/>
    <cellStyle name="百分比 2 2 5 3" xfId="2977" xr:uid="{F95A43E1-2A9E-4BFA-B4FF-55AF54CF19C3}"/>
    <cellStyle name="百分比 2 2 5 3 2" xfId="2978" xr:uid="{F9989417-20C1-4DC9-8CDC-D2C48D298727}"/>
    <cellStyle name="百分比 2 2 5 3 2 2" xfId="2979" xr:uid="{29CB4279-A01B-4B6E-A427-9958AE55822D}"/>
    <cellStyle name="百分比 2 2 5 3 2 2 2" xfId="2980" xr:uid="{DC6F9D82-AFFF-4B1D-8EE4-81B120D9C1C3}"/>
    <cellStyle name="百分比 2 2 5 3 2 3" xfId="2981" xr:uid="{E7821BE3-4CE5-469A-915F-1EBEF0183D8D}"/>
    <cellStyle name="百分比 2 2 5 3 2 4" xfId="2982" xr:uid="{53536D76-FAA2-40AA-8383-34FBDB2F71B4}"/>
    <cellStyle name="百分比 2 2 5 3 2 4 2" xfId="33063" xr:uid="{0C54CA19-EC22-4A4C-8B83-E342BD11D1CD}"/>
    <cellStyle name="百分比 2 2 5 3 2 5" xfId="2983" xr:uid="{BA3DFE3D-63AA-4853-BE7F-D5CF6044F619}"/>
    <cellStyle name="百分比 2 2 5 3 3" xfId="2984" xr:uid="{4B78CE77-8DB7-4F04-A696-5BF1B8B6AFAE}"/>
    <cellStyle name="百分比 2 2 5 3 3 2" xfId="2985" xr:uid="{956DA6D7-C069-4068-9A2F-4657B5AE1FFF}"/>
    <cellStyle name="百分比 2 2 5 3 3 2 2" xfId="2986" xr:uid="{543ECD0E-A43E-451B-AE5E-41E79E2006DA}"/>
    <cellStyle name="百分比 2 2 5 3 3 3" xfId="2987" xr:uid="{4A075B27-A54D-45F7-93A3-BB296090263A}"/>
    <cellStyle name="百分比 2 2 5 3 3 4" xfId="2988" xr:uid="{C21689CE-F64F-4ACA-9A68-57A07FA3E7B6}"/>
    <cellStyle name="百分比 2 2 5 3 3 4 2" xfId="33064" xr:uid="{F799525F-2D1B-426B-B926-9A395945B4BA}"/>
    <cellStyle name="百分比 2 2 5 3 3 5" xfId="2989" xr:uid="{4C628F93-6A4E-4C8F-9C9C-721C12C94D80}"/>
    <cellStyle name="百分比 2 2 5 3 4" xfId="2990" xr:uid="{2069C39F-DAE2-4DA4-A8E8-6C2ECBAEE2E9}"/>
    <cellStyle name="百分比 2 2 5 3 4 2" xfId="2991" xr:uid="{9AE099CC-47F7-40C7-8054-8F25317FE5B2}"/>
    <cellStyle name="百分比 2 2 5 3 5" xfId="2992" xr:uid="{63DC62F8-DF45-4F3C-8EBB-5A1C55259811}"/>
    <cellStyle name="百分比 2 2 5 3 5 2" xfId="2993" xr:uid="{0248A404-C0DB-4B42-A789-EB8843796260}"/>
    <cellStyle name="百分比 2 2 5 3 6" xfId="2994" xr:uid="{33C938DC-543E-417D-B5FC-06BD681D5666}"/>
    <cellStyle name="百分比 2 2 5 3 6 2" xfId="33065" xr:uid="{1EC8ADE7-18F2-40D6-9536-0E65EBD9C74D}"/>
    <cellStyle name="百分比 2 2 5 3 7" xfId="2995" xr:uid="{7046E9A8-8F99-4F83-9CCE-0CAC7E3F1CF4}"/>
    <cellStyle name="百分比 2 2 5 4" xfId="2996" xr:uid="{9D72817C-D597-4E58-9E48-5EEA55097CBD}"/>
    <cellStyle name="百分比 2 2 5 4 2" xfId="2997" xr:uid="{BF9A9D45-36B9-49BE-BE66-DE839C598470}"/>
    <cellStyle name="百分比 2 2 5 4 2 2" xfId="2998" xr:uid="{BBB8480C-AAC7-4F20-9225-4F3EEBA2E996}"/>
    <cellStyle name="百分比 2 2 5 4 3" xfId="2999" xr:uid="{6F3B7347-04ED-4BFF-AB5E-8413689BF8D4}"/>
    <cellStyle name="百分比 2 2 5 4 3 2" xfId="3000" xr:uid="{C32DA2C9-0A13-4A1C-B021-DEFD274D16A6}"/>
    <cellStyle name="百分比 2 2 5 4 4" xfId="3001" xr:uid="{C3AA4592-B67D-45F9-9B4E-216D669A087A}"/>
    <cellStyle name="百分比 2 2 5 4 4 2" xfId="33066" xr:uid="{5CE18326-4D7F-4280-87C2-979F308DAFC3}"/>
    <cellStyle name="百分比 2 2 5 4 5" xfId="3002" xr:uid="{2E6FBE77-897D-4215-A77F-29EDF9310AF1}"/>
    <cellStyle name="百分比 2 2 5 4 6" xfId="3003" xr:uid="{1FF4BB34-A0AC-4E85-A413-71B748591302}"/>
    <cellStyle name="百分比 2 2 5 4 7" xfId="3004" xr:uid="{95C0549D-6B2D-4ACD-9674-4335E6B8FD18}"/>
    <cellStyle name="百分比 2 2 5 5" xfId="3005" xr:uid="{41273C2D-1682-4F1E-84C1-AD53358BD7D0}"/>
    <cellStyle name="百分比 2 2 5 5 2" xfId="3006" xr:uid="{F3E880A6-8F69-43FE-B7BD-9C3629D7594B}"/>
    <cellStyle name="百分比 2 2 5 5 2 2" xfId="3007" xr:uid="{263B8FDC-4766-48F9-982D-E85F6E718355}"/>
    <cellStyle name="百分比 2 2 5 5 3" xfId="3008" xr:uid="{25D153C5-E506-47D1-AB8B-73C54F897A1A}"/>
    <cellStyle name="百分比 2 2 5 5 4" xfId="3009" xr:uid="{2B8B1764-EE74-4EF5-AE67-6D2E267B01F4}"/>
    <cellStyle name="百分比 2 2 5 5 4 2" xfId="33067" xr:uid="{EF383E99-8967-4EAF-9534-9E66A8B7634F}"/>
    <cellStyle name="百分比 2 2 5 5 5" xfId="3010" xr:uid="{FB03449A-F793-4F02-869D-3ADCC12C1C78}"/>
    <cellStyle name="百分比 2 2 5 6" xfId="3011" xr:uid="{2FF4FD01-674C-4219-8E0A-C2EF5609D3DD}"/>
    <cellStyle name="百分比 2 2 5 6 2" xfId="3012" xr:uid="{3D164FFD-563B-4E76-91FA-17C9B9E5B89A}"/>
    <cellStyle name="百分比 2 2 5 7" xfId="3013" xr:uid="{9E5E2C83-813F-4B00-8EB6-AEFB83EB7F82}"/>
    <cellStyle name="百分比 2 2 5 7 2" xfId="3014" xr:uid="{7DE365A0-16E3-4CA2-9B95-94C4976009B5}"/>
    <cellStyle name="百分比 2 2 5 8" xfId="3015" xr:uid="{4A2D9020-2D08-40D0-920B-97A331294E34}"/>
    <cellStyle name="百分比 2 2 5 8 2" xfId="33068" xr:uid="{10112191-E768-481B-B1E8-15BE6B32CC37}"/>
    <cellStyle name="百分比 2 2 5 9" xfId="3016" xr:uid="{EB43856E-717C-4D08-A824-67B9F42A6C1F}"/>
    <cellStyle name="百分比 2 2 5 9 2" xfId="3017" xr:uid="{33A69194-7204-42C0-806C-81D57DCE8E91}"/>
    <cellStyle name="百分比 2 2 6" xfId="3018" xr:uid="{DD119221-2065-4FD0-B9D6-7CCF3BC28B49}"/>
    <cellStyle name="百分比 2 2 6 2" xfId="3019" xr:uid="{D0583836-3A6F-4302-A969-6EDBD2994275}"/>
    <cellStyle name="百分比 2 2 6 2 2" xfId="3020" xr:uid="{C1DDCD50-E936-4F58-BE55-1B57A48F6544}"/>
    <cellStyle name="百分比 2 2 6 2 2 2" xfId="3021" xr:uid="{F60B8883-213D-4441-8C73-B68A0BE1711A}"/>
    <cellStyle name="百分比 2 2 6 2 2 2 2" xfId="3022" xr:uid="{4EFD4FE5-0DAE-436E-B684-1C57C5740212}"/>
    <cellStyle name="百分比 2 2 6 2 2 3" xfId="3023" xr:uid="{4EEE0AF1-0713-44CB-8919-63DB3BF0B6EA}"/>
    <cellStyle name="百分比 2 2 6 2 2 4" xfId="3024" xr:uid="{E6D823EC-0A37-425E-9113-6FB61444C512}"/>
    <cellStyle name="百分比 2 2 6 2 2 4 2" xfId="33069" xr:uid="{AD7E9E10-16EE-45C0-8D07-7D61D4CAAA48}"/>
    <cellStyle name="百分比 2 2 6 2 3" xfId="3025" xr:uid="{D7759A2B-6BB0-435B-8890-4FCEE80770D8}"/>
    <cellStyle name="百分比 2 2 6 2 3 2" xfId="3026" xr:uid="{38DFC2EE-B528-4E8D-8F83-BF86DA659038}"/>
    <cellStyle name="百分比 2 2 6 2 3 2 2" xfId="3027" xr:uid="{2637C711-FF7D-4BAF-BE6D-6FFAC870D2B3}"/>
    <cellStyle name="百分比 2 2 6 2 3 3" xfId="3028" xr:uid="{DA1E2FBF-9295-42D6-B1C9-CB23E65779EE}"/>
    <cellStyle name="百分比 2 2 6 2 3 4" xfId="3029" xr:uid="{C6E7553F-0404-4882-83FF-9C5F16FA46E7}"/>
    <cellStyle name="百分比 2 2 6 2 3 4 2" xfId="33070" xr:uid="{38680C25-5003-4D3C-8E30-99D1D588233E}"/>
    <cellStyle name="百分比 2 2 6 2 4" xfId="3030" xr:uid="{3AB82499-1F93-4E95-B76C-E8AB985F41A4}"/>
    <cellStyle name="百分比 2 2 6 2 4 2" xfId="3031" xr:uid="{32BABEB3-7204-402D-9A9C-F16093B8425F}"/>
    <cellStyle name="百分比 2 2 6 2 5" xfId="3032" xr:uid="{8E7B6BC0-BC40-44AF-83E7-2C3395AB0211}"/>
    <cellStyle name="百分比 2 2 6 2 6" xfId="3033" xr:uid="{1CA950C4-5BA5-46FD-9A5F-6AA776AA99FC}"/>
    <cellStyle name="百分比 2 2 6 2 6 2" xfId="33071" xr:uid="{998DC7E8-78F9-4FFB-8375-10688D9E848D}"/>
    <cellStyle name="百分比 2 2 6 3" xfId="3034" xr:uid="{252C97BF-44A9-4B84-B73E-CFE6C77E9151}"/>
    <cellStyle name="百分比 2 2 6 3 2" xfId="3035" xr:uid="{8AB8F92A-DA7A-4FD2-A0D8-54C1E36E7365}"/>
    <cellStyle name="百分比 2 2 6 3 2 2" xfId="3036" xr:uid="{62E188F8-B786-4F51-9AB5-530DB5C7D6FB}"/>
    <cellStyle name="百分比 2 2 6 3 3" xfId="3037" xr:uid="{927A5410-433F-43C0-B196-31F159A0E027}"/>
    <cellStyle name="百分比 2 2 6 3 4" xfId="3038" xr:uid="{4A919DB2-BB99-4664-AA21-CE6B4BF2DD6D}"/>
    <cellStyle name="百分比 2 2 6 3 4 2" xfId="33072" xr:uid="{BE5FC084-A8DA-4A34-AE27-859BAD636C20}"/>
    <cellStyle name="百分比 2 2 6 4" xfId="3039" xr:uid="{AD24BC26-77F3-4CF3-8D76-E9BA6770BE1D}"/>
    <cellStyle name="百分比 2 2 6 4 2" xfId="3040" xr:uid="{754EC2F0-013F-4736-A16C-9C8EB939F2D8}"/>
    <cellStyle name="百分比 2 2 6 4 2 2" xfId="3041" xr:uid="{225A6A24-669E-4024-8563-48613613B8E2}"/>
    <cellStyle name="百分比 2 2 6 4 3" xfId="3042" xr:uid="{D2E67A4E-29E2-46E2-813F-99763C433FFB}"/>
    <cellStyle name="百分比 2 2 6 4 4" xfId="3043" xr:uid="{5615668D-300D-4A59-900B-4AE8FAC3E530}"/>
    <cellStyle name="百分比 2 2 6 4 4 2" xfId="33073" xr:uid="{0D1A4D31-A0ED-4B9B-8193-D22C32B4CFA0}"/>
    <cellStyle name="百分比 2 2 6 5" xfId="3044" xr:uid="{EBFEC976-944B-4E14-83EC-031AC4C1CA62}"/>
    <cellStyle name="百分比 2 2 6 5 2" xfId="3045" xr:uid="{8FF4BC49-4E88-40A4-AECA-F317444B8CE5}"/>
    <cellStyle name="百分比 2 2 6 6" xfId="3046" xr:uid="{CE6DB050-8211-4C38-8154-AEA3EA70DAE2}"/>
    <cellStyle name="百分比 2 2 6 7" xfId="3047" xr:uid="{7369EC4B-83EB-4D5C-9BC4-866DCDE6B36A}"/>
    <cellStyle name="百分比 2 2 6 7 2" xfId="33074" xr:uid="{D19D605D-8776-4773-A57E-31D955366C6C}"/>
    <cellStyle name="百分比 2 2 6 8" xfId="3048" xr:uid="{EA1D8122-CC45-46B0-950C-B52213C794B2}"/>
    <cellStyle name="百分比 2 2 7" xfId="3049" xr:uid="{4B267E29-47E5-4006-8869-923128201013}"/>
    <cellStyle name="百分比 2 2 7 2" xfId="3050" xr:uid="{00C35549-794D-4CA7-AE5A-8F86082250D0}"/>
    <cellStyle name="百分比 2 2 7 2 2" xfId="3051" xr:uid="{12932091-E314-4DC6-94BE-C48F8FEFC438}"/>
    <cellStyle name="百分比 2 2 7 2 2 2" xfId="3052" xr:uid="{609CEA5D-62DE-47A9-B088-9EC954CD40DD}"/>
    <cellStyle name="百分比 2 2 7 2 2 2 2" xfId="3053" xr:uid="{4B90CF8F-4ED0-4A24-B2B0-5991C2825E1E}"/>
    <cellStyle name="百分比 2 2 7 2 2 3" xfId="3054" xr:uid="{7DFD86CB-D165-4123-A102-3F46CAD653D1}"/>
    <cellStyle name="百分比 2 2 7 2 2 4" xfId="3055" xr:uid="{BC396304-FD81-49E9-B433-B8E218CA6982}"/>
    <cellStyle name="百分比 2 2 7 2 2 4 2" xfId="33075" xr:uid="{9C579BB4-380D-4E05-ABD0-4ED7DC927DB5}"/>
    <cellStyle name="百分比 2 2 7 2 3" xfId="3056" xr:uid="{7F741F9F-E8AB-4BF2-84A4-A16BF8EA0BEC}"/>
    <cellStyle name="百分比 2 2 7 2 3 2" xfId="3057" xr:uid="{65A0F875-597A-4E60-9183-D30E8994C5C1}"/>
    <cellStyle name="百分比 2 2 7 2 4" xfId="3058" xr:uid="{ACB4BC41-12F6-4F85-AA99-C74D116B831C}"/>
    <cellStyle name="百分比 2 2 7 2 5" xfId="3059" xr:uid="{43335BA1-A20C-488D-85EC-BEF880F290C1}"/>
    <cellStyle name="百分比 2 2 7 2 5 2" xfId="33076" xr:uid="{9C22FE39-9000-4C97-9455-2D588D4B924B}"/>
    <cellStyle name="百分比 2 2 7 3" xfId="3060" xr:uid="{A497CE4C-F31C-45AB-91E7-FC1298302901}"/>
    <cellStyle name="百分比 2 2 7 3 2" xfId="3061" xr:uid="{8A3F0F09-34BE-4909-A2A5-DE50ABC52B79}"/>
    <cellStyle name="百分比 2 2 7 3 2 2" xfId="3062" xr:uid="{85A894DC-49AA-4F43-A84E-A5BEFBA704F3}"/>
    <cellStyle name="百分比 2 2 7 3 3" xfId="3063" xr:uid="{44F8E5C3-CD3D-41F7-A513-503C60EF7F2B}"/>
    <cellStyle name="百分比 2 2 7 3 4" xfId="3064" xr:uid="{3AD6DE2A-ACF4-458A-8BD9-35A0E4EF8AE0}"/>
    <cellStyle name="百分比 2 2 7 3 4 2" xfId="33077" xr:uid="{DFA2CCF4-3FE1-4B43-AEDD-F1C65886EC85}"/>
    <cellStyle name="百分比 2 2 7 4" xfId="3065" xr:uid="{6B8DB638-2CE4-4FDD-9219-EBC3C072DB61}"/>
    <cellStyle name="百分比 2 2 7 4 2" xfId="3066" xr:uid="{2D900519-EEA5-42BC-B0FA-56038E2AB557}"/>
    <cellStyle name="百分比 2 2 7 5" xfId="3067" xr:uid="{6C76E7A0-A1E4-41B1-AC6B-A7AFD33A86CE}"/>
    <cellStyle name="百分比 2 2 7 6" xfId="3068" xr:uid="{8E5B6E47-65D7-4046-B116-350B62782B64}"/>
    <cellStyle name="百分比 2 2 7 6 2" xfId="33078" xr:uid="{9FDC7F76-7624-4744-85AE-D9DB9BC7D6E6}"/>
    <cellStyle name="百分比 2 2 7 7" xfId="3069" xr:uid="{8D27ACF3-A0D3-4AD4-958B-18940B2BCC8D}"/>
    <cellStyle name="百分比 2 2 8" xfId="3070" xr:uid="{4CC083C5-A0D5-424B-B3A2-3CE106D9C1DD}"/>
    <cellStyle name="百分比 2 2 8 2" xfId="3071" xr:uid="{48C8D161-4CA5-4D99-817A-16C39DEA5C7F}"/>
    <cellStyle name="百分比 2 2 8 2 2" xfId="3072" xr:uid="{E2F2A13B-453C-4E39-BBFD-5EA0A39E7850}"/>
    <cellStyle name="百分比 2 2 8 2 2 2" xfId="3073" xr:uid="{EBFD0593-F3DF-44DE-A4F2-8DF67D5F74C8}"/>
    <cellStyle name="百分比 2 2 8 2 3" xfId="3074" xr:uid="{D66032A4-2075-45C5-A829-302DD1E9F724}"/>
    <cellStyle name="百分比 2 2 8 2 4" xfId="3075" xr:uid="{AD6153CD-E7F8-4325-9CB3-2F3F2B425679}"/>
    <cellStyle name="百分比 2 2 8 2 4 2" xfId="33079" xr:uid="{24D69971-8CFA-4F36-A3FD-5199511B1FE5}"/>
    <cellStyle name="百分比 2 2 8 3" xfId="3076" xr:uid="{C7274F2D-5C06-4C5E-BB41-2D39CA3881CD}"/>
    <cellStyle name="百分比 2 2 8 3 2" xfId="3077" xr:uid="{2C069852-6C5F-4CFB-868D-040E7A766D94}"/>
    <cellStyle name="百分比 2 2 8 3 2 2" xfId="3078" xr:uid="{DD6A5D73-3C56-47A7-839B-CAB26D3D84AD}"/>
    <cellStyle name="百分比 2 2 8 3 3" xfId="3079" xr:uid="{08CD64AD-45CD-46BC-871F-1209F9E968AF}"/>
    <cellStyle name="百分比 2 2 8 3 4" xfId="3080" xr:uid="{BC97AAB9-787C-40DE-A51C-94C1E3B22B39}"/>
    <cellStyle name="百分比 2 2 8 3 4 2" xfId="33080" xr:uid="{0BB775FE-6D77-4BCF-9225-970CC6FFB2FB}"/>
    <cellStyle name="百分比 2 2 8 4" xfId="3081" xr:uid="{099B0697-96D0-46D9-B149-85BBE34ECAA4}"/>
    <cellStyle name="百分比 2 2 8 4 2" xfId="3082" xr:uid="{754C16E6-96F0-46B6-B66A-EF000FB2ED4E}"/>
    <cellStyle name="百分比 2 2 8 5" xfId="3083" xr:uid="{F7C3B5E4-CB33-4174-9BC9-1772FD9930C7}"/>
    <cellStyle name="百分比 2 2 8 6" xfId="3084" xr:uid="{CD695A9E-F91F-4FC1-8BCC-27AADB5745E8}"/>
    <cellStyle name="百分比 2 2 8 6 2" xfId="33081" xr:uid="{0964F445-7867-4447-B3A1-0CE8DD79EDE3}"/>
    <cellStyle name="百分比 2 2 8 7" xfId="3085" xr:uid="{4C938F88-40EE-4618-9D70-4FA0F228AB8B}"/>
    <cellStyle name="百分比 2 2 9" xfId="3086" xr:uid="{7908830B-E5BC-436C-AC79-27F3AB8FF820}"/>
    <cellStyle name="百分比 2 2 9 2" xfId="3087" xr:uid="{E6582EA9-AE84-43B7-AD23-8DDD2051019C}"/>
    <cellStyle name="百分比 2 2 9 2 2" xfId="3088" xr:uid="{5667C511-1356-491E-9F78-E0452A4BDBEF}"/>
    <cellStyle name="百分比 2 2 9 3" xfId="3089" xr:uid="{A8364CD6-1D98-4640-956E-7BA97BEA9018}"/>
    <cellStyle name="百分比 2 2 9 4" xfId="3090" xr:uid="{5FDBDFAC-97A4-4116-AEF8-42E8F94B1ED8}"/>
    <cellStyle name="百分比 2 2 9 5" xfId="3091" xr:uid="{D8550FE4-E3E4-4CA0-A1FC-29448ACF72EC}"/>
    <cellStyle name="百分比 2 2 9 6" xfId="3092" xr:uid="{04466047-FA21-4B3E-AF16-65258594A4E4}"/>
    <cellStyle name="百分比 2 2 9 7" xfId="3093" xr:uid="{7C6BE929-D4AA-4095-844B-1E01A4331992}"/>
    <cellStyle name="百分比 2 3" xfId="3094" xr:uid="{5615BCA7-38F6-464A-B252-9E68CF64B903}"/>
    <cellStyle name="百分比 2 3 10" xfId="3095" xr:uid="{9D3C7D35-B8B3-42A6-8890-4CA6935F7447}"/>
    <cellStyle name="百分比 2 3 11" xfId="3096" xr:uid="{67BFC0E3-3BD4-489D-9F80-A5DD83AEF968}"/>
    <cellStyle name="百分比 2 3 12" xfId="33082" xr:uid="{4C1DA1C8-2F90-4CBA-B1EC-BDC9EBB556C8}"/>
    <cellStyle name="百分比 2 3 2" xfId="3097" xr:uid="{6F8FA510-AE0E-4774-BB00-2F5DE68DB0A6}"/>
    <cellStyle name="百分比 2 3 2 2" xfId="3098" xr:uid="{FC27649B-D8E5-4936-86D6-E0F61544A382}"/>
    <cellStyle name="百分比 2 3 2 2 2" xfId="3099" xr:uid="{65CCFE7C-DF4B-4A81-8DCF-A36B9E7280BA}"/>
    <cellStyle name="百分比 2 3 2 2 3" xfId="3100" xr:uid="{B0B69AB1-B7D0-4D5A-911D-75F7DF52EE34}"/>
    <cellStyle name="百分比 2 3 2 2 4" xfId="3101" xr:uid="{E995FC82-9EC4-451E-8BFA-7928C67146DD}"/>
    <cellStyle name="百分比 2 3 2 2 5" xfId="3102" xr:uid="{22428660-21D2-418F-9DA4-455A913B617D}"/>
    <cellStyle name="百分比 2 3 2 2 6" xfId="3103" xr:uid="{B22A2DF6-E47A-412F-AB16-D95EB43B0C5E}"/>
    <cellStyle name="百分比 2 3 2 2 7" xfId="3104" xr:uid="{F54F9C1D-3E45-445F-B2DD-95F56DF1B97E}"/>
    <cellStyle name="百分比 2 3 2 3" xfId="3105" xr:uid="{C0CA9E2B-6318-4A62-8B10-92FB437E47F2}"/>
    <cellStyle name="百分比 2 3 2 4" xfId="3106" xr:uid="{A28156CE-B79E-46C7-9C87-056486DF9C93}"/>
    <cellStyle name="百分比 2 3 2 5" xfId="3107" xr:uid="{B5537A87-D443-4029-83B1-EAC581AA6129}"/>
    <cellStyle name="百分比 2 3 2 6" xfId="3108" xr:uid="{650241A2-90D0-41D6-812E-125B405CD7EA}"/>
    <cellStyle name="百分比 2 3 2 7" xfId="3109" xr:uid="{574C8F46-8730-434C-863E-8E47C46948AC}"/>
    <cellStyle name="百分比 2 3 2 8" xfId="3110" xr:uid="{48FD22BE-0AA3-4343-99BA-94FFF64BD34F}"/>
    <cellStyle name="百分比 2 3 2 9" xfId="3111" xr:uid="{8691D4A8-50FA-4B94-8F46-52FA7D1DDED4}"/>
    <cellStyle name="百分比 2 3 3" xfId="3112" xr:uid="{3BC419FF-D8BB-41BF-A6AE-B06FFF2F00CD}"/>
    <cellStyle name="百分比 2 3 3 2" xfId="3113" xr:uid="{4CDE475D-D819-4AC4-9EAF-EF86494FD960}"/>
    <cellStyle name="百分比 2 3 3 3" xfId="3114" xr:uid="{F4D86DFB-C9D0-445C-AF85-E57ED6F051E7}"/>
    <cellStyle name="百分比 2 3 3 4" xfId="3115" xr:uid="{93DBE5F0-602F-4CA9-9EC8-C640F3E3FF80}"/>
    <cellStyle name="百分比 2 3 3 5" xfId="3116" xr:uid="{4EECD32F-8060-4998-A761-A0A6DE384DD5}"/>
    <cellStyle name="百分比 2 3 3 6" xfId="3117" xr:uid="{CCC4F79B-DA02-44C2-8670-BB428997E0E5}"/>
    <cellStyle name="百分比 2 3 3 7" xfId="3118" xr:uid="{549B5053-B8B3-4394-B1B6-A524759C1279}"/>
    <cellStyle name="百分比 2 3 3 8" xfId="3119" xr:uid="{53DE7F36-435D-4E55-B80D-D0B8425D81A5}"/>
    <cellStyle name="百分比 2 3 4" xfId="3120" xr:uid="{C2027CBC-EEA5-447B-8481-09A4CAD8E9C6}"/>
    <cellStyle name="百分比 2 3 4 2" xfId="3121" xr:uid="{9BDC3D8A-A71A-423F-B0D5-042A24EB8E15}"/>
    <cellStyle name="百分比 2 3 5" xfId="3122" xr:uid="{F93036F0-1F85-4380-9A09-AF1A7E2F5A1A}"/>
    <cellStyle name="百分比 2 3 6" xfId="3123" xr:uid="{4B852982-5DBA-46A9-96B8-829551F22033}"/>
    <cellStyle name="百分比 2 3 7" xfId="3124" xr:uid="{83F0F313-8C67-43C3-B08C-D5F35365CFA1}"/>
    <cellStyle name="百分比 2 3 8" xfId="3125" xr:uid="{AB3E7076-B648-4078-B66C-3C5394881964}"/>
    <cellStyle name="百分比 2 3 9" xfId="3126" xr:uid="{8995A00A-5CDC-4BF8-B389-3A15C5026BD1}"/>
    <cellStyle name="百分比 2 4" xfId="3127" xr:uid="{E67832FA-B459-40C6-9368-2742427852B6}"/>
    <cellStyle name="百分比 2 4 10" xfId="3128" xr:uid="{3D9C7DD2-14D0-4B07-B991-0FB8B56FEFD3}"/>
    <cellStyle name="百分比 2 4 10 2" xfId="33083" xr:uid="{351B58FA-5C95-42F6-BFE5-BFDD60762D09}"/>
    <cellStyle name="百分比 2 4 11" xfId="3129" xr:uid="{268A5348-5142-46C8-A4D7-44BE2384A77B}"/>
    <cellStyle name="百分比 2 4 12" xfId="3130" xr:uid="{6D20F0C0-B449-49BD-BB6E-60EEF8277499}"/>
    <cellStyle name="百分比 2 4 13" xfId="33084" xr:uid="{841038C3-4EA1-4150-AEB6-682D4AC05246}"/>
    <cellStyle name="百分比 2 4 2" xfId="3131" xr:uid="{D45DF28B-CDA8-4285-A001-87154FBC6460}"/>
    <cellStyle name="百分比 2 4 2 10" xfId="3132" xr:uid="{0D41972A-B0D1-489E-96D5-499FE4DD9B8D}"/>
    <cellStyle name="百分比 2 4 2 11" xfId="33085" xr:uid="{7578DB78-77DC-444F-AFAE-458027156428}"/>
    <cellStyle name="百分比 2 4 2 2" xfId="3133" xr:uid="{02A3F6AA-312B-49B8-B8A3-9C1881601EED}"/>
    <cellStyle name="百分比 2 4 2 2 10" xfId="33086" xr:uid="{38DFA0E2-6EAE-4804-BC5F-6F6333EBAEFE}"/>
    <cellStyle name="百分比 2 4 2 2 2" xfId="3134" xr:uid="{2F8DA4FD-AF92-48EE-9782-AF99B86A9592}"/>
    <cellStyle name="百分比 2 4 2 2 2 2" xfId="3135" xr:uid="{0EFCE9F0-6DBD-4642-8BB0-AB818B82519E}"/>
    <cellStyle name="百分比 2 4 2 2 2 2 2" xfId="3136" xr:uid="{57EA798D-B29C-48BB-B4DA-FBC3275F7D86}"/>
    <cellStyle name="百分比 2 4 2 2 2 2 2 2" xfId="3137" xr:uid="{2FB8BCE2-4821-428B-916A-2C2AC0A024BF}"/>
    <cellStyle name="百分比 2 4 2 2 2 2 3" xfId="3138" xr:uid="{5016DF1C-70C7-4DC3-B4D2-89C87A3C701B}"/>
    <cellStyle name="百分比 2 4 2 2 2 2 4" xfId="3139" xr:uid="{F1D8F633-2CA9-443E-9B50-9D3F69256B23}"/>
    <cellStyle name="百分比 2 4 2 2 2 2 4 2" xfId="33087" xr:uid="{32EEFD2C-6125-42D0-BC40-F73F204F891C}"/>
    <cellStyle name="百分比 2 4 2 2 2 2 5" xfId="3140" xr:uid="{A28809D5-1348-4733-8B7D-A49139730D1D}"/>
    <cellStyle name="百分比 2 4 2 2 2 3" xfId="3141" xr:uid="{D89EAD5A-19D5-48EE-86FF-C0D0CF737CA4}"/>
    <cellStyle name="百分比 2 4 2 2 2 3 2" xfId="3142" xr:uid="{51B2F67E-E42E-4685-A3C3-0AA7C88458D4}"/>
    <cellStyle name="百分比 2 4 2 2 2 3 2 2" xfId="3143" xr:uid="{7067A856-FF59-472D-95F2-E2B73A57B53F}"/>
    <cellStyle name="百分比 2 4 2 2 2 3 3" xfId="3144" xr:uid="{D80BFEF6-5BD3-497B-92BF-0785ECB1B332}"/>
    <cellStyle name="百分比 2 4 2 2 2 3 4" xfId="3145" xr:uid="{1E192E51-08CB-46CB-BC1C-101CB6C2B3D1}"/>
    <cellStyle name="百分比 2 4 2 2 2 3 4 2" xfId="33088" xr:uid="{79603C04-FE43-4005-97BE-1420E94854F9}"/>
    <cellStyle name="百分比 2 4 2 2 2 3 5" xfId="3146" xr:uid="{CBB08371-12AC-4B1C-812A-FB7100FC37E2}"/>
    <cellStyle name="百分比 2 4 2 2 2 4" xfId="3147" xr:uid="{A74F63C4-9D88-41BD-A59F-1C7753099369}"/>
    <cellStyle name="百分比 2 4 2 2 2 4 2" xfId="3148" xr:uid="{9388F65E-23D8-4885-8B06-32BCFF0F684F}"/>
    <cellStyle name="百分比 2 4 2 2 2 5" xfId="3149" xr:uid="{7909EA24-47B0-470F-BC8C-0B0C845C53F8}"/>
    <cellStyle name="百分比 2 4 2 2 2 5 2" xfId="3150" xr:uid="{BE89253E-CE9B-45A0-A6EA-D7E861C7474B}"/>
    <cellStyle name="百分比 2 4 2 2 2 6" xfId="3151" xr:uid="{3C54638E-AEF7-4078-9CCE-41DC53AD3418}"/>
    <cellStyle name="百分比 2 4 2 2 2 6 2" xfId="33089" xr:uid="{196FD02D-030A-41B7-817C-A73EFCE80DC2}"/>
    <cellStyle name="百分比 2 4 2 2 2 7" xfId="3152" xr:uid="{940E05BF-8E75-4C99-AC7A-0EF43092115C}"/>
    <cellStyle name="百分比 2 4 2 2 3" xfId="3153" xr:uid="{C0E7C1DC-BBFE-4137-87DE-7022E78F34C2}"/>
    <cellStyle name="百分比 2 4 2 2 3 2" xfId="3154" xr:uid="{9C7910FB-07BA-4051-A5CF-2492FBEFBABB}"/>
    <cellStyle name="百分比 2 4 2 2 3 2 2" xfId="3155" xr:uid="{9CEC1150-9B63-4EAD-8FE2-D7632871E5E9}"/>
    <cellStyle name="百分比 2 4 2 2 3 3" xfId="3156" xr:uid="{2D87C2E2-F2CE-45B5-8059-850319EB9967}"/>
    <cellStyle name="百分比 2 4 2 2 3 3 2" xfId="3157" xr:uid="{B1DDEF7B-022F-440D-970B-58CCACFD4FFD}"/>
    <cellStyle name="百分比 2 4 2 2 3 4" xfId="3158" xr:uid="{0559DF5B-6973-4DF8-B002-037090C6B6C0}"/>
    <cellStyle name="百分比 2 4 2 2 3 4 2" xfId="33090" xr:uid="{CE90AF2E-85CB-4DA3-95FA-5F941AD60795}"/>
    <cellStyle name="百分比 2 4 2 2 3 5" xfId="3159" xr:uid="{6BA91A5B-7D7C-4F14-AAC5-7BDDCF225B1E}"/>
    <cellStyle name="百分比 2 4 2 2 3 6" xfId="3160" xr:uid="{57901C38-CC02-407A-8C30-F7274749637D}"/>
    <cellStyle name="百分比 2 4 2 2 3 7" xfId="3161" xr:uid="{2D3F50DE-ED2A-4F7C-BA65-C53FB92F6EE2}"/>
    <cellStyle name="百分比 2 4 2 2 4" xfId="3162" xr:uid="{99E67AA3-92CF-4892-80F5-F51008791699}"/>
    <cellStyle name="百分比 2 4 2 2 4 2" xfId="3163" xr:uid="{6B5B1B7D-D36E-49B2-9B0C-C0A673190109}"/>
    <cellStyle name="百分比 2 4 2 2 4 2 2" xfId="3164" xr:uid="{63AD9DC6-F38D-4777-94A0-669B87A4C0DA}"/>
    <cellStyle name="百分比 2 4 2 2 4 3" xfId="3165" xr:uid="{42BF357B-2A24-49AA-92E0-3B37A017C844}"/>
    <cellStyle name="百分比 2 4 2 2 4 4" xfId="3166" xr:uid="{1ED2DF85-EFA4-4FB1-A069-3CA6D5F978C4}"/>
    <cellStyle name="百分比 2 4 2 2 4 4 2" xfId="33091" xr:uid="{6D2CAF40-FD63-41ED-B75E-925223472470}"/>
    <cellStyle name="百分比 2 4 2 2 4 5" xfId="3167" xr:uid="{30F53E58-95F2-4CDF-885C-F2EE00A6475F}"/>
    <cellStyle name="百分比 2 4 2 2 5" xfId="3168" xr:uid="{327023A2-BD52-4C46-B936-E7D60BCC6353}"/>
    <cellStyle name="百分比 2 4 2 2 5 2" xfId="3169" xr:uid="{0DB600BB-55EB-474F-A22B-6078F22D1168}"/>
    <cellStyle name="百分比 2 4 2 2 6" xfId="3170" xr:uid="{145AFE39-FDD2-40B4-96F9-F827DFC2A7F4}"/>
    <cellStyle name="百分比 2 4 2 2 6 2" xfId="3171" xr:uid="{136067AE-63F7-4FB5-B31A-BE0BF9E70586}"/>
    <cellStyle name="百分比 2 4 2 2 7" xfId="3172" xr:uid="{0FE6C551-F291-44A3-B059-3885B5D68993}"/>
    <cellStyle name="百分比 2 4 2 2 7 2" xfId="33092" xr:uid="{BEC28BE8-1451-45B1-9074-E08EF3502447}"/>
    <cellStyle name="百分比 2 4 2 2 8" xfId="3173" xr:uid="{91F6C89A-837D-4D68-897D-052C034A1253}"/>
    <cellStyle name="百分比 2 4 2 2 8 2" xfId="3174" xr:uid="{EB84C5FB-AD63-495A-BDD8-3DB23BA005EC}"/>
    <cellStyle name="百分比 2 4 2 2 9" xfId="3175" xr:uid="{DD8FE8AF-ED86-497E-B279-CFBB48BFD57E}"/>
    <cellStyle name="百分比 2 4 2 3" xfId="3176" xr:uid="{3184F728-1B9C-4F7B-83BB-3D705D1E7239}"/>
    <cellStyle name="百分比 2 4 2 3 2" xfId="3177" xr:uid="{1F9D840F-21F8-45F7-9D59-722DF1DBADCB}"/>
    <cellStyle name="百分比 2 4 2 3 2 2" xfId="3178" xr:uid="{9AD81D54-1564-45DB-B61A-382CFBC75B5D}"/>
    <cellStyle name="百分比 2 4 2 3 2 2 2" xfId="3179" xr:uid="{3C1DD462-5F27-4708-B340-3F937C8E90AD}"/>
    <cellStyle name="百分比 2 4 2 3 2 3" xfId="3180" xr:uid="{09ADCF8F-8D5D-4F72-B970-D8DAF037F9D6}"/>
    <cellStyle name="百分比 2 4 2 3 2 3 2" xfId="3181" xr:uid="{A9302D2E-667C-491E-8BFE-488D217F3AA1}"/>
    <cellStyle name="百分比 2 4 2 3 2 4" xfId="3182" xr:uid="{247E6B28-4312-48E7-A84C-C1927AE023E4}"/>
    <cellStyle name="百分比 2 4 2 3 2 4 2" xfId="33093" xr:uid="{D9330F47-9655-4389-B4A2-0B6D7FB381F2}"/>
    <cellStyle name="百分比 2 4 2 3 2 5" xfId="3183" xr:uid="{56570F36-96C8-4660-BB58-EE0963BA1627}"/>
    <cellStyle name="百分比 2 4 2 3 2 6" xfId="3184" xr:uid="{BBBF5F64-E9B3-4F65-8906-F13E5DBE44BD}"/>
    <cellStyle name="百分比 2 4 2 3 2 7" xfId="3185" xr:uid="{78B7A935-98DF-43CA-9144-3B71EF2E41EA}"/>
    <cellStyle name="百分比 2 4 2 3 3" xfId="3186" xr:uid="{F6618D9A-9C29-47D2-A52F-5FEF73B70CFA}"/>
    <cellStyle name="百分比 2 4 2 3 3 2" xfId="3187" xr:uid="{A00F4D84-81BA-4F3B-888D-7025AC6147DC}"/>
    <cellStyle name="百分比 2 4 2 3 3 2 2" xfId="3188" xr:uid="{70A21E88-F347-4B9C-9B81-B9786A6D6F11}"/>
    <cellStyle name="百分比 2 4 2 3 3 3" xfId="3189" xr:uid="{A44EFF30-9606-4857-9AC2-FDD1B5038941}"/>
    <cellStyle name="百分比 2 4 2 3 3 4" xfId="3190" xr:uid="{7D14AB23-5350-47EF-863B-9116E65DB766}"/>
    <cellStyle name="百分比 2 4 2 3 3 4 2" xfId="33094" xr:uid="{4533A827-AD4B-41DB-AAE8-A0DD3D18D9B7}"/>
    <cellStyle name="百分比 2 4 2 3 3 5" xfId="3191" xr:uid="{884B8020-EBAD-4850-91F9-2484BB1BDA29}"/>
    <cellStyle name="百分比 2 4 2 3 4" xfId="3192" xr:uid="{F04EAEE6-2F8D-41C0-9A09-E7DFAA468614}"/>
    <cellStyle name="百分比 2 4 2 3 4 2" xfId="3193" xr:uid="{C7203C13-6168-41E7-AA67-94A965CBDACA}"/>
    <cellStyle name="百分比 2 4 2 3 5" xfId="3194" xr:uid="{D7E3397B-045C-43F3-87EF-7BE5EA5152FE}"/>
    <cellStyle name="百分比 2 4 2 3 5 2" xfId="3195" xr:uid="{476FC995-1CCF-4475-8157-DEC35020B57A}"/>
    <cellStyle name="百分比 2 4 2 3 6" xfId="3196" xr:uid="{468872AB-6B56-4067-A139-55987A4573E9}"/>
    <cellStyle name="百分比 2 4 2 3 6 2" xfId="33095" xr:uid="{156112CF-E3FB-4D9C-9932-D6ADF86145E5}"/>
    <cellStyle name="百分比 2 4 2 3 7" xfId="3197" xr:uid="{59032C4F-AF38-4261-8B7D-326950F3E7C6}"/>
    <cellStyle name="百分比 2 4 2 3 8" xfId="3198" xr:uid="{20AA86D2-6AC9-4AA9-975A-219DA51F3BA3}"/>
    <cellStyle name="百分比 2 4 2 4" xfId="3199" xr:uid="{A620D096-F5EC-42D0-852A-1C51CE27E49E}"/>
    <cellStyle name="百分比 2 4 2 4 2" xfId="3200" xr:uid="{9FF2A014-F3F7-4A8D-BAF4-1A292342D901}"/>
    <cellStyle name="百分比 2 4 2 4 2 2" xfId="3201" xr:uid="{474CC20B-B39D-418F-828E-AB55174CA3FB}"/>
    <cellStyle name="百分比 2 4 2 4 3" xfId="3202" xr:uid="{0078577B-142D-49AD-B854-884DE645A497}"/>
    <cellStyle name="百分比 2 4 2 4 3 2" xfId="3203" xr:uid="{7E96ABA0-7F80-443F-855B-BC4771A72708}"/>
    <cellStyle name="百分比 2 4 2 4 4" xfId="3204" xr:uid="{26C90544-C293-4EC4-BDD1-50A9A8B4AE0D}"/>
    <cellStyle name="百分比 2 4 2 4 4 2" xfId="33096" xr:uid="{9369E043-51BC-4652-A907-CDF5F48A3454}"/>
    <cellStyle name="百分比 2 4 2 4 5" xfId="3205" xr:uid="{71ADF845-5EFD-417A-8A64-E635E06A357E}"/>
    <cellStyle name="百分比 2 4 2 4 6" xfId="3206" xr:uid="{A6722730-31ED-448D-AEDB-1C94F60DB53D}"/>
    <cellStyle name="百分比 2 4 2 4 7" xfId="3207" xr:uid="{EFCD1ACC-B31F-47E2-9F5A-A039E755E298}"/>
    <cellStyle name="百分比 2 4 2 5" xfId="3208" xr:uid="{C4187563-B5CD-45D2-A912-3D350C6971E6}"/>
    <cellStyle name="百分比 2 4 2 5 2" xfId="3209" xr:uid="{9C22C460-B8A9-49B8-91B6-0450424BE82D}"/>
    <cellStyle name="百分比 2 4 2 5 2 2" xfId="3210" xr:uid="{347E7DEB-5301-4C7B-86A0-6F0BC773F336}"/>
    <cellStyle name="百分比 2 4 2 5 3" xfId="3211" xr:uid="{2F22FE08-6F7B-4531-BE1D-1C761AC16B83}"/>
    <cellStyle name="百分比 2 4 2 5 3 2" xfId="3212" xr:uid="{70CF18AD-0908-4D79-873E-9B607CAEB6C8}"/>
    <cellStyle name="百分比 2 4 2 5 4" xfId="3213" xr:uid="{68CD5D50-E7C8-4D5A-A534-D99D543B88A4}"/>
    <cellStyle name="百分比 2 4 2 5 4 2" xfId="33097" xr:uid="{4DD0DF7D-ED8A-4AC1-B65A-542B6BFCB454}"/>
    <cellStyle name="百分比 2 4 2 5 5" xfId="3214" xr:uid="{2377128A-7E59-409A-B80E-5E2363AC5DED}"/>
    <cellStyle name="百分比 2 4 2 5 6" xfId="3215" xr:uid="{4EFB0E59-7992-4C12-BD6A-2640724F8E62}"/>
    <cellStyle name="百分比 2 4 2 5 7" xfId="3216" xr:uid="{6848AAE5-0619-4DC6-8705-CF004A3ADB74}"/>
    <cellStyle name="百分比 2 4 2 6" xfId="3217" xr:uid="{B1A4AB5C-BFAC-4205-A879-FDC1DA2BC615}"/>
    <cellStyle name="百分比 2 4 2 6 2" xfId="3218" xr:uid="{1FF1B221-9CB7-4278-8E73-4FDF67F0CAB6}"/>
    <cellStyle name="百分比 2 4 2 7" xfId="3219" xr:uid="{EEEB778B-8AF7-416C-B289-C56588180E41}"/>
    <cellStyle name="百分比 2 4 2 7 2" xfId="3220" xr:uid="{1A2BF6A8-A097-4763-9F7F-50942F289CC6}"/>
    <cellStyle name="百分比 2 4 2 8" xfId="3221" xr:uid="{6CD85A69-71BF-4415-B6EB-2B34D7916700}"/>
    <cellStyle name="百分比 2 4 2 8 2" xfId="33098" xr:uid="{6F519292-C55E-40DE-9BDA-DD599215446D}"/>
    <cellStyle name="百分比 2 4 2 9" xfId="3222" xr:uid="{6AC41F89-88A4-4B3E-8B24-8DF8B39E1827}"/>
    <cellStyle name="百分比 2 4 2 9 2" xfId="3223" xr:uid="{CD8AFC06-5A5E-412C-AC5C-9ADA9BB9BC25}"/>
    <cellStyle name="百分比 2 4 3" xfId="3224" xr:uid="{5AC7093B-9232-401A-ADF0-3C3284C0CF1C}"/>
    <cellStyle name="百分比 2 4 3 2" xfId="3225" xr:uid="{66BF7C90-6A97-4277-835B-8E5E5BB8DA49}"/>
    <cellStyle name="百分比 2 4 3 2 2" xfId="3226" xr:uid="{4FBDA11F-8BF0-4DDD-9CF4-E2D88C1C3DA4}"/>
    <cellStyle name="百分比 2 4 3 2 2 2" xfId="3227" xr:uid="{16ADA567-F89F-4A1C-9866-EC299EE7871A}"/>
    <cellStyle name="百分比 2 4 3 2 2 2 2" xfId="3228" xr:uid="{0AB8BD4B-B20A-41A5-A0FD-F22FBA5F56E8}"/>
    <cellStyle name="百分比 2 4 3 2 2 2 2 2" xfId="3229" xr:uid="{F7E4E7E3-042B-4F79-9DCF-BB8A4602B500}"/>
    <cellStyle name="百分比 2 4 3 2 2 2 3" xfId="3230" xr:uid="{C3B73419-FAD5-4055-B208-DCA423C0DF46}"/>
    <cellStyle name="百分比 2 4 3 2 2 2 4" xfId="3231" xr:uid="{12ABB600-3D68-4E00-97CC-9CB1B95EA6B7}"/>
    <cellStyle name="百分比 2 4 3 2 2 2 4 2" xfId="33099" xr:uid="{AECD2318-49D3-4071-A923-A993363570C5}"/>
    <cellStyle name="百分比 2 4 3 2 2 3" xfId="3232" xr:uid="{252AE606-7A1F-4DDF-89C4-48BA4421ED54}"/>
    <cellStyle name="百分比 2 4 3 2 2 3 2" xfId="3233" xr:uid="{70C9C7AA-005A-46CE-9B2C-12C949710190}"/>
    <cellStyle name="百分比 2 4 3 2 2 4" xfId="3234" xr:uid="{261DC22C-29D2-4EB6-A2F9-D278ED93D984}"/>
    <cellStyle name="百分比 2 4 3 2 2 5" xfId="3235" xr:uid="{ED39DD40-D4DB-4C67-88F3-A2542C48BADA}"/>
    <cellStyle name="百分比 2 4 3 2 2 5 2" xfId="33100" xr:uid="{E3632AFF-7A0F-4AED-A888-697A1ABBBFFC}"/>
    <cellStyle name="百分比 2 4 3 2 3" xfId="3236" xr:uid="{8EE9FB02-D519-404D-917E-0AD78B43AC5E}"/>
    <cellStyle name="百分比 2 4 3 2 3 2" xfId="3237" xr:uid="{6C60646D-6DF9-46F9-9E7A-E6CF1F0CF0B9}"/>
    <cellStyle name="百分比 2 4 3 2 3 2 2" xfId="3238" xr:uid="{D81DF7EF-E729-4A3E-AA6F-216F55A7F82C}"/>
    <cellStyle name="百分比 2 4 3 2 3 3" xfId="3239" xr:uid="{F4EA8CAA-25C4-4FF1-B2DD-507F8A76E4A3}"/>
    <cellStyle name="百分比 2 4 3 2 3 4" xfId="3240" xr:uid="{ABD5E9C3-7E2A-4FD3-9682-A87549062963}"/>
    <cellStyle name="百分比 2 4 3 2 3 4 2" xfId="33101" xr:uid="{1B7E67CB-BCB0-4360-8C78-ECA39DA8AB35}"/>
    <cellStyle name="百分比 2 4 3 2 4" xfId="3241" xr:uid="{FB5C3292-22E2-459C-AB95-F1828439181B}"/>
    <cellStyle name="百分比 2 4 3 2 4 2" xfId="3242" xr:uid="{C2F07047-90E0-4EDF-8FE4-78FDCBEB1913}"/>
    <cellStyle name="百分比 2 4 3 2 5" xfId="3243" xr:uid="{0DA7E207-1DB2-4612-9A82-AB07573F91D7}"/>
    <cellStyle name="百分比 2 4 3 2 6" xfId="3244" xr:uid="{904A1E3F-86ED-4C88-B18E-923981A0B1D0}"/>
    <cellStyle name="百分比 2 4 3 2 6 2" xfId="33102" xr:uid="{5F6E15D7-33F8-4485-AA6D-8D6124691EC1}"/>
    <cellStyle name="百分比 2 4 3 3" xfId="3245" xr:uid="{FE8CA309-1237-47B4-8F8D-A0FB589C52DB}"/>
    <cellStyle name="百分比 2 4 3 3 2" xfId="3246" xr:uid="{3A267903-7533-4A28-8AD1-3218C1B818EC}"/>
    <cellStyle name="百分比 2 4 3 3 2 2" xfId="3247" xr:uid="{98F50B19-E684-447C-8628-A5CED0B60532}"/>
    <cellStyle name="百分比 2 4 3 3 2 2 2" xfId="3248" xr:uid="{C0C54DAC-39A0-4071-A49A-BF1C1F8EB676}"/>
    <cellStyle name="百分比 2 4 3 3 2 3" xfId="3249" xr:uid="{B018627A-9850-4434-82A6-F54D78BEC4E0}"/>
    <cellStyle name="百分比 2 4 3 3 2 4" xfId="3250" xr:uid="{F1D8AA74-CF96-4E7F-A465-0BF3B73DB6DE}"/>
    <cellStyle name="百分比 2 4 3 3 2 4 2" xfId="33103" xr:uid="{36BA7167-8177-4CDC-8E59-932175FF9FB2}"/>
    <cellStyle name="百分比 2 4 3 3 2 5" xfId="3251" xr:uid="{35280B11-2C93-4F94-B423-3CCD1AD6ADC0}"/>
    <cellStyle name="百分比 2 4 3 3 3" xfId="3252" xr:uid="{68262FE9-C4D6-405F-BC6D-A9145DDA9653}"/>
    <cellStyle name="百分比 2 4 3 3 3 2" xfId="3253" xr:uid="{9AC14DE3-0FD8-4AAC-B646-E47D5319A305}"/>
    <cellStyle name="百分比 2 4 3 3 3 2 2" xfId="3254" xr:uid="{A5AFE3E5-8AAC-4E0D-992F-43F1005E7EE9}"/>
    <cellStyle name="百分比 2 4 3 3 3 3" xfId="3255" xr:uid="{EA2222F7-2057-46EA-90F9-B0644BF0A145}"/>
    <cellStyle name="百分比 2 4 3 3 3 4" xfId="3256" xr:uid="{42FCF27B-69A0-4643-AF5D-FA469B5C6E29}"/>
    <cellStyle name="百分比 2 4 3 3 3 4 2" xfId="33104" xr:uid="{6FF5D123-0920-42A7-B5F8-587132D7EE77}"/>
    <cellStyle name="百分比 2 4 3 3 3 5" xfId="3257" xr:uid="{3297604C-2D01-4424-85F0-4FA96BD551CC}"/>
    <cellStyle name="百分比 2 4 3 3 4" xfId="3258" xr:uid="{FE22BEC1-62F8-41C6-B6C8-487E15EE2E0D}"/>
    <cellStyle name="百分比 2 4 3 3 4 2" xfId="3259" xr:uid="{68739E75-ADCF-4B30-91E1-F8A6D9B318B4}"/>
    <cellStyle name="百分比 2 4 3 3 5" xfId="3260" xr:uid="{088CDF98-2EB9-4969-B7E6-7470A686BF36}"/>
    <cellStyle name="百分比 2 4 3 3 5 2" xfId="3261" xr:uid="{6F208172-E5A5-4ED7-A5D2-6162BF9B3730}"/>
    <cellStyle name="百分比 2 4 3 3 6" xfId="3262" xr:uid="{89B2F9C6-2EDF-41A6-BFE3-C4E574E92235}"/>
    <cellStyle name="百分比 2 4 3 3 6 2" xfId="33105" xr:uid="{D826A2A4-8A44-4181-AEE9-D54C8890D89C}"/>
    <cellStyle name="百分比 2 4 3 3 7" xfId="3263" xr:uid="{4D159994-B04E-4FBA-9A77-01CACAE2FF45}"/>
    <cellStyle name="百分比 2 4 3 4" xfId="3264" xr:uid="{7F818035-E7EA-45AB-BF9C-70CCEED9F86F}"/>
    <cellStyle name="百分比 2 4 3 4 2" xfId="3265" xr:uid="{8577AD11-4660-4E61-A501-5E4FB2F37F41}"/>
    <cellStyle name="百分比 2 4 3 4 2 2" xfId="3266" xr:uid="{3C78790F-5D79-4AE2-BECD-AC17FE06D6A4}"/>
    <cellStyle name="百分比 2 4 3 4 3" xfId="3267" xr:uid="{0F304CB2-B223-4DF0-9425-C0A90F1F3FD2}"/>
    <cellStyle name="百分比 2 4 3 4 3 2" xfId="3268" xr:uid="{FDD01DF7-6823-41D8-A649-663CBCADF207}"/>
    <cellStyle name="百分比 2 4 3 4 4" xfId="3269" xr:uid="{7982F1D6-79B1-49F6-9422-36947946AF31}"/>
    <cellStyle name="百分比 2 4 3 4 4 2" xfId="33106" xr:uid="{756953FB-5A98-40BB-94F9-EF0FEF9B20B2}"/>
    <cellStyle name="百分比 2 4 3 4 5" xfId="3270" xr:uid="{F582A7BE-4F91-4A7B-9FCF-0546F812F50F}"/>
    <cellStyle name="百分比 2 4 3 4 6" xfId="3271" xr:uid="{77DE1D85-9376-47F8-9542-D2EA7E722A54}"/>
    <cellStyle name="百分比 2 4 3 4 7" xfId="3272" xr:uid="{42089C18-9853-4F85-AB2E-E647E460B61F}"/>
    <cellStyle name="百分比 2 4 3 5" xfId="3273" xr:uid="{3F67EC08-0120-438F-93D8-66F7ABC5FA1E}"/>
    <cellStyle name="百分比 2 4 3 5 2" xfId="3274" xr:uid="{FAF58260-7381-40F6-A122-7E93D55D863F}"/>
    <cellStyle name="百分比 2 4 3 5 2 2" xfId="3275" xr:uid="{98FDA006-BA3D-44A4-967C-0E74E553A232}"/>
    <cellStyle name="百分比 2 4 3 5 3" xfId="3276" xr:uid="{4590CD8B-0518-43F3-B781-340D7CD93922}"/>
    <cellStyle name="百分比 2 4 3 5 4" xfId="3277" xr:uid="{F3331200-D171-4C43-B26D-30FFCC09E660}"/>
    <cellStyle name="百分比 2 4 3 5 4 2" xfId="33107" xr:uid="{D4599140-1B55-4B5F-97D9-1F4DEF6DED6D}"/>
    <cellStyle name="百分比 2 4 3 5 5" xfId="3278" xr:uid="{87E17F6D-3E02-42F7-B477-42D446FA4CDC}"/>
    <cellStyle name="百分比 2 4 3 6" xfId="3279" xr:uid="{7EE18E99-9CBE-484F-A746-9D2BAF66895D}"/>
    <cellStyle name="百分比 2 4 3 6 2" xfId="3280" xr:uid="{9AF3BFC6-BC71-4729-9638-C938D65771D9}"/>
    <cellStyle name="百分比 2 4 3 7" xfId="3281" xr:uid="{F41CB5FB-E6BF-46A2-8C8D-084E2FE7EFCE}"/>
    <cellStyle name="百分比 2 4 3 7 2" xfId="3282" xr:uid="{253732EC-39FA-4577-B0E2-3B69F9402CEB}"/>
    <cellStyle name="百分比 2 4 3 8" xfId="3283" xr:uid="{9BA40F13-5A01-4ACC-AA43-8F2B8D8BAD85}"/>
    <cellStyle name="百分比 2 4 3 8 2" xfId="33108" xr:uid="{62CC4F2D-A585-4F6B-8168-E686D9BE0DA1}"/>
    <cellStyle name="百分比 2 4 3 9" xfId="3284" xr:uid="{C7B5D53B-17F1-4EE9-9319-B5CA1B8F53A7}"/>
    <cellStyle name="百分比 2 4 3 9 2" xfId="3285" xr:uid="{9B7B935D-9DCA-4EB4-ADC6-85B00BF51F55}"/>
    <cellStyle name="百分比 2 4 4" xfId="3286" xr:uid="{B84D7727-C7A7-4E2B-8025-D9312B86F0FB}"/>
    <cellStyle name="百分比 2 4 4 2" xfId="3287" xr:uid="{D2895DB9-519F-4F6B-AAA2-4932B4AEA9A5}"/>
    <cellStyle name="百分比 2 4 4 2 2" xfId="3288" xr:uid="{9484976B-3641-43AF-BB27-F8AF816B43C1}"/>
    <cellStyle name="百分比 2 4 4 2 2 2" xfId="3289" xr:uid="{91357BC0-47C2-47C7-AFD5-F816D40D3DF5}"/>
    <cellStyle name="百分比 2 4 4 2 2 2 2" xfId="3290" xr:uid="{E1BB8916-3C44-4CC3-8420-A56FAC791677}"/>
    <cellStyle name="百分比 2 4 4 2 2 3" xfId="3291" xr:uid="{0E23A525-F275-4111-AA13-2F24E5077FB0}"/>
    <cellStyle name="百分比 2 4 4 2 2 4" xfId="3292" xr:uid="{2E71D1FE-E386-48F7-8758-084D235139ED}"/>
    <cellStyle name="百分比 2 4 4 2 2 4 2" xfId="33109" xr:uid="{46AF6C15-F4E2-4669-8C51-EC04F58A9578}"/>
    <cellStyle name="百分比 2 4 4 2 3" xfId="3293" xr:uid="{0011A46B-1DA0-4A0D-A1CB-27988F96BF8C}"/>
    <cellStyle name="百分比 2 4 4 2 3 2" xfId="3294" xr:uid="{5A52A797-7865-4C61-9A2D-09F95A15A7E1}"/>
    <cellStyle name="百分比 2 4 4 2 3 2 2" xfId="3295" xr:uid="{0ABE9179-DEAA-44C3-9152-0C25F711E2C3}"/>
    <cellStyle name="百分比 2 4 4 2 3 3" xfId="3296" xr:uid="{603C755B-58C0-4866-B0EC-CDCDCDF0BA38}"/>
    <cellStyle name="百分比 2 4 4 2 3 4" xfId="3297" xr:uid="{4338ED94-119E-4F04-AC90-DB8A821C3C3C}"/>
    <cellStyle name="百分比 2 4 4 2 3 4 2" xfId="33110" xr:uid="{597B1355-C250-48B0-A768-961BB2F69A30}"/>
    <cellStyle name="百分比 2 4 4 2 4" xfId="3298" xr:uid="{1B5A353F-9509-4A74-BFBA-0FC0BB423109}"/>
    <cellStyle name="百分比 2 4 4 2 4 2" xfId="3299" xr:uid="{5BF0BF1D-1CDB-402C-9402-5D58BBB1F84F}"/>
    <cellStyle name="百分比 2 4 4 2 5" xfId="3300" xr:uid="{F193E53B-E3DF-40F8-BF04-00CAD485982A}"/>
    <cellStyle name="百分比 2 4 4 2 6" xfId="3301" xr:uid="{18D74EBF-7A60-4D5A-9432-3EBE18E253AC}"/>
    <cellStyle name="百分比 2 4 4 2 6 2" xfId="33111" xr:uid="{F3EBEEEE-0DAB-42FA-9471-346ECC2D81C9}"/>
    <cellStyle name="百分比 2 4 4 3" xfId="3302" xr:uid="{572BD37E-BD62-49D3-8E56-13D2CA5731C7}"/>
    <cellStyle name="百分比 2 4 4 3 2" xfId="3303" xr:uid="{8314AD14-397D-4907-9755-E06D4E73C9BD}"/>
    <cellStyle name="百分比 2 4 4 3 2 2" xfId="3304" xr:uid="{9B4A9583-05B1-4BB0-935D-3DE14DAE6C0D}"/>
    <cellStyle name="百分比 2 4 4 3 3" xfId="3305" xr:uid="{314C8C96-8478-4531-A3C1-8080C6744238}"/>
    <cellStyle name="百分比 2 4 4 3 4" xfId="3306" xr:uid="{A8E5DFBE-AFF5-4AB8-ABC8-8A400A790181}"/>
    <cellStyle name="百分比 2 4 4 3 4 2" xfId="33112" xr:uid="{241A1A0B-30F5-46B0-A048-2B542CC0110A}"/>
    <cellStyle name="百分比 2 4 4 4" xfId="3307" xr:uid="{DCCE2903-95F4-47A3-BF4F-4EC143697AB2}"/>
    <cellStyle name="百分比 2 4 4 4 2" xfId="3308" xr:uid="{B99A608A-9257-4482-88FB-DB041C9B0296}"/>
    <cellStyle name="百分比 2 4 4 4 2 2" xfId="3309" xr:uid="{F9E841F9-2988-4744-9AA4-75EF0E6A24BD}"/>
    <cellStyle name="百分比 2 4 4 4 3" xfId="3310" xr:uid="{238FC9BF-4D9D-4B38-848C-27302F23DE26}"/>
    <cellStyle name="百分比 2 4 4 4 4" xfId="3311" xr:uid="{50CB83E9-6100-47C6-AF18-35FC3B083F15}"/>
    <cellStyle name="百分比 2 4 4 4 4 2" xfId="33113" xr:uid="{C24B6760-89C5-4265-B5F6-8BC225DC0AA0}"/>
    <cellStyle name="百分比 2 4 4 5" xfId="3312" xr:uid="{F46D0D77-42CB-4F8A-9E3C-A286E7D9993A}"/>
    <cellStyle name="百分比 2 4 4 5 2" xfId="3313" xr:uid="{CE699F41-8A3C-4C14-99F2-827EEBEEBFBE}"/>
    <cellStyle name="百分比 2 4 4 6" xfId="3314" xr:uid="{6D2CA3C0-4261-4FA1-B760-E94FD6B0D727}"/>
    <cellStyle name="百分比 2 4 4 7" xfId="3315" xr:uid="{47A93CF5-AA26-492B-AE28-90E2F4B7DFD3}"/>
    <cellStyle name="百分比 2 4 4 7 2" xfId="33114" xr:uid="{B75A6A5C-2D3F-4BF6-96F1-CD578E0AD9D5}"/>
    <cellStyle name="百分比 2 4 4 8" xfId="3316" xr:uid="{6073CB9B-53E8-409D-997A-0A50F98F0332}"/>
    <cellStyle name="百分比 2 4 5" xfId="3317" xr:uid="{EFAF3C7B-507F-4010-93B8-77148BD3CBF3}"/>
    <cellStyle name="百分比 2 4 5 2" xfId="3318" xr:uid="{6DB2CF3B-7091-4892-BC14-703D825C0D75}"/>
    <cellStyle name="百分比 2 4 5 2 2" xfId="3319" xr:uid="{315329BE-A122-4BB7-A252-A4B4D45DBDE3}"/>
    <cellStyle name="百分比 2 4 5 2 2 2" xfId="3320" xr:uid="{0796BE83-4EB9-4C92-9195-332F74F7EB24}"/>
    <cellStyle name="百分比 2 4 5 2 2 2 2" xfId="3321" xr:uid="{2F4DC016-F966-49DA-B49E-BC4C8704A2A4}"/>
    <cellStyle name="百分比 2 4 5 2 2 3" xfId="3322" xr:uid="{12DB5F09-47F4-4DAD-A7A4-CF2BDBABDDC9}"/>
    <cellStyle name="百分比 2 4 5 2 2 4" xfId="3323" xr:uid="{D69F7F1B-2AFF-4BC3-A43D-B12C8AAC8B5F}"/>
    <cellStyle name="百分比 2 4 5 2 2 4 2" xfId="33115" xr:uid="{EBE4696E-80CF-4FAA-9A00-43786D71E86D}"/>
    <cellStyle name="百分比 2 4 5 2 3" xfId="3324" xr:uid="{4CE7AF3E-257B-4BCA-A477-5C53CEE33B78}"/>
    <cellStyle name="百分比 2 4 5 2 3 2" xfId="3325" xr:uid="{5CC24F54-180E-4CCD-8A9C-EAB840BC29BD}"/>
    <cellStyle name="百分比 2 4 5 2 4" xfId="3326" xr:uid="{8A1251BD-8E7F-43C8-93CE-E1FC89229B00}"/>
    <cellStyle name="百分比 2 4 5 2 5" xfId="3327" xr:uid="{2BBE0601-CC81-4A3E-94C0-F75CB01BF4C5}"/>
    <cellStyle name="百分比 2 4 5 2 5 2" xfId="33116" xr:uid="{68ADC274-0266-4A4E-8BE3-55FC3147E6B6}"/>
    <cellStyle name="百分比 2 4 5 3" xfId="3328" xr:uid="{5957D140-2316-4874-B1E8-5F9428A69FB4}"/>
    <cellStyle name="百分比 2 4 5 3 2" xfId="3329" xr:uid="{E23BCC5C-18A2-4183-ADC3-4FAC56D13C68}"/>
    <cellStyle name="百分比 2 4 5 3 2 2" xfId="3330" xr:uid="{8FE1A645-F4BA-48E2-8259-08C3124D2BEF}"/>
    <cellStyle name="百分比 2 4 5 3 3" xfId="3331" xr:uid="{2A2030F1-9B28-4BAB-A975-FD9ECBAA3DAE}"/>
    <cellStyle name="百分比 2 4 5 3 4" xfId="3332" xr:uid="{23DC525E-94F4-4A4E-97A6-3B2AF12E92F5}"/>
    <cellStyle name="百分比 2 4 5 3 4 2" xfId="33117" xr:uid="{CFF53DCF-435B-41B5-8A55-E769C43D7FBB}"/>
    <cellStyle name="百分比 2 4 5 4" xfId="3333" xr:uid="{18D817FD-9082-432A-B9E5-9DA479C89097}"/>
    <cellStyle name="百分比 2 4 5 4 2" xfId="3334" xr:uid="{AE8ED569-0344-43B0-8B74-001EDBA09B0D}"/>
    <cellStyle name="百分比 2 4 5 5" xfId="3335" xr:uid="{AECE2BE8-4ECB-4E56-AC62-E182311ED6F4}"/>
    <cellStyle name="百分比 2 4 5 6" xfId="3336" xr:uid="{CE65C197-967D-4315-A07D-91EF468EAE64}"/>
    <cellStyle name="百分比 2 4 5 6 2" xfId="33118" xr:uid="{F3B98089-2989-4DD5-AF64-29C4AA378C30}"/>
    <cellStyle name="百分比 2 4 6" xfId="3337" xr:uid="{F8AE2505-7814-4883-9604-D813BC8345B4}"/>
    <cellStyle name="百分比 2 4 6 2" xfId="3338" xr:uid="{48274485-8AE0-4CC1-AE96-6A139F22CB3F}"/>
    <cellStyle name="百分比 2 4 6 2 2" xfId="3339" xr:uid="{4102C147-26D0-4066-BF87-7B87C0463DFC}"/>
    <cellStyle name="百分比 2 4 6 2 2 2" xfId="3340" xr:uid="{0246BDE4-A4D5-491A-B5A9-39CC90633D32}"/>
    <cellStyle name="百分比 2 4 6 2 3" xfId="3341" xr:uid="{90CC4D8A-0BFE-4FF9-AE51-8150803FD273}"/>
    <cellStyle name="百分比 2 4 6 2 4" xfId="3342" xr:uid="{4275588D-37EE-4B99-9D2E-DCCB43D12765}"/>
    <cellStyle name="百分比 2 4 6 2 4 2" xfId="33119" xr:uid="{09DCDA55-0791-4B41-92D7-009FEF161EED}"/>
    <cellStyle name="百分比 2 4 6 2 5" xfId="3343" xr:uid="{FC0133F6-0217-4772-A2DB-94B23C2D896A}"/>
    <cellStyle name="百分比 2 4 6 3" xfId="3344" xr:uid="{4AB90FB8-922B-405D-87FE-49FD0B674D4B}"/>
    <cellStyle name="百分比 2 4 6 3 2" xfId="3345" xr:uid="{132CD24F-0A11-4322-9DEB-C720F166BE3F}"/>
    <cellStyle name="百分比 2 4 6 4" xfId="3346" xr:uid="{1BBDC8C4-AAD8-49D4-8303-0E41D10B3E5C}"/>
    <cellStyle name="百分比 2 4 6 4 2" xfId="3347" xr:uid="{CCA0E889-6E0E-469E-BF1A-7CE4ED00631A}"/>
    <cellStyle name="百分比 2 4 6 5" xfId="3348" xr:uid="{487D8246-6222-4EEE-9E75-6A0F70AECD43}"/>
    <cellStyle name="百分比 2 4 6 5 2" xfId="33120" xr:uid="{2970A8D5-663D-4D86-AAF4-222C82A0F1A4}"/>
    <cellStyle name="百分比 2 4 6 6" xfId="3349" xr:uid="{DAD1D78A-B3A5-40D9-BEDE-925B569AAAF8}"/>
    <cellStyle name="百分比 2 4 6 7" xfId="3350" xr:uid="{20829C5E-9D99-423C-A7F0-60C78FB3BCD4}"/>
    <cellStyle name="百分比 2 4 7" xfId="3351" xr:uid="{7C7A098D-2FBE-4FF8-86C9-EBCE3F9CAD3E}"/>
    <cellStyle name="百分比 2 4 7 2" xfId="3352" xr:uid="{C3BE0DFF-EE2F-441E-AD31-909C584BE547}"/>
    <cellStyle name="百分比 2 4 7 2 2" xfId="3353" xr:uid="{CB6E92EA-0DE9-4B4F-A223-98D846C9AB18}"/>
    <cellStyle name="百分比 2 4 7 3" xfId="3354" xr:uid="{47C895D4-7BF6-47B0-94DB-625086C4C4B7}"/>
    <cellStyle name="百分比 2 4 7 3 2" xfId="3355" xr:uid="{8CAF891E-34D5-40DA-9B97-14B7EF2A8218}"/>
    <cellStyle name="百分比 2 4 7 4" xfId="3356" xr:uid="{17D1889F-1070-4059-845B-3796C946F3A5}"/>
    <cellStyle name="百分比 2 4 7 4 2" xfId="33121" xr:uid="{13CA9687-9B9E-4BA8-96E1-6533E0A0E52C}"/>
    <cellStyle name="百分比 2 4 7 5" xfId="3357" xr:uid="{C8EF81CD-8B78-478B-9948-EBB2ABB1F581}"/>
    <cellStyle name="百分比 2 4 7 6" xfId="3358" xr:uid="{3606EFEA-89F6-4A8D-845F-FDBB070DFECC}"/>
    <cellStyle name="百分比 2 4 7 7" xfId="3359" xr:uid="{88F6D543-D564-4C4E-8CDC-09A05A4F2922}"/>
    <cellStyle name="百分比 2 4 8" xfId="3360" xr:uid="{BF2A419C-33BD-46C7-B089-2A40F5AFCC1C}"/>
    <cellStyle name="百分比 2 4 8 2" xfId="3361" xr:uid="{A3E74737-DC73-486B-8257-05F2A3CDD132}"/>
    <cellStyle name="百分比 2 4 9" xfId="3362" xr:uid="{892F5907-773B-4FF3-B8AF-492AA7639E7D}"/>
    <cellStyle name="百分比 2 4 9 2" xfId="3363" xr:uid="{C4DC0C95-DEDB-4DDD-A0F8-EC399367C675}"/>
    <cellStyle name="百分比 2 5" xfId="3364" xr:uid="{9D1EE761-EE2E-402A-83DB-17467B7512F4}"/>
    <cellStyle name="百分比 2 5 2" xfId="3365" xr:uid="{90E8169C-E769-4A23-9A8E-C9EE8A175276}"/>
    <cellStyle name="百分比 2 5 2 2" xfId="3366" xr:uid="{108BFC81-72C6-41B4-8257-7D8BCD11A1C8}"/>
    <cellStyle name="百分比 2 5 2 3" xfId="3367" xr:uid="{F6835D3F-E1F6-49DB-BE22-12E3E35A5773}"/>
    <cellStyle name="百分比 2 5 2 4" xfId="3368" xr:uid="{90218ADA-26B4-4402-BD69-98DB669F40F6}"/>
    <cellStyle name="百分比 2 5 2 5" xfId="3369" xr:uid="{78556937-8A04-443D-8BE8-603145311861}"/>
    <cellStyle name="百分比 2 5 2 6" xfId="3370" xr:uid="{12A495F5-C1A3-4A65-8385-9CD17B2C95B6}"/>
    <cellStyle name="百分比 2 5 2 7" xfId="3371" xr:uid="{354E5264-BBF9-4094-925F-56578085F76D}"/>
    <cellStyle name="百分比 2 5 2 8" xfId="3372" xr:uid="{A4E26234-1B2D-4F6E-A9D3-28E0A8152E10}"/>
    <cellStyle name="百分比 2 5 3" xfId="3373" xr:uid="{1509519A-1A68-4F9A-9F17-F67A70C13486}"/>
    <cellStyle name="百分比 2 5 3 2" xfId="3374" xr:uid="{197C77BF-2866-4EF6-9297-D422BF05C09A}"/>
    <cellStyle name="百分比 2 5 4" xfId="3375" xr:uid="{2D213A86-5D41-403D-B5FC-C272E2B34F7D}"/>
    <cellStyle name="百分比 2 5 5" xfId="3376" xr:uid="{ED49463E-F2CD-4FD7-9A7B-F913FAFAF8DD}"/>
    <cellStyle name="百分比 2 5 6" xfId="3377" xr:uid="{8304AF99-B71D-4A1C-90D7-641BD7FE920A}"/>
    <cellStyle name="百分比 2 5 7" xfId="3378" xr:uid="{CAB44CB5-6E37-4673-A7C9-07BFB337550E}"/>
    <cellStyle name="百分比 2 5 8" xfId="3379" xr:uid="{75AF6381-BDE4-4E27-B12A-889151959845}"/>
    <cellStyle name="百分比 2 6" xfId="3380" xr:uid="{2D7802F9-D650-415C-BE63-D9BE5D8D5E6B}"/>
    <cellStyle name="百分比 2 6 2" xfId="3381" xr:uid="{47C9E20D-FF61-437F-8EBF-40149C649DDC}"/>
    <cellStyle name="百分比 2 6 2 2" xfId="3382" xr:uid="{60B7FFFA-26A2-4FB5-ADB0-D3BDA20C2DBD}"/>
    <cellStyle name="百分比 2 6 3" xfId="3383" xr:uid="{2CF1E4FE-B942-4CDB-894E-21678EAE1C78}"/>
    <cellStyle name="百分比 2 6 3 2" xfId="3384" xr:uid="{6665764B-95CF-4590-9DBB-289DC2471B0C}"/>
    <cellStyle name="百分比 2 6 4" xfId="3385" xr:uid="{2F08F201-62C0-4BE4-BAA5-B33BFEF9E621}"/>
    <cellStyle name="百分比 2 6 5" xfId="3386" xr:uid="{DDBB667D-3596-42A3-B2C3-88583DD29045}"/>
    <cellStyle name="百分比 2 6 6" xfId="3387" xr:uid="{B097482E-D341-40B7-B274-75EDDDFD86CF}"/>
    <cellStyle name="百分比 2 6 7" xfId="3388" xr:uid="{48479E5E-1680-47F6-94C4-E279260A606A}"/>
    <cellStyle name="百分比 2 6 8" xfId="3389" xr:uid="{82601107-739C-4461-8653-6BABB14E3051}"/>
    <cellStyle name="百分比 2 6 9" xfId="3390" xr:uid="{462B0579-FED4-4852-8DAC-E84CE8254698}"/>
    <cellStyle name="百分比 2 7" xfId="3391" xr:uid="{1D5EDF22-21DE-4AA0-8014-2E9D1FE41A62}"/>
    <cellStyle name="百分比 2 7 2" xfId="3392" xr:uid="{BF8CC4F4-829B-4649-8874-6FBD49441794}"/>
    <cellStyle name="百分比 2 7 2 10" xfId="3393" xr:uid="{3A946C81-5CBE-4771-89C9-03218F64E284}"/>
    <cellStyle name="百分比 2 7 2 2" xfId="3394" xr:uid="{B75DFDB1-73E8-4C03-823C-1E73E4CC2C0C}"/>
    <cellStyle name="百分比 2 7 2 2 2" xfId="3395" xr:uid="{33E6A65F-E4F5-4008-8894-A3ABEE38A527}"/>
    <cellStyle name="百分比 2 7 2 2 2 2" xfId="3396" xr:uid="{0CFAD64D-1146-444B-AC8F-C177B5E2A01E}"/>
    <cellStyle name="百分比 2 7 2 2 2 2 2" xfId="3397" xr:uid="{A85A254C-B935-4AE1-9819-0A306C29F1F8}"/>
    <cellStyle name="百分比 2 7 2 2 2 3" xfId="3398" xr:uid="{52082C36-0518-44F8-A0EC-72C901C1A700}"/>
    <cellStyle name="百分比 2 7 2 2 2 3 2" xfId="3399" xr:uid="{1C0719A2-837C-4845-8D46-1407AF0640F1}"/>
    <cellStyle name="百分比 2 7 2 2 2 4" xfId="3400" xr:uid="{63E405C8-BE5A-4C0C-8C58-03121C0D8C8F}"/>
    <cellStyle name="百分比 2 7 2 2 2 4 2" xfId="33122" xr:uid="{26A57DAC-6F0F-4573-A2CC-28DFFAF1D74A}"/>
    <cellStyle name="百分比 2 7 2 2 2 5" xfId="3401" xr:uid="{22AE83BE-F055-4351-8FC1-7E16C1282640}"/>
    <cellStyle name="百分比 2 7 2 2 2 6" xfId="3402" xr:uid="{AAD45E33-FEC6-4220-8B3F-EBB67412A458}"/>
    <cellStyle name="百分比 2 7 2 2 2 7" xfId="3403" xr:uid="{19D0E079-B101-4176-AD02-C540CF7CB105}"/>
    <cellStyle name="百分比 2 7 2 2 3" xfId="3404" xr:uid="{070A389F-2791-425B-BFEF-F5C50B54CFAE}"/>
    <cellStyle name="百分比 2 7 2 2 3 2" xfId="3405" xr:uid="{05D04127-0F6F-4489-A5C4-D2574FDB36B5}"/>
    <cellStyle name="百分比 2 7 2 2 3 2 2" xfId="3406" xr:uid="{691399D5-55BA-4B05-822F-2FF477BFB536}"/>
    <cellStyle name="百分比 2 7 2 2 3 3" xfId="3407" xr:uid="{D74BA3DB-AC9E-42C5-80C0-D0EB932F5D7C}"/>
    <cellStyle name="百分比 2 7 2 2 3 4" xfId="3408" xr:uid="{ED4229CF-F131-4681-9DEF-85DCCD0325E2}"/>
    <cellStyle name="百分比 2 7 2 2 3 4 2" xfId="33123" xr:uid="{6B57A7CD-6387-4502-85C8-726B6C24E85C}"/>
    <cellStyle name="百分比 2 7 2 2 3 5" xfId="3409" xr:uid="{D2246243-E2ED-41A8-8383-F6BFA606314C}"/>
    <cellStyle name="百分比 2 7 2 2 4" xfId="3410" xr:uid="{FCE553E0-50EA-4BD6-8A23-201059B45D75}"/>
    <cellStyle name="百分比 2 7 2 2 4 2" xfId="3411" xr:uid="{CCA9C2F1-BF33-45A7-AA6E-E0CE9F75D71C}"/>
    <cellStyle name="百分比 2 7 2 2 5" xfId="3412" xr:uid="{BF88158D-B70E-478D-97BF-310062D83533}"/>
    <cellStyle name="百分比 2 7 2 2 5 2" xfId="3413" xr:uid="{CC2BC44D-EC00-4DBD-A051-4DBC16AC8B9D}"/>
    <cellStyle name="百分比 2 7 2 2 6" xfId="3414" xr:uid="{6F3EE93F-E447-428D-9125-CB1CF661BC3D}"/>
    <cellStyle name="百分比 2 7 2 2 6 2" xfId="33124" xr:uid="{D1E8EFB7-3D74-4993-B2A6-407BB0A669A1}"/>
    <cellStyle name="百分比 2 7 2 2 7" xfId="3415" xr:uid="{4748B73E-6AE3-4AAE-B34F-D16B83E68BFA}"/>
    <cellStyle name="百分比 2 7 2 2 8" xfId="3416" xr:uid="{E91D1436-00BA-4F8B-9680-BBD3DB20AC79}"/>
    <cellStyle name="百分比 2 7 2 3" xfId="3417" xr:uid="{AAB11751-8B01-41BC-9BED-5E3147396771}"/>
    <cellStyle name="百分比 2 7 2 3 2" xfId="3418" xr:uid="{A5A17A01-7F5D-470E-89EC-97570FB8E408}"/>
    <cellStyle name="百分比 2 7 2 3 2 2" xfId="3419" xr:uid="{8C76B0A4-A5BA-4434-BCA4-273232874943}"/>
    <cellStyle name="百分比 2 7 2 3 2 3" xfId="3420" xr:uid="{DB222264-4DE4-437D-9A4E-F536956AC531}"/>
    <cellStyle name="百分比 2 7 2 3 2 4" xfId="3421" xr:uid="{7389B3BB-ADEA-4A7C-AC2B-2E655BA33877}"/>
    <cellStyle name="百分比 2 7 2 3 2 5" xfId="3422" xr:uid="{9FF5C5E7-9BDF-4CC2-8B7F-F8C37B16FA7A}"/>
    <cellStyle name="百分比 2 7 2 3 2 6" xfId="3423" xr:uid="{D20889DC-A21D-4A2F-8B60-0C9862D11305}"/>
    <cellStyle name="百分比 2 7 2 3 2 7" xfId="3424" xr:uid="{1C0F236B-3C5C-4E6F-A12F-97F009E15CF5}"/>
    <cellStyle name="百分比 2 7 2 3 3" xfId="3425" xr:uid="{27BF5C40-EBF8-426B-BEB2-2BA62D7DD9FD}"/>
    <cellStyle name="百分比 2 7 2 3 3 2" xfId="3426" xr:uid="{B5C7665C-06DD-421C-AE1E-D98D46C9B65E}"/>
    <cellStyle name="百分比 2 7 2 3 4" xfId="3427" xr:uid="{9F68CEF5-39C8-4742-8BDB-49EB370D7DCF}"/>
    <cellStyle name="百分比 2 7 2 3 4 2" xfId="33125" xr:uid="{1F605743-EC3F-4534-9BE8-9D0DA57B63A6}"/>
    <cellStyle name="百分比 2 7 2 3 5" xfId="3428" xr:uid="{048C86AE-9B84-4056-8521-40C096443E08}"/>
    <cellStyle name="百分比 2 7 2 3 6" xfId="3429" xr:uid="{78268F28-1725-4557-B0D3-92A2E1878D6A}"/>
    <cellStyle name="百分比 2 7 2 3 7" xfId="3430" xr:uid="{E31CFBA2-8496-4D4D-8FA3-BC25453B2605}"/>
    <cellStyle name="百分比 2 7 2 3 8" xfId="3431" xr:uid="{EF2DCA49-B813-46FB-894B-621463C38991}"/>
    <cellStyle name="百分比 2 7 2 4" xfId="3432" xr:uid="{D0B34D47-D27F-4240-8F86-71F0589D7C8C}"/>
    <cellStyle name="百分比 2 7 2 4 2" xfId="3433" xr:uid="{EECE22B3-DB7E-42EA-AC30-A28386C79D05}"/>
    <cellStyle name="百分比 2 7 2 4 2 2" xfId="3434" xr:uid="{11792976-74B0-47A1-B28E-376606C6B850}"/>
    <cellStyle name="百分比 2 7 2 4 3" xfId="3435" xr:uid="{2699BDBE-95F0-49C3-8B73-E40F88582479}"/>
    <cellStyle name="百分比 2 7 2 4 3 2" xfId="3436" xr:uid="{258708AD-78A9-41F5-BE85-E2B356CADC6C}"/>
    <cellStyle name="百分比 2 7 2 4 4" xfId="3437" xr:uid="{EBA62B1F-51D8-488F-BB39-F7E34896E90B}"/>
    <cellStyle name="百分比 2 7 2 4 4 2" xfId="33126" xr:uid="{8335EA12-0A57-43F4-8F4A-1838D1475E7B}"/>
    <cellStyle name="百分比 2 7 2 4 5" xfId="3438" xr:uid="{13D07E68-E543-429C-AA59-A3F7DC3A8733}"/>
    <cellStyle name="百分比 2 7 2 4 6" xfId="3439" xr:uid="{9A089612-3A67-4A59-9529-966EFAFB39D3}"/>
    <cellStyle name="百分比 2 7 2 4 7" xfId="3440" xr:uid="{F5DDB028-1EE1-4748-952E-D0DA4EB7E1CB}"/>
    <cellStyle name="百分比 2 7 2 5" xfId="3441" xr:uid="{DDADDD52-43D1-487D-BA16-1B1229902A4E}"/>
    <cellStyle name="百分比 2 7 2 5 2" xfId="3442" xr:uid="{68C2F93E-68D7-4654-BFF0-C595215C6473}"/>
    <cellStyle name="百分比 2 7 2 6" xfId="3443" xr:uid="{23AC0820-9717-43F9-BE3B-15BA77778C58}"/>
    <cellStyle name="百分比 2 7 2 6 2" xfId="3444" xr:uid="{79FA49D8-7A93-489F-941A-201976BC5DD0}"/>
    <cellStyle name="百分比 2 7 2 7" xfId="3445" xr:uid="{4CB46DD9-BCF3-48EB-BDD9-2DBB7B068ED6}"/>
    <cellStyle name="百分比 2 7 2 7 2" xfId="33127" xr:uid="{7DC7E937-465C-4786-90F4-CF1DC5375E3F}"/>
    <cellStyle name="百分比 2 7 2 8" xfId="3446" xr:uid="{52458F8C-7BA0-4697-A0D8-1CFBF83E651B}"/>
    <cellStyle name="百分比 2 7 2 8 2" xfId="3447" xr:uid="{78EF81B8-CFDD-45BF-ABFC-1CF5A54BBBB0}"/>
    <cellStyle name="百分比 2 7 2 9" xfId="3448" xr:uid="{18890CF7-15CE-4A4A-AF4B-4F42DB09B7A2}"/>
    <cellStyle name="百分比 2 7 3" xfId="3449" xr:uid="{8584B047-2758-4D61-8A1A-38312B62141F}"/>
    <cellStyle name="百分比 2 7 3 2" xfId="3450" xr:uid="{17D985E7-9482-4D56-85FB-5708AAEB24D5}"/>
    <cellStyle name="百分比 2 7 3 2 2" xfId="3451" xr:uid="{91675FE6-AFB5-4272-A71A-B67C3CC10969}"/>
    <cellStyle name="百分比 2 7 3 2 2 2" xfId="3452" xr:uid="{6BA8190E-EB42-472E-8AEA-404070011B16}"/>
    <cellStyle name="百分比 2 7 3 2 3" xfId="3453" xr:uid="{5B8EA39E-D681-460E-BECD-B148C34069D7}"/>
    <cellStyle name="百分比 2 7 3 2 4" xfId="3454" xr:uid="{C6D1A346-319B-4D45-92E9-DB3BB45228EF}"/>
    <cellStyle name="百分比 2 7 3 2 4 2" xfId="33128" xr:uid="{CEE930D6-0B11-41A8-92D0-E9BD97E5E54F}"/>
    <cellStyle name="百分比 2 7 3 2 5" xfId="3455" xr:uid="{912E2D68-91FD-4830-8847-DEAC52F0BA5C}"/>
    <cellStyle name="百分比 2 7 3 3" xfId="3456" xr:uid="{2D1B6313-11E8-4AC3-8A24-3491D86EA4A2}"/>
    <cellStyle name="百分比 2 7 3 3 2" xfId="3457" xr:uid="{41FD643D-EBC8-4F3D-8B1A-231814AE8B97}"/>
    <cellStyle name="百分比 2 7 3 3 2 2" xfId="3458" xr:uid="{C71AD685-58D4-44CB-802D-0EEE6E6580DF}"/>
    <cellStyle name="百分比 2 7 3 3 3" xfId="3459" xr:uid="{BCACFC40-B026-40FE-91BB-F6F7F89A334E}"/>
    <cellStyle name="百分比 2 7 3 3 3 2" xfId="3460" xr:uid="{54053830-AD02-4B79-BA01-FB7C2C1214A3}"/>
    <cellStyle name="百分比 2 7 3 3 4" xfId="3461" xr:uid="{ED37788D-9956-4F49-A840-20FCDD2998D5}"/>
    <cellStyle name="百分比 2 7 3 3 4 2" xfId="33129" xr:uid="{1E33671B-951A-439C-B869-76802EEC51E1}"/>
    <cellStyle name="百分比 2 7 3 3 5" xfId="3462" xr:uid="{7E5C949F-C84C-431A-AC6E-5D9C91707DE1}"/>
    <cellStyle name="百分比 2 7 3 3 6" xfId="3463" xr:uid="{C6397D03-3BA5-4A4A-8F95-7BEF80B06DB3}"/>
    <cellStyle name="百分比 2 7 3 3 7" xfId="3464" xr:uid="{F40133F1-93EF-432E-A43E-6C328C461B87}"/>
    <cellStyle name="百分比 2 7 3 4" xfId="3465" xr:uid="{557F9EAF-9AEB-46AD-8062-11C2FB19E0AF}"/>
    <cellStyle name="百分比 2 7 3 4 2" xfId="3466" xr:uid="{653E1C64-A0D4-4B1C-8DD1-CE5689399739}"/>
    <cellStyle name="百分比 2 7 3 5" xfId="3467" xr:uid="{0EA975AB-037D-4A55-A169-E54C463F7B28}"/>
    <cellStyle name="百分比 2 7 3 5 2" xfId="3468" xr:uid="{07681A76-9D5C-4BC1-A5AC-51480E4A0F9D}"/>
    <cellStyle name="百分比 2 7 3 6" xfId="3469" xr:uid="{8C680B28-0EB9-4E8B-9D83-DC3415456C4A}"/>
    <cellStyle name="百分比 2 7 3 6 2" xfId="33130" xr:uid="{81A93AD0-CF67-4FCC-BEC4-7DBC40EB79DC}"/>
    <cellStyle name="百分比 2 7 3 7" xfId="3470" xr:uid="{FCD85EE4-FAE3-4337-B550-832F6C8B4D2A}"/>
    <cellStyle name="百分比 2 7 3 7 2" xfId="3471" xr:uid="{622E33D4-2F31-43AB-A089-1BAA53200CB1}"/>
    <cellStyle name="百分比 2 7 3 8" xfId="3472" xr:uid="{99542703-A5E7-44EA-AC39-40EAC09FE4CF}"/>
    <cellStyle name="百分比 2 7 3 9" xfId="3473" xr:uid="{6474D2AC-F284-4C7F-9192-BBAFDAD25C72}"/>
    <cellStyle name="百分比 2 7 4" xfId="3474" xr:uid="{8184DE48-7D30-4366-9DF7-2D028C8F5408}"/>
    <cellStyle name="百分比 2 7 4 2" xfId="3475" xr:uid="{299E4B73-9112-4EAA-BB45-AD2D6ADFA94A}"/>
    <cellStyle name="百分比 2 7 4 2 2" xfId="3476" xr:uid="{3EEC03E0-E98E-4BA8-A808-B9A0DBBB4AFF}"/>
    <cellStyle name="百分比 2 7 4 3" xfId="3477" xr:uid="{F5AFCF0E-0BEC-453C-83C1-66FBB4E7F86C}"/>
    <cellStyle name="百分比 2 7 4 4" xfId="3478" xr:uid="{18D5DF44-9E1E-4116-AD67-7AF651C7CC55}"/>
    <cellStyle name="百分比 2 7 4 4 2" xfId="33131" xr:uid="{7517A5E1-53D6-4587-990B-8D414A6D048C}"/>
    <cellStyle name="百分比 2 7 4 5" xfId="3479" xr:uid="{33C78591-76D7-4A4D-8548-ABA97A282B8A}"/>
    <cellStyle name="百分比 2 7 5" xfId="3480" xr:uid="{548C7F7A-741A-4988-A804-2503081D684A}"/>
    <cellStyle name="百分比 2 7 5 2" xfId="3481" xr:uid="{C5B25778-F111-4624-8B1E-96305C0066D3}"/>
    <cellStyle name="百分比 2 7 5 2 2" xfId="3482" xr:uid="{DF163160-9273-4806-9701-6E74BA78510B}"/>
    <cellStyle name="百分比 2 7 5 3" xfId="3483" xr:uid="{14436B49-00A1-45CC-AB9B-256A8C80C88D}"/>
    <cellStyle name="百分比 2 7 5 4" xfId="3484" xr:uid="{E626B854-65D1-4CDC-9F40-DF383A9FC4AE}"/>
    <cellStyle name="百分比 2 7 5 4 2" xfId="33132" xr:uid="{B02AEB4A-4C8C-45C3-AB06-638D9C7BA0D5}"/>
    <cellStyle name="百分比 2 7 6" xfId="3485" xr:uid="{D37C5394-ADAD-4E33-87AF-971F967A20B4}"/>
    <cellStyle name="百分比 2 7 6 2" xfId="3486" xr:uid="{D4B0C30F-6CC8-44EF-AA3A-992E90F71920}"/>
    <cellStyle name="百分比 2 7 6 3" xfId="3487" xr:uid="{096969B7-37BF-4F85-B16C-FC1EC086DE50}"/>
    <cellStyle name="百分比 2 7 6 4" xfId="3488" xr:uid="{A65E90FB-BDF4-4FC7-AC37-07152276BE51}"/>
    <cellStyle name="百分比 2 7 6 5" xfId="3489" xr:uid="{1B4EABEC-40A3-4D86-ABBB-DEB95477D4A6}"/>
    <cellStyle name="百分比 2 7 6 6" xfId="3490" xr:uid="{0A2555BE-F94E-4CE3-8FFF-4A74B1143941}"/>
    <cellStyle name="百分比 2 7 6 7" xfId="3491" xr:uid="{D08564B7-03D4-4A63-93B0-8146821EAA3F}"/>
    <cellStyle name="百分比 2 7 7" xfId="3492" xr:uid="{CA056A0E-6117-4BEA-8C65-310C256F80C4}"/>
    <cellStyle name="百分比 2 7 7 2" xfId="3493" xr:uid="{39C53CC5-4CE7-4FC0-B704-BD5B239A6AB0}"/>
    <cellStyle name="百分比 2 7 7 3" xfId="3494" xr:uid="{89525A4E-0066-408B-B0DC-B1720ABD71C7}"/>
    <cellStyle name="百分比 2 7 7 4" xfId="3495" xr:uid="{0AA1594B-5870-4B80-9A01-98560A9BE10B}"/>
    <cellStyle name="百分比 2 7 7 5" xfId="3496" xr:uid="{B59DA04A-B5C8-426F-B4C6-200FA265B61C}"/>
    <cellStyle name="百分比 2 7 7 6" xfId="3497" xr:uid="{49DB5473-DC84-49CA-9A62-C9DC4280DC0F}"/>
    <cellStyle name="百分比 2 7 7 7" xfId="3498" xr:uid="{D6EC0747-D4B1-4380-99BD-66BDB65E6637}"/>
    <cellStyle name="百分比 2 7 8" xfId="3499" xr:uid="{C83D276D-9C65-4400-8B34-2D5E4ACA3D56}"/>
    <cellStyle name="百分比 2 7 8 2" xfId="33133" xr:uid="{47A02B65-D7C6-459B-B44F-148DFAC8D412}"/>
    <cellStyle name="百分比 2 7 9" xfId="3500" xr:uid="{5BEB2555-714A-4DC3-9D13-8AB6CC6880AA}"/>
    <cellStyle name="百分比 2 8" xfId="3501" xr:uid="{F6EA13C3-5117-419A-B7F0-889F0CB03B24}"/>
    <cellStyle name="百分比 2 8 2" xfId="3502" xr:uid="{7FD1EE03-7F7A-41D6-B5E7-77D59B0D2046}"/>
    <cellStyle name="百分比 2 8 2 2" xfId="3503" xr:uid="{A1613D03-E36E-4AEB-90CB-2543FB3EE091}"/>
    <cellStyle name="百分比 2 8 2 2 2" xfId="3504" xr:uid="{82096A37-9B7B-41B7-ACC3-989CA37D32F6}"/>
    <cellStyle name="百分比 2 8 2 2 2 2" xfId="3505" xr:uid="{6C23CA93-9139-4025-A504-10ADE7F0214E}"/>
    <cellStyle name="百分比 2 8 2 2 3" xfId="3506" xr:uid="{71D316AB-BABB-4B72-A694-402206D1EC8E}"/>
    <cellStyle name="百分比 2 8 2 2 4" xfId="3507" xr:uid="{50C2891A-4407-4418-A209-3DD8B4C9AEA3}"/>
    <cellStyle name="百分比 2 8 2 2 4 2" xfId="33134" xr:uid="{FBBE6923-098B-40F0-8609-67B47E661D6B}"/>
    <cellStyle name="百分比 2 8 2 3" xfId="3508" xr:uid="{C87B78CD-B9F6-471B-A7A8-42082B31186B}"/>
    <cellStyle name="百分比 2 8 2 3 2" xfId="3509" xr:uid="{52B3EE85-54A5-49D1-9B54-ED37EBD61D3C}"/>
    <cellStyle name="百分比 2 8 2 3 2 2" xfId="3510" xr:uid="{ECD5AC14-4012-48F5-ADA7-DF038FC3CBAF}"/>
    <cellStyle name="百分比 2 8 2 3 3" xfId="3511" xr:uid="{E679081B-30A3-4B9C-8CB1-7F9A3D722CFF}"/>
    <cellStyle name="百分比 2 8 2 3 4" xfId="3512" xr:uid="{F0BCCD2F-1BDD-42A9-9C94-3EA42D87B027}"/>
    <cellStyle name="百分比 2 8 2 3 4 2" xfId="33135" xr:uid="{E8C28974-1A0B-452A-A7AB-2BF29FCA3A72}"/>
    <cellStyle name="百分比 2 8 2 4" xfId="3513" xr:uid="{130BDA71-4E83-42A6-BC6D-260DDBAE016A}"/>
    <cellStyle name="百分比 2 8 2 4 2" xfId="3514" xr:uid="{3DC4BEDE-776A-4519-BCE1-A728AA0A70F4}"/>
    <cellStyle name="百分比 2 8 2 5" xfId="3515" xr:uid="{9A250759-4D31-4325-BEF3-F9D7213C9D79}"/>
    <cellStyle name="百分比 2 8 2 6" xfId="3516" xr:uid="{C2328763-9C24-4643-8A29-725B22CB65BB}"/>
    <cellStyle name="百分比 2 8 2 6 2" xfId="33136" xr:uid="{1EA2B8A7-2B46-4616-AD6F-8BF1ED21641F}"/>
    <cellStyle name="百分比 2 8 3" xfId="3517" xr:uid="{43CC42B5-FA0A-4677-B8C7-EDAD7989977B}"/>
    <cellStyle name="百分比 2 8 3 2" xfId="3518" xr:uid="{8BF78DEE-2452-402A-B684-505B8E53F211}"/>
    <cellStyle name="百分比 2 8 3 2 2" xfId="3519" xr:uid="{A2C5E425-C149-48D0-BC13-33C4010AFFD5}"/>
    <cellStyle name="百分比 2 8 3 3" xfId="3520" xr:uid="{724413B5-23B9-430B-BA7A-9771533B2E51}"/>
    <cellStyle name="百分比 2 8 3 4" xfId="3521" xr:uid="{5115D05B-6DA3-4AF5-9115-677ACF94FFEC}"/>
    <cellStyle name="百分比 2 8 3 4 2" xfId="33137" xr:uid="{AE7A0D23-D072-4193-A234-8DE27DBC6EE1}"/>
    <cellStyle name="百分比 2 8 4" xfId="3522" xr:uid="{832F988D-1A95-4968-90A2-9240A89801B1}"/>
    <cellStyle name="百分比 2 8 4 2" xfId="3523" xr:uid="{A1C30CEC-A76C-4528-96A9-4F46128C41A4}"/>
    <cellStyle name="百分比 2 8 4 2 2" xfId="3524" xr:uid="{4FA6C2AF-09A5-4CB9-85EA-BD71A0607065}"/>
    <cellStyle name="百分比 2 8 4 3" xfId="3525" xr:uid="{163EF012-E261-412A-BDB8-6BEEC6352917}"/>
    <cellStyle name="百分比 2 8 4 4" xfId="3526" xr:uid="{25020CB1-4869-4A71-A08C-42C62B30A4FF}"/>
    <cellStyle name="百分比 2 8 4 4 2" xfId="33138" xr:uid="{E56470A1-E4CB-4E58-8E10-0746A56350BD}"/>
    <cellStyle name="百分比 2 8 5" xfId="3527" xr:uid="{E0C0F84C-50FE-4D12-A731-3FD9E4BB9AE7}"/>
    <cellStyle name="百分比 2 8 5 2" xfId="3528" xr:uid="{DCDAF3AD-36C2-4AA0-B5A3-9B12CDE862F8}"/>
    <cellStyle name="百分比 2 8 6" xfId="3529" xr:uid="{CD0ECF5F-EB2C-44AD-A228-4AFD241BFF38}"/>
    <cellStyle name="百分比 2 8 7" xfId="3530" xr:uid="{0651D903-CE89-40FE-97F3-0AEB96250A24}"/>
    <cellStyle name="百分比 2 8 7 2" xfId="33139" xr:uid="{604E7224-429E-432B-B9D7-6F54E25046C8}"/>
    <cellStyle name="百分比 2 8 8" xfId="3531" xr:uid="{AC110EA7-18DB-4657-A09B-7F5BC33E0361}"/>
    <cellStyle name="百分比 2 8 9" xfId="3532" xr:uid="{1C7DC3DB-F850-4CF5-9087-BF51B071E4E0}"/>
    <cellStyle name="百分比 2 9" xfId="3533" xr:uid="{8F30CDB2-0CDF-4E97-8D55-CF2FBBB53581}"/>
    <cellStyle name="百分比 2 9 10" xfId="3534" xr:uid="{E8B65C03-A562-496A-B980-84E8859D02FC}"/>
    <cellStyle name="百分比 2 9 2" xfId="3535" xr:uid="{76C0C2A8-D5D5-4DF0-9256-54A21300EC49}"/>
    <cellStyle name="百分比 2 9 2 2" xfId="3536" xr:uid="{B8C89B36-D3F7-4BD3-9362-7A7EBA886EBE}"/>
    <cellStyle name="百分比 2 9 2 2 2" xfId="3537" xr:uid="{10FA1A81-A0BC-4518-B8AF-6DE1F5F8252A}"/>
    <cellStyle name="百分比 2 9 2 2 2 2" xfId="3538" xr:uid="{4C3E3670-AD4C-4267-B5C2-4D872A89944C}"/>
    <cellStyle name="百分比 2 9 2 2 3" xfId="3539" xr:uid="{07F03F57-21D9-4CC0-855B-35D4275BCCEF}"/>
    <cellStyle name="百分比 2 9 2 2 3 2" xfId="3540" xr:uid="{D9E9F8F5-135B-49B5-B465-2E0D208BC228}"/>
    <cellStyle name="百分比 2 9 2 2 4" xfId="3541" xr:uid="{6C0A149B-94F2-4366-8771-2DBEAC2A5763}"/>
    <cellStyle name="百分比 2 9 2 2 4 2" xfId="33140" xr:uid="{E9969820-E59A-4158-9C15-CB7FAED9572D}"/>
    <cellStyle name="百分比 2 9 2 2 5" xfId="3542" xr:uid="{3B500D40-23BB-4E4F-B45B-C05C0CA508A0}"/>
    <cellStyle name="百分比 2 9 2 2 6" xfId="3543" xr:uid="{FE588553-58AF-4FDB-AB58-AEE072F52E40}"/>
    <cellStyle name="百分比 2 9 2 2 7" xfId="3544" xr:uid="{789F8B78-CB13-48CE-9512-1A8F5C336D46}"/>
    <cellStyle name="百分比 2 9 2 3" xfId="3545" xr:uid="{EFA3B347-094C-4481-92C0-9BD574E0763B}"/>
    <cellStyle name="百分比 2 9 2 3 2" xfId="3546" xr:uid="{9AABF928-B095-489A-B863-5256A60C7B6D}"/>
    <cellStyle name="百分比 2 9 2 4" xfId="3547" xr:uid="{26538B83-3F50-468E-8776-73389BEB5DFC}"/>
    <cellStyle name="百分比 2 9 2 4 2" xfId="3548" xr:uid="{7A8ACB24-BD75-4DE7-9BEF-AE942D65193C}"/>
    <cellStyle name="百分比 2 9 2 5" xfId="3549" xr:uid="{88B16630-6CA1-4A85-9B24-A65336BFC249}"/>
    <cellStyle name="百分比 2 9 2 5 2" xfId="33141" xr:uid="{101FAB59-8939-40B1-AFC9-619ACB769DA2}"/>
    <cellStyle name="百分比 2 9 2 6" xfId="3550" xr:uid="{08F4A5EC-A5E7-41F5-9CD4-03B8BDA8D71F}"/>
    <cellStyle name="百分比 2 9 2 7" xfId="3551" xr:uid="{1E23330A-BF22-48EC-9686-88D2310AC01E}"/>
    <cellStyle name="百分比 2 9 2 8" xfId="3552" xr:uid="{0FCC4DC7-837C-48A9-BDB8-AD51BA0C0C42}"/>
    <cellStyle name="百分比 2 9 3" xfId="3553" xr:uid="{22416C31-2FC0-47FD-862C-30B57639ED48}"/>
    <cellStyle name="百分比 2 9 3 2" xfId="3554" xr:uid="{5875F5B7-0925-495E-8562-6875CCE0F60C}"/>
    <cellStyle name="百分比 2 9 3 2 2" xfId="3555" xr:uid="{CCA5A4F9-05BB-4A6D-AD67-8DA5432D83CB}"/>
    <cellStyle name="百分比 2 9 3 2 3" xfId="3556" xr:uid="{27BE71BA-B470-4F55-BD59-7D6EF816479F}"/>
    <cellStyle name="百分比 2 9 3 2 4" xfId="3557" xr:uid="{12B2BC3F-969A-474E-9443-92591DD45C29}"/>
    <cellStyle name="百分比 2 9 3 2 5" xfId="3558" xr:uid="{F2726098-800A-41C4-ADFD-A3A3F22A37DA}"/>
    <cellStyle name="百分比 2 9 3 2 6" xfId="3559" xr:uid="{D4229C3F-70A5-4122-BEDC-67DF5A73D78B}"/>
    <cellStyle name="百分比 2 9 3 2 7" xfId="3560" xr:uid="{8312C963-0300-49DE-83F8-54BB251D99B1}"/>
    <cellStyle name="百分比 2 9 3 3" xfId="3561" xr:uid="{0E5E0145-1BDD-42D5-BBF8-F259040D8557}"/>
    <cellStyle name="百分比 2 9 3 3 2" xfId="3562" xr:uid="{E323C611-9A25-4149-A884-D6AF30AEA43B}"/>
    <cellStyle name="百分比 2 9 3 4" xfId="3563" xr:uid="{3037F4D0-9BBE-49DC-BB52-85FD3BE86B6F}"/>
    <cellStyle name="百分比 2 9 3 4 2" xfId="33142" xr:uid="{C9719B8E-0FA4-4854-8EF2-E94AA35F2FD9}"/>
    <cellStyle name="百分比 2 9 3 5" xfId="3564" xr:uid="{A422328D-3684-428C-86A6-6F0F15014E13}"/>
    <cellStyle name="百分比 2 9 3 6" xfId="3565" xr:uid="{AF96CD63-A4A5-4281-84F1-FC3EB09540CB}"/>
    <cellStyle name="百分比 2 9 3 7" xfId="3566" xr:uid="{39F19527-401B-49D7-8B8C-B1BEE6EFCB0A}"/>
    <cellStyle name="百分比 2 9 3 8" xfId="3567" xr:uid="{CDF479AD-2DFC-4DC2-A603-6C96898E8AEB}"/>
    <cellStyle name="百分比 2 9 4" xfId="3568" xr:uid="{7C0133D2-BA34-4693-9E2D-04BCA07BAC43}"/>
    <cellStyle name="百分比 2 9 4 2" xfId="3569" xr:uid="{169F0516-A361-4BF1-855C-531B31CE8D63}"/>
    <cellStyle name="百分比 2 9 4 3" xfId="3570" xr:uid="{AC9C0B56-25A7-4AF9-9A0C-86E9CA6C5D7D}"/>
    <cellStyle name="百分比 2 9 4 4" xfId="3571" xr:uid="{875B940A-1292-49C7-9B9D-9664E5FFB4E1}"/>
    <cellStyle name="百分比 2 9 4 5" xfId="3572" xr:uid="{718F2055-1844-4281-8F1D-3C454F61376F}"/>
    <cellStyle name="百分比 2 9 4 6" xfId="3573" xr:uid="{CBAC6C25-FA41-4211-BB0C-4A9675653F8C}"/>
    <cellStyle name="百分比 2 9 4 7" xfId="3574" xr:uid="{8274CAB3-9E72-4E17-96EE-90885C089DF5}"/>
    <cellStyle name="百分比 2 9 5" xfId="3575" xr:uid="{D0A586CB-C101-482F-8296-4FAEA334D4C8}"/>
    <cellStyle name="百分比 2 9 5 2" xfId="3576" xr:uid="{9392A40D-060A-47B2-89E5-DCF53480D1AA}"/>
    <cellStyle name="百分比 2 9 6" xfId="3577" xr:uid="{EF54C42E-D27F-4B83-9B14-D50C2206AB6E}"/>
    <cellStyle name="百分比 2 9 6 2" xfId="33143" xr:uid="{FF81CCFC-3D12-4873-BB19-0B0AA690BC5C}"/>
    <cellStyle name="百分比 2 9 7" xfId="3578" xr:uid="{777383AE-0D18-45EE-9205-D074848D6335}"/>
    <cellStyle name="百分比 2 9 8" xfId="3579" xr:uid="{10BAB105-C661-4B3E-83A3-FB2274997B2F}"/>
    <cellStyle name="百分比 2 9 9" xfId="3580" xr:uid="{79D401D4-96AA-4703-9F6F-A869BE281794}"/>
    <cellStyle name="百分比 20" xfId="3581" xr:uid="{148888B5-125F-4677-B28D-4D4222090106}"/>
    <cellStyle name="百分比 21" xfId="3582" xr:uid="{A4D0F62D-30F7-46CE-9EC7-2D099D87532F}"/>
    <cellStyle name="百分比 21 2" xfId="3583" xr:uid="{61D6B6CE-47B3-4853-8441-BD2FB85C6A5A}"/>
    <cellStyle name="百分比 22" xfId="3584" xr:uid="{03CA4713-77BC-416A-B48E-282676E7560A}"/>
    <cellStyle name="百分比 23" xfId="33144" xr:uid="{545D6033-DBBF-4B61-8654-A65730D6E887}"/>
    <cellStyle name="百分比 24" xfId="33145" xr:uid="{7F0DDA56-3E4D-4484-9FE2-317A14428E83}"/>
    <cellStyle name="百分比 25" xfId="33146" xr:uid="{E28FDBEF-F8E5-4CEA-B76F-9B05512AD69F}"/>
    <cellStyle name="百分比 3" xfId="3585" xr:uid="{3971CEF7-2ED0-4630-BBD9-2C823416227B}"/>
    <cellStyle name="百分比 3 2" xfId="3586" xr:uid="{17D3E2B3-7FD8-422C-B066-1E0894EDAD09}"/>
    <cellStyle name="百分比 3 2 2" xfId="3587" xr:uid="{A57760DB-866E-44CB-A8C8-2D8D28ABC10D}"/>
    <cellStyle name="百分比 3 2 2 2" xfId="3588" xr:uid="{04C3EABA-6C44-4FA0-914B-497CF984EC08}"/>
    <cellStyle name="百分比 3 2 2 2 2" xfId="3589" xr:uid="{B093326D-6651-4B3E-9645-A59D0CACD60E}"/>
    <cellStyle name="百分比 3 2 2 2 2 2" xfId="3590" xr:uid="{D0B95D48-93FA-4472-AA37-45E729845948}"/>
    <cellStyle name="百分比 3 2 2 2 3" xfId="3591" xr:uid="{068C03D4-2B00-42EF-95DA-C24F60D06ED2}"/>
    <cellStyle name="百分比 3 2 2 2 4" xfId="3592" xr:uid="{0549312C-0315-470E-AD49-0680383C7FF9}"/>
    <cellStyle name="百分比 3 2 2 2 4 2" xfId="33147" xr:uid="{83FEDD1E-F4D5-440F-9AFB-72CB26C2C579}"/>
    <cellStyle name="百分比 3 2 2 3" xfId="3593" xr:uid="{E0D469AE-8143-4D19-A2D7-19855C1F3F99}"/>
    <cellStyle name="百分比 3 2 2 3 2" xfId="3594" xr:uid="{A5F81FB4-A7A1-4E43-AD98-7C4156B4607B}"/>
    <cellStyle name="百分比 3 2 2 4" xfId="3595" xr:uid="{B7AED401-E829-4196-A93E-A94300378304}"/>
    <cellStyle name="百分比 3 2 2 5" xfId="3596" xr:uid="{A99C18F8-3D7C-48EE-92BC-D6CE3800A328}"/>
    <cellStyle name="百分比 3 2 2 5 2" xfId="33148" xr:uid="{8595282D-BD33-44E4-9A60-ED349A3435D5}"/>
    <cellStyle name="百分比 3 2 2 6" xfId="3597" xr:uid="{F7030A76-28D0-470D-9169-37A121908440}"/>
    <cellStyle name="百分比 3 2 2 7" xfId="3598" xr:uid="{E0650AB6-5892-4152-8024-8A87B2E10F4B}"/>
    <cellStyle name="百分比 3 2 3" xfId="3599" xr:uid="{34E6FACB-C7A1-456C-84C5-63E8DDF7D183}"/>
    <cellStyle name="百分比 3 2 3 2" xfId="3600" xr:uid="{D9B2D820-B0C8-4326-B568-8719B2AADCAB}"/>
    <cellStyle name="百分比 3 2 3 2 2" xfId="3601" xr:uid="{49703722-9454-462C-B5BA-B0D50D4350A5}"/>
    <cellStyle name="百分比 3 2 3 2 2 2" xfId="3602" xr:uid="{27A3A312-0995-4D3A-A0C1-E3B5F1390A34}"/>
    <cellStyle name="百分比 3 2 3 2 3" xfId="3603" xr:uid="{E7BA02B7-1A82-4E37-AE08-EF38F71B10F3}"/>
    <cellStyle name="百分比 3 2 3 2 4" xfId="3604" xr:uid="{00FEE4BB-4B5E-450E-8312-9D26165F490B}"/>
    <cellStyle name="百分比 3 2 3 2 4 2" xfId="33149" xr:uid="{75E85B30-6470-4B79-9F19-135821DC926B}"/>
    <cellStyle name="百分比 3 2 3 3" xfId="3605" xr:uid="{E843E65F-0B8D-4361-B963-E370A4032368}"/>
    <cellStyle name="百分比 3 2 3 3 2" xfId="3606" xr:uid="{E612C673-0946-403B-A629-1ACE092FEDB3}"/>
    <cellStyle name="百分比 3 2 3 4" xfId="3607" xr:uid="{AE7C2A8C-C51F-43D5-9978-C7D1AB8E5EB2}"/>
    <cellStyle name="百分比 3 2 3 5" xfId="3608" xr:uid="{8027A4A5-FDE3-4F61-B3AD-0225F116DA89}"/>
    <cellStyle name="百分比 3 2 3 5 2" xfId="33150" xr:uid="{B568CF17-9A61-4415-8FFE-804690BAB006}"/>
    <cellStyle name="百分比 3 2 4" xfId="3609" xr:uid="{282B0114-D1F1-4947-A978-27D992CB9A98}"/>
    <cellStyle name="百分比 3 2 4 2" xfId="3610" xr:uid="{DB6633A9-6E6D-493D-9547-C868264C07A6}"/>
    <cellStyle name="百分比 3 2 5" xfId="3611" xr:uid="{6F70C413-24FD-49E8-86EC-21694944CEAB}"/>
    <cellStyle name="百分比 3 2 5 2" xfId="3612" xr:uid="{48BCED63-31FB-40C3-A5E2-3FDD9BDFAB8A}"/>
    <cellStyle name="百分比 3 2 6" xfId="3613" xr:uid="{110E9B44-F888-4D53-80DE-979262125346}"/>
    <cellStyle name="百分比 3 2 6 2" xfId="3614" xr:uid="{48CF1E49-3BDC-423F-8B7A-7E5D985EA9D8}"/>
    <cellStyle name="百分比 3 2 7" xfId="3615" xr:uid="{C8622875-C1BA-4F9C-A67F-67F05953F731}"/>
    <cellStyle name="百分比 3 2 7 2" xfId="3616" xr:uid="{4C65DF58-34B0-4B51-BADF-5AC2F163415C}"/>
    <cellStyle name="百分比 3 2 8" xfId="33151" xr:uid="{BB3F86D9-1677-4D4A-95DF-9E39DAB5A611}"/>
    <cellStyle name="百分比 3 3" xfId="3617" xr:uid="{1F42961B-08D8-499F-B366-EB0AFDC194E0}"/>
    <cellStyle name="百分比 3 3 2" xfId="3618" xr:uid="{4552E7BC-9760-4161-B85C-101ABC69E797}"/>
    <cellStyle name="百分比 3 3 2 2" xfId="3619" xr:uid="{5E0374CB-5001-498D-BA5E-569AC19E52AC}"/>
    <cellStyle name="百分比 3 3 2 2 2" xfId="3620" xr:uid="{9F7EADDC-5B7B-497F-A0A3-5E8707C53B2F}"/>
    <cellStyle name="百分比 3 3 2 3" xfId="3621" xr:uid="{4FFB7F62-4FFF-4069-9098-FAC08F95F6CE}"/>
    <cellStyle name="百分比 3 3 2 4" xfId="3622" xr:uid="{A387BEC3-F07B-4D90-9B4C-8EC5B1F97BFB}"/>
    <cellStyle name="百分比 3 3 2 4 2" xfId="33152" xr:uid="{1D3AF18B-8678-4C23-B80A-85F7B17C2380}"/>
    <cellStyle name="百分比 3 3 2 5" xfId="3623" xr:uid="{B2154DEA-FDF2-42B5-AE0D-9CA37CD92478}"/>
    <cellStyle name="百分比 3 3 3" xfId="3624" xr:uid="{2F670367-69D2-411C-92FE-8279678951F1}"/>
    <cellStyle name="百分比 3 3 3 2" xfId="3625" xr:uid="{B1555C40-2387-4FD4-8CEF-9BF7389FFDA2}"/>
    <cellStyle name="百分比 3 3 3 2 2" xfId="3626" xr:uid="{440AF653-7CCB-4B81-B1D9-DC692835B6EB}"/>
    <cellStyle name="百分比 3 3 3 3" xfId="3627" xr:uid="{4A1CC8FB-FAD8-4A2C-BA21-3F5E0DD5CE17}"/>
    <cellStyle name="百分比 3 3 3 4" xfId="3628" xr:uid="{E6A225F1-006D-4A0E-A54F-57FA174D76CD}"/>
    <cellStyle name="百分比 3 3 3 4 2" xfId="33153" xr:uid="{BE6D0F69-1BDA-4EC8-90A3-FF379DD3B3FC}"/>
    <cellStyle name="百分比 3 3 4" xfId="3629" xr:uid="{0E6A9307-807C-401F-91A8-0B02A34D8C1E}"/>
    <cellStyle name="百分比 3 4" xfId="3630" xr:uid="{428CB93E-A3E4-42BD-BA89-9A5E86DEE47E}"/>
    <cellStyle name="百分比 3 4 10" xfId="3631" xr:uid="{33F21BB5-6D37-4DB2-9EDD-1AD7DA381DD7}"/>
    <cellStyle name="百分比 3 4 11" xfId="3632" xr:uid="{731182AB-DDA4-4269-9072-C74FB6E2E1D7}"/>
    <cellStyle name="百分比 3 4 12" xfId="33154" xr:uid="{7C6A2359-7203-44D0-AE5C-B2187B4BAFDD}"/>
    <cellStyle name="百分比 3 4 2" xfId="3633" xr:uid="{DE6AD45C-B7BD-4F24-B827-2CA79BECC246}"/>
    <cellStyle name="百分比 3 4 2 2" xfId="3634" xr:uid="{ACE4AAC8-A90C-4FEA-9374-F32A26E2D4D1}"/>
    <cellStyle name="百分比 3 4 2 2 2" xfId="3635" xr:uid="{B2366F91-2E17-45C1-B189-094C7C6F3419}"/>
    <cellStyle name="百分比 3 4 2 2 3" xfId="3636" xr:uid="{8AA8F69E-5A2F-4D4C-BD6C-4B6E5466287C}"/>
    <cellStyle name="百分比 3 4 2 2 4" xfId="3637" xr:uid="{3EA7724B-B18A-40F3-89C3-2C159BE9EEF1}"/>
    <cellStyle name="百分比 3 4 2 2 5" xfId="3638" xr:uid="{40850758-469E-42C7-9D64-E5193A910DD0}"/>
    <cellStyle name="百分比 3 4 2 2 6" xfId="3639" xr:uid="{D1EE43CB-BEEC-4606-BD02-442B02C25E10}"/>
    <cellStyle name="百分比 3 4 2 2 7" xfId="3640" xr:uid="{24638E53-3A6C-47A2-A782-F2C173CAF692}"/>
    <cellStyle name="百分比 3 4 2 3" xfId="3641" xr:uid="{1D74D250-1EDA-477A-9729-906866F1C6F5}"/>
    <cellStyle name="百分比 3 4 2 3 2" xfId="3642" xr:uid="{1A79579F-68C7-4205-8C45-96A3E816AA3E}"/>
    <cellStyle name="百分比 3 4 2 4" xfId="3643" xr:uid="{96DD93FB-65BF-4619-A669-98C89EBA36CD}"/>
    <cellStyle name="百分比 3 4 2 4 2" xfId="33155" xr:uid="{387D8CC7-4889-47B4-8DD6-2A8692F833FD}"/>
    <cellStyle name="百分比 3 4 2 5" xfId="3644" xr:uid="{B3988548-3932-4024-BC25-1049D9DF9128}"/>
    <cellStyle name="百分比 3 4 2 6" xfId="3645" xr:uid="{63D37CF6-2F68-46F4-837D-F31151781706}"/>
    <cellStyle name="百分比 3 4 2 7" xfId="3646" xr:uid="{1F225A1C-AC61-4C00-AC29-CF61E75EF208}"/>
    <cellStyle name="百分比 3 4 2 8" xfId="3647" xr:uid="{7F918283-B1E9-488F-82F3-7E6FFA974C36}"/>
    <cellStyle name="百分比 3 4 3" xfId="3648" xr:uid="{DCE14687-BF3E-4ABD-99D4-AA2573A3A185}"/>
    <cellStyle name="百分比 3 4 3 2" xfId="3649" xr:uid="{4C044D7D-AB94-4D94-B495-301079A25556}"/>
    <cellStyle name="百分比 3 4 3 2 2" xfId="3650" xr:uid="{82AFEA5B-FB26-49BC-A6D6-A7C1FC09AA44}"/>
    <cellStyle name="百分比 3 4 3 2 3" xfId="3651" xr:uid="{DE1C42EC-C12C-4846-A949-7C2599FDF5A6}"/>
    <cellStyle name="百分比 3 4 3 2 4" xfId="3652" xr:uid="{4305A2D3-F2D9-407A-BE40-BB6FAF49C141}"/>
    <cellStyle name="百分比 3 4 3 2 5" xfId="3653" xr:uid="{A715A105-A9C8-42EE-9C91-D096321593DC}"/>
    <cellStyle name="百分比 3 4 3 2 6" xfId="3654" xr:uid="{11288F7D-708F-48B1-A229-2320EE21C771}"/>
    <cellStyle name="百分比 3 4 3 3" xfId="3655" xr:uid="{B4507F4D-F9BA-443D-BE87-11DC368078B9}"/>
    <cellStyle name="百分比 3 4 3 4" xfId="3656" xr:uid="{DB97DFFB-EF27-4923-A4E4-A75AFB08759E}"/>
    <cellStyle name="百分比 3 4 3 5" xfId="3657" xr:uid="{2D7ACAB5-117B-499A-B83A-EAD460AD8324}"/>
    <cellStyle name="百分比 3 4 3 6" xfId="3658" xr:uid="{D2324A0C-A8D9-411E-83A6-7292F7CDE489}"/>
    <cellStyle name="百分比 3 4 3 7" xfId="3659" xr:uid="{87AB99B6-2D44-4087-92AD-CD9EE23B6391}"/>
    <cellStyle name="百分比 3 4 3 8" xfId="3660" xr:uid="{1675DC79-8B85-4BD7-AA37-73D736BB1154}"/>
    <cellStyle name="百分比 3 4 4" xfId="3661" xr:uid="{921CA89B-D470-413C-9B6A-89DFA35C8FF0}"/>
    <cellStyle name="百分比 3 4 4 2" xfId="3662" xr:uid="{5B0BF2A8-29D6-439F-876C-892B2A64A617}"/>
    <cellStyle name="百分比 3 4 4 3" xfId="3663" xr:uid="{0F7A3DA8-AC64-439C-9A05-B8E940E7D896}"/>
    <cellStyle name="百分比 3 4 4 4" xfId="3664" xr:uid="{9CA01EC5-D4B6-4519-B9CF-97E2950A8F91}"/>
    <cellStyle name="百分比 3 4 4 5" xfId="3665" xr:uid="{4D695776-C89C-4279-BFBD-D6F0A1592A41}"/>
    <cellStyle name="百分比 3 4 4 6" xfId="3666" xr:uid="{4AD8C464-FF68-4436-9CBC-EA68FA3CB02E}"/>
    <cellStyle name="百分比 3 4 4 7" xfId="3667" xr:uid="{4B20BCBF-2ABA-470C-B5F7-70D97CF9FBBA}"/>
    <cellStyle name="百分比 3 4 5" xfId="3668" xr:uid="{0C6B3B37-982A-4AA8-B7BC-28FF087C7AC6}"/>
    <cellStyle name="百分比 3 4 5 2" xfId="33156" xr:uid="{9DC223C6-7180-4085-BE0F-2F892FFB1B5E}"/>
    <cellStyle name="百分比 3 4 6" xfId="3669" xr:uid="{4A8A6E73-23C1-4B5E-9999-C1129964BBD0}"/>
    <cellStyle name="百分比 3 4 6 2" xfId="3670" xr:uid="{0DC8E712-4849-419F-96DA-C5CBCDCD917E}"/>
    <cellStyle name="百分比 3 4 7" xfId="3671" xr:uid="{C2C0E05A-A2C5-41D3-8E84-F8548008BEDC}"/>
    <cellStyle name="百分比 3 4 8" xfId="3672" xr:uid="{C6117082-B99C-4744-9F2A-AB3DA318416D}"/>
    <cellStyle name="百分比 3 4 9" xfId="3673" xr:uid="{A1E72030-0CFD-4BF4-A653-5B59D7E9AB9F}"/>
    <cellStyle name="百分比 3 5" xfId="3674" xr:uid="{2A16432D-6166-420D-B6E8-49D210098BA1}"/>
    <cellStyle name="百分比 3 5 10" xfId="3675" xr:uid="{18497277-933C-4356-820F-D4F6C31E0C40}"/>
    <cellStyle name="百分比 3 5 11" xfId="33157" xr:uid="{1899E565-D20A-4F1F-A170-4CA942A1B3FC}"/>
    <cellStyle name="百分比 3 5 2" xfId="3676" xr:uid="{E3BC1003-C6CE-4AEA-8A2F-E2A392D7D6ED}"/>
    <cellStyle name="百分比 3 5 2 2" xfId="3677" xr:uid="{B19362E3-22AD-4570-BD9A-468C4F74A433}"/>
    <cellStyle name="百分比 3 5 2 2 2" xfId="3678" xr:uid="{C5589D8F-2BA2-4E5B-A0F6-3D7FEA148B5E}"/>
    <cellStyle name="百分比 3 5 2 2 3" xfId="3679" xr:uid="{D8A2AC2A-C396-48EC-A47B-9B2BA51C5082}"/>
    <cellStyle name="百分比 3 5 2 2 4" xfId="3680" xr:uid="{7E6D996E-2125-465F-9006-FEA03C511CD9}"/>
    <cellStyle name="百分比 3 5 2 2 5" xfId="3681" xr:uid="{A4F1CE7D-4681-43D6-87B0-C8AE8E6A59F6}"/>
    <cellStyle name="百分比 3 5 2 2 6" xfId="3682" xr:uid="{2A86B9FC-82F2-4AA3-B5D2-52B6E0459BEA}"/>
    <cellStyle name="百分比 3 5 2 3" xfId="3683" xr:uid="{A0D082A2-5352-4C30-B0C6-E6B51D4DF0AF}"/>
    <cellStyle name="百分比 3 5 2 4" xfId="3684" xr:uid="{A9F10B44-E6B4-41CE-95B4-6A92C003AAFE}"/>
    <cellStyle name="百分比 3 5 2 5" xfId="3685" xr:uid="{DCC564E9-DF83-4E9D-B2D4-EB5492189BA0}"/>
    <cellStyle name="百分比 3 5 2 6" xfId="3686" xr:uid="{1A386928-E128-4FF4-B936-78608BB4254B}"/>
    <cellStyle name="百分比 3 5 2 7" xfId="3687" xr:uid="{87D3E958-83F4-4089-8D7B-A3DC67CB7191}"/>
    <cellStyle name="百分比 3 5 2 8" xfId="3688" xr:uid="{62230E5D-C4EE-41CD-8166-63FDA7A6D916}"/>
    <cellStyle name="百分比 3 5 3" xfId="3689" xr:uid="{8E8DEF61-9F60-4CF5-A5DA-8417A353BCD9}"/>
    <cellStyle name="百分比 3 5 3 2" xfId="3690" xr:uid="{8C96DA4B-0324-4422-9EE1-F3FA85B9DF2C}"/>
    <cellStyle name="百分比 3 5 3 2 2" xfId="3691" xr:uid="{EC924104-AA62-4D05-8755-1095C75BC89A}"/>
    <cellStyle name="百分比 3 5 3 2 3" xfId="3692" xr:uid="{D057F29F-3968-4B0D-ABA7-BD3D75A7EEFB}"/>
    <cellStyle name="百分比 3 5 3 2 4" xfId="3693" xr:uid="{3D5B1077-D1FE-470F-BCDD-05E23067F391}"/>
    <cellStyle name="百分比 3 5 3 2 5" xfId="3694" xr:uid="{45B588F7-F221-458C-A5BD-E37E8FDF023E}"/>
    <cellStyle name="百分比 3 5 3 2 6" xfId="3695" xr:uid="{198A9B13-AE4E-4336-A89C-726049B19DFE}"/>
    <cellStyle name="百分比 3 5 3 3" xfId="3696" xr:uid="{190FE707-DFDC-40AB-892B-F3D8FC3582F3}"/>
    <cellStyle name="百分比 3 5 3 4" xfId="3697" xr:uid="{ED34D08A-99DF-487A-A452-2FD2AA08E9A5}"/>
    <cellStyle name="百分比 3 5 3 5" xfId="3698" xr:uid="{8E40F457-068A-4E3C-828C-2A71A6D16757}"/>
    <cellStyle name="百分比 3 5 3 6" xfId="3699" xr:uid="{79896532-6CC1-4A91-83AD-B5934043CA1B}"/>
    <cellStyle name="百分比 3 5 3 7" xfId="3700" xr:uid="{616169BD-9CE2-4E7E-87D8-408E9BD27CEE}"/>
    <cellStyle name="百分比 3 5 3 8" xfId="3701" xr:uid="{8A40BA95-4463-4446-8B6B-DC3CB794DEC3}"/>
    <cellStyle name="百分比 3 5 4" xfId="3702" xr:uid="{7D5A4E85-736C-4930-A0B9-F4FD68D191AB}"/>
    <cellStyle name="百分比 3 5 4 2" xfId="3703" xr:uid="{C644E372-2E56-4D1B-A055-144D4B557A0F}"/>
    <cellStyle name="百分比 3 5 4 3" xfId="3704" xr:uid="{828600C9-CDCB-4C18-9AC0-0FE1AD6AE1D2}"/>
    <cellStyle name="百分比 3 5 4 4" xfId="3705" xr:uid="{17E1D84A-6E00-43C7-BC4F-EE520FC40144}"/>
    <cellStyle name="百分比 3 5 4 5" xfId="3706" xr:uid="{E0073022-7EC1-4E64-B60B-22B78EDA3DFE}"/>
    <cellStyle name="百分比 3 5 4 6" xfId="3707" xr:uid="{5A0161E9-DD82-44A8-B34D-0298091CB77C}"/>
    <cellStyle name="百分比 3 5 5" xfId="3708" xr:uid="{DB0DA9D9-E78E-4F2D-AC5B-9BEF76A29474}"/>
    <cellStyle name="百分比 3 5 6" xfId="3709" xr:uid="{D5932CBA-DCFB-43C1-9072-B4E91D285560}"/>
    <cellStyle name="百分比 3 5 7" xfId="3710" xr:uid="{6BF6E4A2-E535-4AC8-AEC2-2376A5F48D52}"/>
    <cellStyle name="百分比 3 5 8" xfId="3711" xr:uid="{0070FF9E-4B14-418C-9583-A27A651C8961}"/>
    <cellStyle name="百分比 3 5 9" xfId="3712" xr:uid="{19310946-B9E4-4783-BECA-F18C9EE2070A}"/>
    <cellStyle name="百分比 3 6" xfId="3713" xr:uid="{429510E6-8151-41F8-9DC9-E8E817B86036}"/>
    <cellStyle name="百分比 3 6 2" xfId="3714" xr:uid="{E6320F05-D3F2-4CFE-B0DB-659102747CFF}"/>
    <cellStyle name="百分比 3 6 3" xfId="3715" xr:uid="{76A834ED-8357-4CF2-9432-91A4FDEC1B6E}"/>
    <cellStyle name="百分比 3 6 3 2" xfId="3716" xr:uid="{D6B91BEB-F4CF-4B26-8548-5B52B764F261}"/>
    <cellStyle name="百分比 3 6 3 3" xfId="3717" xr:uid="{C820FFC8-39E1-482A-A397-5367701FA4EA}"/>
    <cellStyle name="百分比 3 6 3 4" xfId="3718" xr:uid="{943E7C0D-983E-4D16-A4FA-AF36FE0CFB98}"/>
    <cellStyle name="百分比 3 6 3 5" xfId="3719" xr:uid="{1A7FA19A-BC47-431B-B9C2-D354D077FD24}"/>
    <cellStyle name="百分比 3 6 3 6" xfId="3720" xr:uid="{48E730A5-322C-4BF7-BC37-3486892B815E}"/>
    <cellStyle name="百分比 3 6 4" xfId="3721" xr:uid="{40B679D8-17DA-4B49-B8F4-255588A45393}"/>
    <cellStyle name="百分比 3 6 5" xfId="3722" xr:uid="{33B92B60-D56D-4F20-B91A-D38BE6E61C20}"/>
    <cellStyle name="百分比 3 6 6" xfId="3723" xr:uid="{4714C81D-2621-41D0-87DA-794F9E9890C5}"/>
    <cellStyle name="百分比 3 6 7" xfId="3724" xr:uid="{9831BA10-F468-4958-BA4A-722B55672202}"/>
    <cellStyle name="百分比 3 6 8" xfId="3725" xr:uid="{71CCC4D6-13C4-41A6-9C52-EC3BBBD720DB}"/>
    <cellStyle name="百分比 3 7" xfId="3726" xr:uid="{1340A975-22F1-4922-B5D4-A5FD11D835E9}"/>
    <cellStyle name="百分比 3 8" xfId="3727" xr:uid="{F78F3899-7AE5-4962-A7B9-250536ABA622}"/>
    <cellStyle name="百分比 4" xfId="3728" xr:uid="{C0D1AA56-0AED-4F0C-A7BD-E0D37C12D319}"/>
    <cellStyle name="百分比 4 10" xfId="3729" xr:uid="{3D6A47B2-8FC9-4F9A-A634-C55F98CA2173}"/>
    <cellStyle name="百分比 4 10 10" xfId="3730" xr:uid="{DFFD7FB9-30E3-471D-8937-7378AEF07A24}"/>
    <cellStyle name="百分比 4 10 11" xfId="3731" xr:uid="{9F924F8B-2939-4461-BE1A-86C0841FEFE9}"/>
    <cellStyle name="百分比 4 10 12" xfId="3732" xr:uid="{536ADFF1-F93A-4B84-BD4D-01F589E9E8B2}"/>
    <cellStyle name="百分比 4 10 13" xfId="3733" xr:uid="{25FBE3F8-F7D5-4C8B-9CCC-CD3A3DDE1396}"/>
    <cellStyle name="百分比 4 10 2" xfId="3734" xr:uid="{0FD122EA-C7B8-493B-95BB-37747B65054B}"/>
    <cellStyle name="百分比 4 10 2 2" xfId="3735" xr:uid="{B13134BB-CBDC-4FA3-8CEF-E5D2DEA70404}"/>
    <cellStyle name="百分比 4 10 2 2 2" xfId="3736" xr:uid="{C1963175-5B24-40CE-8EA4-AD98470506BF}"/>
    <cellStyle name="百分比 4 10 2 2 3" xfId="3737" xr:uid="{47C4A6D1-5C61-408E-821D-C9B0C868FFDF}"/>
    <cellStyle name="百分比 4 10 2 2 4" xfId="3738" xr:uid="{850DCC62-DE07-4906-BB5E-3CCA164E9986}"/>
    <cellStyle name="百分比 4 10 2 2 5" xfId="3739" xr:uid="{4E3249E4-5FB7-4A41-A7F6-F41BD3D4412D}"/>
    <cellStyle name="百分比 4 10 2 2 6" xfId="3740" xr:uid="{7F6F3CAD-02A2-4C1F-A599-861642E268D5}"/>
    <cellStyle name="百分比 4 10 2 3" xfId="3741" xr:uid="{A4A93632-6189-4A49-A716-67ADF64A3288}"/>
    <cellStyle name="百分比 4 10 2 4" xfId="3742" xr:uid="{9E98F334-D556-4B31-90BA-9F693DB75192}"/>
    <cellStyle name="百分比 4 10 2 5" xfId="3743" xr:uid="{3C70A7DC-3551-4FAB-B8E8-4B2C05A8F70B}"/>
    <cellStyle name="百分比 4 10 2 6" xfId="3744" xr:uid="{A34B739C-DBC3-4D7E-B68D-BDD43C37CE7A}"/>
    <cellStyle name="百分比 4 10 2 7" xfId="3745" xr:uid="{5330EB21-0C88-4413-9619-DE19CC92E361}"/>
    <cellStyle name="百分比 4 10 2 8" xfId="3746" xr:uid="{EBDCE028-01BA-48D8-9337-1C43149F6D10}"/>
    <cellStyle name="百分比 4 10 3" xfId="3747" xr:uid="{23C4EBA2-D630-4E04-A7A6-3BAB03EA3D94}"/>
    <cellStyle name="百分比 4 10 3 2" xfId="3748" xr:uid="{B9C603BB-F047-4690-939B-A57ABDC77E1F}"/>
    <cellStyle name="百分比 4 10 3 2 2" xfId="3749" xr:uid="{CD5114C7-0EAF-4F01-BDD9-80F1431E02A8}"/>
    <cellStyle name="百分比 4 10 3 2 3" xfId="3750" xr:uid="{E2B714D0-0ED8-414A-9139-189EAB9C56C5}"/>
    <cellStyle name="百分比 4 10 3 2 4" xfId="3751" xr:uid="{191B1A37-CE24-4D1D-85EE-8FC8BAA308E6}"/>
    <cellStyle name="百分比 4 10 3 2 5" xfId="3752" xr:uid="{4CFF9FF0-AC18-44FE-B3A1-CAD0C44F70E7}"/>
    <cellStyle name="百分比 4 10 3 2 6" xfId="3753" xr:uid="{E262939A-71A4-49AC-9606-E6F308599CBA}"/>
    <cellStyle name="百分比 4 10 3 3" xfId="3754" xr:uid="{5D0E4DC7-B867-4EB9-8E1A-FD08320B6F6A}"/>
    <cellStyle name="百分比 4 10 3 4" xfId="3755" xr:uid="{2584B450-2948-47FE-9B46-0756ADD801CD}"/>
    <cellStyle name="百分比 4 10 3 5" xfId="3756" xr:uid="{8401B949-8891-4DFE-A235-434B18163F4D}"/>
    <cellStyle name="百分比 4 10 3 6" xfId="3757" xr:uid="{1ACA974C-DFB6-4EA1-919C-51DEE62F6967}"/>
    <cellStyle name="百分比 4 10 3 7" xfId="3758" xr:uid="{9E6C8F18-C592-433B-842E-348B97395129}"/>
    <cellStyle name="百分比 4 10 3 8" xfId="3759" xr:uid="{8B66EF73-CF33-4586-B6E1-6702ECE1ECB0}"/>
    <cellStyle name="百分比 4 10 4" xfId="3760" xr:uid="{C50F1ED4-AC46-4F46-8E7E-DE4A821EB384}"/>
    <cellStyle name="百分比 4 10 4 2" xfId="3761" xr:uid="{CB412DD9-0842-4DD1-A580-F7F264DCB349}"/>
    <cellStyle name="百分比 4 10 4 2 2" xfId="3762" xr:uid="{052A17E1-7591-4F27-8F70-21D9011DF5B6}"/>
    <cellStyle name="百分比 4 10 4 2 3" xfId="3763" xr:uid="{4CB34733-D318-49A2-90CE-4801E574409D}"/>
    <cellStyle name="百分比 4 10 4 2 4" xfId="3764" xr:uid="{DEA53C6F-503C-4E9D-941E-2FFA689F341D}"/>
    <cellStyle name="百分比 4 10 4 2 5" xfId="3765" xr:uid="{53B0C29F-3568-4186-B065-527549918DF2}"/>
    <cellStyle name="百分比 4 10 4 2 6" xfId="3766" xr:uid="{7B3EEA6D-B997-4D6D-AC06-CAB489D2954F}"/>
    <cellStyle name="百分比 4 10 4 3" xfId="3767" xr:uid="{AC82848B-A6AF-4BE5-B536-FAF4AE26EEB2}"/>
    <cellStyle name="百分比 4 10 4 4" xfId="3768" xr:uid="{4ACBDBCF-2856-40F2-9A20-4B846DE123DD}"/>
    <cellStyle name="百分比 4 10 4 5" xfId="3769" xr:uid="{2AA0D4BD-D36C-4AF1-A345-176941A72629}"/>
    <cellStyle name="百分比 4 10 4 6" xfId="3770" xr:uid="{6347EBD5-6C02-42B1-8A5F-C6B3B6BE20BC}"/>
    <cellStyle name="百分比 4 10 4 7" xfId="3771" xr:uid="{8FC59912-AC8A-48B6-8832-AFC732F826E5}"/>
    <cellStyle name="百分比 4 10 4 8" xfId="33158" xr:uid="{089BBF05-06BD-4D06-B0E9-E7DECD48D165}"/>
    <cellStyle name="百分比 4 10 5" xfId="3772" xr:uid="{DD778F78-8C1F-4D78-9EAC-8AE4DA094953}"/>
    <cellStyle name="百分比 4 10 5 2" xfId="3773" xr:uid="{4093000F-0A69-4019-B34A-8829D9B43147}"/>
    <cellStyle name="百分比 4 10 5 2 2" xfId="3774" xr:uid="{F6952678-3FC2-4F79-A6A8-322F774F3F16}"/>
    <cellStyle name="百分比 4 10 5 2 3" xfId="3775" xr:uid="{8A187C27-E28B-4D87-9C45-8057D98D7F66}"/>
    <cellStyle name="百分比 4 10 5 2 4" xfId="3776" xr:uid="{29DD6C26-3941-42CE-8A2B-E8CD3CDE83EA}"/>
    <cellStyle name="百分比 4 10 5 2 5" xfId="3777" xr:uid="{B6466E1E-A126-4CBA-AE46-76F2512B1455}"/>
    <cellStyle name="百分比 4 10 5 2 6" xfId="3778" xr:uid="{19258C08-0D5F-4D75-B271-649E1E6BC5A8}"/>
    <cellStyle name="百分比 4 10 5 3" xfId="3779" xr:uid="{D39F7FA1-41DB-4F29-9849-2A60FD71A059}"/>
    <cellStyle name="百分比 4 10 5 4" xfId="3780" xr:uid="{AC17835C-797C-49CB-9931-4234AA6E6BBA}"/>
    <cellStyle name="百分比 4 10 5 5" xfId="3781" xr:uid="{8A4F8B5B-4CE2-4565-9704-0FA9F321196C}"/>
    <cellStyle name="百分比 4 10 5 6" xfId="3782" xr:uid="{D023AB46-EAF9-4186-A54F-B00140323AF3}"/>
    <cellStyle name="百分比 4 10 5 7" xfId="3783" xr:uid="{18121AF3-2869-4BD4-818F-A6B1BAA56F6A}"/>
    <cellStyle name="百分比 4 10 6" xfId="3784" xr:uid="{B2DFF183-9523-4ED0-9392-046A6BC3CEB5}"/>
    <cellStyle name="百分比 4 10 6 2" xfId="3785" xr:uid="{D42F9767-9403-4F7F-9260-97755A811B78}"/>
    <cellStyle name="百分比 4 10 6 2 2" xfId="3786" xr:uid="{9036A8B8-FDC8-4F4F-A252-8890723ECC79}"/>
    <cellStyle name="百分比 4 10 6 2 3" xfId="3787" xr:uid="{7663B902-0037-417F-9307-0E8EEF9927E0}"/>
    <cellStyle name="百分比 4 10 6 2 4" xfId="3788" xr:uid="{269D1D79-1B29-42B1-880A-98A0136B1108}"/>
    <cellStyle name="百分比 4 10 6 2 5" xfId="3789" xr:uid="{2A876BC0-956F-43FE-AE28-E2101E1E82FB}"/>
    <cellStyle name="百分比 4 10 6 2 6" xfId="3790" xr:uid="{8DCF5ADC-36AA-430D-8821-7CDD589A12BA}"/>
    <cellStyle name="百分比 4 10 6 3" xfId="3791" xr:uid="{48ED0DF6-0C10-42A1-BE9E-9A56C8DDB52C}"/>
    <cellStyle name="百分比 4 10 6 4" xfId="3792" xr:uid="{F09408DC-4D6A-48F1-B9F2-620782C0DAE3}"/>
    <cellStyle name="百分比 4 10 6 5" xfId="3793" xr:uid="{8D687A24-C1E3-41CA-B508-6A623CBBBE28}"/>
    <cellStyle name="百分比 4 10 6 6" xfId="3794" xr:uid="{CF3B020D-5DAF-4669-9AA9-158CA5960D55}"/>
    <cellStyle name="百分比 4 10 6 7" xfId="3795" xr:uid="{A5591A2F-A92E-4AB6-BEE3-300F46650148}"/>
    <cellStyle name="百分比 4 10 7" xfId="3796" xr:uid="{05A94F9C-F10C-4FE6-99CD-07D5DE71E66D}"/>
    <cellStyle name="百分比 4 10 7 2" xfId="3797" xr:uid="{FB6CB7C7-F109-4192-844C-922C864DEDDA}"/>
    <cellStyle name="百分比 4 10 7 3" xfId="3798" xr:uid="{BF63F77C-EB74-4A77-9DF0-5EACE22B0F9F}"/>
    <cellStyle name="百分比 4 10 7 4" xfId="3799" xr:uid="{2646C874-C331-4D7D-8D8D-8D9B672313A7}"/>
    <cellStyle name="百分比 4 10 7 5" xfId="3800" xr:uid="{80A7673D-57C2-407C-9084-1BED86C12844}"/>
    <cellStyle name="百分比 4 10 7 6" xfId="3801" xr:uid="{B44CBBBE-02DF-4A85-9B72-25DD636193B9}"/>
    <cellStyle name="百分比 4 10 8" xfId="3802" xr:uid="{FF6E7A3D-1C74-490B-8EAA-74A40CBB0ADE}"/>
    <cellStyle name="百分比 4 10 9" xfId="3803" xr:uid="{D57F65DA-0CC3-4D03-AD49-C33590BE52D0}"/>
    <cellStyle name="百分比 4 11" xfId="3804" xr:uid="{4DBE568D-4014-4DD4-A884-EDC9490481E3}"/>
    <cellStyle name="百分比 4 11 10" xfId="3805" xr:uid="{91A88FC6-7D8A-493F-B3C6-3AEF8E3B1409}"/>
    <cellStyle name="百分比 4 11 11" xfId="3806" xr:uid="{F467983A-5174-46B3-B331-AF46A45B80C6}"/>
    <cellStyle name="百分比 4 11 12" xfId="3807" xr:uid="{4A1AA779-1E0E-439C-ACB8-7331971455B9}"/>
    <cellStyle name="百分比 4 11 2" xfId="3808" xr:uid="{B66FC97A-B2A7-4A97-8FBC-999F51729356}"/>
    <cellStyle name="百分比 4 11 2 2" xfId="3809" xr:uid="{AC2A44D1-50A3-4E34-AA87-0E31E45E876A}"/>
    <cellStyle name="百分比 4 11 2 2 2" xfId="3810" xr:uid="{5568630A-D22E-4DE8-B44B-0E1654FFA638}"/>
    <cellStyle name="百分比 4 11 2 2 3" xfId="3811" xr:uid="{1EC68319-962F-4632-B0B4-C55B7E508FBD}"/>
    <cellStyle name="百分比 4 11 2 2 4" xfId="3812" xr:uid="{FE372AFD-44AB-47B2-A694-631CAF2CDAD6}"/>
    <cellStyle name="百分比 4 11 2 2 5" xfId="3813" xr:uid="{9BA7C0D2-2B95-43DF-A505-EB16D07EB058}"/>
    <cellStyle name="百分比 4 11 2 2 6" xfId="3814" xr:uid="{46C89840-E9C4-4D1F-AB81-3AD40693DAA9}"/>
    <cellStyle name="百分比 4 11 2 3" xfId="3815" xr:uid="{08104D61-EE65-43EF-8C58-22D1AF014D07}"/>
    <cellStyle name="百分比 4 11 2 4" xfId="3816" xr:uid="{07AA1116-BB6D-49A0-A5E1-FD0852C71804}"/>
    <cellStyle name="百分比 4 11 2 5" xfId="3817" xr:uid="{EADF164F-8DEC-46E6-B87D-0E294133329D}"/>
    <cellStyle name="百分比 4 11 2 6" xfId="3818" xr:uid="{41A9B013-7F2F-45DE-83E6-AA75157D165A}"/>
    <cellStyle name="百分比 4 11 2 7" xfId="3819" xr:uid="{A6AFEB92-F3A5-47BC-8BE0-88D08706E62A}"/>
    <cellStyle name="百分比 4 11 3" xfId="3820" xr:uid="{F1D12059-F44F-4077-9CAD-6A40EF8FBF19}"/>
    <cellStyle name="百分比 4 11 3 2" xfId="3821" xr:uid="{EBE13081-6DFA-4918-AF82-17F810814CE7}"/>
    <cellStyle name="百分比 4 11 3 2 2" xfId="3822" xr:uid="{64F1D2DD-45D6-4A4A-9ABE-5DFAAD3ECEAC}"/>
    <cellStyle name="百分比 4 11 3 2 3" xfId="3823" xr:uid="{0599779A-12D6-4654-B8C0-F239F7D3C5F0}"/>
    <cellStyle name="百分比 4 11 3 2 4" xfId="3824" xr:uid="{CBEE7C6E-E450-4A56-97F4-D1EF12FDE371}"/>
    <cellStyle name="百分比 4 11 3 2 5" xfId="3825" xr:uid="{920C6493-8A96-48DE-B94F-796DB3F9D23A}"/>
    <cellStyle name="百分比 4 11 3 2 6" xfId="3826" xr:uid="{8C18ACDB-6361-4A7C-B7AD-B5AB3E58E7A0}"/>
    <cellStyle name="百分比 4 11 3 3" xfId="3827" xr:uid="{48A2608D-C497-4BC2-8571-0A40F1DACB3E}"/>
    <cellStyle name="百分比 4 11 3 4" xfId="3828" xr:uid="{84222492-355B-4121-8162-0A1058A5379B}"/>
    <cellStyle name="百分比 4 11 3 5" xfId="3829" xr:uid="{8AD7516B-4554-4FFA-817E-35CAE13622DF}"/>
    <cellStyle name="百分比 4 11 3 6" xfId="3830" xr:uid="{3E107403-6445-4BBB-ACB8-5F40633DC15E}"/>
    <cellStyle name="百分比 4 11 3 7" xfId="3831" xr:uid="{EC2625E7-1DCA-4241-A1B1-784300DF5566}"/>
    <cellStyle name="百分比 4 11 4" xfId="3832" xr:uid="{745EF943-3A36-4CAE-8C79-AF75D35E67AB}"/>
    <cellStyle name="百分比 4 11 4 2" xfId="3833" xr:uid="{71E06A94-FB99-428A-A288-65BA61974475}"/>
    <cellStyle name="百分比 4 11 4 2 2" xfId="3834" xr:uid="{61A84309-C2D2-4553-A16D-C04C65F2F3C2}"/>
    <cellStyle name="百分比 4 11 4 2 3" xfId="3835" xr:uid="{6E519781-4797-4666-95B3-4B8EC815FC4D}"/>
    <cellStyle name="百分比 4 11 4 2 4" xfId="3836" xr:uid="{78923381-7313-4946-ADBB-4B5C89EF71DF}"/>
    <cellStyle name="百分比 4 11 4 2 5" xfId="3837" xr:uid="{D2A2626D-89BE-4415-92FB-66CAC68138E9}"/>
    <cellStyle name="百分比 4 11 4 2 6" xfId="3838" xr:uid="{C3BFA979-34C3-42CA-B628-C6EF2F4F0D54}"/>
    <cellStyle name="百分比 4 11 4 3" xfId="3839" xr:uid="{AA66CD1A-E163-46EA-932A-632B873F0855}"/>
    <cellStyle name="百分比 4 11 4 4" xfId="3840" xr:uid="{4FA3D6FE-EADB-4C53-AB1A-9652D387DD56}"/>
    <cellStyle name="百分比 4 11 4 5" xfId="3841" xr:uid="{26BCDECD-AAF9-4839-938C-9C953FCC6A2A}"/>
    <cellStyle name="百分比 4 11 4 6" xfId="3842" xr:uid="{E4EDA089-75BE-4A1B-B4C7-306387BFF1D2}"/>
    <cellStyle name="百分比 4 11 4 7" xfId="3843" xr:uid="{E375C6A6-8B16-4155-84A7-63FCC5641A3D}"/>
    <cellStyle name="百分比 4 11 5" xfId="3844" xr:uid="{8994BC98-2EC2-4752-8308-238139279842}"/>
    <cellStyle name="百分比 4 11 5 2" xfId="3845" xr:uid="{A7EFB8A5-7EF1-4AD7-A7CB-5F357FFC4EEA}"/>
    <cellStyle name="百分比 4 11 5 2 2" xfId="3846" xr:uid="{89960D74-8D41-4795-B1A1-00880CBA0666}"/>
    <cellStyle name="百分比 4 11 5 2 3" xfId="3847" xr:uid="{ADC8B859-BDBA-4C44-A686-B1ECBC21BDC7}"/>
    <cellStyle name="百分比 4 11 5 2 4" xfId="3848" xr:uid="{B4749F62-B695-464E-BBE2-106461A3CB94}"/>
    <cellStyle name="百分比 4 11 5 2 5" xfId="3849" xr:uid="{0C4B0530-DF39-48D7-9B36-2B6A1A1D9511}"/>
    <cellStyle name="百分比 4 11 5 2 6" xfId="3850" xr:uid="{784BD401-8C23-4B90-9EB9-746AB32F52F8}"/>
    <cellStyle name="百分比 4 11 5 3" xfId="3851" xr:uid="{E2BFF51B-A063-433C-8B9C-3D1179042567}"/>
    <cellStyle name="百分比 4 11 5 4" xfId="3852" xr:uid="{3B2F19EF-98D8-49B7-8133-06F1FE518B93}"/>
    <cellStyle name="百分比 4 11 5 5" xfId="3853" xr:uid="{54842E6B-AA36-4B53-B758-01EA8D9BC556}"/>
    <cellStyle name="百分比 4 11 5 6" xfId="3854" xr:uid="{CAF0B04E-10F2-4EBE-8070-781479C6A835}"/>
    <cellStyle name="百分比 4 11 5 7" xfId="3855" xr:uid="{182E80C0-3644-4079-B9AD-05CB56B42897}"/>
    <cellStyle name="百分比 4 11 6" xfId="3856" xr:uid="{C6B1FE08-7A87-4644-BB05-99C309343AAF}"/>
    <cellStyle name="百分比 4 11 6 2" xfId="3857" xr:uid="{9F2415D4-EF6E-438C-B067-1EC6EF77DA10}"/>
    <cellStyle name="百分比 4 11 6 3" xfId="3858" xr:uid="{775E2776-A5B1-4E10-8C75-D14B90936709}"/>
    <cellStyle name="百分比 4 11 6 4" xfId="3859" xr:uid="{0704C2E8-6658-4014-B48A-EBC87AA187BC}"/>
    <cellStyle name="百分比 4 11 6 5" xfId="3860" xr:uid="{628A2C08-35DF-4269-9864-5D178E1CF662}"/>
    <cellStyle name="百分比 4 11 6 6" xfId="3861" xr:uid="{88BA053E-03B0-48F3-B702-BF34694921C0}"/>
    <cellStyle name="百分比 4 11 7" xfId="3862" xr:uid="{DB614604-D9D2-43EC-9800-A0E8EB4F2A2B}"/>
    <cellStyle name="百分比 4 11 8" xfId="3863" xr:uid="{16A35FDE-6B4E-45F1-95FF-5FF17FE40735}"/>
    <cellStyle name="百分比 4 11 9" xfId="3864" xr:uid="{8407888A-795E-46A8-AD09-2FFB97378446}"/>
    <cellStyle name="百分比 4 12" xfId="3865" xr:uid="{1EAE271E-469B-4A93-92AF-9D95BEFDE578}"/>
    <cellStyle name="百分比 4 12 10" xfId="3866" xr:uid="{221D73B0-AD5F-4A92-9ABD-2512961EAE89}"/>
    <cellStyle name="百分比 4 12 11" xfId="3867" xr:uid="{D819572C-37E3-44C3-91AC-8E46F1D8ADFD}"/>
    <cellStyle name="百分比 4 12 2" xfId="3868" xr:uid="{4868698B-85A1-46BD-A111-5185A264BCAA}"/>
    <cellStyle name="百分比 4 12 2 2" xfId="3869" xr:uid="{8EC5E015-4FDB-4B7C-AE0A-C0400669F605}"/>
    <cellStyle name="百分比 4 12 2 2 2" xfId="3870" xr:uid="{90F3EB22-7A10-41A6-A5C6-E8DC6B055092}"/>
    <cellStyle name="百分比 4 12 2 2 3" xfId="3871" xr:uid="{F26AF653-A72C-4B7E-B2F6-F0C16691CDC5}"/>
    <cellStyle name="百分比 4 12 2 2 4" xfId="3872" xr:uid="{10C4CED7-5DCA-4558-9547-168BBFB24765}"/>
    <cellStyle name="百分比 4 12 2 2 5" xfId="3873" xr:uid="{BC76E8B3-432F-49B6-81F5-E8F116F24C3E}"/>
    <cellStyle name="百分比 4 12 2 2 6" xfId="3874" xr:uid="{138E2433-E9C2-4FEF-998F-A1A90FC0F7DF}"/>
    <cellStyle name="百分比 4 12 2 3" xfId="3875" xr:uid="{20FCC50B-B757-4C58-A7C1-9B7E709D6157}"/>
    <cellStyle name="百分比 4 12 2 4" xfId="3876" xr:uid="{F63A66EA-C1E7-47B2-8CC4-1FF3666DCCB6}"/>
    <cellStyle name="百分比 4 12 2 5" xfId="3877" xr:uid="{0F25DDEF-20F5-472F-8804-80B28121091B}"/>
    <cellStyle name="百分比 4 12 2 6" xfId="3878" xr:uid="{1100E084-DD5B-4CCC-8716-FB32B495FFAF}"/>
    <cellStyle name="百分比 4 12 2 7" xfId="3879" xr:uid="{BAA0D59B-03E6-4BFF-BC7F-0A688437BE8A}"/>
    <cellStyle name="百分比 4 12 3" xfId="3880" xr:uid="{403CA918-CBC9-45F7-BFFE-1B880CC1484B}"/>
    <cellStyle name="百分比 4 12 3 2" xfId="3881" xr:uid="{22ADFFAC-ACC6-4556-88F1-0B1ADCF48978}"/>
    <cellStyle name="百分比 4 12 3 2 2" xfId="3882" xr:uid="{90E44C7C-9B14-4103-BB2D-128BE7385927}"/>
    <cellStyle name="百分比 4 12 3 2 3" xfId="3883" xr:uid="{8D6DE03E-4828-4929-B807-4D0C65EF1468}"/>
    <cellStyle name="百分比 4 12 3 2 4" xfId="3884" xr:uid="{59884ECD-BBFE-4FAE-9215-699A62569D01}"/>
    <cellStyle name="百分比 4 12 3 2 5" xfId="3885" xr:uid="{655560E2-87A3-43AA-9082-CCD11B2FA25C}"/>
    <cellStyle name="百分比 4 12 3 2 6" xfId="3886" xr:uid="{D7DC36BF-245F-42C4-8173-256EBDC3A18F}"/>
    <cellStyle name="百分比 4 12 3 3" xfId="3887" xr:uid="{685A2C45-6B6F-4F88-ABEC-E8FAADA06F3F}"/>
    <cellStyle name="百分比 4 12 3 4" xfId="3888" xr:uid="{8AB82FDC-F19A-4F02-B008-75EB1EB58AB5}"/>
    <cellStyle name="百分比 4 12 3 5" xfId="3889" xr:uid="{1830D53B-2211-44B9-8789-4164E7393AFD}"/>
    <cellStyle name="百分比 4 12 3 6" xfId="3890" xr:uid="{303C2267-E00E-458C-B0BD-6045112D3276}"/>
    <cellStyle name="百分比 4 12 3 7" xfId="3891" xr:uid="{E5C0FBE7-7BFB-4040-9D97-CB87943C784B}"/>
    <cellStyle name="百分比 4 12 4" xfId="3892" xr:uid="{3D89A22B-872D-4E36-98AF-6BE9CD070A63}"/>
    <cellStyle name="百分比 4 12 4 2" xfId="3893" xr:uid="{3E4A4934-6F99-493E-BB75-EAFAA3B2BDA8}"/>
    <cellStyle name="百分比 4 12 4 2 2" xfId="3894" xr:uid="{088789F4-A125-4252-90EC-AD679E11F142}"/>
    <cellStyle name="百分比 4 12 4 2 3" xfId="3895" xr:uid="{585917C1-D86B-45E8-8F73-014804569B13}"/>
    <cellStyle name="百分比 4 12 4 2 4" xfId="3896" xr:uid="{C3B8807B-FAC8-42E6-BD8C-5462E9459873}"/>
    <cellStyle name="百分比 4 12 4 2 5" xfId="3897" xr:uid="{D45EBF32-2EEE-4451-9368-95821FB0F90A}"/>
    <cellStyle name="百分比 4 12 4 2 6" xfId="3898" xr:uid="{6B34632C-F210-46BE-898B-16049F9E012C}"/>
    <cellStyle name="百分比 4 12 4 3" xfId="3899" xr:uid="{D4702C08-2EC7-4399-BD26-786C894AC742}"/>
    <cellStyle name="百分比 4 12 4 4" xfId="3900" xr:uid="{39E84B70-245E-416D-9E73-33EDACCC431E}"/>
    <cellStyle name="百分比 4 12 4 5" xfId="3901" xr:uid="{93350AA5-0154-4726-87A7-252201B3E844}"/>
    <cellStyle name="百分比 4 12 4 6" xfId="3902" xr:uid="{190C4FA5-73C7-449B-ADF6-68DE0006D55D}"/>
    <cellStyle name="百分比 4 12 4 7" xfId="3903" xr:uid="{95225485-BBB0-4597-B2EC-9C79C12AC3B7}"/>
    <cellStyle name="百分比 4 12 5" xfId="3904" xr:uid="{B51C96ED-D134-430A-9F7D-50A2FCD13BEA}"/>
    <cellStyle name="百分比 4 12 5 2" xfId="3905" xr:uid="{E7724EF6-A572-4DF8-91DA-AB9984441DB2}"/>
    <cellStyle name="百分比 4 12 5 3" xfId="3906" xr:uid="{3AD0E190-AD60-405A-9F7F-27BADF2C3080}"/>
    <cellStyle name="百分比 4 12 5 4" xfId="3907" xr:uid="{012FA752-EEC2-40E6-A845-14F9D169E93A}"/>
    <cellStyle name="百分比 4 12 5 5" xfId="3908" xr:uid="{DCA3EB35-AD01-4404-967D-9181CE7BFAFF}"/>
    <cellStyle name="百分比 4 12 5 6" xfId="3909" xr:uid="{1405120A-5CA9-40D1-90A0-0A1A1E7B642A}"/>
    <cellStyle name="百分比 4 12 6" xfId="3910" xr:uid="{FB1F590C-9F96-49C5-BD8D-67D7C642BBFD}"/>
    <cellStyle name="百分比 4 12 7" xfId="3911" xr:uid="{6F3DC4DC-A949-433D-B100-A5CFEEAB85DD}"/>
    <cellStyle name="百分比 4 12 8" xfId="3912" xr:uid="{C523836B-A1DA-4247-95FD-FD9E3B55C36F}"/>
    <cellStyle name="百分比 4 12 9" xfId="3913" xr:uid="{6AFB12EC-2FAD-4DAA-9DD3-9CD200694363}"/>
    <cellStyle name="百分比 4 13" xfId="3914" xr:uid="{411E36DF-035E-4152-9AC3-9951F2F74E32}"/>
    <cellStyle name="百分比 4 13 10" xfId="3915" xr:uid="{207BCE14-5E77-421D-A6C8-4DA9CEF8E37E}"/>
    <cellStyle name="百分比 4 13 2" xfId="3916" xr:uid="{D545B599-6C61-4366-9498-4BD35E0E61C7}"/>
    <cellStyle name="百分比 4 13 2 2" xfId="3917" xr:uid="{3783A0B0-E194-42AF-A974-EC28EC782C5E}"/>
    <cellStyle name="百分比 4 13 2 2 2" xfId="3918" xr:uid="{C7B2C70D-2EC8-4155-80D8-7562135210B6}"/>
    <cellStyle name="百分比 4 13 2 2 3" xfId="3919" xr:uid="{FC820ECA-2524-45E5-9D77-B394BD3B022F}"/>
    <cellStyle name="百分比 4 13 2 2 4" xfId="3920" xr:uid="{3BE3EB97-149C-465B-8508-02D8720E5780}"/>
    <cellStyle name="百分比 4 13 2 2 5" xfId="3921" xr:uid="{0380307A-67CB-4436-B753-1D9C1BD44427}"/>
    <cellStyle name="百分比 4 13 2 2 6" xfId="3922" xr:uid="{75084885-776C-45DB-9960-B8EB505B331D}"/>
    <cellStyle name="百分比 4 13 2 3" xfId="3923" xr:uid="{199552FC-304B-441E-9B73-FCEE4D7839D3}"/>
    <cellStyle name="百分比 4 13 2 4" xfId="3924" xr:uid="{2B424D06-FC92-4D3B-A410-E321F4132490}"/>
    <cellStyle name="百分比 4 13 2 5" xfId="3925" xr:uid="{CBF377B9-57AA-413D-9FBF-65BA5451B954}"/>
    <cellStyle name="百分比 4 13 2 6" xfId="3926" xr:uid="{CE40A433-44C2-475F-862D-2359009CCB83}"/>
    <cellStyle name="百分比 4 13 2 7" xfId="3927" xr:uid="{BB36134C-CAF6-4725-8383-C72B245311FD}"/>
    <cellStyle name="百分比 4 13 3" xfId="3928" xr:uid="{B15C9397-1BE4-482F-8D96-D61DC047299C}"/>
    <cellStyle name="百分比 4 13 3 2" xfId="3929" xr:uid="{A27862C7-A786-4489-94E7-9080B64E5030}"/>
    <cellStyle name="百分比 4 13 3 2 2" xfId="3930" xr:uid="{884CE1DF-39B6-46FE-9442-C98BDA3330B1}"/>
    <cellStyle name="百分比 4 13 3 2 3" xfId="3931" xr:uid="{4CDE9EA1-62D9-43A4-870D-8A5A59731EFB}"/>
    <cellStyle name="百分比 4 13 3 2 4" xfId="3932" xr:uid="{3B8E2C52-5DFC-41C4-96C7-1CFC496168E4}"/>
    <cellStyle name="百分比 4 13 3 2 5" xfId="3933" xr:uid="{B53FB055-41E4-4BA1-B072-B533DDB80535}"/>
    <cellStyle name="百分比 4 13 3 2 6" xfId="3934" xr:uid="{700CC3A4-25F7-4D56-BD6F-86E4DAB36846}"/>
    <cellStyle name="百分比 4 13 3 3" xfId="3935" xr:uid="{2D46F8EC-761A-47BF-A383-EA85A2E17E5D}"/>
    <cellStyle name="百分比 4 13 3 4" xfId="3936" xr:uid="{A9F811BF-D415-4F59-80C0-D184AD800061}"/>
    <cellStyle name="百分比 4 13 3 5" xfId="3937" xr:uid="{5CDA9F83-AD8B-4E88-81A3-79546CB8FBDA}"/>
    <cellStyle name="百分比 4 13 3 6" xfId="3938" xr:uid="{0160AD73-8438-4711-9A73-3EA1F5C6DD9D}"/>
    <cellStyle name="百分比 4 13 3 7" xfId="3939" xr:uid="{FC0FA01D-5E51-4476-A943-8CE6657D4619}"/>
    <cellStyle name="百分比 4 13 4" xfId="3940" xr:uid="{CF9E16AA-3F22-45DA-A143-A33894D875AF}"/>
    <cellStyle name="百分比 4 13 4 2" xfId="3941" xr:uid="{076BD850-8295-495A-8A50-3635452E192F}"/>
    <cellStyle name="百分比 4 13 4 3" xfId="3942" xr:uid="{4F8A9B04-36B7-4161-880F-3DDFCC508CEB}"/>
    <cellStyle name="百分比 4 13 4 4" xfId="3943" xr:uid="{31F420AC-FB34-49A5-9970-B7A6B49D2926}"/>
    <cellStyle name="百分比 4 13 4 5" xfId="3944" xr:uid="{168E27A3-264A-4E0E-AF4F-4846AFDB63E9}"/>
    <cellStyle name="百分比 4 13 4 6" xfId="3945" xr:uid="{20682799-BD83-4ADB-9504-685696FA9B3A}"/>
    <cellStyle name="百分比 4 13 5" xfId="3946" xr:uid="{64CFBB6E-B3A5-4F5C-B9FB-6555D1861B30}"/>
    <cellStyle name="百分比 4 13 6" xfId="3947" xr:uid="{F5572E9C-DCC2-4703-A7EF-4F2EE1EF6092}"/>
    <cellStyle name="百分比 4 13 7" xfId="3948" xr:uid="{332DBF90-BF5D-4D35-8EC9-B0FD6202BAAB}"/>
    <cellStyle name="百分比 4 13 8" xfId="3949" xr:uid="{D3A32149-9CA4-40AE-AE26-F05E5F334985}"/>
    <cellStyle name="百分比 4 13 9" xfId="3950" xr:uid="{962EF60F-E1ED-46F1-8052-93A73A295F81}"/>
    <cellStyle name="百分比 4 14" xfId="3951" xr:uid="{508FE790-709B-4443-876A-AAF4E43FD058}"/>
    <cellStyle name="百分比 4 14 2" xfId="3952" xr:uid="{E3AC30F0-BC94-4768-866D-B017B051D112}"/>
    <cellStyle name="百分比 4 14 2 2" xfId="3953" xr:uid="{FC094D52-7294-4EDF-B8BF-573C0ED081E9}"/>
    <cellStyle name="百分比 4 14 2 2 2" xfId="3954" xr:uid="{F93EF604-B483-4E09-B3C4-B9295024F32D}"/>
    <cellStyle name="百分比 4 14 2 2 3" xfId="3955" xr:uid="{E8D2455B-D847-48C9-91FD-7E95CE6F5EAD}"/>
    <cellStyle name="百分比 4 14 2 2 4" xfId="3956" xr:uid="{425966D0-3EB9-4F80-AF0D-0CE375F3F527}"/>
    <cellStyle name="百分比 4 14 2 2 5" xfId="3957" xr:uid="{55B649D7-15E8-4F6C-8F3C-140A881AB97E}"/>
    <cellStyle name="百分比 4 14 2 2 6" xfId="3958" xr:uid="{43E52193-CAB8-42C7-85B1-1E2757A2F49E}"/>
    <cellStyle name="百分比 4 14 2 3" xfId="3959" xr:uid="{ED96EBCD-CA15-42B9-81DF-18C80F415958}"/>
    <cellStyle name="百分比 4 14 2 4" xfId="3960" xr:uid="{BB5B369B-5668-40D7-8331-9DAD8791E939}"/>
    <cellStyle name="百分比 4 14 2 5" xfId="3961" xr:uid="{14EBFA36-5E5D-4CFD-9079-268E37928A56}"/>
    <cellStyle name="百分比 4 14 2 6" xfId="3962" xr:uid="{74897DAC-0C82-4AC2-975D-DD734B0331F6}"/>
    <cellStyle name="百分比 4 14 2 7" xfId="3963" xr:uid="{34D57548-75DA-440E-B2DA-43398EEAF1B8}"/>
    <cellStyle name="百分比 4 14 3" xfId="3964" xr:uid="{8DDF7351-49FA-42A7-921D-CFAE6A2F0EED}"/>
    <cellStyle name="百分比 4 14 3 2" xfId="3965" xr:uid="{4DE14D12-5920-4BEE-B1ED-F5D07F871437}"/>
    <cellStyle name="百分比 4 14 3 3" xfId="3966" xr:uid="{28139566-23D7-4995-93C8-05BB615A7497}"/>
    <cellStyle name="百分比 4 14 3 4" xfId="3967" xr:uid="{9B4251CD-11FC-4AA4-BCF8-8A51E1B0AEC8}"/>
    <cellStyle name="百分比 4 14 3 5" xfId="3968" xr:uid="{08D67280-5F8F-424F-91B7-4237748E44E0}"/>
    <cellStyle name="百分比 4 14 3 6" xfId="3969" xr:uid="{EA7E692B-DEFB-4CC4-BC64-DC9F69DDC66D}"/>
    <cellStyle name="百分比 4 14 4" xfId="3970" xr:uid="{A910E92B-8538-445C-BB7F-2E5EFE52C9D5}"/>
    <cellStyle name="百分比 4 14 5" xfId="3971" xr:uid="{F2398012-AB4B-412C-8D48-5734B8C7D884}"/>
    <cellStyle name="百分比 4 14 6" xfId="3972" xr:uid="{AF40E9BD-6BFC-4BB7-8B0B-7F57071AE4A3}"/>
    <cellStyle name="百分比 4 14 7" xfId="3973" xr:uid="{6D972095-1F07-4914-9C58-E5F540EE4A6B}"/>
    <cellStyle name="百分比 4 14 8" xfId="3974" xr:uid="{E83059D7-09F9-465F-BC08-8BED2C8E26E2}"/>
    <cellStyle name="百分比 4 14 9" xfId="3975" xr:uid="{8B360458-F827-4483-AAEA-F06BA6EC6408}"/>
    <cellStyle name="百分比 4 15" xfId="3976" xr:uid="{EF5B5E06-2334-4DB9-BF25-F4BC231269CE}"/>
    <cellStyle name="百分比 4 15 2" xfId="3977" xr:uid="{2A2F491B-CC4E-4A90-B466-4585641AF659}"/>
    <cellStyle name="百分比 4 15 2 2" xfId="3978" xr:uid="{05677208-6A15-4C0A-9F76-CDD2AAB26BBA}"/>
    <cellStyle name="百分比 4 15 2 2 2" xfId="3979" xr:uid="{544FEC42-8AB9-4F7B-A782-E0BCA85886C8}"/>
    <cellStyle name="百分比 4 15 2 2 3" xfId="3980" xr:uid="{E533D058-D972-4692-A9CE-60461666D7E5}"/>
    <cellStyle name="百分比 4 15 2 2 4" xfId="3981" xr:uid="{85525195-4DB7-4F99-96DC-BBD39A31E715}"/>
    <cellStyle name="百分比 4 15 2 2 5" xfId="3982" xr:uid="{DBDBD602-650E-43E6-BF21-59944A748E5B}"/>
    <cellStyle name="百分比 4 15 2 2 6" xfId="3983" xr:uid="{31C1A418-7646-45A4-A40E-0DE1E542120D}"/>
    <cellStyle name="百分比 4 15 2 3" xfId="3984" xr:uid="{08BD2DA7-C127-48D4-8480-BDA790E8A1E7}"/>
    <cellStyle name="百分比 4 15 2 4" xfId="3985" xr:uid="{6E820BCC-8D18-44AD-A36E-8F1D039BF078}"/>
    <cellStyle name="百分比 4 15 2 5" xfId="3986" xr:uid="{9C6DCC1A-A3A4-41B3-A578-6D303703BBA8}"/>
    <cellStyle name="百分比 4 15 2 6" xfId="3987" xr:uid="{BE63EDE3-9EAC-4851-81B3-661A4335B8F1}"/>
    <cellStyle name="百分比 4 15 2 7" xfId="3988" xr:uid="{FE7C736F-846F-4BBE-A23F-6007298EBC8A}"/>
    <cellStyle name="百分比 4 15 3" xfId="3989" xr:uid="{FA061FE1-A91A-436C-9158-2BF258418489}"/>
    <cellStyle name="百分比 4 15 3 2" xfId="3990" xr:uid="{87545356-E3AC-4CD7-9ABC-B2C6AE2AB8BD}"/>
    <cellStyle name="百分比 4 15 3 3" xfId="3991" xr:uid="{0AE38545-65C7-4A5D-B7F3-D31C7285D30F}"/>
    <cellStyle name="百分比 4 15 3 4" xfId="3992" xr:uid="{77BA42C4-2BC0-4FCE-9F8C-AA87C01063AC}"/>
    <cellStyle name="百分比 4 15 3 5" xfId="3993" xr:uid="{8BAB7B15-C8E7-4413-81B0-106141AE0459}"/>
    <cellStyle name="百分比 4 15 3 6" xfId="3994" xr:uid="{451CAD46-C5DE-48BA-8397-DAF41C3F7BC7}"/>
    <cellStyle name="百分比 4 15 4" xfId="3995" xr:uid="{F93496AA-DCA3-4579-858C-F46DF233215F}"/>
    <cellStyle name="百分比 4 15 5" xfId="3996" xr:uid="{AD61C378-951C-4B59-B86D-A0BD43B656A3}"/>
    <cellStyle name="百分比 4 15 6" xfId="3997" xr:uid="{014846E8-98E0-4A46-BF59-85BB02242B95}"/>
    <cellStyle name="百分比 4 15 7" xfId="3998" xr:uid="{700AA6F3-F5BB-445B-A90F-125FC8B289A9}"/>
    <cellStyle name="百分比 4 15 8" xfId="3999" xr:uid="{97A903DE-1BFC-449D-8ACA-520D008DCCA3}"/>
    <cellStyle name="百分比 4 16" xfId="4000" xr:uid="{CD762CA1-8FC9-4834-B9C8-56107E77AFA6}"/>
    <cellStyle name="百分比 4 16 2" xfId="4001" xr:uid="{BA220F3D-B229-4FCC-A4C4-722646DA7EEF}"/>
    <cellStyle name="百分比 4 16 2 2" xfId="4002" xr:uid="{9E90DB23-6270-4A7D-8834-D27865F2960A}"/>
    <cellStyle name="百分比 4 16 2 2 2" xfId="4003" xr:uid="{C6191865-A395-4755-9B36-2B2DF2E6DA6C}"/>
    <cellStyle name="百分比 4 16 2 2 3" xfId="4004" xr:uid="{3E9C7085-341A-4A88-A645-CAAE1B9643C5}"/>
    <cellStyle name="百分比 4 16 2 2 4" xfId="4005" xr:uid="{6A6C24D4-0BF8-4D8F-BA58-AFF089C0CEB5}"/>
    <cellStyle name="百分比 4 16 2 2 5" xfId="4006" xr:uid="{17E6F95C-AB36-4893-BD60-2117EF7D7E68}"/>
    <cellStyle name="百分比 4 16 2 2 6" xfId="4007" xr:uid="{584A96F2-EC23-488E-B052-46D916B4BC13}"/>
    <cellStyle name="百分比 4 16 2 3" xfId="4008" xr:uid="{D4341E98-1C07-4A5A-A8D3-68B1642E752B}"/>
    <cellStyle name="百分比 4 16 2 4" xfId="4009" xr:uid="{184ADC9A-6588-4F1F-8622-1AE457A8EDE8}"/>
    <cellStyle name="百分比 4 16 2 5" xfId="4010" xr:uid="{560FC705-C75F-4D86-92C4-A084277F7BC1}"/>
    <cellStyle name="百分比 4 16 2 6" xfId="4011" xr:uid="{826D82E7-EDB3-4407-BA38-F4AA65FDC50F}"/>
    <cellStyle name="百分比 4 16 2 7" xfId="4012" xr:uid="{49645B06-B15E-4F14-8CCD-AAE32E41B5B1}"/>
    <cellStyle name="百分比 4 16 3" xfId="4013" xr:uid="{0B37FD30-FC6D-4F36-B02C-862C515BE0F1}"/>
    <cellStyle name="百分比 4 16 3 2" xfId="4014" xr:uid="{59FB1E60-7866-4806-A6E9-BF478B1FA4F2}"/>
    <cellStyle name="百分比 4 16 3 3" xfId="4015" xr:uid="{364FB67F-A35B-41AE-8F7B-A5A9BD95A19B}"/>
    <cellStyle name="百分比 4 16 3 4" xfId="4016" xr:uid="{B9455A7F-35D1-4E17-AEC5-52AC22C30D64}"/>
    <cellStyle name="百分比 4 16 3 5" xfId="4017" xr:uid="{E5791FB1-93AF-4A06-8D7B-EEF7E3ADB1EA}"/>
    <cellStyle name="百分比 4 16 3 6" xfId="4018" xr:uid="{0A9E16C0-63E6-4650-861B-55D60204166F}"/>
    <cellStyle name="百分比 4 16 4" xfId="4019" xr:uid="{6F8DABD8-55B9-4920-8028-C90685336CA2}"/>
    <cellStyle name="百分比 4 16 5" xfId="4020" xr:uid="{20A4E9C9-D8CD-482D-9B43-0F77ED66DCBB}"/>
    <cellStyle name="百分比 4 16 6" xfId="4021" xr:uid="{FF2CBA55-F850-4C41-846B-8D8EC8446DA8}"/>
    <cellStyle name="百分比 4 16 7" xfId="4022" xr:uid="{4CBFBE4B-6B10-443E-9E9E-121367024628}"/>
    <cellStyle name="百分比 4 16 8" xfId="4023" xr:uid="{BB685CC7-5C90-4DB5-AF50-9EA516A69265}"/>
    <cellStyle name="百分比 4 17" xfId="4024" xr:uid="{75CA0D9B-F5F9-4F2A-B0A4-A00403A1C8AC}"/>
    <cellStyle name="百分比 4 17 2" xfId="4025" xr:uid="{C198DD69-0C1A-45C8-9765-2958E7907116}"/>
    <cellStyle name="百分比 4 17 2 2" xfId="4026" xr:uid="{C7FC557B-8F8A-4F47-9ACD-4D54272A8A1C}"/>
    <cellStyle name="百分比 4 17 2 2 2" xfId="4027" xr:uid="{4A830430-8D5B-4DF4-A7FF-AC195CE0A5FA}"/>
    <cellStyle name="百分比 4 17 2 2 3" xfId="4028" xr:uid="{8FE6F963-1403-408B-AB0B-67B101333F34}"/>
    <cellStyle name="百分比 4 17 2 2 4" xfId="4029" xr:uid="{3606F1A2-D3F2-4214-9915-EC5053740AA4}"/>
    <cellStyle name="百分比 4 17 2 2 5" xfId="4030" xr:uid="{C06B8CE2-B224-458C-BF7D-02168ADBD63B}"/>
    <cellStyle name="百分比 4 17 2 2 6" xfId="4031" xr:uid="{CE93934E-748E-4130-BBEA-EE2D49C3B809}"/>
    <cellStyle name="百分比 4 17 2 3" xfId="4032" xr:uid="{AA055942-5CBE-4DA4-B71F-3E616515788E}"/>
    <cellStyle name="百分比 4 17 2 4" xfId="4033" xr:uid="{65671693-5276-4CA1-B98F-45FF4152656D}"/>
    <cellStyle name="百分比 4 17 2 5" xfId="4034" xr:uid="{A24F9E74-71F7-4D11-BFBB-4C43394D701F}"/>
    <cellStyle name="百分比 4 17 2 6" xfId="4035" xr:uid="{FF3C1BC7-6847-4B89-A83E-8EEB0A5518A8}"/>
    <cellStyle name="百分比 4 17 2 7" xfId="4036" xr:uid="{6C49958E-2369-45A8-87B7-F7E96924346C}"/>
    <cellStyle name="百分比 4 17 3" xfId="4037" xr:uid="{3CF81010-AAAD-47E8-9CFD-7AB36248D94A}"/>
    <cellStyle name="百分比 4 17 3 2" xfId="4038" xr:uid="{31172D65-B96E-4F9F-A5C1-D43644B0A5C7}"/>
    <cellStyle name="百分比 4 17 3 3" xfId="4039" xr:uid="{51E461F4-9A30-48C3-93C1-F01D3F4A60ED}"/>
    <cellStyle name="百分比 4 17 3 4" xfId="4040" xr:uid="{804283AF-CC9A-4110-B52B-FEE122193480}"/>
    <cellStyle name="百分比 4 17 3 5" xfId="4041" xr:uid="{82EFE4A8-19FF-43C5-B613-C9175EC63E6C}"/>
    <cellStyle name="百分比 4 17 3 6" xfId="4042" xr:uid="{C9D038B0-E77E-4547-A17D-2B7C6022F601}"/>
    <cellStyle name="百分比 4 17 4" xfId="4043" xr:uid="{D034DCFD-D614-49F0-98A2-A588A0665470}"/>
    <cellStyle name="百分比 4 17 5" xfId="4044" xr:uid="{810E915B-63DB-4492-8D7D-DA511DBE6C45}"/>
    <cellStyle name="百分比 4 17 6" xfId="4045" xr:uid="{B10202C2-2B1E-43BC-8596-56D29BF5E754}"/>
    <cellStyle name="百分比 4 17 7" xfId="4046" xr:uid="{3720F072-9A05-4E92-84C4-5ABD1F8FD8E8}"/>
    <cellStyle name="百分比 4 17 8" xfId="4047" xr:uid="{036EC3E7-B287-410B-95A0-E1ABEE80046A}"/>
    <cellStyle name="百分比 4 18" xfId="4048" xr:uid="{4EFEA406-ACA0-4C3C-8DBD-0E8FDE4F92ED}"/>
    <cellStyle name="百分比 4 18 2" xfId="4049" xr:uid="{308B352F-02F0-418D-BEEF-8B084EFF4D8E}"/>
    <cellStyle name="百分比 4 18 2 2" xfId="4050" xr:uid="{C2307337-83C3-4B11-9808-B7417A5C426D}"/>
    <cellStyle name="百分比 4 18 2 3" xfId="4051" xr:uid="{7DEEF240-DCA5-4A14-8234-E6117AE441F0}"/>
    <cellStyle name="百分比 4 18 2 4" xfId="4052" xr:uid="{736D13DF-2DED-4B3D-9146-8F11FA473FCB}"/>
    <cellStyle name="百分比 4 18 2 5" xfId="4053" xr:uid="{E37A7E03-E5A9-4211-83B9-0BEFF59E55C8}"/>
    <cellStyle name="百分比 4 18 2 6" xfId="4054" xr:uid="{828BEF8B-BC4F-4682-81A1-0323A17C0AF4}"/>
    <cellStyle name="百分比 4 18 3" xfId="4055" xr:uid="{A6DD09DB-2911-4338-B059-A558FB0DB584}"/>
    <cellStyle name="百分比 4 18 4" xfId="4056" xr:uid="{BE446D58-BDBA-4236-81BB-35C62EE209FC}"/>
    <cellStyle name="百分比 4 18 5" xfId="4057" xr:uid="{6C5F2FB9-E7B2-41E3-9CB4-5DF10D562410}"/>
    <cellStyle name="百分比 4 18 6" xfId="4058" xr:uid="{32A59C10-C1AE-4C36-9EE8-7ECA6DDB5D58}"/>
    <cellStyle name="百分比 4 18 7" xfId="4059" xr:uid="{F2B70AAB-A2B3-4BC6-B529-D7ADB9FB1B71}"/>
    <cellStyle name="百分比 4 19" xfId="4060" xr:uid="{5CD79960-0B07-4127-89D8-0EB5CF81F1D7}"/>
    <cellStyle name="百分比 4 19 2" xfId="4061" xr:uid="{D0FFE698-0700-4337-883F-686FE2F22495}"/>
    <cellStyle name="百分比 4 19 2 2" xfId="4062" xr:uid="{95CF0A3D-8A71-4754-B78A-A6063D19005B}"/>
    <cellStyle name="百分比 4 19 2 3" xfId="4063" xr:uid="{32888E5C-CFB2-4435-9AC5-58A8EE87BEA7}"/>
    <cellStyle name="百分比 4 19 2 4" xfId="4064" xr:uid="{7FCD5004-05A9-4D19-8589-0F7C95E0CF25}"/>
    <cellStyle name="百分比 4 19 2 5" xfId="4065" xr:uid="{A495BF18-189A-4AC5-88F1-A4DC2ACE4FC5}"/>
    <cellStyle name="百分比 4 19 2 6" xfId="4066" xr:uid="{D8A51506-9D5E-414F-9712-C1253C58241A}"/>
    <cellStyle name="百分比 4 19 3" xfId="4067" xr:uid="{74300DAD-EAAD-46F7-A667-A60C0EB352E0}"/>
    <cellStyle name="百分比 4 19 4" xfId="4068" xr:uid="{19B0F594-7E01-4DE1-B3E7-612A92610DBE}"/>
    <cellStyle name="百分比 4 19 5" xfId="4069" xr:uid="{80422489-0413-48CF-9E6F-6FFA9F71987A}"/>
    <cellStyle name="百分比 4 19 6" xfId="4070" xr:uid="{43230742-39E4-4CBA-B6CE-37D204E16E01}"/>
    <cellStyle name="百分比 4 19 7" xfId="4071" xr:uid="{F22DC978-D259-48F8-9195-413AFF4082CB}"/>
    <cellStyle name="百分比 4 2" xfId="4072" xr:uid="{A13EE370-8577-4973-A623-65497E54453A}"/>
    <cellStyle name="百分比 4 2 10" xfId="4073" xr:uid="{3ECF31B8-5DDF-4096-B9DA-CBB0E84ACFFB}"/>
    <cellStyle name="百分比 4 2 10 10" xfId="4074" xr:uid="{43119BA5-AF9E-48BC-A67D-2610E5D59054}"/>
    <cellStyle name="百分比 4 2 10 11" xfId="4075" xr:uid="{A39533A9-05D1-4010-926A-854101C665F4}"/>
    <cellStyle name="百分比 4 2 10 2" xfId="4076" xr:uid="{BD193A6E-8C0C-41BB-9B19-1F9BCFB225F9}"/>
    <cellStyle name="百分比 4 2 10 2 2" xfId="4077" xr:uid="{309545D1-FE5F-44A1-92D2-272636B7E5BE}"/>
    <cellStyle name="百分比 4 2 10 2 2 2" xfId="4078" xr:uid="{71AC378D-1023-426F-86B2-EB454010E427}"/>
    <cellStyle name="百分比 4 2 10 2 2 3" xfId="4079" xr:uid="{ED686274-C616-44D1-B399-797425B96FD0}"/>
    <cellStyle name="百分比 4 2 10 2 2 4" xfId="4080" xr:uid="{8D725342-ABDA-4C70-8EAA-3CA5826E5DDD}"/>
    <cellStyle name="百分比 4 2 10 2 2 5" xfId="4081" xr:uid="{91092784-6723-4E8F-B7E6-B04D5226AE2E}"/>
    <cellStyle name="百分比 4 2 10 2 2 6" xfId="4082" xr:uid="{734CD501-90A4-409F-AE8B-46E778DFBDE8}"/>
    <cellStyle name="百分比 4 2 10 2 3" xfId="4083" xr:uid="{7DF0A37C-415E-4F77-974E-EF1D9A5E4306}"/>
    <cellStyle name="百分比 4 2 10 2 4" xfId="4084" xr:uid="{0C177B3C-9B92-435B-A4E6-4A51A0AC08D9}"/>
    <cellStyle name="百分比 4 2 10 2 5" xfId="4085" xr:uid="{C998BD6A-9D3A-43E0-B53C-83AC583006A7}"/>
    <cellStyle name="百分比 4 2 10 2 6" xfId="4086" xr:uid="{1F0FBDE9-0BA6-41EB-8B71-861C4660A658}"/>
    <cellStyle name="百分比 4 2 10 2 7" xfId="4087" xr:uid="{17FBEC7F-41CF-4802-8112-08E5ED8360BB}"/>
    <cellStyle name="百分比 4 2 10 3" xfId="4088" xr:uid="{983D81DE-045F-4282-AD16-38088BAB276D}"/>
    <cellStyle name="百分比 4 2 10 3 2" xfId="4089" xr:uid="{F02E6E4F-9570-4AA9-9A8D-F87262D02359}"/>
    <cellStyle name="百分比 4 2 10 3 2 2" xfId="4090" xr:uid="{391AD7E0-C72C-4210-A1BA-A178015C71BF}"/>
    <cellStyle name="百分比 4 2 10 3 2 3" xfId="4091" xr:uid="{13DD68DA-5371-4CE7-AA23-8EDE24B2114C}"/>
    <cellStyle name="百分比 4 2 10 3 2 4" xfId="4092" xr:uid="{0F9815AE-9B84-4CFF-A672-4AB7DDBAF29C}"/>
    <cellStyle name="百分比 4 2 10 3 2 5" xfId="4093" xr:uid="{8D511528-F340-4A11-A3D7-46400EE9D855}"/>
    <cellStyle name="百分比 4 2 10 3 2 6" xfId="4094" xr:uid="{A0EB3CDA-36CB-4531-9375-8FCB90EC3F21}"/>
    <cellStyle name="百分比 4 2 10 3 3" xfId="4095" xr:uid="{C39ECBF1-141F-47AD-B925-A5CB4B72345F}"/>
    <cellStyle name="百分比 4 2 10 3 4" xfId="4096" xr:uid="{3C47D0E8-4FE9-4D7D-BD94-B5326E2E3A92}"/>
    <cellStyle name="百分比 4 2 10 3 5" xfId="4097" xr:uid="{487A758F-D600-49C7-AB63-35FC2A1A6876}"/>
    <cellStyle name="百分比 4 2 10 3 6" xfId="4098" xr:uid="{32463812-0BB4-403D-BD49-403382709BB6}"/>
    <cellStyle name="百分比 4 2 10 3 7" xfId="4099" xr:uid="{4AC256DF-1D0B-4E3B-BE1C-799949BDD70B}"/>
    <cellStyle name="百分比 4 2 10 4" xfId="4100" xr:uid="{DF24AEF1-7894-4F93-B26D-07E54B7EDB74}"/>
    <cellStyle name="百分比 4 2 10 4 2" xfId="4101" xr:uid="{E4A60625-99C1-4375-87DC-5C0EE1193192}"/>
    <cellStyle name="百分比 4 2 10 4 2 2" xfId="4102" xr:uid="{DBA981D5-B28A-49D6-92E2-9DBC7A426E58}"/>
    <cellStyle name="百分比 4 2 10 4 2 3" xfId="4103" xr:uid="{3B03AF20-3D2D-4700-B255-9936EDC965C1}"/>
    <cellStyle name="百分比 4 2 10 4 2 4" xfId="4104" xr:uid="{A71F87CD-1838-4475-8C84-886085C065B6}"/>
    <cellStyle name="百分比 4 2 10 4 2 5" xfId="4105" xr:uid="{7F251B67-E050-432A-853B-7CA773401F6A}"/>
    <cellStyle name="百分比 4 2 10 4 2 6" xfId="4106" xr:uid="{93C01EF5-9B15-4C56-B726-1B3541DF72AD}"/>
    <cellStyle name="百分比 4 2 10 4 3" xfId="4107" xr:uid="{4EDD31F8-0B0C-49B8-AEAF-EF6B9A613057}"/>
    <cellStyle name="百分比 4 2 10 4 4" xfId="4108" xr:uid="{BFD426D3-EE64-4B8A-BB89-F2128CBBE03E}"/>
    <cellStyle name="百分比 4 2 10 4 5" xfId="4109" xr:uid="{EDD6C5F4-4D3E-4656-AEDE-46F94F9751DA}"/>
    <cellStyle name="百分比 4 2 10 4 6" xfId="4110" xr:uid="{C59B7A9B-F68B-4298-9A78-774D7A129028}"/>
    <cellStyle name="百分比 4 2 10 4 7" xfId="4111" xr:uid="{32A70560-9B79-44DA-BD15-0886D1281011}"/>
    <cellStyle name="百分比 4 2 10 5" xfId="4112" xr:uid="{700133BB-6D04-4395-9901-504AE6B6931B}"/>
    <cellStyle name="百分比 4 2 10 5 2" xfId="4113" xr:uid="{49512311-1754-4E2E-8846-4CE8B993E34B}"/>
    <cellStyle name="百分比 4 2 10 5 3" xfId="4114" xr:uid="{40640DD4-730A-4933-985F-E2068F8743B7}"/>
    <cellStyle name="百分比 4 2 10 5 4" xfId="4115" xr:uid="{03F1E3A7-00EF-4465-898D-C44F67F2C410}"/>
    <cellStyle name="百分比 4 2 10 5 5" xfId="4116" xr:uid="{B7C56F24-3C31-4B64-A0BE-20DC839DDA9C}"/>
    <cellStyle name="百分比 4 2 10 5 6" xfId="4117" xr:uid="{59018408-862C-4776-953C-6D3EE4498A80}"/>
    <cellStyle name="百分比 4 2 10 6" xfId="4118" xr:uid="{CC62279B-81EC-4393-A080-113B710320D6}"/>
    <cellStyle name="百分比 4 2 10 7" xfId="4119" xr:uid="{4AE01FFB-3B3E-4D1E-87AD-C5002E61C068}"/>
    <cellStyle name="百分比 4 2 10 8" xfId="4120" xr:uid="{1080B11F-98CA-446B-9956-4867F732FA8B}"/>
    <cellStyle name="百分比 4 2 10 9" xfId="4121" xr:uid="{111B518F-B35D-41D9-942A-EABA923907B1}"/>
    <cellStyle name="百分比 4 2 11" xfId="4122" xr:uid="{6C81896E-7479-4D7F-AA92-2F865EF0D2D7}"/>
    <cellStyle name="百分比 4 2 11 2" xfId="4123" xr:uid="{9378EA6A-B321-41F8-93AA-8265EFEDB6EA}"/>
    <cellStyle name="百分比 4 2 11 2 2" xfId="4124" xr:uid="{5100BF82-6021-4402-A6DB-56D6A33B6512}"/>
    <cellStyle name="百分比 4 2 11 2 2 2" xfId="4125" xr:uid="{86792A41-FCF1-4524-90A8-D10C6F42945F}"/>
    <cellStyle name="百分比 4 2 11 2 2 3" xfId="4126" xr:uid="{2D627740-FF94-482B-ABA6-B148D8B12C0E}"/>
    <cellStyle name="百分比 4 2 11 2 2 4" xfId="4127" xr:uid="{8A89CA33-E917-477E-969F-0484D4EFCA97}"/>
    <cellStyle name="百分比 4 2 11 2 2 5" xfId="4128" xr:uid="{278FB3DB-98BA-489C-B71E-BD756751DAE8}"/>
    <cellStyle name="百分比 4 2 11 2 2 6" xfId="4129" xr:uid="{5EF61B97-5778-4FFD-8091-28257BBC83B7}"/>
    <cellStyle name="百分比 4 2 11 2 3" xfId="4130" xr:uid="{31FF0025-7450-4798-8108-B4153F697A00}"/>
    <cellStyle name="百分比 4 2 11 2 4" xfId="4131" xr:uid="{024D8B5A-E0F0-4F64-90D7-0C30B0D5036E}"/>
    <cellStyle name="百分比 4 2 11 2 5" xfId="4132" xr:uid="{F4517672-8D88-4873-B422-9CEA400B35B6}"/>
    <cellStyle name="百分比 4 2 11 2 6" xfId="4133" xr:uid="{C5D48BCD-D963-4A33-9073-33FFA80F14EC}"/>
    <cellStyle name="百分比 4 2 11 2 7" xfId="4134" xr:uid="{6B9A448D-3303-4BD0-BB54-DB5A9324E579}"/>
    <cellStyle name="百分比 4 2 11 3" xfId="4135" xr:uid="{EBCE522D-7D6B-4136-BDFA-55C6729D0029}"/>
    <cellStyle name="百分比 4 2 11 3 2" xfId="4136" xr:uid="{B1870BA3-F2AE-4FDB-AA9A-A0622F2B3248}"/>
    <cellStyle name="百分比 4 2 11 3 2 2" xfId="4137" xr:uid="{4BB5AA64-CEAD-4519-AD22-F3C5FEB42433}"/>
    <cellStyle name="百分比 4 2 11 3 2 3" xfId="4138" xr:uid="{94E96213-D853-405E-9276-4E47127FE57D}"/>
    <cellStyle name="百分比 4 2 11 3 2 4" xfId="4139" xr:uid="{92FAF27D-F1C8-4232-A45C-FE101F2FEEA6}"/>
    <cellStyle name="百分比 4 2 11 3 2 5" xfId="4140" xr:uid="{E0DBF82C-1D0F-44C9-91C4-FDE0F2D6E5DA}"/>
    <cellStyle name="百分比 4 2 11 3 2 6" xfId="4141" xr:uid="{395D37CF-9CD3-4153-A329-6B05E26D96DB}"/>
    <cellStyle name="百分比 4 2 11 3 3" xfId="4142" xr:uid="{F9E5EEDD-617A-4FDA-BEF6-1F65DC017D86}"/>
    <cellStyle name="百分比 4 2 11 3 4" xfId="4143" xr:uid="{CC76736E-7883-4099-A84F-9B1EC7BBD249}"/>
    <cellStyle name="百分比 4 2 11 3 5" xfId="4144" xr:uid="{FB097303-B735-426B-AC3C-22702482A0B3}"/>
    <cellStyle name="百分比 4 2 11 3 6" xfId="4145" xr:uid="{59D8BE0F-CE83-43D4-95AA-3B637649FCE1}"/>
    <cellStyle name="百分比 4 2 11 3 7" xfId="4146" xr:uid="{CF830237-C81F-4F07-BBFE-70B61F2EB8FC}"/>
    <cellStyle name="百分比 4 2 11 4" xfId="4147" xr:uid="{9D69A758-C1B0-4AF1-B1FA-2BBF7C563A5D}"/>
    <cellStyle name="百分比 4 2 11 4 2" xfId="4148" xr:uid="{35951223-27AD-4284-BB2F-E695A4EC64E7}"/>
    <cellStyle name="百分比 4 2 11 4 3" xfId="4149" xr:uid="{62241E93-7E50-4F58-B3CC-2F494F61BAF4}"/>
    <cellStyle name="百分比 4 2 11 4 4" xfId="4150" xr:uid="{6873C85B-C887-42E1-BD96-7243710209A2}"/>
    <cellStyle name="百分比 4 2 11 4 5" xfId="4151" xr:uid="{64DAC7F6-F8D2-4EA5-A5A4-D40A63DAAB63}"/>
    <cellStyle name="百分比 4 2 11 4 6" xfId="4152" xr:uid="{AA86AC8C-E65A-44DF-9F9C-CD00D3841815}"/>
    <cellStyle name="百分比 4 2 11 5" xfId="4153" xr:uid="{B4C6CC66-5B22-42FC-A005-5A21204A67D9}"/>
    <cellStyle name="百分比 4 2 11 6" xfId="4154" xr:uid="{7CDD70BE-347E-417C-B87F-FA07810ED165}"/>
    <cellStyle name="百分比 4 2 11 7" xfId="4155" xr:uid="{C282CADC-4C05-414D-91A8-2002FCBFDA97}"/>
    <cellStyle name="百分比 4 2 11 8" xfId="4156" xr:uid="{E3A6B9B2-FC24-4620-A8E5-55B1DE084998}"/>
    <cellStyle name="百分比 4 2 11 9" xfId="4157" xr:uid="{74676822-EAD9-4BE6-93D7-C5AA672A4BEC}"/>
    <cellStyle name="百分比 4 2 12" xfId="4158" xr:uid="{797ED3A0-5AB7-4B14-A56B-8F5BC31941A4}"/>
    <cellStyle name="百分比 4 2 12 2" xfId="4159" xr:uid="{EF29B4B9-B1EE-47C4-8660-A547D52504ED}"/>
    <cellStyle name="百分比 4 2 12 2 2" xfId="4160" xr:uid="{95FF61AA-F5AE-4403-B776-9D8621C21B7B}"/>
    <cellStyle name="百分比 4 2 12 2 2 2" xfId="4161" xr:uid="{904E2D55-0E02-44DC-A65C-08EBD99D3778}"/>
    <cellStyle name="百分比 4 2 12 2 2 3" xfId="4162" xr:uid="{BF8813AB-FF3E-462B-98D9-EFD064A52209}"/>
    <cellStyle name="百分比 4 2 12 2 2 4" xfId="4163" xr:uid="{725E2689-5C95-4AF9-9C83-1F35FEE803DC}"/>
    <cellStyle name="百分比 4 2 12 2 2 5" xfId="4164" xr:uid="{F35DB120-722F-444F-845D-4AFDB93173DF}"/>
    <cellStyle name="百分比 4 2 12 2 2 6" xfId="4165" xr:uid="{00276814-1CEE-424E-B562-7A1B7DA0AA7D}"/>
    <cellStyle name="百分比 4 2 12 2 3" xfId="4166" xr:uid="{8FD983F4-54A8-4C35-992A-9E9D8F386226}"/>
    <cellStyle name="百分比 4 2 12 2 4" xfId="4167" xr:uid="{3CFBCC9D-7E4D-45A5-A1BD-CB1A5B39CC80}"/>
    <cellStyle name="百分比 4 2 12 2 5" xfId="4168" xr:uid="{B9394FB4-AABB-4913-A23D-6B40ED79B1D3}"/>
    <cellStyle name="百分比 4 2 12 2 6" xfId="4169" xr:uid="{99F53D50-1399-4731-8C03-202538094271}"/>
    <cellStyle name="百分比 4 2 12 2 7" xfId="4170" xr:uid="{AF9D43EA-757D-4045-B5F1-1EE2D4A71015}"/>
    <cellStyle name="百分比 4 2 12 3" xfId="4171" xr:uid="{71A02173-51CA-49E3-8740-A475E096D50C}"/>
    <cellStyle name="百分比 4 2 12 3 2" xfId="4172" xr:uid="{0B5A90E9-56F8-4584-BBF2-1802461D2B0C}"/>
    <cellStyle name="百分比 4 2 12 3 3" xfId="4173" xr:uid="{61596B02-87FD-4F44-87BC-C945E7808E49}"/>
    <cellStyle name="百分比 4 2 12 3 4" xfId="4174" xr:uid="{3F9421C6-C6E9-4F8F-9B20-EAFD145FE04C}"/>
    <cellStyle name="百分比 4 2 12 3 5" xfId="4175" xr:uid="{2E213B88-E8EA-478F-B49F-EA324258309D}"/>
    <cellStyle name="百分比 4 2 12 3 6" xfId="4176" xr:uid="{1FE83DBD-FDF8-415A-ADEC-AF3FB3F3171D}"/>
    <cellStyle name="百分比 4 2 12 4" xfId="4177" xr:uid="{B34ED184-BDD1-4A60-B698-6A5FC5265A8B}"/>
    <cellStyle name="百分比 4 2 12 5" xfId="4178" xr:uid="{8949822A-1172-4147-9B86-240C1474E25A}"/>
    <cellStyle name="百分比 4 2 12 6" xfId="4179" xr:uid="{1FDCC629-B700-43C3-888E-7E96F6511A3B}"/>
    <cellStyle name="百分比 4 2 12 7" xfId="4180" xr:uid="{AF385E58-344F-46F2-8DD3-5532F6FA8E05}"/>
    <cellStyle name="百分比 4 2 12 8" xfId="4181" xr:uid="{9ECA6FA8-1888-4385-82DE-74C715F4706E}"/>
    <cellStyle name="百分比 4 2 13" xfId="4182" xr:uid="{7568A4E5-C4EE-4255-8693-67CFAFC75BB9}"/>
    <cellStyle name="百分比 4 2 13 2" xfId="4183" xr:uid="{0A536B00-CF51-460C-A4CE-CBE182FE4CD7}"/>
    <cellStyle name="百分比 4 2 13 2 2" xfId="4184" xr:uid="{1B5D4600-25B4-4A4F-99F1-CD841074A56D}"/>
    <cellStyle name="百分比 4 2 13 2 2 2" xfId="4185" xr:uid="{AA1A277B-29F0-4CC9-84F1-3A883E451CAC}"/>
    <cellStyle name="百分比 4 2 13 2 2 3" xfId="4186" xr:uid="{78AB5746-6AA3-421A-890A-0E85FC19E435}"/>
    <cellStyle name="百分比 4 2 13 2 2 4" xfId="4187" xr:uid="{6950ADD7-927C-4110-BBF4-4E4F59427D25}"/>
    <cellStyle name="百分比 4 2 13 2 2 5" xfId="4188" xr:uid="{BABF64D1-2912-42B6-B3B0-F96758786587}"/>
    <cellStyle name="百分比 4 2 13 2 2 6" xfId="4189" xr:uid="{0BDF83D1-9314-48A0-985D-6DD36A5A79BF}"/>
    <cellStyle name="百分比 4 2 13 2 3" xfId="4190" xr:uid="{CCBEA525-9578-4E4C-8295-3D235F01099E}"/>
    <cellStyle name="百分比 4 2 13 2 4" xfId="4191" xr:uid="{8EBC0D70-C706-4B0D-8EE0-5A93EBEA9E48}"/>
    <cellStyle name="百分比 4 2 13 2 5" xfId="4192" xr:uid="{EF132BCE-1186-47A8-8256-B0945EF33A08}"/>
    <cellStyle name="百分比 4 2 13 2 6" xfId="4193" xr:uid="{8E23FEEC-176E-48F0-B94E-906958941FB6}"/>
    <cellStyle name="百分比 4 2 13 2 7" xfId="4194" xr:uid="{5CF1421D-8618-4A34-804D-537A915DA248}"/>
    <cellStyle name="百分比 4 2 13 3" xfId="4195" xr:uid="{AEBC8DE2-5791-4C31-B077-11CF49D6E95B}"/>
    <cellStyle name="百分比 4 2 13 3 2" xfId="4196" xr:uid="{2B3BA646-0168-4943-90FA-14A7B2C0ACB8}"/>
    <cellStyle name="百分比 4 2 13 3 3" xfId="4197" xr:uid="{0D3759D9-939D-4111-A356-6994903808AA}"/>
    <cellStyle name="百分比 4 2 13 3 4" xfId="4198" xr:uid="{5A061CD1-C1B4-4685-AA43-5BCE305BBC49}"/>
    <cellStyle name="百分比 4 2 13 3 5" xfId="4199" xr:uid="{61C198EB-17C1-4902-BE6E-FDC3A0712E66}"/>
    <cellStyle name="百分比 4 2 13 3 6" xfId="4200" xr:uid="{4E66E3B7-489C-472C-96C2-1EF61FA3DE0F}"/>
    <cellStyle name="百分比 4 2 13 4" xfId="4201" xr:uid="{40F61BD0-645E-4A88-A00D-32A534FC44B2}"/>
    <cellStyle name="百分比 4 2 13 5" xfId="4202" xr:uid="{0A1B60C1-5527-410E-8764-CD4882C1D2DD}"/>
    <cellStyle name="百分比 4 2 13 6" xfId="4203" xr:uid="{93AC0C9E-8704-49E3-AF7F-87C46EE0EDD8}"/>
    <cellStyle name="百分比 4 2 13 7" xfId="4204" xr:uid="{F3F2CD9F-1CE1-48DB-9D55-81B281492986}"/>
    <cellStyle name="百分比 4 2 13 8" xfId="4205" xr:uid="{18D8195D-8CD2-4164-B1C3-5471699E2E6F}"/>
    <cellStyle name="百分比 4 2 14" xfId="4206" xr:uid="{E86ED224-4FB9-4383-94FE-767EF5EB24B1}"/>
    <cellStyle name="百分比 4 2 14 2" xfId="4207" xr:uid="{8B26BF9D-6049-4718-9815-83FCBE17D18E}"/>
    <cellStyle name="百分比 4 2 14 2 2" xfId="4208" xr:uid="{3A416B91-DC37-47DE-91AA-738F9D660DE0}"/>
    <cellStyle name="百分比 4 2 14 2 2 2" xfId="4209" xr:uid="{3E30EAF4-221A-4987-8263-44B4ADB7CA85}"/>
    <cellStyle name="百分比 4 2 14 2 2 3" xfId="4210" xr:uid="{80F94B88-8A03-4A19-8E20-2A2948B727DB}"/>
    <cellStyle name="百分比 4 2 14 2 2 4" xfId="4211" xr:uid="{D468DFDC-3C7B-456F-9769-5DB6CAD0B631}"/>
    <cellStyle name="百分比 4 2 14 2 2 5" xfId="4212" xr:uid="{D5E682CF-EFB1-4ABE-BFF1-21F9AE7B7FC7}"/>
    <cellStyle name="百分比 4 2 14 2 2 6" xfId="4213" xr:uid="{A8D00E17-2A5B-4E58-A869-4047A505DBB2}"/>
    <cellStyle name="百分比 4 2 14 2 3" xfId="4214" xr:uid="{4EA765D7-B6E8-489A-B85B-8267D8D1600C}"/>
    <cellStyle name="百分比 4 2 14 2 4" xfId="4215" xr:uid="{31A56C26-27FC-4854-B94C-884A0C50A4BA}"/>
    <cellStyle name="百分比 4 2 14 2 5" xfId="4216" xr:uid="{60B9D0DC-403F-43D8-9825-94FDAD6B00E3}"/>
    <cellStyle name="百分比 4 2 14 2 6" xfId="4217" xr:uid="{C0BAAD26-E75B-4792-B55C-1E1F4788166A}"/>
    <cellStyle name="百分比 4 2 14 2 7" xfId="4218" xr:uid="{42D8493B-6DE2-4C8B-BB5B-0BA208159954}"/>
    <cellStyle name="百分比 4 2 14 3" xfId="4219" xr:uid="{05BCAC9B-B566-4AC4-9F5E-CDFDD4E07135}"/>
    <cellStyle name="百分比 4 2 14 3 2" xfId="4220" xr:uid="{0349AC44-5FA7-45DF-AB4D-AD34B2BC756C}"/>
    <cellStyle name="百分比 4 2 14 3 3" xfId="4221" xr:uid="{B46FFED4-13F0-43AC-A755-2CE6DF9715B7}"/>
    <cellStyle name="百分比 4 2 14 3 4" xfId="4222" xr:uid="{48C1D8B2-07B1-426A-8FE3-59742664F88A}"/>
    <cellStyle name="百分比 4 2 14 3 5" xfId="4223" xr:uid="{5EBA22D2-D123-4C85-8D84-953D2959554F}"/>
    <cellStyle name="百分比 4 2 14 3 6" xfId="4224" xr:uid="{C4A19D8A-CE37-408A-942E-70152987577C}"/>
    <cellStyle name="百分比 4 2 14 4" xfId="4225" xr:uid="{EB25C56E-CED9-4CC1-AB13-9051345641CD}"/>
    <cellStyle name="百分比 4 2 14 5" xfId="4226" xr:uid="{0F7F1CDF-8BEF-444F-B321-64FEB2EE819B}"/>
    <cellStyle name="百分比 4 2 14 6" xfId="4227" xr:uid="{E8577B46-CF0F-4680-9DB9-6F27865C8B50}"/>
    <cellStyle name="百分比 4 2 14 7" xfId="4228" xr:uid="{98B4FD9B-1E86-4780-9F18-74AF293856B4}"/>
    <cellStyle name="百分比 4 2 14 8" xfId="4229" xr:uid="{E709C383-31FC-4217-9E62-319115B8404C}"/>
    <cellStyle name="百分比 4 2 15" xfId="4230" xr:uid="{9392D36B-4EFE-4CCE-808B-8CBCBD5A0BE4}"/>
    <cellStyle name="百分比 4 2 15 2" xfId="4231" xr:uid="{48C32D5D-5EE0-4AE8-9D41-466AC5C47C10}"/>
    <cellStyle name="百分比 4 2 15 2 2" xfId="4232" xr:uid="{67CEC895-1480-4366-B620-BE9AED1CD3C5}"/>
    <cellStyle name="百分比 4 2 15 2 2 2" xfId="4233" xr:uid="{D307864A-9907-4906-87D3-6C822FADD2B9}"/>
    <cellStyle name="百分比 4 2 15 2 2 3" xfId="4234" xr:uid="{7361C69D-0CB9-4C63-9934-B830B87BA4D7}"/>
    <cellStyle name="百分比 4 2 15 2 2 4" xfId="4235" xr:uid="{326A2389-F6A2-407C-A23F-5BE059F9EAB1}"/>
    <cellStyle name="百分比 4 2 15 2 2 5" xfId="4236" xr:uid="{79E9F7BA-CB98-4A91-9A8A-D82E9CD773AD}"/>
    <cellStyle name="百分比 4 2 15 2 2 6" xfId="4237" xr:uid="{A25D2A96-90E9-4D56-87A6-47A28482E725}"/>
    <cellStyle name="百分比 4 2 15 2 3" xfId="4238" xr:uid="{B994ED1D-32F3-49B5-A1FC-381BF464A30A}"/>
    <cellStyle name="百分比 4 2 15 2 4" xfId="4239" xr:uid="{7F3F8D64-5C60-4327-BBDD-3524B8BB4EA6}"/>
    <cellStyle name="百分比 4 2 15 2 5" xfId="4240" xr:uid="{B5A31110-4116-4860-86CA-24AD909ACCC5}"/>
    <cellStyle name="百分比 4 2 15 2 6" xfId="4241" xr:uid="{31F4993E-E347-423D-A2F0-A94E67397D4C}"/>
    <cellStyle name="百分比 4 2 15 2 7" xfId="4242" xr:uid="{95F86918-999C-45A7-A319-02DEDD9E0766}"/>
    <cellStyle name="百分比 4 2 15 3" xfId="4243" xr:uid="{4AFC165D-751E-4AF6-B55E-E0C907E9EA95}"/>
    <cellStyle name="百分比 4 2 15 3 2" xfId="4244" xr:uid="{2F7D2120-2235-4AEA-806D-4143127BB5F7}"/>
    <cellStyle name="百分比 4 2 15 3 3" xfId="4245" xr:uid="{B9D7EF79-451A-444B-962D-2FC630D4D4CF}"/>
    <cellStyle name="百分比 4 2 15 3 4" xfId="4246" xr:uid="{E0617868-0809-4BF0-BC69-72989436CFD6}"/>
    <cellStyle name="百分比 4 2 15 3 5" xfId="4247" xr:uid="{BA7B769B-6A52-4572-BAE7-CA7829A505EB}"/>
    <cellStyle name="百分比 4 2 15 3 6" xfId="4248" xr:uid="{EE1E5795-FEEB-420C-9C42-6B67AF3A70E5}"/>
    <cellStyle name="百分比 4 2 15 4" xfId="4249" xr:uid="{B4DBFD57-A9FC-4C30-9889-9034083046E7}"/>
    <cellStyle name="百分比 4 2 15 5" xfId="4250" xr:uid="{AB9891CA-88E1-4DD9-B3A3-F74A3E250B3F}"/>
    <cellStyle name="百分比 4 2 15 6" xfId="4251" xr:uid="{BA736037-AD1A-41A7-8C6F-4E8DAF72E4ED}"/>
    <cellStyle name="百分比 4 2 15 7" xfId="4252" xr:uid="{EE3060EC-18FA-4DF1-8BF6-5FDC457207E2}"/>
    <cellStyle name="百分比 4 2 15 8" xfId="4253" xr:uid="{8A2EFD45-60FF-463A-B7F2-D46F3AACE0FD}"/>
    <cellStyle name="百分比 4 2 16" xfId="4254" xr:uid="{CFB643DE-7416-4E7A-9CB9-E47F2D6A62C4}"/>
    <cellStyle name="百分比 4 2 16 2" xfId="4255" xr:uid="{E5961BBF-C9AD-445E-8FE7-8547690AEFA7}"/>
    <cellStyle name="百分比 4 2 16 2 2" xfId="4256" xr:uid="{E702B662-E778-40C2-8386-B7674BFCEF50}"/>
    <cellStyle name="百分比 4 2 16 2 3" xfId="4257" xr:uid="{DF2EB75E-718B-4B05-B9BA-43FED31272AD}"/>
    <cellStyle name="百分比 4 2 16 2 4" xfId="4258" xr:uid="{15369D5E-DF6D-4B02-9758-B895ED09F563}"/>
    <cellStyle name="百分比 4 2 16 2 5" xfId="4259" xr:uid="{B5295CDF-2B52-4F31-8A57-F9706DE17628}"/>
    <cellStyle name="百分比 4 2 16 2 6" xfId="4260" xr:uid="{64B0C081-5B55-42AF-B1C0-FAE9194691CC}"/>
    <cellStyle name="百分比 4 2 16 3" xfId="4261" xr:uid="{365D5FC6-213A-4641-AEFB-D684E0F55859}"/>
    <cellStyle name="百分比 4 2 16 4" xfId="4262" xr:uid="{760DD5CF-F7B3-4B7A-9796-7C1D7715202A}"/>
    <cellStyle name="百分比 4 2 16 5" xfId="4263" xr:uid="{E60E1925-A45B-4BFF-A38C-2348E3B5E984}"/>
    <cellStyle name="百分比 4 2 16 6" xfId="4264" xr:uid="{ABF1E4A0-C4E2-4E31-8C0B-FBDA7E55BDDE}"/>
    <cellStyle name="百分比 4 2 16 7" xfId="4265" xr:uid="{095BC182-0C20-42DD-93EA-ED72DED0122B}"/>
    <cellStyle name="百分比 4 2 17" xfId="4266" xr:uid="{2C457665-56C3-49BF-BFD9-8ADD26262586}"/>
    <cellStyle name="百分比 4 2 17 2" xfId="4267" xr:uid="{CA0EB0CB-D97A-4CEA-92B4-5D5EFA3F36CD}"/>
    <cellStyle name="百分比 4 2 17 2 2" xfId="4268" xr:uid="{93D3A608-E73A-4CA4-8AFB-63A51FF16FB8}"/>
    <cellStyle name="百分比 4 2 17 2 3" xfId="4269" xr:uid="{03253B21-8578-4C62-8CF3-01FCFAE2C888}"/>
    <cellStyle name="百分比 4 2 17 2 4" xfId="4270" xr:uid="{2138E5E0-AFDD-4725-875F-BD2977768848}"/>
    <cellStyle name="百分比 4 2 17 2 5" xfId="4271" xr:uid="{BAE0BCEF-8C8E-4EA7-9310-AB375C5229EC}"/>
    <cellStyle name="百分比 4 2 17 2 6" xfId="4272" xr:uid="{27DF7EB3-0691-41B3-91B2-F32F594FCA3F}"/>
    <cellStyle name="百分比 4 2 17 3" xfId="4273" xr:uid="{D99FBFDA-E56E-43D4-91EF-39D0FEA1AE5D}"/>
    <cellStyle name="百分比 4 2 17 4" xfId="4274" xr:uid="{A661738C-58E8-4ADA-B653-E38EF424C69C}"/>
    <cellStyle name="百分比 4 2 17 5" xfId="4275" xr:uid="{4EC498EC-9E6E-46C1-B02B-EF2AEED067A2}"/>
    <cellStyle name="百分比 4 2 17 6" xfId="4276" xr:uid="{FF0A0CE6-9A5B-4633-8F34-B87B1845B263}"/>
    <cellStyle name="百分比 4 2 17 7" xfId="4277" xr:uid="{14CA2434-88C1-4BE3-8C73-4BE5101553EA}"/>
    <cellStyle name="百分比 4 2 18" xfId="4278" xr:uid="{B969C9D1-0688-434F-B460-87DD1F6F8E5B}"/>
    <cellStyle name="百分比 4 2 18 2" xfId="4279" xr:uid="{EC5C36E2-6806-4764-B863-84698BB545CC}"/>
    <cellStyle name="百分比 4 2 18 2 2" xfId="4280" xr:uid="{43682816-96F1-4F11-86DA-79D07955BD6D}"/>
    <cellStyle name="百分比 4 2 18 2 3" xfId="4281" xr:uid="{1225DFE0-589A-4C51-A007-A9006EE04B5E}"/>
    <cellStyle name="百分比 4 2 18 2 4" xfId="4282" xr:uid="{A32C9150-14B1-46E0-A0B6-AD469FB928DF}"/>
    <cellStyle name="百分比 4 2 18 2 5" xfId="4283" xr:uid="{916CE1AC-F3C8-4897-933D-F6A3D4FDF3C0}"/>
    <cellStyle name="百分比 4 2 18 2 6" xfId="4284" xr:uid="{EB8800FC-FDB7-488E-9AE5-F8E410AE0943}"/>
    <cellStyle name="百分比 4 2 18 3" xfId="4285" xr:uid="{B005C3B0-B44D-43A3-A178-5657ADE808F7}"/>
    <cellStyle name="百分比 4 2 18 4" xfId="4286" xr:uid="{8A10E495-8AED-4252-8B49-B4DA13AE6073}"/>
    <cellStyle name="百分比 4 2 18 5" xfId="4287" xr:uid="{4B7B6464-86A2-4AC6-ADC1-E788A74D5D82}"/>
    <cellStyle name="百分比 4 2 18 6" xfId="4288" xr:uid="{620F577E-DE65-4E91-8BC2-55EAEC275F02}"/>
    <cellStyle name="百分比 4 2 18 7" xfId="4289" xr:uid="{1E8F999C-3BCF-446B-A7B4-15CF0D990CEA}"/>
    <cellStyle name="百分比 4 2 19" xfId="4290" xr:uid="{16DF8D1E-9796-489E-B614-7AC351255B69}"/>
    <cellStyle name="百分比 4 2 19 2" xfId="4291" xr:uid="{CF45C7FB-8668-457E-ADA6-40202397AA68}"/>
    <cellStyle name="百分比 4 2 19 2 2" xfId="4292" xr:uid="{31BBEB6E-901D-4393-9B67-8604FAD36EF4}"/>
    <cellStyle name="百分比 4 2 19 2 3" xfId="4293" xr:uid="{10D6400C-0A27-49F2-9165-07E769148CC1}"/>
    <cellStyle name="百分比 4 2 19 2 4" xfId="4294" xr:uid="{5DF7A990-71B3-45C9-A357-B13D60CD1872}"/>
    <cellStyle name="百分比 4 2 19 2 5" xfId="4295" xr:uid="{FA596581-9AE7-4343-A3E6-58419F220DF4}"/>
    <cellStyle name="百分比 4 2 19 2 6" xfId="4296" xr:uid="{DF862983-E180-4B3F-8676-D1BFB7DDF078}"/>
    <cellStyle name="百分比 4 2 19 3" xfId="4297" xr:uid="{398C7FD2-4137-4D82-AD93-78BD761820E9}"/>
    <cellStyle name="百分比 4 2 19 4" xfId="4298" xr:uid="{39130AC9-8603-47E1-B931-FF979497110B}"/>
    <cellStyle name="百分比 4 2 19 5" xfId="4299" xr:uid="{89214F8D-BC92-4A1A-9793-CBE46B7F7493}"/>
    <cellStyle name="百分比 4 2 19 6" xfId="4300" xr:uid="{6E2FEEBF-5208-4114-8426-60BABFB547A6}"/>
    <cellStyle name="百分比 4 2 19 7" xfId="4301" xr:uid="{B1C7D982-C946-4F6C-9DBA-8A30AEB34DCB}"/>
    <cellStyle name="百分比 4 2 2" xfId="4302" xr:uid="{6DFEEAAA-BD05-4A11-A20E-5FEFDAFF4F46}"/>
    <cellStyle name="百分比 4 2 2 10" xfId="4303" xr:uid="{4B9ABDE0-E1DA-4498-83B3-6F85FFEBB7B7}"/>
    <cellStyle name="百分比 4 2 2 10 2" xfId="4304" xr:uid="{A4DEF395-A9D0-4D67-B5F8-94162E155D78}"/>
    <cellStyle name="百分比 4 2 2 10 2 2" xfId="4305" xr:uid="{52247A84-417A-420F-ADED-51F376F1A08A}"/>
    <cellStyle name="百分比 4 2 2 10 2 2 2" xfId="4306" xr:uid="{A1D5BDBA-5BD7-408E-B55C-2BD2E751A5E2}"/>
    <cellStyle name="百分比 4 2 2 10 2 2 3" xfId="4307" xr:uid="{DB25D23C-0B01-4B04-B5D8-F0DFA6118098}"/>
    <cellStyle name="百分比 4 2 2 10 2 2 4" xfId="4308" xr:uid="{ABCCD5DE-54B7-45C2-866D-D6B80B978380}"/>
    <cellStyle name="百分比 4 2 2 10 2 2 5" xfId="4309" xr:uid="{8F62A9CF-233E-4C5B-927B-65DB0974A5BD}"/>
    <cellStyle name="百分比 4 2 2 10 2 2 6" xfId="4310" xr:uid="{6A7E7F41-7499-4AA1-9E88-7F7AFE7688B7}"/>
    <cellStyle name="百分比 4 2 2 10 2 3" xfId="4311" xr:uid="{3FBDC082-26B8-4EF8-A63C-D6D1CBF4B266}"/>
    <cellStyle name="百分比 4 2 2 10 2 4" xfId="4312" xr:uid="{6FF55B1E-7834-43B4-AB31-CD9D22AE9B0F}"/>
    <cellStyle name="百分比 4 2 2 10 2 5" xfId="4313" xr:uid="{B6628641-14D2-418F-A18F-F8D5874EB211}"/>
    <cellStyle name="百分比 4 2 2 10 2 6" xfId="4314" xr:uid="{ED845E4A-853B-40D6-B212-23D8DFF9978F}"/>
    <cellStyle name="百分比 4 2 2 10 2 7" xfId="4315" xr:uid="{AE399F6B-C7D9-4091-A5B9-F961632ED372}"/>
    <cellStyle name="百分比 4 2 2 10 3" xfId="4316" xr:uid="{6079D39A-5820-41BE-AB24-C463C53A1594}"/>
    <cellStyle name="百分比 4 2 2 10 3 2" xfId="4317" xr:uid="{60242C0F-ADAD-4F5F-B6BF-DDBA84F93F47}"/>
    <cellStyle name="百分比 4 2 2 10 3 2 2" xfId="4318" xr:uid="{A2707A81-1F7C-44E0-83BE-B0E047BAB04C}"/>
    <cellStyle name="百分比 4 2 2 10 3 2 3" xfId="4319" xr:uid="{EE448E38-31AD-4DC5-A73B-7EC71B27C988}"/>
    <cellStyle name="百分比 4 2 2 10 3 2 4" xfId="4320" xr:uid="{01160119-A472-4F31-A1BE-C326F4C14D66}"/>
    <cellStyle name="百分比 4 2 2 10 3 2 5" xfId="4321" xr:uid="{34B56A23-73FE-4309-B1BF-C438CE205DBC}"/>
    <cellStyle name="百分比 4 2 2 10 3 2 6" xfId="4322" xr:uid="{32564337-5677-4908-A7A6-F008A4EE9B77}"/>
    <cellStyle name="百分比 4 2 2 10 3 3" xfId="4323" xr:uid="{3CB8C196-153E-4053-9525-2173D09EC6E3}"/>
    <cellStyle name="百分比 4 2 2 10 3 4" xfId="4324" xr:uid="{0B4C7D10-6E70-47D1-AF24-AACFC3AA6E06}"/>
    <cellStyle name="百分比 4 2 2 10 3 5" xfId="4325" xr:uid="{BACD7707-54AC-48A5-AA22-BA52EBA6F617}"/>
    <cellStyle name="百分比 4 2 2 10 3 6" xfId="4326" xr:uid="{1AB14BC7-F4C1-4D8F-BA50-6914174F24FA}"/>
    <cellStyle name="百分比 4 2 2 10 3 7" xfId="4327" xr:uid="{DE6BCCE6-350D-4014-AB58-9C927EF3EA19}"/>
    <cellStyle name="百分比 4 2 2 10 4" xfId="4328" xr:uid="{0667A05E-2C6B-482D-95FF-9E0673771ACC}"/>
    <cellStyle name="百分比 4 2 2 10 4 2" xfId="4329" xr:uid="{069D9CEC-0B57-4C79-9CCF-ECA5E3842A0A}"/>
    <cellStyle name="百分比 4 2 2 10 4 3" xfId="4330" xr:uid="{CC5D151F-EB12-4C64-9575-D57372B93969}"/>
    <cellStyle name="百分比 4 2 2 10 4 4" xfId="4331" xr:uid="{A27D07F8-5DA6-4156-96B4-063E38D61B90}"/>
    <cellStyle name="百分比 4 2 2 10 4 5" xfId="4332" xr:uid="{469D6D31-23D1-4BB9-A6DF-D1D17AD585FB}"/>
    <cellStyle name="百分比 4 2 2 10 4 6" xfId="4333" xr:uid="{8C61D738-49DD-4E31-A644-E0794A5F29EB}"/>
    <cellStyle name="百分比 4 2 2 10 5" xfId="4334" xr:uid="{24DA24FC-74BE-4B08-B071-47C304F3DD95}"/>
    <cellStyle name="百分比 4 2 2 10 6" xfId="4335" xr:uid="{6F96C207-5FB0-4B20-9C49-11EEC4F238DF}"/>
    <cellStyle name="百分比 4 2 2 10 7" xfId="4336" xr:uid="{A014A486-F005-4FC5-83E0-825A4A4DD305}"/>
    <cellStyle name="百分比 4 2 2 10 8" xfId="4337" xr:uid="{D0F6254C-1037-4A62-B1D0-5EAFF43CAA19}"/>
    <cellStyle name="百分比 4 2 2 10 9" xfId="4338" xr:uid="{8BB952C1-4F0C-4423-B4F3-FCF16F82D37E}"/>
    <cellStyle name="百分比 4 2 2 11" xfId="4339" xr:uid="{CD70A3B3-CE38-47ED-8824-355BDF7D1630}"/>
    <cellStyle name="百分比 4 2 2 11 2" xfId="4340" xr:uid="{6EB293E6-D184-4877-872D-9C5DD0735B3A}"/>
    <cellStyle name="百分比 4 2 2 11 2 2" xfId="4341" xr:uid="{5D4D9E55-4BBA-4908-B059-C38745C70EB7}"/>
    <cellStyle name="百分比 4 2 2 11 2 2 2" xfId="4342" xr:uid="{BCE743A7-5A4C-41E8-A6A3-2AC2A43215B8}"/>
    <cellStyle name="百分比 4 2 2 11 2 2 3" xfId="4343" xr:uid="{A46DE56F-B109-403B-A6D7-2D3B529CF8D1}"/>
    <cellStyle name="百分比 4 2 2 11 2 2 4" xfId="4344" xr:uid="{B90837E5-D8DC-4396-8A5F-AC775218796E}"/>
    <cellStyle name="百分比 4 2 2 11 2 2 5" xfId="4345" xr:uid="{217B35EE-9AA6-457E-ABFB-C18D70731505}"/>
    <cellStyle name="百分比 4 2 2 11 2 2 6" xfId="4346" xr:uid="{B031DEA8-418F-452F-8C1E-B261BEDBBF55}"/>
    <cellStyle name="百分比 4 2 2 11 2 3" xfId="4347" xr:uid="{86CD0106-7CEA-45E4-9151-E1FDB07ECD5D}"/>
    <cellStyle name="百分比 4 2 2 11 2 4" xfId="4348" xr:uid="{DFBDA37A-4CDE-4576-BE5D-CA10E1A1D141}"/>
    <cellStyle name="百分比 4 2 2 11 2 5" xfId="4349" xr:uid="{40A934F0-9F42-42A2-B8BB-9962F0149814}"/>
    <cellStyle name="百分比 4 2 2 11 2 6" xfId="4350" xr:uid="{6421068B-3E76-4573-A9D5-5D6A9D35E487}"/>
    <cellStyle name="百分比 4 2 2 11 2 7" xfId="4351" xr:uid="{42EBB6B5-28BE-461F-822B-405367B3221B}"/>
    <cellStyle name="百分比 4 2 2 11 3" xfId="4352" xr:uid="{4084C404-7EA8-44CB-9B15-B5D470A79AE8}"/>
    <cellStyle name="百分比 4 2 2 11 3 2" xfId="4353" xr:uid="{381CA1AD-F5AF-4A66-BFAB-50617B26ADB4}"/>
    <cellStyle name="百分比 4 2 2 11 3 3" xfId="4354" xr:uid="{B6ED289B-8074-48AF-A92C-852AA73AC941}"/>
    <cellStyle name="百分比 4 2 2 11 3 4" xfId="4355" xr:uid="{BB4310FD-8CB8-429E-A0C0-451C8C0640FE}"/>
    <cellStyle name="百分比 4 2 2 11 3 5" xfId="4356" xr:uid="{DB3D2676-0E55-4BD0-AB11-A92BF4B775F5}"/>
    <cellStyle name="百分比 4 2 2 11 3 6" xfId="4357" xr:uid="{DD4DAB86-5773-4A96-8EE0-360ACD76D8DA}"/>
    <cellStyle name="百分比 4 2 2 11 4" xfId="4358" xr:uid="{33D91D70-5224-4500-8C1B-658E4D3D7FAF}"/>
    <cellStyle name="百分比 4 2 2 11 5" xfId="4359" xr:uid="{C5643ADC-0F76-4F83-9B6A-CA5DFA8D7509}"/>
    <cellStyle name="百分比 4 2 2 11 6" xfId="4360" xr:uid="{5B6C935E-2114-4350-857F-F93C61E24EAB}"/>
    <cellStyle name="百分比 4 2 2 11 7" xfId="4361" xr:uid="{9C35123B-5111-430C-9815-3647BB49A100}"/>
    <cellStyle name="百分比 4 2 2 11 8" xfId="4362" xr:uid="{354D7A11-40D4-4538-9EFE-751EF174C5D3}"/>
    <cellStyle name="百分比 4 2 2 12" xfId="4363" xr:uid="{340B6E64-672B-4450-90E8-AE503FC4928B}"/>
    <cellStyle name="百分比 4 2 2 12 2" xfId="4364" xr:uid="{1D243FAE-2428-4DF5-A342-52D68729418C}"/>
    <cellStyle name="百分比 4 2 2 12 2 2" xfId="4365" xr:uid="{2F3180DC-7E4E-4E75-86D3-3EE1CAA6ABE0}"/>
    <cellStyle name="百分比 4 2 2 12 2 2 2" xfId="4366" xr:uid="{22D1C030-AF9D-4CF7-9868-D80C22EFF350}"/>
    <cellStyle name="百分比 4 2 2 12 2 2 3" xfId="4367" xr:uid="{30D5DD22-D47B-4703-AC06-3E0BFCACAD11}"/>
    <cellStyle name="百分比 4 2 2 12 2 2 4" xfId="4368" xr:uid="{88D44D43-8EAA-4A24-AF70-F7FC490167FA}"/>
    <cellStyle name="百分比 4 2 2 12 2 2 5" xfId="4369" xr:uid="{64529FE3-4C86-4AFA-B959-AD9966FDD1F6}"/>
    <cellStyle name="百分比 4 2 2 12 2 2 6" xfId="4370" xr:uid="{881C59D8-C2E2-460B-84D0-11D70091CD98}"/>
    <cellStyle name="百分比 4 2 2 12 2 3" xfId="4371" xr:uid="{5E6488D6-7C36-43C1-A61A-E1DD24234AF9}"/>
    <cellStyle name="百分比 4 2 2 12 2 4" xfId="4372" xr:uid="{46CFC58E-F584-4E5A-8631-EE63EF027E58}"/>
    <cellStyle name="百分比 4 2 2 12 2 5" xfId="4373" xr:uid="{C19C7FD5-9765-4E98-A277-8B566E5FA3F2}"/>
    <cellStyle name="百分比 4 2 2 12 2 6" xfId="4374" xr:uid="{5D1C00C2-1945-4EF3-903B-D446C7E2F7CE}"/>
    <cellStyle name="百分比 4 2 2 12 2 7" xfId="4375" xr:uid="{719F2999-FB09-4E58-9D64-036F047C60F1}"/>
    <cellStyle name="百分比 4 2 2 12 3" xfId="4376" xr:uid="{0687F66D-1279-4DED-B497-0BC9A8EF7C20}"/>
    <cellStyle name="百分比 4 2 2 12 3 2" xfId="4377" xr:uid="{0BD4363C-990B-4B40-B627-81A1E42D06D2}"/>
    <cellStyle name="百分比 4 2 2 12 3 3" xfId="4378" xr:uid="{67A26C60-E89F-4204-B04C-7CC280B33286}"/>
    <cellStyle name="百分比 4 2 2 12 3 4" xfId="4379" xr:uid="{BF0C9268-0E67-43BD-B101-63C50C74E9BA}"/>
    <cellStyle name="百分比 4 2 2 12 3 5" xfId="4380" xr:uid="{68712BEC-261E-47E6-BC6A-67225289EF65}"/>
    <cellStyle name="百分比 4 2 2 12 3 6" xfId="4381" xr:uid="{6C026B0B-D3D1-44E1-A417-B73AD8B870BD}"/>
    <cellStyle name="百分比 4 2 2 12 4" xfId="4382" xr:uid="{0B47AFCE-C433-4677-818C-373A1737BE67}"/>
    <cellStyle name="百分比 4 2 2 12 5" xfId="4383" xr:uid="{CA5EACAB-2B99-4A67-9E47-64DBD48A0CB3}"/>
    <cellStyle name="百分比 4 2 2 12 6" xfId="4384" xr:uid="{F6AFCDAE-46E0-47BA-8951-5D5E40098909}"/>
    <cellStyle name="百分比 4 2 2 12 7" xfId="4385" xr:uid="{3B330515-BCA2-4545-8D50-1AA05FAC0158}"/>
    <cellStyle name="百分比 4 2 2 12 8" xfId="4386" xr:uid="{D84B7CC2-C626-46D0-B542-C1E12D190FDA}"/>
    <cellStyle name="百分比 4 2 2 13" xfId="4387" xr:uid="{C2C00F7E-DFDF-4A0D-A608-F7E8E74B8814}"/>
    <cellStyle name="百分比 4 2 2 13 2" xfId="4388" xr:uid="{C8097A6D-488F-4D19-AF1B-45EB52CBB418}"/>
    <cellStyle name="百分比 4 2 2 13 2 2" xfId="4389" xr:uid="{91CEE765-81C2-4EF5-B090-8FD341607C85}"/>
    <cellStyle name="百分比 4 2 2 13 2 2 2" xfId="4390" xr:uid="{1C882B70-B979-4CE1-A190-385DB0371946}"/>
    <cellStyle name="百分比 4 2 2 13 2 2 3" xfId="4391" xr:uid="{29302D00-EBEC-4EF9-BB1C-23B10F53404D}"/>
    <cellStyle name="百分比 4 2 2 13 2 2 4" xfId="4392" xr:uid="{FA8C0D78-D184-4DC2-86D7-B1DD8EF41E08}"/>
    <cellStyle name="百分比 4 2 2 13 2 2 5" xfId="4393" xr:uid="{3BFD48C2-0AE6-4EBE-9671-9F0C4AEB50B0}"/>
    <cellStyle name="百分比 4 2 2 13 2 2 6" xfId="4394" xr:uid="{FE833907-053D-4EDF-B27F-BDB69B9E4D9C}"/>
    <cellStyle name="百分比 4 2 2 13 2 3" xfId="4395" xr:uid="{5E6E41F5-0262-4A8A-9608-78275A3F44ED}"/>
    <cellStyle name="百分比 4 2 2 13 2 4" xfId="4396" xr:uid="{61D7C3A0-7B18-46E4-A179-3A71B7DB3FA6}"/>
    <cellStyle name="百分比 4 2 2 13 2 5" xfId="4397" xr:uid="{52FEF9D2-29CD-4472-B37F-187AB3ECBA16}"/>
    <cellStyle name="百分比 4 2 2 13 2 6" xfId="4398" xr:uid="{3F838163-9288-4F48-8360-E43D07826BDF}"/>
    <cellStyle name="百分比 4 2 2 13 2 7" xfId="4399" xr:uid="{1EDE03D5-35C8-4E51-A8EE-1533C4587D64}"/>
    <cellStyle name="百分比 4 2 2 13 3" xfId="4400" xr:uid="{75793284-4E1D-42BF-AE5A-8CC195C65A9E}"/>
    <cellStyle name="百分比 4 2 2 13 3 2" xfId="4401" xr:uid="{0042573C-5355-4E45-890D-29A8D24D4438}"/>
    <cellStyle name="百分比 4 2 2 13 3 3" xfId="4402" xr:uid="{77D01772-72D7-4DCD-AF03-BAFACFFA75B5}"/>
    <cellStyle name="百分比 4 2 2 13 3 4" xfId="4403" xr:uid="{A43DDABB-0E5F-470B-83AC-21779C09B0FF}"/>
    <cellStyle name="百分比 4 2 2 13 3 5" xfId="4404" xr:uid="{B66CEBFB-634D-4B6D-B838-0DC6A492A976}"/>
    <cellStyle name="百分比 4 2 2 13 3 6" xfId="4405" xr:uid="{F0906FAB-C399-44F3-A04D-5ADA9850CCF6}"/>
    <cellStyle name="百分比 4 2 2 13 4" xfId="4406" xr:uid="{2B1778C7-B058-41E2-9010-D20FCB62933F}"/>
    <cellStyle name="百分比 4 2 2 13 5" xfId="4407" xr:uid="{B00A4282-0502-45B2-950A-626314073339}"/>
    <cellStyle name="百分比 4 2 2 13 6" xfId="4408" xr:uid="{988A5715-7710-4FAA-A686-F2930896E833}"/>
    <cellStyle name="百分比 4 2 2 13 7" xfId="4409" xr:uid="{B45B58EA-3A60-459D-B4C8-503C2849CF83}"/>
    <cellStyle name="百分比 4 2 2 13 8" xfId="4410" xr:uid="{7A9779C6-3A92-4EC3-9F13-E8A8CD3F0980}"/>
    <cellStyle name="百分比 4 2 2 14" xfId="4411" xr:uid="{3DB5C2A6-0AA2-49A7-9191-6567BE29096B}"/>
    <cellStyle name="百分比 4 2 2 14 2" xfId="4412" xr:uid="{D863315E-D92E-491F-AE6E-18B827A1C667}"/>
    <cellStyle name="百分比 4 2 2 14 2 2" xfId="4413" xr:uid="{96E3B3FD-6C3F-4280-8487-AA18ABD42A62}"/>
    <cellStyle name="百分比 4 2 2 14 2 2 2" xfId="4414" xr:uid="{3EBCB34D-6EF4-4C7B-AEF4-378141249644}"/>
    <cellStyle name="百分比 4 2 2 14 2 2 3" xfId="4415" xr:uid="{1A11EC5C-E041-4505-AEDE-7034DCA09215}"/>
    <cellStyle name="百分比 4 2 2 14 2 2 4" xfId="4416" xr:uid="{6C99F200-BA39-4581-9434-EAC307042134}"/>
    <cellStyle name="百分比 4 2 2 14 2 2 5" xfId="4417" xr:uid="{656D2B30-013B-4C80-9B41-C004990DEA72}"/>
    <cellStyle name="百分比 4 2 2 14 2 2 6" xfId="4418" xr:uid="{F53F3E44-D0F5-4B83-874F-945D53174E1F}"/>
    <cellStyle name="百分比 4 2 2 14 2 3" xfId="4419" xr:uid="{C4B959B1-2551-467B-9D1A-5F59FA4E7993}"/>
    <cellStyle name="百分比 4 2 2 14 2 4" xfId="4420" xr:uid="{F9AAD9D4-E3B9-4D89-B6A3-D3FDE4356BDA}"/>
    <cellStyle name="百分比 4 2 2 14 2 5" xfId="4421" xr:uid="{EFEC11ED-5675-4971-86C0-9888434606D5}"/>
    <cellStyle name="百分比 4 2 2 14 2 6" xfId="4422" xr:uid="{D36BA571-CFFC-4E3A-8803-B9F2A7A4F296}"/>
    <cellStyle name="百分比 4 2 2 14 2 7" xfId="4423" xr:uid="{35436255-E6A4-45EA-B67A-7CCF9DD44243}"/>
    <cellStyle name="百分比 4 2 2 14 3" xfId="4424" xr:uid="{D07AFFA4-1DC2-42E0-87DB-7A46932C11CF}"/>
    <cellStyle name="百分比 4 2 2 14 3 2" xfId="4425" xr:uid="{C688157D-86E1-46B1-A048-DD939CBAABFE}"/>
    <cellStyle name="百分比 4 2 2 14 3 3" xfId="4426" xr:uid="{71162004-A02B-4072-B58F-648503C978EA}"/>
    <cellStyle name="百分比 4 2 2 14 3 4" xfId="4427" xr:uid="{4A0084C2-B400-4F75-8698-165A23E59A4B}"/>
    <cellStyle name="百分比 4 2 2 14 3 5" xfId="4428" xr:uid="{90DBD936-4DB5-4759-9DF1-4EEFEA7BC62F}"/>
    <cellStyle name="百分比 4 2 2 14 3 6" xfId="4429" xr:uid="{1B359548-ECF6-44C4-8674-4C73DD3B46DB}"/>
    <cellStyle name="百分比 4 2 2 14 4" xfId="4430" xr:uid="{DD8A0F29-903B-4AB4-86C4-4D6CBAFB1147}"/>
    <cellStyle name="百分比 4 2 2 14 5" xfId="4431" xr:uid="{DFF8B143-F16E-4AA8-B9B2-71219517353C}"/>
    <cellStyle name="百分比 4 2 2 14 6" xfId="4432" xr:uid="{ADAD24EC-0A8B-4416-8961-928D5ADFA839}"/>
    <cellStyle name="百分比 4 2 2 14 7" xfId="4433" xr:uid="{AB8946AE-F485-461B-AC78-7F84E1BF024C}"/>
    <cellStyle name="百分比 4 2 2 14 8" xfId="4434" xr:uid="{20FC5378-A4D7-48D3-98C5-18779C1BF207}"/>
    <cellStyle name="百分比 4 2 2 15" xfId="4435" xr:uid="{F6F37A2B-8350-4244-B8CD-0BAC5F536809}"/>
    <cellStyle name="百分比 4 2 2 15 2" xfId="4436" xr:uid="{70922A29-A7B6-4755-9544-2A326E8BE9FB}"/>
    <cellStyle name="百分比 4 2 2 15 2 2" xfId="4437" xr:uid="{B1B01398-8D56-4ABD-8876-FA60FFF3AF80}"/>
    <cellStyle name="百分比 4 2 2 15 2 3" xfId="4438" xr:uid="{F7ABDF60-75BE-4F35-8DD9-59F8ACCB3601}"/>
    <cellStyle name="百分比 4 2 2 15 2 4" xfId="4439" xr:uid="{744ECAA0-3B9A-4D87-9370-F35DFA035896}"/>
    <cellStyle name="百分比 4 2 2 15 2 5" xfId="4440" xr:uid="{4DFF7B05-6F11-4C4F-ACB1-870C96F830AE}"/>
    <cellStyle name="百分比 4 2 2 15 2 6" xfId="4441" xr:uid="{4434E66C-C727-4CFE-BD0A-342B0F803441}"/>
    <cellStyle name="百分比 4 2 2 15 3" xfId="4442" xr:uid="{6B7C89E3-9BCC-4303-BD64-8DDBBC08BBA3}"/>
    <cellStyle name="百分比 4 2 2 15 4" xfId="4443" xr:uid="{3B807D27-8FF5-48F1-9793-EFA66ACCED1F}"/>
    <cellStyle name="百分比 4 2 2 15 5" xfId="4444" xr:uid="{EDE0243B-6586-48B6-8BDD-9A85BDD58227}"/>
    <cellStyle name="百分比 4 2 2 15 6" xfId="4445" xr:uid="{FEA915E0-B9B2-42C5-B7EB-343267B8E41E}"/>
    <cellStyle name="百分比 4 2 2 15 7" xfId="4446" xr:uid="{5A50EEF2-09E4-4B5E-9279-F262C2FAD75B}"/>
    <cellStyle name="百分比 4 2 2 16" xfId="4447" xr:uid="{D998CCE9-DA11-45E0-9B83-FC16B16DD9DB}"/>
    <cellStyle name="百分比 4 2 2 16 2" xfId="4448" xr:uid="{0171C1F1-021B-4131-B12E-1C89C715BC5E}"/>
    <cellStyle name="百分比 4 2 2 16 2 2" xfId="4449" xr:uid="{C79AFCC6-4224-4F7C-B9E5-69363824C3D2}"/>
    <cellStyle name="百分比 4 2 2 16 2 3" xfId="4450" xr:uid="{C673D212-A862-44AF-9875-EACAADBA7A94}"/>
    <cellStyle name="百分比 4 2 2 16 2 4" xfId="4451" xr:uid="{7A6393D5-1B98-4558-912E-6D0E15326DBC}"/>
    <cellStyle name="百分比 4 2 2 16 2 5" xfId="4452" xr:uid="{84A705B6-CF00-4EE2-8605-6A8BA2D1CB0C}"/>
    <cellStyle name="百分比 4 2 2 16 2 6" xfId="4453" xr:uid="{8CAAC909-F709-4BBB-AAEB-CDF3698C32CD}"/>
    <cellStyle name="百分比 4 2 2 16 3" xfId="4454" xr:uid="{A3E5BDBC-A484-4322-B651-3CCDAF72494C}"/>
    <cellStyle name="百分比 4 2 2 16 4" xfId="4455" xr:uid="{31DC13FF-9A31-499C-A7EB-09C42D3DF1A9}"/>
    <cellStyle name="百分比 4 2 2 16 5" xfId="4456" xr:uid="{6A4CA28A-D0FA-4DCC-BFCE-B39062E0895D}"/>
    <cellStyle name="百分比 4 2 2 16 6" xfId="4457" xr:uid="{AC4211E8-0AFD-40A4-88A7-7D21FA4C78E9}"/>
    <cellStyle name="百分比 4 2 2 16 7" xfId="4458" xr:uid="{56C924D8-DB89-48A5-931B-F29D390EC723}"/>
    <cellStyle name="百分比 4 2 2 17" xfId="4459" xr:uid="{E33091EF-5043-44A2-8093-E11807EB0AD2}"/>
    <cellStyle name="百分比 4 2 2 17 2" xfId="4460" xr:uid="{E6D39DE1-9352-4334-A0B8-715C056793BD}"/>
    <cellStyle name="百分比 4 2 2 17 2 2" xfId="4461" xr:uid="{AF58B4FA-09B0-461B-9A9E-47D8F4708E11}"/>
    <cellStyle name="百分比 4 2 2 17 2 3" xfId="4462" xr:uid="{E84CBB40-A11D-48C8-8020-C7105B2E58B0}"/>
    <cellStyle name="百分比 4 2 2 17 2 4" xfId="4463" xr:uid="{BD86075E-4E2B-4549-AF81-D5A6CB092072}"/>
    <cellStyle name="百分比 4 2 2 17 2 5" xfId="4464" xr:uid="{19F23EC1-587C-4BB3-9D85-B1437C4DC9FD}"/>
    <cellStyle name="百分比 4 2 2 17 2 6" xfId="4465" xr:uid="{CCC357E0-8A91-4F6D-8289-AEC899EB615B}"/>
    <cellStyle name="百分比 4 2 2 17 3" xfId="4466" xr:uid="{6A7B1339-3EC9-4803-8430-212FF04B01D3}"/>
    <cellStyle name="百分比 4 2 2 17 4" xfId="4467" xr:uid="{4BAEC467-819B-40F3-B976-A5094DBA30AA}"/>
    <cellStyle name="百分比 4 2 2 17 5" xfId="4468" xr:uid="{F5808A42-C367-4DDA-8759-E078C4D1D889}"/>
    <cellStyle name="百分比 4 2 2 17 6" xfId="4469" xr:uid="{D8673D34-49A1-4C10-99FE-C81BC3C7B707}"/>
    <cellStyle name="百分比 4 2 2 17 7" xfId="4470" xr:uid="{D05DF37E-ACDF-4BF7-AB5F-10FE76EC5638}"/>
    <cellStyle name="百分比 4 2 2 18" xfId="4471" xr:uid="{5BA63946-2538-406F-96E0-1AAF0FE9E66D}"/>
    <cellStyle name="百分比 4 2 2 18 2" xfId="4472" xr:uid="{837FE07E-9927-4C8D-8F0D-55E2AB383C85}"/>
    <cellStyle name="百分比 4 2 2 18 3" xfId="4473" xr:uid="{67B38206-F236-48EA-9EDF-1B4174EDDC8C}"/>
    <cellStyle name="百分比 4 2 2 18 4" xfId="4474" xr:uid="{BE7170C7-FB53-4BD4-8D7B-D7D9191CE368}"/>
    <cellStyle name="百分比 4 2 2 18 5" xfId="4475" xr:uid="{7128FB09-AA2E-464C-9D0C-BF0A8E1D2563}"/>
    <cellStyle name="百分比 4 2 2 18 6" xfId="4476" xr:uid="{64CD3A35-99B1-431D-948C-C0C8657A236F}"/>
    <cellStyle name="百分比 4 2 2 19" xfId="4477" xr:uid="{214A38A4-9548-4367-819A-681728EED15D}"/>
    <cellStyle name="百分比 4 2 2 2" xfId="4478" xr:uid="{C8FC8D81-44A9-48DA-9370-2892A0CC079D}"/>
    <cellStyle name="百分比 4 2 2 2 10" xfId="4479" xr:uid="{12C33300-1AE0-4B10-A5B6-488EF0252035}"/>
    <cellStyle name="百分比 4 2 2 2 10 2" xfId="4480" xr:uid="{538E0150-FE89-4E1A-8793-63B3E5E1454D}"/>
    <cellStyle name="百分比 4 2 2 2 10 2 2" xfId="4481" xr:uid="{7582DD49-68D8-4AD8-B7D9-F2685C8F8477}"/>
    <cellStyle name="百分比 4 2 2 2 10 2 3" xfId="4482" xr:uid="{CEBE1A61-6B08-42CD-BC46-48EC61C46D09}"/>
    <cellStyle name="百分比 4 2 2 2 10 2 4" xfId="4483" xr:uid="{AEDB0AE6-2251-4799-9C9E-394DD1D8F520}"/>
    <cellStyle name="百分比 4 2 2 2 10 2 5" xfId="4484" xr:uid="{810CE207-DCAA-4057-B8CD-1C4DCFB8D591}"/>
    <cellStyle name="百分比 4 2 2 2 10 2 6" xfId="4485" xr:uid="{27E40620-B2CE-415D-B724-6D3EBB5A5A90}"/>
    <cellStyle name="百分比 4 2 2 2 10 3" xfId="4486" xr:uid="{DF6D79B2-4773-49F3-8C37-420E9791739A}"/>
    <cellStyle name="百分比 4 2 2 2 10 4" xfId="4487" xr:uid="{9BEBB14F-85B6-4AF8-B5F0-12B759793C78}"/>
    <cellStyle name="百分比 4 2 2 2 10 5" xfId="4488" xr:uid="{6C458A11-510D-4374-9E1B-A65392D5A9BC}"/>
    <cellStyle name="百分比 4 2 2 2 10 6" xfId="4489" xr:uid="{25BADBA2-1BD0-4567-AE8C-F8BCFCE95004}"/>
    <cellStyle name="百分比 4 2 2 2 10 7" xfId="4490" xr:uid="{1EE3E33F-6DCA-423F-8EDB-62AE7D3D3FFD}"/>
    <cellStyle name="百分比 4 2 2 2 11" xfId="4491" xr:uid="{21257CC7-9E74-4BC6-8DEB-13EF814DAC82}"/>
    <cellStyle name="百分比 4 2 2 2 11 2" xfId="4492" xr:uid="{D0F89083-540F-4520-A31C-41D823E60C32}"/>
    <cellStyle name="百分比 4 2 2 2 11 3" xfId="4493" xr:uid="{6D940A66-2805-4103-86DF-7F1161914C7B}"/>
    <cellStyle name="百分比 4 2 2 2 11 4" xfId="4494" xr:uid="{A5A7A5D3-8209-4618-8C0E-D868D3D098DD}"/>
    <cellStyle name="百分比 4 2 2 2 11 5" xfId="4495" xr:uid="{4D930E7E-AE16-40F1-BCC6-9B245E5A2FD7}"/>
    <cellStyle name="百分比 4 2 2 2 11 6" xfId="4496" xr:uid="{9F964380-7BAF-4EA9-8BB3-4C86E6B41958}"/>
    <cellStyle name="百分比 4 2 2 2 12" xfId="4497" xr:uid="{7B98EFE6-3720-4C7D-990F-073F84143698}"/>
    <cellStyle name="百分比 4 2 2 2 13" xfId="4498" xr:uid="{61CCB6CD-5FAE-4490-80D4-0BD8706EDFC2}"/>
    <cellStyle name="百分比 4 2 2 2 14" xfId="4499" xr:uid="{BEA1CBCC-1B6E-48F3-B9DF-1AD0643B654B}"/>
    <cellStyle name="百分比 4 2 2 2 15" xfId="4500" xr:uid="{87384A39-F076-493A-91E6-9B257946E3AD}"/>
    <cellStyle name="百分比 4 2 2 2 16" xfId="4501" xr:uid="{6453A50D-BAC9-452C-B7C1-900F8F96054C}"/>
    <cellStyle name="百分比 4 2 2 2 17" xfId="4502" xr:uid="{C35B5367-C847-40CE-A75A-29FC413786F5}"/>
    <cellStyle name="百分比 4 2 2 2 2" xfId="4503" xr:uid="{16F5D22F-101D-4575-8483-E6B0CD8F0E7D}"/>
    <cellStyle name="百分比 4 2 2 2 2 2" xfId="4504" xr:uid="{BBE80DD0-3B59-47D0-9ED7-932EA88F1703}"/>
    <cellStyle name="百分比 4 2 2 2 2 2 2" xfId="4505" xr:uid="{AC2740D0-EE3A-4138-B26E-71DDF2E6C28D}"/>
    <cellStyle name="百分比 4 2 2 2 2 2 3" xfId="4506" xr:uid="{D15601D4-55A8-4552-B2F0-4A9CA168A956}"/>
    <cellStyle name="百分比 4 2 2 2 2 2 4" xfId="4507" xr:uid="{B3A21D2E-C1BA-4C39-AC02-D8C12FC0BC86}"/>
    <cellStyle name="百分比 4 2 2 2 2 2 5" xfId="4508" xr:uid="{F223806B-3FBC-49AC-86D6-24741B4EADA8}"/>
    <cellStyle name="百分比 4 2 2 2 2 2 6" xfId="4509" xr:uid="{5AF9AFE4-EB2E-4E1B-B45E-C157E00C5C7F}"/>
    <cellStyle name="百分比 4 2 2 2 2 2 7" xfId="4510" xr:uid="{CB391A3A-9F33-4A5D-A194-C635A7B667CD}"/>
    <cellStyle name="百分比 4 2 2 2 2 3" xfId="4511" xr:uid="{275E68A3-32C6-4FE3-86D1-A7D3076F0397}"/>
    <cellStyle name="百分比 4 2 2 2 2 3 2" xfId="4512" xr:uid="{8872AEE6-481D-45CB-AD6B-FCF01CC04863}"/>
    <cellStyle name="百分比 4 2 2 2 2 4" xfId="4513" xr:uid="{64DFD9E4-88F4-4860-A2A8-3A2DBCF35995}"/>
    <cellStyle name="百分比 4 2 2 2 2 4 2" xfId="33159" xr:uid="{448C8667-25B5-4D71-B903-155CBDE4F00D}"/>
    <cellStyle name="百分比 4 2 2 2 2 5" xfId="4514" xr:uid="{9D77D0DB-A34C-49F4-BD34-CD4663D003B8}"/>
    <cellStyle name="百分比 4 2 2 2 2 6" xfId="4515" xr:uid="{08DE9602-80EC-4A62-B418-01AFC4E6D682}"/>
    <cellStyle name="百分比 4 2 2 2 2 7" xfId="4516" xr:uid="{5B4159BB-9212-44FE-A71B-917EC2289A2C}"/>
    <cellStyle name="百分比 4 2 2 2 2 8" xfId="4517" xr:uid="{280B1843-87A0-4551-912C-C8CB7437A478}"/>
    <cellStyle name="百分比 4 2 2 2 3" xfId="4518" xr:uid="{F69A36E7-E345-4A72-88D8-42956AB412C4}"/>
    <cellStyle name="百分比 4 2 2 2 3 2" xfId="4519" xr:uid="{F8AC33EF-8BD9-4E6D-95A1-D7A29796A196}"/>
    <cellStyle name="百分比 4 2 2 2 3 2 2" xfId="4520" xr:uid="{37523E55-2C2E-4C43-8D2D-32E18E657D20}"/>
    <cellStyle name="百分比 4 2 2 2 3 2 3" xfId="4521" xr:uid="{4D7A9336-A4D5-47AA-94DC-2E738868F81C}"/>
    <cellStyle name="百分比 4 2 2 2 3 2 4" xfId="4522" xr:uid="{49F3D202-0ACC-4DA1-915D-89A37F2F6392}"/>
    <cellStyle name="百分比 4 2 2 2 3 2 5" xfId="4523" xr:uid="{A750795F-F927-4FD2-83A2-2D9212C6518D}"/>
    <cellStyle name="百分比 4 2 2 2 3 2 6" xfId="4524" xr:uid="{6083EC1D-AB7D-4E44-BB79-6E6084F48BF6}"/>
    <cellStyle name="百分比 4 2 2 2 3 2 7" xfId="4525" xr:uid="{D85A457D-E7A2-4B56-BDED-02E98DF78AC0}"/>
    <cellStyle name="百分比 4 2 2 2 3 3" xfId="4526" xr:uid="{8E9551CD-C5E5-4BE9-9AE6-C73C675B6D47}"/>
    <cellStyle name="百分比 4 2 2 2 3 3 2" xfId="4527" xr:uid="{BB356DDC-BE84-47FA-83A4-FB0F98A171A2}"/>
    <cellStyle name="百分比 4 2 2 2 3 4" xfId="4528" xr:uid="{B92409FE-9FCD-4528-8141-13BB1B757904}"/>
    <cellStyle name="百分比 4 2 2 2 3 4 2" xfId="33160" xr:uid="{8DE86B37-84B4-4D4A-9AAD-2E5D451B0392}"/>
    <cellStyle name="百分比 4 2 2 2 3 5" xfId="4529" xr:uid="{DFD43C76-ABA4-4ADA-B7B5-A9624FD44063}"/>
    <cellStyle name="百分比 4 2 2 2 3 6" xfId="4530" xr:uid="{25BEFB6A-0A8C-4620-B46A-DC91B88B592E}"/>
    <cellStyle name="百分比 4 2 2 2 3 7" xfId="4531" xr:uid="{40D6717D-A921-461F-8D66-DB1A5E23A646}"/>
    <cellStyle name="百分比 4 2 2 2 3 8" xfId="4532" xr:uid="{B86ABC82-EE5C-4C50-A87B-8EC9DFEB9B1B}"/>
    <cellStyle name="百分比 4 2 2 2 4" xfId="4533" xr:uid="{1E0F989D-E73B-4C0A-8A59-71CD01078FEF}"/>
    <cellStyle name="百分比 4 2 2 2 4 2" xfId="4534" xr:uid="{1637082A-81F0-4BF2-80D1-E95F886103CA}"/>
    <cellStyle name="百分比 4 2 2 2 4 2 2" xfId="4535" xr:uid="{756751AE-CB3D-4A8D-8C48-B44E5DAC7C3C}"/>
    <cellStyle name="百分比 4 2 2 2 4 2 3" xfId="4536" xr:uid="{DFBEF7D9-112D-4086-8468-0016AAD6DFE3}"/>
    <cellStyle name="百分比 4 2 2 2 4 2 4" xfId="4537" xr:uid="{E66E4AB3-2AF2-4445-9B63-48585F402D5D}"/>
    <cellStyle name="百分比 4 2 2 2 4 2 5" xfId="4538" xr:uid="{5028E6DC-03E7-42D6-B865-E6573E8D9B1A}"/>
    <cellStyle name="百分比 4 2 2 2 4 2 6" xfId="4539" xr:uid="{BA0BFEFB-C619-4C73-AC43-08AF8555D6AC}"/>
    <cellStyle name="百分比 4 2 2 2 4 3" xfId="4540" xr:uid="{782C2BE0-D50D-4D92-9925-CCB913169F72}"/>
    <cellStyle name="百分比 4 2 2 2 4 4" xfId="4541" xr:uid="{0EFB7146-A0F7-4733-A298-508B73ECFB9D}"/>
    <cellStyle name="百分比 4 2 2 2 4 5" xfId="4542" xr:uid="{2AF26582-FF96-4E18-898E-B188463DEA7A}"/>
    <cellStyle name="百分比 4 2 2 2 4 6" xfId="4543" xr:uid="{8029399C-A634-46BF-B254-EF71DE89691F}"/>
    <cellStyle name="百分比 4 2 2 2 4 7" xfId="4544" xr:uid="{35CE2C4D-3E9B-40FB-9F4E-A4105A4A3BA1}"/>
    <cellStyle name="百分比 4 2 2 2 4 8" xfId="4545" xr:uid="{AE2B0BA3-2732-4CBC-9A9E-939EB20CB950}"/>
    <cellStyle name="百分比 4 2 2 2 5" xfId="4546" xr:uid="{4E629939-406C-41A6-B142-2CEB7DC2B704}"/>
    <cellStyle name="百分比 4 2 2 2 5 2" xfId="4547" xr:uid="{3B0A292B-7F51-4374-83CC-FE6DA7156416}"/>
    <cellStyle name="百分比 4 2 2 2 5 2 2" xfId="4548" xr:uid="{7D5E4998-F341-4C8E-98B7-628C462E74B3}"/>
    <cellStyle name="百分比 4 2 2 2 5 2 3" xfId="4549" xr:uid="{9F7CBAEA-923E-4F73-A034-B5A041CB6C34}"/>
    <cellStyle name="百分比 4 2 2 2 5 2 4" xfId="4550" xr:uid="{74790833-B0C2-4C69-B977-688A219A0486}"/>
    <cellStyle name="百分比 4 2 2 2 5 2 5" xfId="4551" xr:uid="{716A00DE-B461-4A06-AE3A-0139CBC6AE69}"/>
    <cellStyle name="百分比 4 2 2 2 5 2 6" xfId="4552" xr:uid="{53859461-7C9E-47EC-A228-8825E3BC61FC}"/>
    <cellStyle name="百分比 4 2 2 2 5 3" xfId="4553" xr:uid="{BCBB513E-29DC-4375-9515-BE5E8B5B7AB6}"/>
    <cellStyle name="百分比 4 2 2 2 5 4" xfId="4554" xr:uid="{03748A91-503A-470C-888B-455D50EF1862}"/>
    <cellStyle name="百分比 4 2 2 2 5 5" xfId="4555" xr:uid="{D2CB9D69-5C22-4AC6-8AE6-AFDBFBAE98A0}"/>
    <cellStyle name="百分比 4 2 2 2 5 6" xfId="4556" xr:uid="{527C7D1F-C0FC-435A-B169-6E3CC5C09190}"/>
    <cellStyle name="百分比 4 2 2 2 5 7" xfId="4557" xr:uid="{58DD493E-51CD-4157-B0E5-72BBB49D3AED}"/>
    <cellStyle name="百分比 4 2 2 2 5 8" xfId="4558" xr:uid="{90D10A05-1101-4B20-9482-2811E9D1F7CE}"/>
    <cellStyle name="百分比 4 2 2 2 6" xfId="4559" xr:uid="{C3692FF1-AFEA-4BB3-9330-830551160F00}"/>
    <cellStyle name="百分比 4 2 2 2 6 2" xfId="4560" xr:uid="{D85092DB-205F-4269-A288-48220B95BAAD}"/>
    <cellStyle name="百分比 4 2 2 2 6 2 2" xfId="4561" xr:uid="{62F477B6-8AB9-4976-8BA4-B1417271670F}"/>
    <cellStyle name="百分比 4 2 2 2 6 2 3" xfId="4562" xr:uid="{E556793A-E279-4A81-8ED9-FCBE6BD95AD3}"/>
    <cellStyle name="百分比 4 2 2 2 6 2 4" xfId="4563" xr:uid="{8DA020D1-2D37-48D2-978D-B7F8FD154138}"/>
    <cellStyle name="百分比 4 2 2 2 6 2 5" xfId="4564" xr:uid="{AD2E082E-B261-4981-8B0C-FE441544C533}"/>
    <cellStyle name="百分比 4 2 2 2 6 2 6" xfId="4565" xr:uid="{2423A16D-9D6F-4F14-A2AC-5AB298EDA3E0}"/>
    <cellStyle name="百分比 4 2 2 2 6 3" xfId="4566" xr:uid="{7DD8313C-58C0-4335-9576-DEA5E5562EA4}"/>
    <cellStyle name="百分比 4 2 2 2 6 4" xfId="4567" xr:uid="{3456BAED-E23B-4A4F-8DD6-B92C63679106}"/>
    <cellStyle name="百分比 4 2 2 2 6 5" xfId="4568" xr:uid="{C98D6943-4601-41A8-90AB-E5BD82667325}"/>
    <cellStyle name="百分比 4 2 2 2 6 6" xfId="4569" xr:uid="{C2F900E8-9868-4CC3-85C0-21FF7C1FC62E}"/>
    <cellStyle name="百分比 4 2 2 2 6 7" xfId="4570" xr:uid="{832FF68B-B902-44EF-8443-7A2387C05599}"/>
    <cellStyle name="百分比 4 2 2 2 6 8" xfId="33161" xr:uid="{6E0CC5F7-931E-41F3-93E9-A5BD2BA5FA16}"/>
    <cellStyle name="百分比 4 2 2 2 7" xfId="4571" xr:uid="{F6A62781-4969-43EA-A4F6-9C34E52B07B3}"/>
    <cellStyle name="百分比 4 2 2 2 7 2" xfId="4572" xr:uid="{C6CA1B28-8907-43A7-BA09-FA3846F9ABF5}"/>
    <cellStyle name="百分比 4 2 2 2 7 2 2" xfId="4573" xr:uid="{8BA2EE2D-BBB9-4B43-822A-5E50798626B7}"/>
    <cellStyle name="百分比 4 2 2 2 7 2 3" xfId="4574" xr:uid="{D27DAE1C-5E39-4CFC-AC34-098A0F1C0E80}"/>
    <cellStyle name="百分比 4 2 2 2 7 2 4" xfId="4575" xr:uid="{56F787A4-950A-4ECC-B9F4-1255D4779C9F}"/>
    <cellStyle name="百分比 4 2 2 2 7 2 5" xfId="4576" xr:uid="{7098D27B-2849-431A-8763-FBCF63C6481C}"/>
    <cellStyle name="百分比 4 2 2 2 7 2 6" xfId="4577" xr:uid="{1E6C8B9D-182E-4D75-98B9-D31D44742A19}"/>
    <cellStyle name="百分比 4 2 2 2 7 3" xfId="4578" xr:uid="{264CCCCE-7E37-4821-BEB3-D44378C6CC1F}"/>
    <cellStyle name="百分比 4 2 2 2 7 4" xfId="4579" xr:uid="{010C2692-8330-413B-9737-755AE06591C8}"/>
    <cellStyle name="百分比 4 2 2 2 7 5" xfId="4580" xr:uid="{B8DA72BD-020E-4399-AFDC-EF5A34325B8C}"/>
    <cellStyle name="百分比 4 2 2 2 7 6" xfId="4581" xr:uid="{2A5C2F0A-1FD2-47D5-8E9E-1A7D5D4955B2}"/>
    <cellStyle name="百分比 4 2 2 2 7 7" xfId="4582" xr:uid="{9DF49E3F-094D-419D-8D73-3889B53D8B83}"/>
    <cellStyle name="百分比 4 2 2 2 8" xfId="4583" xr:uid="{5EF2A841-DCDD-4093-A047-F40B83163407}"/>
    <cellStyle name="百分比 4 2 2 2 8 2" xfId="4584" xr:uid="{368FB205-F89E-466A-95DC-3699E32A8894}"/>
    <cellStyle name="百分比 4 2 2 2 8 2 2" xfId="4585" xr:uid="{3F0FBB07-408C-46C3-8867-1E4F15CD0445}"/>
    <cellStyle name="百分比 4 2 2 2 8 2 3" xfId="4586" xr:uid="{40BBBAFE-0F54-4CFD-A80F-B03AF8F1D27F}"/>
    <cellStyle name="百分比 4 2 2 2 8 2 4" xfId="4587" xr:uid="{9B9A49A6-81A0-4350-AA0F-69767D5F8841}"/>
    <cellStyle name="百分比 4 2 2 2 8 2 5" xfId="4588" xr:uid="{B318FAE6-44D0-4A12-A66E-E8E803BC4CB8}"/>
    <cellStyle name="百分比 4 2 2 2 8 2 6" xfId="4589" xr:uid="{B41FA6BE-2E9B-4C9F-94BD-5E5C2A5CFB6B}"/>
    <cellStyle name="百分比 4 2 2 2 8 3" xfId="4590" xr:uid="{D9002ACD-409C-451D-A8CD-093B8D705BF3}"/>
    <cellStyle name="百分比 4 2 2 2 8 4" xfId="4591" xr:uid="{106A7E15-E8E1-4C5B-908D-B000F72FF1BB}"/>
    <cellStyle name="百分比 4 2 2 2 8 5" xfId="4592" xr:uid="{4B0F8E22-4DF1-43A9-AF31-B6E1341C7FE8}"/>
    <cellStyle name="百分比 4 2 2 2 8 6" xfId="4593" xr:uid="{7D54A8C0-C4DE-42FB-AF74-910E8EE1B613}"/>
    <cellStyle name="百分比 4 2 2 2 8 7" xfId="4594" xr:uid="{7B9640DF-9A70-4A94-92A5-C0D4EBE1CA2D}"/>
    <cellStyle name="百分比 4 2 2 2 9" xfId="4595" xr:uid="{14B77417-017E-4D9F-B2CD-9FEE0ABBF5A6}"/>
    <cellStyle name="百分比 4 2 2 2 9 2" xfId="4596" xr:uid="{6820AFBC-05AA-445C-97F3-6D11ECF1A693}"/>
    <cellStyle name="百分比 4 2 2 2 9 2 2" xfId="4597" xr:uid="{1DB43612-FC2B-4BC6-BE0A-FD3B665EE145}"/>
    <cellStyle name="百分比 4 2 2 2 9 2 3" xfId="4598" xr:uid="{F2434F01-3A7E-4169-AE17-4427156D389E}"/>
    <cellStyle name="百分比 4 2 2 2 9 2 4" xfId="4599" xr:uid="{3AEF7BA2-12B3-4F66-82E7-EC752D7373DE}"/>
    <cellStyle name="百分比 4 2 2 2 9 2 5" xfId="4600" xr:uid="{13478EF4-03E4-4EF4-8F88-550CA5E43721}"/>
    <cellStyle name="百分比 4 2 2 2 9 2 6" xfId="4601" xr:uid="{3D65AF53-C7E8-41E0-B726-B473EABD8E84}"/>
    <cellStyle name="百分比 4 2 2 2 9 3" xfId="4602" xr:uid="{275816BD-ABF7-42A1-880B-F366A87F45F4}"/>
    <cellStyle name="百分比 4 2 2 2 9 4" xfId="4603" xr:uid="{C70FA5A3-8607-480B-AC51-1EFAF5A63D8A}"/>
    <cellStyle name="百分比 4 2 2 2 9 5" xfId="4604" xr:uid="{5B0C42E6-2253-4823-9792-EAF501C77844}"/>
    <cellStyle name="百分比 4 2 2 2 9 6" xfId="4605" xr:uid="{27388A6E-7C62-4E20-BD6D-91BB7B25BD36}"/>
    <cellStyle name="百分比 4 2 2 2 9 7" xfId="4606" xr:uid="{EE9C0CE9-1ACF-436D-A40A-5EF271A07823}"/>
    <cellStyle name="百分比 4 2 2 20" xfId="4607" xr:uid="{8FB6CE2D-F690-428A-ACC2-1CD88B5E990D}"/>
    <cellStyle name="百分比 4 2 2 21" xfId="4608" xr:uid="{CDCA1245-27FE-4220-8E78-8633FE96D618}"/>
    <cellStyle name="百分比 4 2 2 22" xfId="4609" xr:uid="{7930DFE6-337B-487E-8F67-070344CC560D}"/>
    <cellStyle name="百分比 4 2 2 23" xfId="4610" xr:uid="{3BE8A729-9E9B-439F-AB2E-4AC0D1D22C5A}"/>
    <cellStyle name="百分比 4 2 2 24" xfId="4611" xr:uid="{E6AA25ED-8C0E-4CC1-9E99-A73AEC72900F}"/>
    <cellStyle name="百分比 4 2 2 25" xfId="4612" xr:uid="{F9BD5896-58BF-4C46-B91F-C8C32DFC5D12}"/>
    <cellStyle name="百分比 4 2 2 26" xfId="33162" xr:uid="{57127492-B1C4-4CC9-BBE6-3D3A43D89FCB}"/>
    <cellStyle name="百分比 4 2 2 3" xfId="4613" xr:uid="{2FC34545-5F04-467C-9430-ED3BD6F5DA65}"/>
    <cellStyle name="百分比 4 2 2 3 10" xfId="4614" xr:uid="{9E611061-1F86-4637-96C8-DC4E26459150}"/>
    <cellStyle name="百分比 4 2 2 3 10 2" xfId="4615" xr:uid="{5291BBEF-207F-476A-BBD9-38657A535353}"/>
    <cellStyle name="百分比 4 2 2 3 10 3" xfId="4616" xr:uid="{610BE535-95AB-4C3D-B892-B662A2D82748}"/>
    <cellStyle name="百分比 4 2 2 3 10 4" xfId="4617" xr:uid="{2B86ACF4-F13F-4447-BB6C-C133EFC84C30}"/>
    <cellStyle name="百分比 4 2 2 3 10 5" xfId="4618" xr:uid="{2180D1DD-A2A9-404F-AD17-E5165A42A2AD}"/>
    <cellStyle name="百分比 4 2 2 3 10 6" xfId="4619" xr:uid="{B16A5CA0-41F8-4AB5-9300-B15F5DD5EA41}"/>
    <cellStyle name="百分比 4 2 2 3 11" xfId="4620" xr:uid="{9B25CC2F-3CC6-4690-B419-348C2F3FC1C8}"/>
    <cellStyle name="百分比 4 2 2 3 12" xfId="4621" xr:uid="{468E55D5-B16F-4B12-A769-40EC799F3F7F}"/>
    <cellStyle name="百分比 4 2 2 3 13" xfId="4622" xr:uid="{ADC22B14-4B50-4E3A-9B77-85BA0DDCB357}"/>
    <cellStyle name="百分比 4 2 2 3 14" xfId="4623" xr:uid="{BBD44E30-103E-411E-B3B2-F883B52B7E24}"/>
    <cellStyle name="百分比 4 2 2 3 15" xfId="4624" xr:uid="{CC93C856-1E75-40CD-9A76-385444C5ACF9}"/>
    <cellStyle name="百分比 4 2 2 3 16" xfId="4625" xr:uid="{35E0F3B1-3A43-4783-8C23-D17982386B4E}"/>
    <cellStyle name="百分比 4 2 2 3 2" xfId="4626" xr:uid="{81FC5C30-E402-4FC1-B56A-75E0DC72609D}"/>
    <cellStyle name="百分比 4 2 2 3 2 2" xfId="4627" xr:uid="{94196B84-0BD9-46EB-9F99-C9DFDA59790C}"/>
    <cellStyle name="百分比 4 2 2 3 2 2 2" xfId="4628" xr:uid="{28D1E417-4AC1-40D2-99DC-295F94BAADBA}"/>
    <cellStyle name="百分比 4 2 2 3 2 2 3" xfId="4629" xr:uid="{A8FCD148-7354-4214-BDD8-645F5F230595}"/>
    <cellStyle name="百分比 4 2 2 3 2 2 4" xfId="4630" xr:uid="{23AAB31E-F1CC-4417-A5D0-8F68C5A7ED76}"/>
    <cellStyle name="百分比 4 2 2 3 2 2 5" xfId="4631" xr:uid="{4B872537-D091-4E13-AAFC-41F9F4BCCBDA}"/>
    <cellStyle name="百分比 4 2 2 3 2 2 6" xfId="4632" xr:uid="{B4A3EE84-D8CF-4CC8-BE42-7A3FE5762FAC}"/>
    <cellStyle name="百分比 4 2 2 3 2 3" xfId="4633" xr:uid="{D918DC42-35CB-4F0F-BA31-A586994094BD}"/>
    <cellStyle name="百分比 4 2 2 3 2 4" xfId="4634" xr:uid="{35C07501-AE7C-49BD-99DE-28C19EE89A3E}"/>
    <cellStyle name="百分比 4 2 2 3 2 5" xfId="4635" xr:uid="{3AA113F2-0825-4AA7-8DF3-0A959F5AFBE2}"/>
    <cellStyle name="百分比 4 2 2 3 2 6" xfId="4636" xr:uid="{B9F1A9E5-7F69-4249-9CF3-6FA1CE2477F5}"/>
    <cellStyle name="百分比 4 2 2 3 2 7" xfId="4637" xr:uid="{1572B024-EDAB-415E-BA4A-931C01E06506}"/>
    <cellStyle name="百分比 4 2 2 3 2 8" xfId="4638" xr:uid="{1D12AEA9-AA1C-4BA3-A3CE-9DD2BE9EE547}"/>
    <cellStyle name="百分比 4 2 2 3 3" xfId="4639" xr:uid="{F8E8E92E-7D31-40B0-AF90-CFCF40D9500E}"/>
    <cellStyle name="百分比 4 2 2 3 3 2" xfId="4640" xr:uid="{97C9232D-1375-4E6B-BA09-9D2D55F1F4E5}"/>
    <cellStyle name="百分比 4 2 2 3 3 2 2" xfId="4641" xr:uid="{FEA52ACE-F632-45EE-AAAE-A3874F199117}"/>
    <cellStyle name="百分比 4 2 2 3 3 2 3" xfId="4642" xr:uid="{92B577BB-24DA-4FE1-8957-6DDDD703AEAA}"/>
    <cellStyle name="百分比 4 2 2 3 3 2 4" xfId="4643" xr:uid="{702EAAA9-13AF-4BEE-BAE0-C8524F8C987B}"/>
    <cellStyle name="百分比 4 2 2 3 3 2 5" xfId="4644" xr:uid="{8599525E-FF54-419C-B820-4898AEC8566B}"/>
    <cellStyle name="百分比 4 2 2 3 3 2 6" xfId="4645" xr:uid="{02CB368D-F87C-4281-B77D-719B7FCC3DD2}"/>
    <cellStyle name="百分比 4 2 2 3 3 3" xfId="4646" xr:uid="{558CF4C6-9D82-44AD-A96A-589EFD56300C}"/>
    <cellStyle name="百分比 4 2 2 3 3 4" xfId="4647" xr:uid="{57FFEA84-05AF-4CC3-8457-E63ABB6254AF}"/>
    <cellStyle name="百分比 4 2 2 3 3 5" xfId="4648" xr:uid="{B2D16862-DF87-4824-AE94-FF39E212BE66}"/>
    <cellStyle name="百分比 4 2 2 3 3 6" xfId="4649" xr:uid="{7099B3C7-FEFB-4BA3-A6A8-B3EB8D886840}"/>
    <cellStyle name="百分比 4 2 2 3 3 7" xfId="4650" xr:uid="{ACD5D506-966A-4B9E-A268-ED821B317C35}"/>
    <cellStyle name="百分比 4 2 2 3 3 8" xfId="4651" xr:uid="{8DBA89FB-4A0E-477E-B558-D949A76EE5CA}"/>
    <cellStyle name="百分比 4 2 2 3 4" xfId="4652" xr:uid="{D23BD485-B9E7-468A-A0CF-11239CCCAB7C}"/>
    <cellStyle name="百分比 4 2 2 3 4 2" xfId="4653" xr:uid="{F8D6B7BC-72C6-42E9-85A2-20B82B1F76D9}"/>
    <cellStyle name="百分比 4 2 2 3 4 2 2" xfId="4654" xr:uid="{69AFA76C-5794-4872-BE1B-1DC83AFB3710}"/>
    <cellStyle name="百分比 4 2 2 3 4 2 3" xfId="4655" xr:uid="{6D1AEB45-694B-401E-9628-2567F4D9BDF8}"/>
    <cellStyle name="百分比 4 2 2 3 4 2 4" xfId="4656" xr:uid="{288A6BF0-A661-4E52-A532-9527DF56C0B7}"/>
    <cellStyle name="百分比 4 2 2 3 4 2 5" xfId="4657" xr:uid="{ADAB5644-214F-4FF2-825A-1E79CA3B2321}"/>
    <cellStyle name="百分比 4 2 2 3 4 2 6" xfId="4658" xr:uid="{CB4F1987-BEA7-4941-BF0F-3DBB73979B70}"/>
    <cellStyle name="百分比 4 2 2 3 4 3" xfId="4659" xr:uid="{8D71FD83-8F52-4ECA-8606-10767AC6F4C5}"/>
    <cellStyle name="百分比 4 2 2 3 4 4" xfId="4660" xr:uid="{CE322368-9B2B-49C2-BBFD-B6249628C891}"/>
    <cellStyle name="百分比 4 2 2 3 4 5" xfId="4661" xr:uid="{CC698C39-CDD4-42FF-862C-4E0FE6ADE5AC}"/>
    <cellStyle name="百分比 4 2 2 3 4 6" xfId="4662" xr:uid="{28358F9F-07D7-494D-987A-4AFD41B03938}"/>
    <cellStyle name="百分比 4 2 2 3 4 7" xfId="4663" xr:uid="{831BE82A-B2F2-410F-B731-79960436E30C}"/>
    <cellStyle name="百分比 4 2 2 3 4 8" xfId="33163" xr:uid="{9C79142F-7C02-4AC8-900E-30010BFB7EF6}"/>
    <cellStyle name="百分比 4 2 2 3 5" xfId="4664" xr:uid="{26823465-5076-45F1-B443-1E2F1954B088}"/>
    <cellStyle name="百分比 4 2 2 3 5 2" xfId="4665" xr:uid="{BC6E0E17-A25C-43E9-99D1-40DFEC71131C}"/>
    <cellStyle name="百分比 4 2 2 3 5 2 2" xfId="4666" xr:uid="{368BAE31-9AF8-4850-8B3E-AD6B99E329B0}"/>
    <cellStyle name="百分比 4 2 2 3 5 2 3" xfId="4667" xr:uid="{B9ADD4DF-DFD7-4250-B417-EA233C233A54}"/>
    <cellStyle name="百分比 4 2 2 3 5 2 4" xfId="4668" xr:uid="{CAE51909-C476-4EEF-BD2B-FBDB344BF68D}"/>
    <cellStyle name="百分比 4 2 2 3 5 2 5" xfId="4669" xr:uid="{2600AEC7-AE17-4DDE-97E1-B285F48ABE51}"/>
    <cellStyle name="百分比 4 2 2 3 5 2 6" xfId="4670" xr:uid="{F47E9C49-B933-4FEA-8275-C24EB03ECCCE}"/>
    <cellStyle name="百分比 4 2 2 3 5 3" xfId="4671" xr:uid="{C4CE7884-6B2E-475C-91F4-F6A805F9235D}"/>
    <cellStyle name="百分比 4 2 2 3 5 4" xfId="4672" xr:uid="{F8F40CB6-6CC1-4730-9322-DCDD844004CD}"/>
    <cellStyle name="百分比 4 2 2 3 5 5" xfId="4673" xr:uid="{B0BAEF20-747E-409D-8115-04853371957B}"/>
    <cellStyle name="百分比 4 2 2 3 5 6" xfId="4674" xr:uid="{D7510760-F4E4-4B70-B25B-E42313ADF16A}"/>
    <cellStyle name="百分比 4 2 2 3 5 7" xfId="4675" xr:uid="{D5920908-BD0B-4587-B84E-F4E475AC13CC}"/>
    <cellStyle name="百分比 4 2 2 3 6" xfId="4676" xr:uid="{7CC74716-22EB-4563-9DBA-C35EDE1DBB4B}"/>
    <cellStyle name="百分比 4 2 2 3 6 2" xfId="4677" xr:uid="{A11435A5-A5C7-44BE-8899-B38559C83430}"/>
    <cellStyle name="百分比 4 2 2 3 6 2 2" xfId="4678" xr:uid="{38C5CDFE-10CE-499B-9543-0EDD29123EEB}"/>
    <cellStyle name="百分比 4 2 2 3 6 2 3" xfId="4679" xr:uid="{423EE92E-ABD2-4696-998E-EC1C6438A403}"/>
    <cellStyle name="百分比 4 2 2 3 6 2 4" xfId="4680" xr:uid="{C1AA482A-B8C6-46A4-8A11-07A268C068F4}"/>
    <cellStyle name="百分比 4 2 2 3 6 2 5" xfId="4681" xr:uid="{28BC7A9F-866B-41F1-91ED-E94044A63E46}"/>
    <cellStyle name="百分比 4 2 2 3 6 2 6" xfId="4682" xr:uid="{CF69916F-6445-495D-BF3C-7369CDD77D67}"/>
    <cellStyle name="百分比 4 2 2 3 6 3" xfId="4683" xr:uid="{5C720026-0CCC-4D85-8526-3B5D9B5CE3DC}"/>
    <cellStyle name="百分比 4 2 2 3 6 4" xfId="4684" xr:uid="{C016A7BF-5618-4E7C-A1AD-2257753C69DD}"/>
    <cellStyle name="百分比 4 2 2 3 6 5" xfId="4685" xr:uid="{A64A2605-CEF8-4053-A4C3-A034C91BD051}"/>
    <cellStyle name="百分比 4 2 2 3 6 6" xfId="4686" xr:uid="{F0575BA1-8A7E-417C-8143-E7DE9D578E96}"/>
    <cellStyle name="百分比 4 2 2 3 6 7" xfId="4687" xr:uid="{BE7B0B20-5D03-4ECC-BDA1-78654F0B0FC4}"/>
    <cellStyle name="百分比 4 2 2 3 7" xfId="4688" xr:uid="{EBD4CB6E-817D-41E9-83C1-C84F92E4C260}"/>
    <cellStyle name="百分比 4 2 2 3 7 2" xfId="4689" xr:uid="{EE1BE973-01CF-4143-A4C8-A424EF175B3D}"/>
    <cellStyle name="百分比 4 2 2 3 7 2 2" xfId="4690" xr:uid="{C26B5E82-F79C-4CCA-BACE-17DAD0DCFD92}"/>
    <cellStyle name="百分比 4 2 2 3 7 2 3" xfId="4691" xr:uid="{2CE07C9C-07A1-4D68-96DE-A2CEFA3F9489}"/>
    <cellStyle name="百分比 4 2 2 3 7 2 4" xfId="4692" xr:uid="{6AF9FD55-0B3D-4D44-BAA4-BF0CC085914E}"/>
    <cellStyle name="百分比 4 2 2 3 7 2 5" xfId="4693" xr:uid="{6499019C-BC47-498C-BCCF-3626F1A2CECD}"/>
    <cellStyle name="百分比 4 2 2 3 7 2 6" xfId="4694" xr:uid="{7BCDD259-85DE-4D70-81B8-FE921BD9EF75}"/>
    <cellStyle name="百分比 4 2 2 3 7 3" xfId="4695" xr:uid="{62433673-11F8-4C73-8E20-B988C212957B}"/>
    <cellStyle name="百分比 4 2 2 3 7 4" xfId="4696" xr:uid="{4212F96C-F317-4DCF-8FEF-5B04749C10AC}"/>
    <cellStyle name="百分比 4 2 2 3 7 5" xfId="4697" xr:uid="{CB32109F-BB12-45E5-B38F-A327FB6AF953}"/>
    <cellStyle name="百分比 4 2 2 3 7 6" xfId="4698" xr:uid="{3384ADB6-2272-460E-896C-419E7BA7CC39}"/>
    <cellStyle name="百分比 4 2 2 3 7 7" xfId="4699" xr:uid="{4ED5C2D0-A54F-4B37-A4B3-EFCDFB5D25CA}"/>
    <cellStyle name="百分比 4 2 2 3 8" xfId="4700" xr:uid="{C7E642EA-7EE0-4EC2-BB39-A71CAE79E2E6}"/>
    <cellStyle name="百分比 4 2 2 3 8 2" xfId="4701" xr:uid="{E81D18BB-1F1E-451F-B445-B6538A8409FD}"/>
    <cellStyle name="百分比 4 2 2 3 8 2 2" xfId="4702" xr:uid="{C5C5ABB4-48A9-4DDB-ABBB-0798AA84650B}"/>
    <cellStyle name="百分比 4 2 2 3 8 2 3" xfId="4703" xr:uid="{CD2BF147-28A2-42FD-901F-5680C0F90327}"/>
    <cellStyle name="百分比 4 2 2 3 8 2 4" xfId="4704" xr:uid="{514DADA9-1DD5-4D9F-8F2F-783167B0727C}"/>
    <cellStyle name="百分比 4 2 2 3 8 2 5" xfId="4705" xr:uid="{D2324057-6343-4FF6-B36E-AC3DCA5671DB}"/>
    <cellStyle name="百分比 4 2 2 3 8 2 6" xfId="4706" xr:uid="{C06574E6-63DA-4154-94DD-21E6FBE6FAFC}"/>
    <cellStyle name="百分比 4 2 2 3 8 3" xfId="4707" xr:uid="{89027292-F5F1-4503-9FC4-6F35017224B8}"/>
    <cellStyle name="百分比 4 2 2 3 8 4" xfId="4708" xr:uid="{B436E603-013C-4CBE-941D-AE41849DD68F}"/>
    <cellStyle name="百分比 4 2 2 3 8 5" xfId="4709" xr:uid="{76AF2571-A21F-4941-8F72-AAF90D643D9F}"/>
    <cellStyle name="百分比 4 2 2 3 8 6" xfId="4710" xr:uid="{FF4C3CD2-7C2F-4BD2-9383-C4A9B470FD69}"/>
    <cellStyle name="百分比 4 2 2 3 8 7" xfId="4711" xr:uid="{0C559FF2-4B12-471B-BAF9-DF7F88737B4F}"/>
    <cellStyle name="百分比 4 2 2 3 9" xfId="4712" xr:uid="{AD8BC2A1-A9ED-4DF9-9D86-D17C47E170F0}"/>
    <cellStyle name="百分比 4 2 2 3 9 2" xfId="4713" xr:uid="{8C273216-B91C-4E29-A32B-9F04768F0F5F}"/>
    <cellStyle name="百分比 4 2 2 3 9 2 2" xfId="4714" xr:uid="{56AF0689-8C39-4960-8739-FE645AC3BDEB}"/>
    <cellStyle name="百分比 4 2 2 3 9 2 3" xfId="4715" xr:uid="{C906FC83-EA4A-4E94-B8B7-3E0DAD8A2356}"/>
    <cellStyle name="百分比 4 2 2 3 9 2 4" xfId="4716" xr:uid="{9E5A2A62-C203-4EE0-AD8C-AF2832709309}"/>
    <cellStyle name="百分比 4 2 2 3 9 2 5" xfId="4717" xr:uid="{E62973F3-4F49-4D52-A1F9-EA5E3524D8CF}"/>
    <cellStyle name="百分比 4 2 2 3 9 2 6" xfId="4718" xr:uid="{E98A3BE5-964A-410C-B199-6C8C4E84DC5F}"/>
    <cellStyle name="百分比 4 2 2 3 9 3" xfId="4719" xr:uid="{6EE96A15-03FF-40A3-B6B6-0F51B55EC47B}"/>
    <cellStyle name="百分比 4 2 2 3 9 4" xfId="4720" xr:uid="{8B1FBC54-31D8-45B3-A1AA-24D280904BEE}"/>
    <cellStyle name="百分比 4 2 2 3 9 5" xfId="4721" xr:uid="{2B935BC9-E5E8-4257-984C-EF1245DEE0D3}"/>
    <cellStyle name="百分比 4 2 2 3 9 6" xfId="4722" xr:uid="{4A001FCD-F828-4F26-81F9-876550D43B16}"/>
    <cellStyle name="百分比 4 2 2 3 9 7" xfId="4723" xr:uid="{47C56F40-927B-4BB8-B91E-3F76BC59B420}"/>
    <cellStyle name="百分比 4 2 2 4" xfId="4724" xr:uid="{44096A6A-CE82-4469-A8FD-C885AE6D6241}"/>
    <cellStyle name="百分比 4 2 2 4 10" xfId="4725" xr:uid="{2A903553-E8CD-4EA3-A437-CAC1A3CAD680}"/>
    <cellStyle name="百分比 4 2 2 4 10 2" xfId="4726" xr:uid="{034447F9-A8CD-4982-8E12-E8C76B6AAE3A}"/>
    <cellStyle name="百分比 4 2 2 4 10 3" xfId="4727" xr:uid="{82AA4DCF-735B-4B4A-A7E1-F96B8E0EEB09}"/>
    <cellStyle name="百分比 4 2 2 4 10 4" xfId="4728" xr:uid="{9976321E-9F74-49A7-8176-1B8AFA7932B0}"/>
    <cellStyle name="百分比 4 2 2 4 10 5" xfId="4729" xr:uid="{CFA3E7D6-87A6-4121-9611-46A8118A9C9C}"/>
    <cellStyle name="百分比 4 2 2 4 10 6" xfId="4730" xr:uid="{257CD82F-5A8C-43BC-981F-CFD6E892E4F6}"/>
    <cellStyle name="百分比 4 2 2 4 11" xfId="4731" xr:uid="{E2005F48-8CE4-4938-912E-F11FE2C7206D}"/>
    <cellStyle name="百分比 4 2 2 4 12" xfId="4732" xr:uid="{3112AA69-7BEE-4F23-8DC5-D853B97C6342}"/>
    <cellStyle name="百分比 4 2 2 4 13" xfId="4733" xr:uid="{0E7DE761-8934-4D2E-8DBC-9F235EC205C3}"/>
    <cellStyle name="百分比 4 2 2 4 14" xfId="4734" xr:uid="{63D309DF-FE2B-4BFF-A3D5-6B3E7C4E2AC3}"/>
    <cellStyle name="百分比 4 2 2 4 15" xfId="4735" xr:uid="{E0BD138B-840C-4AB1-8910-7F765F49CF1F}"/>
    <cellStyle name="百分比 4 2 2 4 16" xfId="4736" xr:uid="{ABF1E20F-17BC-43A3-82B0-5A13830ADC28}"/>
    <cellStyle name="百分比 4 2 2 4 2" xfId="4737" xr:uid="{FD996C7C-5488-45A0-8C69-9DEBB63B805B}"/>
    <cellStyle name="百分比 4 2 2 4 2 2" xfId="4738" xr:uid="{32E94EA1-D376-443B-BB13-4753A03DA727}"/>
    <cellStyle name="百分比 4 2 2 4 2 2 2" xfId="4739" xr:uid="{F7D4498F-06A2-4CB4-89D1-1F9020858A7E}"/>
    <cellStyle name="百分比 4 2 2 4 2 2 3" xfId="4740" xr:uid="{49E8E13B-D09C-4C30-AED8-8ECB7D211F66}"/>
    <cellStyle name="百分比 4 2 2 4 2 2 4" xfId="4741" xr:uid="{F37B9CEB-1DF6-4F81-BB1E-353F56054F98}"/>
    <cellStyle name="百分比 4 2 2 4 2 2 5" xfId="4742" xr:uid="{1BA28A94-2C6B-4237-ADA2-A82F0AAAA85F}"/>
    <cellStyle name="百分比 4 2 2 4 2 2 6" xfId="4743" xr:uid="{A3E7AB8A-C8E9-4F41-9694-C9D8631BB6D1}"/>
    <cellStyle name="百分比 4 2 2 4 2 3" xfId="4744" xr:uid="{C1147651-7B31-47F5-9AAA-67518A1C5D8D}"/>
    <cellStyle name="百分比 4 2 2 4 2 4" xfId="4745" xr:uid="{EB2EB4D3-AD55-473B-B62A-47AF368E7DF1}"/>
    <cellStyle name="百分比 4 2 2 4 2 5" xfId="4746" xr:uid="{7C5883C6-2FEF-401F-846A-6C28964B86B9}"/>
    <cellStyle name="百分比 4 2 2 4 2 6" xfId="4747" xr:uid="{A6A0D625-311F-46D4-8598-09F9F7252BEC}"/>
    <cellStyle name="百分比 4 2 2 4 2 7" xfId="4748" xr:uid="{46403362-15D9-4923-BF64-31427571A274}"/>
    <cellStyle name="百分比 4 2 2 4 2 8" xfId="4749" xr:uid="{B0FCECB7-2B13-4753-8B04-BD3AF0430344}"/>
    <cellStyle name="百分比 4 2 2 4 3" xfId="4750" xr:uid="{35D2C5C5-D881-4C27-A6CA-E58D6570CEAA}"/>
    <cellStyle name="百分比 4 2 2 4 3 2" xfId="4751" xr:uid="{0D8A764B-196A-46DF-8E79-D159E1FD7405}"/>
    <cellStyle name="百分比 4 2 2 4 3 2 2" xfId="4752" xr:uid="{8A3F6034-68F4-490D-99AD-7706EBE4E17B}"/>
    <cellStyle name="百分比 4 2 2 4 3 2 3" xfId="4753" xr:uid="{2EC4FF9E-AB08-49F8-B84E-71ABE56EC312}"/>
    <cellStyle name="百分比 4 2 2 4 3 2 4" xfId="4754" xr:uid="{49DF63DD-4059-412A-B3E7-F59ED31BA00F}"/>
    <cellStyle name="百分比 4 2 2 4 3 2 5" xfId="4755" xr:uid="{34D3F6B3-B8DB-41D6-B2BD-263AA59C38D8}"/>
    <cellStyle name="百分比 4 2 2 4 3 2 6" xfId="4756" xr:uid="{785D4B1D-CEF3-4FCF-A6DE-E75E738F64AE}"/>
    <cellStyle name="百分比 4 2 2 4 3 3" xfId="4757" xr:uid="{27D3DB50-9281-4E56-A030-CE7E4E91B568}"/>
    <cellStyle name="百分比 4 2 2 4 3 4" xfId="4758" xr:uid="{440C93CA-A0F6-46E6-993B-885B5B0505C4}"/>
    <cellStyle name="百分比 4 2 2 4 3 5" xfId="4759" xr:uid="{37E4A320-057F-4918-B9DB-9CEB6C879AA5}"/>
    <cellStyle name="百分比 4 2 2 4 3 6" xfId="4760" xr:uid="{12F83B8D-39F3-4E34-A85A-C874E5C41DBA}"/>
    <cellStyle name="百分比 4 2 2 4 3 7" xfId="4761" xr:uid="{DB6A5359-D351-4840-8303-D8F12A092D5C}"/>
    <cellStyle name="百分比 4 2 2 4 3 8" xfId="4762" xr:uid="{6B182FD9-D3B3-4745-BF4F-E28E9FF76510}"/>
    <cellStyle name="百分比 4 2 2 4 4" xfId="4763" xr:uid="{7E1D0A7A-BC2A-49B3-A07E-A35F59487AF2}"/>
    <cellStyle name="百分比 4 2 2 4 4 2" xfId="4764" xr:uid="{3B402D3C-64D5-451F-AA7B-40208D325FCF}"/>
    <cellStyle name="百分比 4 2 2 4 4 2 2" xfId="4765" xr:uid="{6D5E1674-E94B-43B9-928B-621E3AA5DC9D}"/>
    <cellStyle name="百分比 4 2 2 4 4 2 3" xfId="4766" xr:uid="{82A60B36-7F4A-4B96-A3E1-3AAAB1FA2241}"/>
    <cellStyle name="百分比 4 2 2 4 4 2 4" xfId="4767" xr:uid="{64DC4A98-D8C6-40CA-B067-67119F91B805}"/>
    <cellStyle name="百分比 4 2 2 4 4 2 5" xfId="4768" xr:uid="{956FE7C7-136A-4F7B-87C5-0C3092DBA1FD}"/>
    <cellStyle name="百分比 4 2 2 4 4 2 6" xfId="4769" xr:uid="{4BB64A69-2348-4F27-BDEE-274D481DF9F0}"/>
    <cellStyle name="百分比 4 2 2 4 4 3" xfId="4770" xr:uid="{6571D3C3-F1D4-45AF-A0CA-F4B1019CC3D3}"/>
    <cellStyle name="百分比 4 2 2 4 4 4" xfId="4771" xr:uid="{56421541-7400-4EE0-A590-7AA872270F86}"/>
    <cellStyle name="百分比 4 2 2 4 4 5" xfId="4772" xr:uid="{BEAD9AC2-5CBF-4ADC-952B-74F413EA79BC}"/>
    <cellStyle name="百分比 4 2 2 4 4 6" xfId="4773" xr:uid="{AEA6274E-844A-4159-82BF-78B0607EF521}"/>
    <cellStyle name="百分比 4 2 2 4 4 7" xfId="4774" xr:uid="{76CF8360-A263-4EFA-BF95-A8034C07FFC9}"/>
    <cellStyle name="百分比 4 2 2 4 4 8" xfId="33164" xr:uid="{192F5CE7-94C8-4F02-BEA0-5221D184FABC}"/>
    <cellStyle name="百分比 4 2 2 4 5" xfId="4775" xr:uid="{3E5DA03C-52D8-4C60-91B7-022C7CCDFE18}"/>
    <cellStyle name="百分比 4 2 2 4 5 2" xfId="4776" xr:uid="{28DC032F-9AE4-43B9-8A18-D8C609880E2E}"/>
    <cellStyle name="百分比 4 2 2 4 5 2 2" xfId="4777" xr:uid="{B1EDB277-B0B0-4645-A4EE-02D9F498B619}"/>
    <cellStyle name="百分比 4 2 2 4 5 2 3" xfId="4778" xr:uid="{BEAED35E-DA0D-426A-BA2D-AD3ACA62AD97}"/>
    <cellStyle name="百分比 4 2 2 4 5 2 4" xfId="4779" xr:uid="{4CBA86E7-CBCE-42FB-9E9C-05325C01926A}"/>
    <cellStyle name="百分比 4 2 2 4 5 2 5" xfId="4780" xr:uid="{921F508C-B821-46B9-8F27-E47ABC28134C}"/>
    <cellStyle name="百分比 4 2 2 4 5 2 6" xfId="4781" xr:uid="{45587819-5ACC-4E74-8D07-7630AF1A5962}"/>
    <cellStyle name="百分比 4 2 2 4 5 3" xfId="4782" xr:uid="{8EDC069C-C4F7-4CD6-9B93-F39BD2994D57}"/>
    <cellStyle name="百分比 4 2 2 4 5 4" xfId="4783" xr:uid="{06DBE31C-FF35-43CA-9B8F-3C97BA87C046}"/>
    <cellStyle name="百分比 4 2 2 4 5 5" xfId="4784" xr:uid="{81B14B2E-DB21-4B65-9AA5-75E958F4FE0B}"/>
    <cellStyle name="百分比 4 2 2 4 5 6" xfId="4785" xr:uid="{3486C242-9853-4D04-A88C-48C35C673B25}"/>
    <cellStyle name="百分比 4 2 2 4 5 7" xfId="4786" xr:uid="{B3E37657-73E8-4F4F-912B-60817A7F643C}"/>
    <cellStyle name="百分比 4 2 2 4 6" xfId="4787" xr:uid="{141A293C-E1EB-4BAB-A1A9-BA728D859541}"/>
    <cellStyle name="百分比 4 2 2 4 6 2" xfId="4788" xr:uid="{F959827F-63B3-421F-935E-F6DB8E9C303E}"/>
    <cellStyle name="百分比 4 2 2 4 6 2 2" xfId="4789" xr:uid="{241188FE-4F87-4C37-A3BD-FAEDBA92D64E}"/>
    <cellStyle name="百分比 4 2 2 4 6 2 3" xfId="4790" xr:uid="{6268C3FC-C090-43E1-B81F-729189B29EA4}"/>
    <cellStyle name="百分比 4 2 2 4 6 2 4" xfId="4791" xr:uid="{D4670215-EF32-4E4B-BA82-1A8143950209}"/>
    <cellStyle name="百分比 4 2 2 4 6 2 5" xfId="4792" xr:uid="{2B6BE9BF-88A5-42FB-953F-07CF33174919}"/>
    <cellStyle name="百分比 4 2 2 4 6 2 6" xfId="4793" xr:uid="{86B1C940-33D2-4A18-A682-B57107BED527}"/>
    <cellStyle name="百分比 4 2 2 4 6 3" xfId="4794" xr:uid="{DA6C1921-EA28-4E2D-8E9D-87150979980C}"/>
    <cellStyle name="百分比 4 2 2 4 6 4" xfId="4795" xr:uid="{B1A0F639-2510-48F7-A903-B9E51E0912B4}"/>
    <cellStyle name="百分比 4 2 2 4 6 5" xfId="4796" xr:uid="{88BA0283-5359-4029-9C80-175254575FB9}"/>
    <cellStyle name="百分比 4 2 2 4 6 6" xfId="4797" xr:uid="{C30A9B78-595E-42E4-B6A0-3F810CACA0E0}"/>
    <cellStyle name="百分比 4 2 2 4 6 7" xfId="4798" xr:uid="{98514459-2F7B-4F9B-9C47-4D08AA1A8A4D}"/>
    <cellStyle name="百分比 4 2 2 4 7" xfId="4799" xr:uid="{8ECEA218-4350-42CB-971F-260361B844EF}"/>
    <cellStyle name="百分比 4 2 2 4 7 2" xfId="4800" xr:uid="{4E75B998-3C07-4353-9CDD-9E846C1FCC91}"/>
    <cellStyle name="百分比 4 2 2 4 7 2 2" xfId="4801" xr:uid="{AEE260DD-FAE6-4695-9E8F-06E75F5FDF35}"/>
    <cellStyle name="百分比 4 2 2 4 7 2 3" xfId="4802" xr:uid="{33D428E0-5FF6-4D68-961A-3CFAE1531098}"/>
    <cellStyle name="百分比 4 2 2 4 7 2 4" xfId="4803" xr:uid="{783512F6-E3DC-47F0-8A77-0C80003EE143}"/>
    <cellStyle name="百分比 4 2 2 4 7 2 5" xfId="4804" xr:uid="{E731FE01-6200-4400-BCBC-F580AB0F65BB}"/>
    <cellStyle name="百分比 4 2 2 4 7 2 6" xfId="4805" xr:uid="{056C75E1-FC0D-4D20-A1FD-0CFECA013D66}"/>
    <cellStyle name="百分比 4 2 2 4 7 3" xfId="4806" xr:uid="{C788734F-E0A9-463C-9198-D6786524D7AD}"/>
    <cellStyle name="百分比 4 2 2 4 7 4" xfId="4807" xr:uid="{F1245C62-748A-4ECD-837C-D07428E3E5DA}"/>
    <cellStyle name="百分比 4 2 2 4 7 5" xfId="4808" xr:uid="{64569540-0192-4C02-B09F-E9ABC4E4324E}"/>
    <cellStyle name="百分比 4 2 2 4 7 6" xfId="4809" xr:uid="{8B85B6BD-7319-4C7A-B782-587CF34EC6D8}"/>
    <cellStyle name="百分比 4 2 2 4 7 7" xfId="4810" xr:uid="{C34FF87A-15AE-49DF-8396-D561752C7A46}"/>
    <cellStyle name="百分比 4 2 2 4 8" xfId="4811" xr:uid="{B51FDE20-C200-46F2-8EBE-663AED78DE9D}"/>
    <cellStyle name="百分比 4 2 2 4 8 2" xfId="4812" xr:uid="{B95505D1-1D47-4791-9B15-DB9406D36127}"/>
    <cellStyle name="百分比 4 2 2 4 8 2 2" xfId="4813" xr:uid="{7219774C-E13D-4ECD-ADB4-D202E50CA6D8}"/>
    <cellStyle name="百分比 4 2 2 4 8 2 3" xfId="4814" xr:uid="{F824EBE3-2C45-40C9-8F0F-4D4987048DD5}"/>
    <cellStyle name="百分比 4 2 2 4 8 2 4" xfId="4815" xr:uid="{4192A4B2-A669-48EE-81F2-BB77ECF3687F}"/>
    <cellStyle name="百分比 4 2 2 4 8 2 5" xfId="4816" xr:uid="{2D0A07EA-6F43-453C-8865-B5AA4339FEA1}"/>
    <cellStyle name="百分比 4 2 2 4 8 2 6" xfId="4817" xr:uid="{74528519-5501-4564-B92B-D8EBB736E307}"/>
    <cellStyle name="百分比 4 2 2 4 8 3" xfId="4818" xr:uid="{425781C1-B9A7-477E-86F2-4456FA6DF93A}"/>
    <cellStyle name="百分比 4 2 2 4 8 4" xfId="4819" xr:uid="{9B9942A8-8D68-4827-9483-65820F44AE7C}"/>
    <cellStyle name="百分比 4 2 2 4 8 5" xfId="4820" xr:uid="{25D8DF39-6158-44D5-99E1-81849D0E5738}"/>
    <cellStyle name="百分比 4 2 2 4 8 6" xfId="4821" xr:uid="{0F388F71-1E7D-46E4-A533-15EE3330C2A6}"/>
    <cellStyle name="百分比 4 2 2 4 8 7" xfId="4822" xr:uid="{D0D55E2D-D85E-4D0C-BA39-661723291B48}"/>
    <cellStyle name="百分比 4 2 2 4 9" xfId="4823" xr:uid="{9837C81D-9A52-4125-BF9E-E76CC0EBC827}"/>
    <cellStyle name="百分比 4 2 2 4 9 2" xfId="4824" xr:uid="{556866C2-D1C0-47D3-A096-599FBFC63F90}"/>
    <cellStyle name="百分比 4 2 2 4 9 2 2" xfId="4825" xr:uid="{8E3986C3-5E9A-4647-AA9B-92AA10263EFC}"/>
    <cellStyle name="百分比 4 2 2 4 9 2 3" xfId="4826" xr:uid="{24A76DC1-CFA9-4B8E-B474-353563B39622}"/>
    <cellStyle name="百分比 4 2 2 4 9 2 4" xfId="4827" xr:uid="{5489B8E8-50ED-4CE4-9B1F-323AC1864EBF}"/>
    <cellStyle name="百分比 4 2 2 4 9 2 5" xfId="4828" xr:uid="{905763C7-0876-4FA7-A550-2BA7E0843190}"/>
    <cellStyle name="百分比 4 2 2 4 9 2 6" xfId="4829" xr:uid="{AF2938B0-3B30-4F8C-A2CC-5129B76798FF}"/>
    <cellStyle name="百分比 4 2 2 4 9 3" xfId="4830" xr:uid="{99B0327D-3B2B-44FD-BC7B-1BF06A9A53D2}"/>
    <cellStyle name="百分比 4 2 2 4 9 4" xfId="4831" xr:uid="{E30C6BCC-427A-48BD-84FD-E6DC4BD53B1F}"/>
    <cellStyle name="百分比 4 2 2 4 9 5" xfId="4832" xr:uid="{07838591-4D29-40EB-B9BE-AC0F79C4CCF3}"/>
    <cellStyle name="百分比 4 2 2 4 9 6" xfId="4833" xr:uid="{88DD524A-391D-49BF-86DA-45D14A903F2C}"/>
    <cellStyle name="百分比 4 2 2 4 9 7" xfId="4834" xr:uid="{7B0F40CA-9D46-4564-BADB-3E705E8764AD}"/>
    <cellStyle name="百分比 4 2 2 5" xfId="4835" xr:uid="{2F657A92-87DE-4D90-BD10-2EA79E86A3B6}"/>
    <cellStyle name="百分比 4 2 2 5 10" xfId="4836" xr:uid="{B338D1F5-5284-4564-9751-678E1745B349}"/>
    <cellStyle name="百分比 4 2 2 5 11" xfId="4837" xr:uid="{989D1DC5-C0CC-4747-8F4A-C3DEFC4B14BF}"/>
    <cellStyle name="百分比 4 2 2 5 12" xfId="4838" xr:uid="{C3D048CF-C846-43F3-8F4E-CA67BB943F4F}"/>
    <cellStyle name="百分比 4 2 2 5 13" xfId="4839" xr:uid="{ADD0AD56-48DF-4EE5-BB63-4D35C0D1FCC6}"/>
    <cellStyle name="百分比 4 2 2 5 14" xfId="4840" xr:uid="{28C1B373-6B7A-4A95-B9B2-BC0DD3A1EB7A}"/>
    <cellStyle name="百分比 4 2 2 5 15" xfId="4841" xr:uid="{135A111D-B368-4F7D-BCE3-520269F9AF8A}"/>
    <cellStyle name="百分比 4 2 2 5 2" xfId="4842" xr:uid="{C6911A4C-23C9-488C-B017-D605FCEA48AE}"/>
    <cellStyle name="百分比 4 2 2 5 2 2" xfId="4843" xr:uid="{A534430E-5B45-4CE2-B905-C08AC21D8CF9}"/>
    <cellStyle name="百分比 4 2 2 5 2 2 2" xfId="4844" xr:uid="{1835B356-6CE3-4374-9C01-BEB0D918F384}"/>
    <cellStyle name="百分比 4 2 2 5 2 2 3" xfId="4845" xr:uid="{C1F4E1B3-0A14-4935-AD29-47BF0DD5545B}"/>
    <cellStyle name="百分比 4 2 2 5 2 2 4" xfId="4846" xr:uid="{EC972D76-314F-43ED-954A-D7430A8CCEFF}"/>
    <cellStyle name="百分比 4 2 2 5 2 2 5" xfId="4847" xr:uid="{1003DCDC-667F-44F8-B29D-763FD54A8382}"/>
    <cellStyle name="百分比 4 2 2 5 2 2 6" xfId="4848" xr:uid="{EA77EC40-D462-4BD5-8741-558BA8B80CC7}"/>
    <cellStyle name="百分比 4 2 2 5 2 3" xfId="4849" xr:uid="{15BFBD09-2D97-4372-8F6B-41BF69D0471B}"/>
    <cellStyle name="百分比 4 2 2 5 2 4" xfId="4850" xr:uid="{97D59E6E-AA9D-422F-97B7-D13F37F240C1}"/>
    <cellStyle name="百分比 4 2 2 5 2 5" xfId="4851" xr:uid="{DF743D5D-F65B-4C3B-9B69-95C5208AB07D}"/>
    <cellStyle name="百分比 4 2 2 5 2 6" xfId="4852" xr:uid="{7FD5FE02-4797-4BEC-8C56-06AB979F72EB}"/>
    <cellStyle name="百分比 4 2 2 5 2 7" xfId="4853" xr:uid="{EC6B2B75-3767-427C-BFE3-388CB8CB18AC}"/>
    <cellStyle name="百分比 4 2 2 5 3" xfId="4854" xr:uid="{0486B5E9-D058-4A47-84D3-C9DBC8E6F038}"/>
    <cellStyle name="百分比 4 2 2 5 3 2" xfId="4855" xr:uid="{C30DB07B-18BF-41DC-A313-90DDC8F8DECA}"/>
    <cellStyle name="百分比 4 2 2 5 3 2 2" xfId="4856" xr:uid="{9CBC0F91-6BDC-48AE-B6EF-A6A3A2A41817}"/>
    <cellStyle name="百分比 4 2 2 5 3 2 3" xfId="4857" xr:uid="{A1D9D65E-D345-4570-9CA2-CAED09C8F6EB}"/>
    <cellStyle name="百分比 4 2 2 5 3 2 4" xfId="4858" xr:uid="{B790D167-FD3C-4A98-A458-D1646E57D2B2}"/>
    <cellStyle name="百分比 4 2 2 5 3 2 5" xfId="4859" xr:uid="{D9FCBBE9-70F5-42B5-BE69-CA064022FD06}"/>
    <cellStyle name="百分比 4 2 2 5 3 2 6" xfId="4860" xr:uid="{CA437AFF-636A-4132-B5E4-D1FFE6ADD481}"/>
    <cellStyle name="百分比 4 2 2 5 3 3" xfId="4861" xr:uid="{67D7C41F-ACF6-4433-884A-06A6F19B2621}"/>
    <cellStyle name="百分比 4 2 2 5 3 4" xfId="4862" xr:uid="{B68CF21D-7E2B-45F3-B15A-68215D102658}"/>
    <cellStyle name="百分比 4 2 2 5 3 5" xfId="4863" xr:uid="{90C11DCE-DE92-4E31-B5E2-BCF2C99F0F49}"/>
    <cellStyle name="百分比 4 2 2 5 3 6" xfId="4864" xr:uid="{36F38480-7D46-47C3-BF88-B10D14834108}"/>
    <cellStyle name="百分比 4 2 2 5 3 7" xfId="4865" xr:uid="{DC8970F5-1DC7-4F63-B4E4-D800C233CF38}"/>
    <cellStyle name="百分比 4 2 2 5 4" xfId="4866" xr:uid="{294BFFA7-3240-4662-AE28-1A951D7882B8}"/>
    <cellStyle name="百分比 4 2 2 5 4 2" xfId="4867" xr:uid="{9DA5D231-7996-48E2-BFDE-A8BC7FCEE554}"/>
    <cellStyle name="百分比 4 2 2 5 4 2 2" xfId="4868" xr:uid="{AD3E552C-A4D2-402D-80D9-4A153E923221}"/>
    <cellStyle name="百分比 4 2 2 5 4 2 3" xfId="4869" xr:uid="{C40FA479-EAB0-421E-A067-870CBA57B25E}"/>
    <cellStyle name="百分比 4 2 2 5 4 2 4" xfId="4870" xr:uid="{302BDB1C-6696-4E02-825D-38E8756C755C}"/>
    <cellStyle name="百分比 4 2 2 5 4 2 5" xfId="4871" xr:uid="{09EBDFBD-199A-45EF-BDEF-9D42B2D353C8}"/>
    <cellStyle name="百分比 4 2 2 5 4 2 6" xfId="4872" xr:uid="{A1C936CB-EE69-41B5-BA86-6D995157786C}"/>
    <cellStyle name="百分比 4 2 2 5 4 3" xfId="4873" xr:uid="{52351EAC-FF7D-4BA7-B8E8-E63B7FAEEADC}"/>
    <cellStyle name="百分比 4 2 2 5 4 4" xfId="4874" xr:uid="{3965AD0C-7D2F-4B7C-B808-D2AC2370D9DF}"/>
    <cellStyle name="百分比 4 2 2 5 4 5" xfId="4875" xr:uid="{7CAF38B0-FD96-4A0E-B5A2-C51AA26352BE}"/>
    <cellStyle name="百分比 4 2 2 5 4 6" xfId="4876" xr:uid="{408BE2B1-5DB9-4E44-932D-16655CEE7AD6}"/>
    <cellStyle name="百分比 4 2 2 5 4 7" xfId="4877" xr:uid="{30B40CF0-CE70-41EB-AF38-CBA6D7499D9A}"/>
    <cellStyle name="百分比 4 2 2 5 5" xfId="4878" xr:uid="{3F7B7E33-3FDE-4B92-AB93-9A1133069195}"/>
    <cellStyle name="百分比 4 2 2 5 5 2" xfId="4879" xr:uid="{002C2968-4CE6-4553-A3CE-FCC8D8190B21}"/>
    <cellStyle name="百分比 4 2 2 5 5 2 2" xfId="4880" xr:uid="{3EF044F1-0032-46BC-A7D9-51D3D4323AFA}"/>
    <cellStyle name="百分比 4 2 2 5 5 2 3" xfId="4881" xr:uid="{327992D5-680F-4832-937E-07FFE83A8C4A}"/>
    <cellStyle name="百分比 4 2 2 5 5 2 4" xfId="4882" xr:uid="{6C369986-358F-4E3E-9AD7-5FA37F15F293}"/>
    <cellStyle name="百分比 4 2 2 5 5 2 5" xfId="4883" xr:uid="{5FA8B8C5-E9EB-435C-B842-65A3355EEE84}"/>
    <cellStyle name="百分比 4 2 2 5 5 2 6" xfId="4884" xr:uid="{20A40870-1269-4E1F-A3DE-134489EC6EE8}"/>
    <cellStyle name="百分比 4 2 2 5 5 3" xfId="4885" xr:uid="{208BC040-73C7-4A68-A37D-2127C2510FF4}"/>
    <cellStyle name="百分比 4 2 2 5 5 4" xfId="4886" xr:uid="{91283154-203E-42EC-A99F-79D1098DAB68}"/>
    <cellStyle name="百分比 4 2 2 5 5 5" xfId="4887" xr:uid="{5F5D642E-C529-44AC-81A1-E1B4E742E84A}"/>
    <cellStyle name="百分比 4 2 2 5 5 6" xfId="4888" xr:uid="{0F2610E0-C194-42F6-ACF3-E4B458CE35B3}"/>
    <cellStyle name="百分比 4 2 2 5 5 7" xfId="4889" xr:uid="{0784D429-45E0-4299-B505-46D49A8793B1}"/>
    <cellStyle name="百分比 4 2 2 5 6" xfId="4890" xr:uid="{8908C383-7E0A-4A8E-8A32-42F8AC457B05}"/>
    <cellStyle name="百分比 4 2 2 5 6 2" xfId="4891" xr:uid="{9AFD7854-D5FD-485D-89E8-6585A516DBB5}"/>
    <cellStyle name="百分比 4 2 2 5 6 2 2" xfId="4892" xr:uid="{38FEB628-887D-4B11-BA2C-1253817976B8}"/>
    <cellStyle name="百分比 4 2 2 5 6 2 3" xfId="4893" xr:uid="{92335549-D76C-4DF2-A488-4484FB811973}"/>
    <cellStyle name="百分比 4 2 2 5 6 2 4" xfId="4894" xr:uid="{C58FE544-3959-491E-BA04-F6FD1BF95C79}"/>
    <cellStyle name="百分比 4 2 2 5 6 2 5" xfId="4895" xr:uid="{D5D9B5F9-6168-410E-9C7B-9CF5329E2C9D}"/>
    <cellStyle name="百分比 4 2 2 5 6 2 6" xfId="4896" xr:uid="{AA36199C-AA70-447C-A87B-4A6CF9992CF7}"/>
    <cellStyle name="百分比 4 2 2 5 6 3" xfId="4897" xr:uid="{3098A20F-4A27-462A-98C6-4FF77506CCEF}"/>
    <cellStyle name="百分比 4 2 2 5 6 4" xfId="4898" xr:uid="{623011E0-9C6C-47C1-BE9B-B284A32207DD}"/>
    <cellStyle name="百分比 4 2 2 5 6 5" xfId="4899" xr:uid="{3097D3BD-1372-4D17-8177-6EABD0A16086}"/>
    <cellStyle name="百分比 4 2 2 5 6 6" xfId="4900" xr:uid="{8F3F9039-5AA4-4540-8165-5687A44BA851}"/>
    <cellStyle name="百分比 4 2 2 5 6 7" xfId="4901" xr:uid="{F693E6E8-1583-401A-87E1-EC22F3CBAA26}"/>
    <cellStyle name="百分比 4 2 2 5 7" xfId="4902" xr:uid="{ED0A24EC-2420-4121-9B36-D678599DA08E}"/>
    <cellStyle name="百分比 4 2 2 5 7 2" xfId="4903" xr:uid="{BA6B72D6-76A4-45A0-81B6-7CF0A8C3FE78}"/>
    <cellStyle name="百分比 4 2 2 5 7 2 2" xfId="4904" xr:uid="{5FABB000-EA8E-46E4-B0A2-6C0028820AF7}"/>
    <cellStyle name="百分比 4 2 2 5 7 2 3" xfId="4905" xr:uid="{A0EBED09-A2FA-4FE3-9293-2FFDDD2CCA0D}"/>
    <cellStyle name="百分比 4 2 2 5 7 2 4" xfId="4906" xr:uid="{10DE7781-BA95-408F-9928-7D057564E79A}"/>
    <cellStyle name="百分比 4 2 2 5 7 2 5" xfId="4907" xr:uid="{582F4885-50DE-43A7-B6C6-7672B9D2DE81}"/>
    <cellStyle name="百分比 4 2 2 5 7 2 6" xfId="4908" xr:uid="{D139A38A-D682-4A99-A284-AD441B61B596}"/>
    <cellStyle name="百分比 4 2 2 5 7 3" xfId="4909" xr:uid="{6736CF8C-32D5-4FF6-BDCB-B9380225241D}"/>
    <cellStyle name="百分比 4 2 2 5 7 4" xfId="4910" xr:uid="{99299804-F4F0-4C27-BEFD-73C68FB786EB}"/>
    <cellStyle name="百分比 4 2 2 5 7 5" xfId="4911" xr:uid="{EA904B3A-82FF-4B2E-BE90-D3D64F878567}"/>
    <cellStyle name="百分比 4 2 2 5 7 6" xfId="4912" xr:uid="{2A7D3A6E-5BE6-4705-A8F0-A246450B9182}"/>
    <cellStyle name="百分比 4 2 2 5 7 7" xfId="4913" xr:uid="{C048AD71-ECF0-41FC-BB67-B9930DACBBE1}"/>
    <cellStyle name="百分比 4 2 2 5 8" xfId="4914" xr:uid="{6AFB34B4-D77E-4355-A017-ECA49E2CBD4E}"/>
    <cellStyle name="百分比 4 2 2 5 8 2" xfId="4915" xr:uid="{2A1B5DF1-5A28-4ED4-9AB8-6398FFC0B106}"/>
    <cellStyle name="百分比 4 2 2 5 8 2 2" xfId="4916" xr:uid="{BCC8856E-6D6D-4D03-A7D6-1F12551B92F9}"/>
    <cellStyle name="百分比 4 2 2 5 8 2 3" xfId="4917" xr:uid="{0B40BFF3-8BB1-4C33-AFC5-D2EA2AADC620}"/>
    <cellStyle name="百分比 4 2 2 5 8 2 4" xfId="4918" xr:uid="{0C156477-AC82-44F1-B6D8-29B98E63340F}"/>
    <cellStyle name="百分比 4 2 2 5 8 2 5" xfId="4919" xr:uid="{EEEB84A9-B212-4928-8B81-8C8D25E9603E}"/>
    <cellStyle name="百分比 4 2 2 5 8 2 6" xfId="4920" xr:uid="{71709428-BFCB-459A-A5E5-0C79B7957CF0}"/>
    <cellStyle name="百分比 4 2 2 5 8 3" xfId="4921" xr:uid="{9D712823-912F-4735-BB50-E853F28BAFFB}"/>
    <cellStyle name="百分比 4 2 2 5 8 4" xfId="4922" xr:uid="{0F1F8078-5F3B-4D70-90AD-18531A8BC862}"/>
    <cellStyle name="百分比 4 2 2 5 8 5" xfId="4923" xr:uid="{567CB0ED-E5E2-4D4F-B4CB-EA6D8C293AE7}"/>
    <cellStyle name="百分比 4 2 2 5 8 6" xfId="4924" xr:uid="{0418367F-7C78-4DC0-867A-D810DEC4B131}"/>
    <cellStyle name="百分比 4 2 2 5 8 7" xfId="4925" xr:uid="{42D0D92E-FA4A-48C6-A2AD-DC4307AC6AC2}"/>
    <cellStyle name="百分比 4 2 2 5 9" xfId="4926" xr:uid="{50D42B03-D968-4CC3-98A4-337CDC8FC1CC}"/>
    <cellStyle name="百分比 4 2 2 5 9 2" xfId="4927" xr:uid="{D15B4DCB-B41D-439D-9EE0-2B5B34AAF43F}"/>
    <cellStyle name="百分比 4 2 2 5 9 3" xfId="4928" xr:uid="{B3321065-72A8-447C-84E2-2F4B114B0910}"/>
    <cellStyle name="百分比 4 2 2 5 9 4" xfId="4929" xr:uid="{158102BC-4FE7-4B52-976F-8632576075B1}"/>
    <cellStyle name="百分比 4 2 2 5 9 5" xfId="4930" xr:uid="{AC5D8BC5-0782-4EEC-A66D-B32E38961CA7}"/>
    <cellStyle name="百分比 4 2 2 5 9 6" xfId="4931" xr:uid="{9CC4967A-564B-4759-9A87-1930D8D75354}"/>
    <cellStyle name="百分比 4 2 2 6" xfId="4932" xr:uid="{60DA370B-D22D-4F1A-A832-DAC43C382A1C}"/>
    <cellStyle name="百分比 4 2 2 6 10" xfId="4933" xr:uid="{25289324-8231-4709-9332-7B356B79F7C6}"/>
    <cellStyle name="百分比 4 2 2 6 11" xfId="4934" xr:uid="{B570DEB8-7157-4D07-BE54-48E264B863A7}"/>
    <cellStyle name="百分比 4 2 2 6 12" xfId="4935" xr:uid="{57A3C4EC-ED5B-4074-8507-B715B621CC0E}"/>
    <cellStyle name="百分比 4 2 2 6 13" xfId="4936" xr:uid="{D0A3DE1C-84F4-491F-B86B-839C938FD380}"/>
    <cellStyle name="百分比 4 2 2 6 14" xfId="4937" xr:uid="{AA596AEE-7087-43E4-ADB6-48ABBD9AC094}"/>
    <cellStyle name="百分比 4 2 2 6 2" xfId="4938" xr:uid="{C8D34182-A7BF-4099-A54E-FF4D3E0F1C72}"/>
    <cellStyle name="百分比 4 2 2 6 2 2" xfId="4939" xr:uid="{96F1F61F-368E-41C8-A8CE-5D3480BFC8E4}"/>
    <cellStyle name="百分比 4 2 2 6 2 2 2" xfId="4940" xr:uid="{0847A9AC-D40A-4CB4-B84D-4E8F662469F6}"/>
    <cellStyle name="百分比 4 2 2 6 2 2 3" xfId="4941" xr:uid="{DA28D14D-8D0B-4F32-B9BD-F1523CB91F95}"/>
    <cellStyle name="百分比 4 2 2 6 2 2 4" xfId="4942" xr:uid="{1B30FE35-AB48-4934-943A-966376B953C7}"/>
    <cellStyle name="百分比 4 2 2 6 2 2 5" xfId="4943" xr:uid="{62D2F0A4-D8CE-4C7B-92F8-972C6B0269D9}"/>
    <cellStyle name="百分比 4 2 2 6 2 2 6" xfId="4944" xr:uid="{19E301F8-F98E-4A4D-900E-CBC3B98A3D2E}"/>
    <cellStyle name="百分比 4 2 2 6 2 3" xfId="4945" xr:uid="{B1A8C58A-94A0-4A45-A48E-E9E9CD409CDF}"/>
    <cellStyle name="百分比 4 2 2 6 2 4" xfId="4946" xr:uid="{4E3F611B-D57B-48C7-AD10-58440001E136}"/>
    <cellStyle name="百分比 4 2 2 6 2 5" xfId="4947" xr:uid="{0560BFF2-BB3E-4C20-9434-F269EECDEE8E}"/>
    <cellStyle name="百分比 4 2 2 6 2 6" xfId="4948" xr:uid="{FEBC8297-6A40-41CB-803F-D455B04EE0F3}"/>
    <cellStyle name="百分比 4 2 2 6 2 7" xfId="4949" xr:uid="{116245E7-4184-47F6-BFB5-1CE008405B95}"/>
    <cellStyle name="百分比 4 2 2 6 3" xfId="4950" xr:uid="{1DEC1B01-5167-4682-9FD2-3B4A5E82DB12}"/>
    <cellStyle name="百分比 4 2 2 6 3 2" xfId="4951" xr:uid="{C36A3CEA-F8FA-4330-A105-6E366DD643BA}"/>
    <cellStyle name="百分比 4 2 2 6 3 2 2" xfId="4952" xr:uid="{10A8D77E-FA2C-42DC-BBC3-116C07FAACAD}"/>
    <cellStyle name="百分比 4 2 2 6 3 2 3" xfId="4953" xr:uid="{61BC63A1-7980-4A23-A3A1-B34B04A9560A}"/>
    <cellStyle name="百分比 4 2 2 6 3 2 4" xfId="4954" xr:uid="{EB15617B-0DAE-4283-B622-E0A29C61C58D}"/>
    <cellStyle name="百分比 4 2 2 6 3 2 5" xfId="4955" xr:uid="{66BBB72B-5310-484F-8056-8E44C7E8F5F0}"/>
    <cellStyle name="百分比 4 2 2 6 3 2 6" xfId="4956" xr:uid="{ED0E24AF-AA74-43D4-9F96-C27FD1865BB7}"/>
    <cellStyle name="百分比 4 2 2 6 3 3" xfId="4957" xr:uid="{1FA99FE5-C7F1-4F5B-8BE1-4DCE989893B8}"/>
    <cellStyle name="百分比 4 2 2 6 3 4" xfId="4958" xr:uid="{74D1BFDD-4A0E-46DD-8CA0-DA186BAC035B}"/>
    <cellStyle name="百分比 4 2 2 6 3 5" xfId="4959" xr:uid="{7A93B51F-03D3-4DAA-9DA2-059471E41116}"/>
    <cellStyle name="百分比 4 2 2 6 3 6" xfId="4960" xr:uid="{874D6643-C9C3-4A01-9E16-880A0E3700EA}"/>
    <cellStyle name="百分比 4 2 2 6 3 7" xfId="4961" xr:uid="{85D22282-6B4F-4368-BE6B-FB2AD6840563}"/>
    <cellStyle name="百分比 4 2 2 6 4" xfId="4962" xr:uid="{A85AFED7-AB7A-4615-B2B9-4BDF161ADC54}"/>
    <cellStyle name="百分比 4 2 2 6 4 2" xfId="4963" xr:uid="{CE0FF95D-06D6-49F1-846A-A3E770586675}"/>
    <cellStyle name="百分比 4 2 2 6 4 2 2" xfId="4964" xr:uid="{DF63D436-1ED9-4817-A142-52370C57565F}"/>
    <cellStyle name="百分比 4 2 2 6 4 2 3" xfId="4965" xr:uid="{5B37AEA4-2B95-47C1-81AC-BC8C3B5E499E}"/>
    <cellStyle name="百分比 4 2 2 6 4 2 4" xfId="4966" xr:uid="{73A89402-8560-436D-B4BF-88409AB96BDE}"/>
    <cellStyle name="百分比 4 2 2 6 4 2 5" xfId="4967" xr:uid="{0159F09E-5288-475A-BFCA-97295761F8DB}"/>
    <cellStyle name="百分比 4 2 2 6 4 2 6" xfId="4968" xr:uid="{057621B4-6D72-4C8C-B942-D116C30863CB}"/>
    <cellStyle name="百分比 4 2 2 6 4 3" xfId="4969" xr:uid="{789F3E7C-2A7E-486A-909B-D5C2E4DAD37D}"/>
    <cellStyle name="百分比 4 2 2 6 4 4" xfId="4970" xr:uid="{97B08296-9174-43E6-9A62-E3E8D197A382}"/>
    <cellStyle name="百分比 4 2 2 6 4 5" xfId="4971" xr:uid="{9E1CAEC6-4276-4170-867D-4EE3A010B885}"/>
    <cellStyle name="百分比 4 2 2 6 4 6" xfId="4972" xr:uid="{E572E444-9EDF-4D4A-82E4-49D40755C8C6}"/>
    <cellStyle name="百分比 4 2 2 6 4 7" xfId="4973" xr:uid="{50277EAD-AD6F-45D4-9C5A-B02B6985FC0D}"/>
    <cellStyle name="百分比 4 2 2 6 5" xfId="4974" xr:uid="{E8ABAA65-0592-494A-912D-8B5C005401AB}"/>
    <cellStyle name="百分比 4 2 2 6 5 2" xfId="4975" xr:uid="{E5E90897-4FBB-4147-BC48-E8D8A93E5507}"/>
    <cellStyle name="百分比 4 2 2 6 5 2 2" xfId="4976" xr:uid="{172A2478-F601-4888-A6EF-C61CA6186667}"/>
    <cellStyle name="百分比 4 2 2 6 5 2 3" xfId="4977" xr:uid="{3FA8D539-743C-4B8D-AB5C-9B8DC5C8DE46}"/>
    <cellStyle name="百分比 4 2 2 6 5 2 4" xfId="4978" xr:uid="{6F5E8208-A6CE-4F59-AD7B-EF000A479CFB}"/>
    <cellStyle name="百分比 4 2 2 6 5 2 5" xfId="4979" xr:uid="{BB1DB243-E31E-4728-992A-2FD94A6C11E9}"/>
    <cellStyle name="百分比 4 2 2 6 5 2 6" xfId="4980" xr:uid="{54E80DDA-4F53-45F5-9525-915451A7CEC1}"/>
    <cellStyle name="百分比 4 2 2 6 5 3" xfId="4981" xr:uid="{0C8798EE-06FB-421E-AB52-DBF45FEAE000}"/>
    <cellStyle name="百分比 4 2 2 6 5 4" xfId="4982" xr:uid="{6B331B55-4FDF-4493-BFBC-5D95B556CD50}"/>
    <cellStyle name="百分比 4 2 2 6 5 5" xfId="4983" xr:uid="{CB4AABC9-302D-4359-B178-C1182A4DE413}"/>
    <cellStyle name="百分比 4 2 2 6 5 6" xfId="4984" xr:uid="{9BDE8F86-6122-4C1F-BCA9-2C411DD1031D}"/>
    <cellStyle name="百分比 4 2 2 6 5 7" xfId="4985" xr:uid="{5EBE242E-A731-491D-8080-7A2FDC145B4E}"/>
    <cellStyle name="百分比 4 2 2 6 6" xfId="4986" xr:uid="{786D9763-5DA2-437A-A3B2-9C5C144C6DD0}"/>
    <cellStyle name="百分比 4 2 2 6 6 2" xfId="4987" xr:uid="{E43711E3-78F4-41FD-B9EC-094DEDB3E062}"/>
    <cellStyle name="百分比 4 2 2 6 6 2 2" xfId="4988" xr:uid="{4CB42DB2-CB8B-46DF-BF87-235FE050EC63}"/>
    <cellStyle name="百分比 4 2 2 6 6 2 3" xfId="4989" xr:uid="{1E89F4BB-1F2D-4FE4-9691-58FFD70376CC}"/>
    <cellStyle name="百分比 4 2 2 6 6 2 4" xfId="4990" xr:uid="{724057EC-0FB1-430E-A232-40BE43D8F4F8}"/>
    <cellStyle name="百分比 4 2 2 6 6 2 5" xfId="4991" xr:uid="{702E6D33-E09C-4EBF-8143-96B878E20B20}"/>
    <cellStyle name="百分比 4 2 2 6 6 2 6" xfId="4992" xr:uid="{FCE27C18-F0B0-4995-B0E1-E8D5DF161A14}"/>
    <cellStyle name="百分比 4 2 2 6 6 3" xfId="4993" xr:uid="{11FA9562-36C1-4CA2-B627-303E30D1B065}"/>
    <cellStyle name="百分比 4 2 2 6 6 4" xfId="4994" xr:uid="{35EADF7E-18AF-4D88-A084-B50BDA32EBCA}"/>
    <cellStyle name="百分比 4 2 2 6 6 5" xfId="4995" xr:uid="{D8205110-0674-4B90-854F-DEC9F7F25BB8}"/>
    <cellStyle name="百分比 4 2 2 6 6 6" xfId="4996" xr:uid="{FDE87367-A710-4444-9188-8E7231AED2C7}"/>
    <cellStyle name="百分比 4 2 2 6 6 7" xfId="4997" xr:uid="{BF165F8C-29FA-4693-9249-0C98FC5305F5}"/>
    <cellStyle name="百分比 4 2 2 6 7" xfId="4998" xr:uid="{B0BB28BF-C118-47B1-9DEF-21BA6A9AE494}"/>
    <cellStyle name="百分比 4 2 2 6 7 2" xfId="4999" xr:uid="{F45C2335-5D37-4427-96F9-24335B130599}"/>
    <cellStyle name="百分比 4 2 2 6 7 2 2" xfId="5000" xr:uid="{52D983ED-7462-4494-9EB3-836721CE08CF}"/>
    <cellStyle name="百分比 4 2 2 6 7 2 3" xfId="5001" xr:uid="{B1687523-AEEB-4EF5-B07D-D303CBA30B5C}"/>
    <cellStyle name="百分比 4 2 2 6 7 2 4" xfId="5002" xr:uid="{0A690FBE-8E93-4A5D-8151-999F4AA0B57F}"/>
    <cellStyle name="百分比 4 2 2 6 7 2 5" xfId="5003" xr:uid="{A44AE187-2CF6-4777-8002-0FA40147DC2E}"/>
    <cellStyle name="百分比 4 2 2 6 7 2 6" xfId="5004" xr:uid="{833F736F-14C3-4462-8E61-A3349139FCB6}"/>
    <cellStyle name="百分比 4 2 2 6 7 3" xfId="5005" xr:uid="{2352E1D4-51C6-488E-B732-F01286FA038A}"/>
    <cellStyle name="百分比 4 2 2 6 7 4" xfId="5006" xr:uid="{8F8A2EFF-9D27-45C3-BF06-C9518B165DE5}"/>
    <cellStyle name="百分比 4 2 2 6 7 5" xfId="5007" xr:uid="{351C28A3-4A29-4B28-B6BB-4B510DED5290}"/>
    <cellStyle name="百分比 4 2 2 6 7 6" xfId="5008" xr:uid="{4920DED2-A2AC-4ED0-B7F6-BDF190899DCF}"/>
    <cellStyle name="百分比 4 2 2 6 7 7" xfId="5009" xr:uid="{1ABA8531-325E-4597-BD45-F8CBD3358C63}"/>
    <cellStyle name="百分比 4 2 2 6 8" xfId="5010" xr:uid="{7C7C2F74-B87F-42C3-9342-E8AB2E1EC49C}"/>
    <cellStyle name="百分比 4 2 2 6 8 2" xfId="5011" xr:uid="{9FFC7662-0F7C-44E6-BB6D-4E17C2939FE6}"/>
    <cellStyle name="百分比 4 2 2 6 8 3" xfId="5012" xr:uid="{24F7A680-D73A-43C7-AE31-BAEDBBA36F43}"/>
    <cellStyle name="百分比 4 2 2 6 8 4" xfId="5013" xr:uid="{9AFD16D3-BA95-45BA-A3C4-AA361C65820E}"/>
    <cellStyle name="百分比 4 2 2 6 8 5" xfId="5014" xr:uid="{CAC62A69-B62C-4171-AD61-DF1E16133F0B}"/>
    <cellStyle name="百分比 4 2 2 6 8 6" xfId="5015" xr:uid="{6A052A10-621C-47C1-A377-58AFBCD5A894}"/>
    <cellStyle name="百分比 4 2 2 6 9" xfId="5016" xr:uid="{219584F5-F4B4-40A0-98FB-63A237BA2F75}"/>
    <cellStyle name="百分比 4 2 2 7" xfId="5017" xr:uid="{A5ED4C05-EC13-4E87-B624-98D0E50D5C4E}"/>
    <cellStyle name="百分比 4 2 2 7 10" xfId="5018" xr:uid="{A90FB85A-6A1B-427F-8836-DD483869583E}"/>
    <cellStyle name="百分比 4 2 2 7 11" xfId="5019" xr:uid="{E5D86DC8-D4FD-49AE-9365-D47A8BC330AE}"/>
    <cellStyle name="百分比 4 2 2 7 12" xfId="5020" xr:uid="{A6BC78C7-DA99-4C24-BAC3-BBC60D53DBB8}"/>
    <cellStyle name="百分比 4 2 2 7 13" xfId="33165" xr:uid="{0A40AB8B-5985-41D2-B57B-750D1D297313}"/>
    <cellStyle name="百分比 4 2 2 7 2" xfId="5021" xr:uid="{4B8B886D-F6EF-4A53-8DFB-14601EDF6906}"/>
    <cellStyle name="百分比 4 2 2 7 2 2" xfId="5022" xr:uid="{E9ED5098-9DFE-451F-B31F-6E07EF029BE6}"/>
    <cellStyle name="百分比 4 2 2 7 2 2 2" xfId="5023" xr:uid="{F194B18A-0FB4-4F43-9254-871FE07E5A3D}"/>
    <cellStyle name="百分比 4 2 2 7 2 2 3" xfId="5024" xr:uid="{E1E51A80-9935-485F-9844-AA4CE506570E}"/>
    <cellStyle name="百分比 4 2 2 7 2 2 4" xfId="5025" xr:uid="{8ECA32FB-2E2B-47C4-8473-2BA138AD5826}"/>
    <cellStyle name="百分比 4 2 2 7 2 2 5" xfId="5026" xr:uid="{E5B94A6F-F9A3-4297-A04D-5F934BC66434}"/>
    <cellStyle name="百分比 4 2 2 7 2 2 6" xfId="5027" xr:uid="{819F3DFE-79E0-4261-B852-636D6741ACD1}"/>
    <cellStyle name="百分比 4 2 2 7 2 3" xfId="5028" xr:uid="{7F8DD563-8F52-4BDF-966B-ABC3243A3B0E}"/>
    <cellStyle name="百分比 4 2 2 7 2 4" xfId="5029" xr:uid="{F7061D23-EDA3-4BD5-8DC7-ABF56849F770}"/>
    <cellStyle name="百分比 4 2 2 7 2 5" xfId="5030" xr:uid="{7EA8ACE1-79B6-4F3D-9B4B-FBEB6F57BCBC}"/>
    <cellStyle name="百分比 4 2 2 7 2 6" xfId="5031" xr:uid="{5EF6E66D-EC5F-49B5-B9EF-105DEACA7227}"/>
    <cellStyle name="百分比 4 2 2 7 2 7" xfId="5032" xr:uid="{3F4584B5-069C-426A-9C84-D54A83D5C2C1}"/>
    <cellStyle name="百分比 4 2 2 7 3" xfId="5033" xr:uid="{43A64E2E-B38F-4F07-A33B-C62BCD293AAA}"/>
    <cellStyle name="百分比 4 2 2 7 3 2" xfId="5034" xr:uid="{8F8D3946-3EB3-4938-9E4F-20DED4F86685}"/>
    <cellStyle name="百分比 4 2 2 7 3 2 2" xfId="5035" xr:uid="{61FC31EB-4507-4584-BDDC-C0A93A7BC975}"/>
    <cellStyle name="百分比 4 2 2 7 3 2 3" xfId="5036" xr:uid="{3809A4A5-E6AF-4B26-9EAC-1A0B015626D1}"/>
    <cellStyle name="百分比 4 2 2 7 3 2 4" xfId="5037" xr:uid="{293D938F-AB63-44B9-B1B8-2B6312843B88}"/>
    <cellStyle name="百分比 4 2 2 7 3 2 5" xfId="5038" xr:uid="{B553F492-4A63-4E28-B0DC-0905163A7A39}"/>
    <cellStyle name="百分比 4 2 2 7 3 2 6" xfId="5039" xr:uid="{80CF9BE8-8138-4643-BBFC-8A0FFD9675AD}"/>
    <cellStyle name="百分比 4 2 2 7 3 3" xfId="5040" xr:uid="{C81EBF5D-BF7D-41BC-B15B-D63BB56D77D0}"/>
    <cellStyle name="百分比 4 2 2 7 3 4" xfId="5041" xr:uid="{23296155-5A04-4FEB-B882-C16E6B87D48E}"/>
    <cellStyle name="百分比 4 2 2 7 3 5" xfId="5042" xr:uid="{776A842C-AE4D-4D5E-A873-B1936B7378D4}"/>
    <cellStyle name="百分比 4 2 2 7 3 6" xfId="5043" xr:uid="{F12BBA03-2F68-4874-BA5C-6FD6359CA876}"/>
    <cellStyle name="百分比 4 2 2 7 3 7" xfId="5044" xr:uid="{6B107535-04A0-48C6-A7FD-6163F14B37AD}"/>
    <cellStyle name="百分比 4 2 2 7 4" xfId="5045" xr:uid="{64B6B160-C3FF-4EA6-AD3F-E78E4A505B63}"/>
    <cellStyle name="百分比 4 2 2 7 4 2" xfId="5046" xr:uid="{54CAEC45-CEB9-447D-B769-43CCCBCEF4F2}"/>
    <cellStyle name="百分比 4 2 2 7 4 2 2" xfId="5047" xr:uid="{95207551-0C02-466A-B21C-E617812815DE}"/>
    <cellStyle name="百分比 4 2 2 7 4 2 3" xfId="5048" xr:uid="{A8451BE3-D2F4-4572-A9F9-0ECF3F9FF2D8}"/>
    <cellStyle name="百分比 4 2 2 7 4 2 4" xfId="5049" xr:uid="{ADDA7352-59DC-4484-883A-CC3F96D992DB}"/>
    <cellStyle name="百分比 4 2 2 7 4 2 5" xfId="5050" xr:uid="{65961285-D7F3-4120-95C4-B12540DA9488}"/>
    <cellStyle name="百分比 4 2 2 7 4 2 6" xfId="5051" xr:uid="{72678171-7351-4EF3-8BFA-66DF4FB52D5D}"/>
    <cellStyle name="百分比 4 2 2 7 4 3" xfId="5052" xr:uid="{17DC7915-3FC1-4702-8636-730723DDEAFB}"/>
    <cellStyle name="百分比 4 2 2 7 4 4" xfId="5053" xr:uid="{04786984-7750-4CF8-81EE-22B0FE4B4ADC}"/>
    <cellStyle name="百分比 4 2 2 7 4 5" xfId="5054" xr:uid="{4325B70E-28BE-4D1D-849A-EA86E4D8C9F2}"/>
    <cellStyle name="百分比 4 2 2 7 4 6" xfId="5055" xr:uid="{9903771C-D729-4277-BFEE-AC9D981D3E14}"/>
    <cellStyle name="百分比 4 2 2 7 4 7" xfId="5056" xr:uid="{6219035C-4C82-42A7-B3DB-88186EA05D47}"/>
    <cellStyle name="百分比 4 2 2 7 5" xfId="5057" xr:uid="{32B7EF82-8733-470B-891A-1535B419399A}"/>
    <cellStyle name="百分比 4 2 2 7 5 2" xfId="5058" xr:uid="{79B3F1B5-45D6-44FC-A742-31EAAB028BD8}"/>
    <cellStyle name="百分比 4 2 2 7 5 2 2" xfId="5059" xr:uid="{82361806-218C-4678-B952-BA6867E9085E}"/>
    <cellStyle name="百分比 4 2 2 7 5 2 3" xfId="5060" xr:uid="{0F3E3F7A-4142-4DFB-ACFA-48ECA7E3C27F}"/>
    <cellStyle name="百分比 4 2 2 7 5 2 4" xfId="5061" xr:uid="{83F413F4-AB7E-4ECC-82C3-28EAE8FB0733}"/>
    <cellStyle name="百分比 4 2 2 7 5 2 5" xfId="5062" xr:uid="{CB84DA60-ACD8-45E4-98F6-9DEC1F0F6FFE}"/>
    <cellStyle name="百分比 4 2 2 7 5 2 6" xfId="5063" xr:uid="{D184580D-D1BE-4703-A7AF-FF3A41D2675E}"/>
    <cellStyle name="百分比 4 2 2 7 5 3" xfId="5064" xr:uid="{8078DBB2-DE34-4D61-8B5A-3275F8971143}"/>
    <cellStyle name="百分比 4 2 2 7 5 4" xfId="5065" xr:uid="{FCC506CE-5297-4FC7-AB55-77CBD41C0710}"/>
    <cellStyle name="百分比 4 2 2 7 5 5" xfId="5066" xr:uid="{ACD402B2-CE3E-4DCF-90F2-672E47DBC9C9}"/>
    <cellStyle name="百分比 4 2 2 7 5 6" xfId="5067" xr:uid="{10061C16-030A-4F26-BD5F-96EB94A29694}"/>
    <cellStyle name="百分比 4 2 2 7 5 7" xfId="5068" xr:uid="{9C739A47-B010-436E-83BE-CDB450C8181F}"/>
    <cellStyle name="百分比 4 2 2 7 6" xfId="5069" xr:uid="{CBE21761-9EF5-4F71-A65B-A1EB6A2AC7F4}"/>
    <cellStyle name="百分比 4 2 2 7 6 2" xfId="5070" xr:uid="{E81AF20E-E0DD-4A6B-A479-F0DE4456F275}"/>
    <cellStyle name="百分比 4 2 2 7 6 2 2" xfId="5071" xr:uid="{39E38149-1F82-4422-9AB4-3EED6365EDFD}"/>
    <cellStyle name="百分比 4 2 2 7 6 2 3" xfId="5072" xr:uid="{0E9DB8DC-8A1E-4A20-AFC7-2A436B71E6FA}"/>
    <cellStyle name="百分比 4 2 2 7 6 2 4" xfId="5073" xr:uid="{11B30B66-F36A-4550-B13E-8EECC0CBA2F1}"/>
    <cellStyle name="百分比 4 2 2 7 6 2 5" xfId="5074" xr:uid="{A541B7FA-4638-42CC-B4CF-8DABC9FFFD5F}"/>
    <cellStyle name="百分比 4 2 2 7 6 2 6" xfId="5075" xr:uid="{2067DC2B-306F-4FCF-A1AC-B4FB514A89DE}"/>
    <cellStyle name="百分比 4 2 2 7 6 3" xfId="5076" xr:uid="{04A98E08-5914-4D2C-8EC9-FEBFE327B239}"/>
    <cellStyle name="百分比 4 2 2 7 6 4" xfId="5077" xr:uid="{181AAB67-A8F4-4506-9685-BEC6855D15D8}"/>
    <cellStyle name="百分比 4 2 2 7 6 5" xfId="5078" xr:uid="{56887630-B9E7-4F7D-BA87-3C22B67CE2AC}"/>
    <cellStyle name="百分比 4 2 2 7 6 6" xfId="5079" xr:uid="{62459B40-EB66-4FE7-A6D6-0DC2AB6119C2}"/>
    <cellStyle name="百分比 4 2 2 7 6 7" xfId="5080" xr:uid="{DCF66915-7D51-427C-8833-B38CE33D459A}"/>
    <cellStyle name="百分比 4 2 2 7 7" xfId="5081" xr:uid="{D03B1AC5-0591-4251-8FF5-B28E4CF6C498}"/>
    <cellStyle name="百分比 4 2 2 7 7 2" xfId="5082" xr:uid="{ACBE2614-479F-4A2D-84DA-C07B5FCA76B9}"/>
    <cellStyle name="百分比 4 2 2 7 7 3" xfId="5083" xr:uid="{716D0437-B89F-4C1E-8E5F-4AE2A2CDD8B7}"/>
    <cellStyle name="百分比 4 2 2 7 7 4" xfId="5084" xr:uid="{93BE610A-E769-4123-8AC7-F5A96C79C514}"/>
    <cellStyle name="百分比 4 2 2 7 7 5" xfId="5085" xr:uid="{1EBCB5D2-4382-42BA-BE46-E598A856BDBA}"/>
    <cellStyle name="百分比 4 2 2 7 7 6" xfId="5086" xr:uid="{646DDCD6-0A5E-47F5-A912-851E34DF91EE}"/>
    <cellStyle name="百分比 4 2 2 7 8" xfId="5087" xr:uid="{0B533FEB-5AB1-4D70-92A7-E4CCF1E44017}"/>
    <cellStyle name="百分比 4 2 2 7 9" xfId="5088" xr:uid="{C579C713-18CF-48DA-8964-8E4669C5DCB2}"/>
    <cellStyle name="百分比 4 2 2 8" xfId="5089" xr:uid="{47EB2B03-164A-4477-AD48-422E76BDCB0F}"/>
    <cellStyle name="百分比 4 2 2 8 10" xfId="5090" xr:uid="{1F5E6DE7-76EA-40E0-9EBB-8CEA7E1A91EC}"/>
    <cellStyle name="百分比 4 2 2 8 11" xfId="5091" xr:uid="{F3D9021B-B166-482A-AE2C-B98CE825CBD8}"/>
    <cellStyle name="百分比 4 2 2 8 12" xfId="5092" xr:uid="{65CE065D-7BF0-4494-B6A1-B5CD1F886391}"/>
    <cellStyle name="百分比 4 2 2 8 2" xfId="5093" xr:uid="{61C23357-85D0-447C-BC0B-A556CF3D88D9}"/>
    <cellStyle name="百分比 4 2 2 8 2 2" xfId="5094" xr:uid="{5FA1C28E-5F78-44BC-B2F7-E7E1DA087306}"/>
    <cellStyle name="百分比 4 2 2 8 2 2 2" xfId="5095" xr:uid="{3898E790-B42E-4084-B2FB-A71CD9E13AEB}"/>
    <cellStyle name="百分比 4 2 2 8 2 2 3" xfId="5096" xr:uid="{90A1E8FB-AEE2-40D7-8A65-43577BD3A023}"/>
    <cellStyle name="百分比 4 2 2 8 2 2 4" xfId="5097" xr:uid="{6F29A864-A08B-4BD4-9BCE-98ECA54B9117}"/>
    <cellStyle name="百分比 4 2 2 8 2 2 5" xfId="5098" xr:uid="{A261D8D5-FA7F-437D-BE0A-5A72D3F0C01D}"/>
    <cellStyle name="百分比 4 2 2 8 2 2 6" xfId="5099" xr:uid="{CEC408A7-1742-4EA5-946B-BC206A94EA6F}"/>
    <cellStyle name="百分比 4 2 2 8 2 3" xfId="5100" xr:uid="{D8FA19E8-F01A-42B2-972D-0C9DB78B5847}"/>
    <cellStyle name="百分比 4 2 2 8 2 4" xfId="5101" xr:uid="{4B493961-01BC-4188-B4E3-6F1BC7644F6B}"/>
    <cellStyle name="百分比 4 2 2 8 2 5" xfId="5102" xr:uid="{333142C6-3359-49AE-9AFF-2BD3EB2714F5}"/>
    <cellStyle name="百分比 4 2 2 8 2 6" xfId="5103" xr:uid="{64242A32-0C8D-4388-863F-27051DB8717F}"/>
    <cellStyle name="百分比 4 2 2 8 2 7" xfId="5104" xr:uid="{0C6FA6E1-B056-4B0F-AD99-67A7A7695E38}"/>
    <cellStyle name="百分比 4 2 2 8 3" xfId="5105" xr:uid="{3C76AE5E-E239-4064-98EB-E7147D415BAC}"/>
    <cellStyle name="百分比 4 2 2 8 3 2" xfId="5106" xr:uid="{C49D0B90-C5F1-4140-9732-94AD2BF38755}"/>
    <cellStyle name="百分比 4 2 2 8 3 2 2" xfId="5107" xr:uid="{91FC23E6-C6C0-4A98-A684-3FA3DD2B9BB6}"/>
    <cellStyle name="百分比 4 2 2 8 3 2 3" xfId="5108" xr:uid="{B97B3BA0-2A68-41E8-A34A-324236C12B90}"/>
    <cellStyle name="百分比 4 2 2 8 3 2 4" xfId="5109" xr:uid="{39C7C20E-47F1-46C6-B32A-82C4F9C8261C}"/>
    <cellStyle name="百分比 4 2 2 8 3 2 5" xfId="5110" xr:uid="{B99156C7-F24A-456F-BD8E-4F7BF955D995}"/>
    <cellStyle name="百分比 4 2 2 8 3 2 6" xfId="5111" xr:uid="{BFBCE7C3-BD22-4DB3-B58E-A5FB4B65C26A}"/>
    <cellStyle name="百分比 4 2 2 8 3 3" xfId="5112" xr:uid="{CF015174-3CB4-4FC5-A06F-0EA37C2D4FFB}"/>
    <cellStyle name="百分比 4 2 2 8 3 4" xfId="5113" xr:uid="{3264C6B2-E8C4-4AA9-A1ED-CB1EF2443934}"/>
    <cellStyle name="百分比 4 2 2 8 3 5" xfId="5114" xr:uid="{9DC07B44-30D7-43FE-AED3-2ECB403827FA}"/>
    <cellStyle name="百分比 4 2 2 8 3 6" xfId="5115" xr:uid="{9444A7F2-7653-490E-A85C-DAB4764F40B1}"/>
    <cellStyle name="百分比 4 2 2 8 3 7" xfId="5116" xr:uid="{D16FC49A-0995-4A10-818C-02011DAED55A}"/>
    <cellStyle name="百分比 4 2 2 8 4" xfId="5117" xr:uid="{F9211304-90E3-4559-A0D2-6E334D860218}"/>
    <cellStyle name="百分比 4 2 2 8 4 2" xfId="5118" xr:uid="{DA34DE5D-922C-48D5-9625-D1AD678594B9}"/>
    <cellStyle name="百分比 4 2 2 8 4 2 2" xfId="5119" xr:uid="{53ACA711-E402-4BB9-978B-DC409384E19D}"/>
    <cellStyle name="百分比 4 2 2 8 4 2 3" xfId="5120" xr:uid="{80EB218F-B868-4C37-9A34-9911E7804CB9}"/>
    <cellStyle name="百分比 4 2 2 8 4 2 4" xfId="5121" xr:uid="{17C4FB03-D249-4F36-A88A-48921E01AD1A}"/>
    <cellStyle name="百分比 4 2 2 8 4 2 5" xfId="5122" xr:uid="{5B0E2249-B791-4182-B032-A4B0DFF94401}"/>
    <cellStyle name="百分比 4 2 2 8 4 2 6" xfId="5123" xr:uid="{D4C207BC-9E0B-49C2-9CF6-1B57CADE2D25}"/>
    <cellStyle name="百分比 4 2 2 8 4 3" xfId="5124" xr:uid="{812FDF2D-1309-48A5-974F-17EA430FCEDC}"/>
    <cellStyle name="百分比 4 2 2 8 4 4" xfId="5125" xr:uid="{FB578A54-CE56-4D56-B077-A75BCBB16797}"/>
    <cellStyle name="百分比 4 2 2 8 4 5" xfId="5126" xr:uid="{0CE9C489-4336-4950-B5BD-F9563FAE37C4}"/>
    <cellStyle name="百分比 4 2 2 8 4 6" xfId="5127" xr:uid="{1960EDA4-5358-4D4E-9C88-312F83C367C0}"/>
    <cellStyle name="百分比 4 2 2 8 4 7" xfId="5128" xr:uid="{82201291-318F-4E6C-8946-C9B835CDD4B8}"/>
    <cellStyle name="百分比 4 2 2 8 5" xfId="5129" xr:uid="{BF0FDD10-01D9-45E8-9A37-FF3DC547164F}"/>
    <cellStyle name="百分比 4 2 2 8 5 2" xfId="5130" xr:uid="{9E5EA967-5E58-43E0-97B6-4C298BA3BB6B}"/>
    <cellStyle name="百分比 4 2 2 8 5 2 2" xfId="5131" xr:uid="{3516BBA5-8861-4375-8B74-E642C7D8A022}"/>
    <cellStyle name="百分比 4 2 2 8 5 2 3" xfId="5132" xr:uid="{D8D9437E-62DF-4926-94C4-7E5DF9B2C37E}"/>
    <cellStyle name="百分比 4 2 2 8 5 2 4" xfId="5133" xr:uid="{8DB3AD62-34B5-4D51-B5E3-B5179197D4B6}"/>
    <cellStyle name="百分比 4 2 2 8 5 2 5" xfId="5134" xr:uid="{8C66A3AF-4D17-4CA9-8962-59BA881BC136}"/>
    <cellStyle name="百分比 4 2 2 8 5 2 6" xfId="5135" xr:uid="{BD80D823-2D5B-4C74-9B71-570500FBC236}"/>
    <cellStyle name="百分比 4 2 2 8 5 3" xfId="5136" xr:uid="{A2BDF0F1-1FEE-45AB-BD39-2F8D19E1B49E}"/>
    <cellStyle name="百分比 4 2 2 8 5 4" xfId="5137" xr:uid="{84D17AF9-FCAE-4B74-B763-69EB91AB668A}"/>
    <cellStyle name="百分比 4 2 2 8 5 5" xfId="5138" xr:uid="{7F7F04C0-CB59-4791-A81C-E04D1CCDDDF4}"/>
    <cellStyle name="百分比 4 2 2 8 5 6" xfId="5139" xr:uid="{F1CDEDC7-3207-486A-A6CF-5AD9E1B891B5}"/>
    <cellStyle name="百分比 4 2 2 8 5 7" xfId="5140" xr:uid="{2D27E844-7B00-4F33-88E2-18E828DDD04E}"/>
    <cellStyle name="百分比 4 2 2 8 6" xfId="5141" xr:uid="{3C02D929-7109-4239-8E2A-9C1E6C77B56E}"/>
    <cellStyle name="百分比 4 2 2 8 6 2" xfId="5142" xr:uid="{8A05EB94-5AEC-4E5A-8798-27B1603F5BC4}"/>
    <cellStyle name="百分比 4 2 2 8 6 3" xfId="5143" xr:uid="{A6FE1A00-7851-445D-98DD-97BA8C21F976}"/>
    <cellStyle name="百分比 4 2 2 8 6 4" xfId="5144" xr:uid="{C1005B99-3138-4EE0-AC56-3D8B0862829D}"/>
    <cellStyle name="百分比 4 2 2 8 6 5" xfId="5145" xr:uid="{4CFBACC7-62BF-43CE-8B6B-7CC3A3DDF065}"/>
    <cellStyle name="百分比 4 2 2 8 6 6" xfId="5146" xr:uid="{9FBB0346-E931-4F1D-8DB7-031698CAEB55}"/>
    <cellStyle name="百分比 4 2 2 8 7" xfId="5147" xr:uid="{011E4815-92C6-483D-AB4C-CF8BE2D29629}"/>
    <cellStyle name="百分比 4 2 2 8 8" xfId="5148" xr:uid="{0506A33E-DF18-4B27-ABEB-B9B465A112C5}"/>
    <cellStyle name="百分比 4 2 2 8 9" xfId="5149" xr:uid="{E058F7C3-FA86-49AA-B39C-9CC9BED9B7AE}"/>
    <cellStyle name="百分比 4 2 2 9" xfId="5150" xr:uid="{231FF054-8EA4-4583-BF7F-9BE44D907BF2}"/>
    <cellStyle name="百分比 4 2 2 9 10" xfId="5151" xr:uid="{14FC82DD-161B-4599-AB02-F8823FA5AE71}"/>
    <cellStyle name="百分比 4 2 2 9 2" xfId="5152" xr:uid="{5133D3E3-3202-46F2-9F11-2EF8D962993B}"/>
    <cellStyle name="百分比 4 2 2 9 2 2" xfId="5153" xr:uid="{44578FDE-E036-45B9-86F2-455EBC1DD72C}"/>
    <cellStyle name="百分比 4 2 2 9 2 2 2" xfId="5154" xr:uid="{AB26D7C6-4102-4B6B-B5F8-2EA53B22EE64}"/>
    <cellStyle name="百分比 4 2 2 9 2 2 3" xfId="5155" xr:uid="{FEBBACAC-4839-4945-B141-5E20BB5CC1EC}"/>
    <cellStyle name="百分比 4 2 2 9 2 2 4" xfId="5156" xr:uid="{AF53E144-30B1-4748-930D-3B3E209B8EF8}"/>
    <cellStyle name="百分比 4 2 2 9 2 2 5" xfId="5157" xr:uid="{C8ACE00C-F1D8-40B9-8824-4C68E1977C88}"/>
    <cellStyle name="百分比 4 2 2 9 2 2 6" xfId="5158" xr:uid="{BF71E307-7023-4D72-BB98-47781A4E196A}"/>
    <cellStyle name="百分比 4 2 2 9 2 3" xfId="5159" xr:uid="{932C97D4-E7BE-413E-B601-74765C32AC04}"/>
    <cellStyle name="百分比 4 2 2 9 2 4" xfId="5160" xr:uid="{B94B1623-2797-4290-9433-021793D9CA3D}"/>
    <cellStyle name="百分比 4 2 2 9 2 5" xfId="5161" xr:uid="{92BFE721-E59C-43BB-B5E9-576C358C027A}"/>
    <cellStyle name="百分比 4 2 2 9 2 6" xfId="5162" xr:uid="{66C7CAD1-044D-4906-9F6D-5BB4F40FBBDB}"/>
    <cellStyle name="百分比 4 2 2 9 2 7" xfId="5163" xr:uid="{C8BD56BB-05DD-4607-9413-F18446B03B4C}"/>
    <cellStyle name="百分比 4 2 2 9 3" xfId="5164" xr:uid="{C9BE6F8E-89D1-4AC2-8B53-07A33E12652C}"/>
    <cellStyle name="百分比 4 2 2 9 3 2" xfId="5165" xr:uid="{25DD0910-EE91-4C48-A66D-F362CBC79D65}"/>
    <cellStyle name="百分比 4 2 2 9 3 2 2" xfId="5166" xr:uid="{1A29C78B-17B9-495D-96D1-E86AC8D2818D}"/>
    <cellStyle name="百分比 4 2 2 9 3 2 3" xfId="5167" xr:uid="{D4918007-1064-42E3-AD1F-60FA1A912AED}"/>
    <cellStyle name="百分比 4 2 2 9 3 2 4" xfId="5168" xr:uid="{D8EC8F08-B997-4545-A60F-CF6B185B6DEB}"/>
    <cellStyle name="百分比 4 2 2 9 3 2 5" xfId="5169" xr:uid="{5BC8E1A6-2131-446D-9095-6708504BA19A}"/>
    <cellStyle name="百分比 4 2 2 9 3 2 6" xfId="5170" xr:uid="{785B9BBB-AE02-4E27-ABFF-1506F0EFD69D}"/>
    <cellStyle name="百分比 4 2 2 9 3 3" xfId="5171" xr:uid="{A1DABA94-E2E3-4837-A830-BCC1ED0B0C66}"/>
    <cellStyle name="百分比 4 2 2 9 3 4" xfId="5172" xr:uid="{1C7B3E8B-85EC-4D60-90E1-A04078D1D769}"/>
    <cellStyle name="百分比 4 2 2 9 3 5" xfId="5173" xr:uid="{417B33F5-4169-4532-AF29-4816FDD37614}"/>
    <cellStyle name="百分比 4 2 2 9 3 6" xfId="5174" xr:uid="{A0476E87-6DA5-46F3-B768-5028B29C8CE7}"/>
    <cellStyle name="百分比 4 2 2 9 3 7" xfId="5175" xr:uid="{B09A0CD4-807F-4350-A843-2F1479E0EC44}"/>
    <cellStyle name="百分比 4 2 2 9 4" xfId="5176" xr:uid="{9D0C7E98-4547-446C-9688-DD9DBAC31A8C}"/>
    <cellStyle name="百分比 4 2 2 9 4 2" xfId="5177" xr:uid="{ADDC1735-363E-487D-8D61-482C13237BDA}"/>
    <cellStyle name="百分比 4 2 2 9 4 2 2" xfId="5178" xr:uid="{2EA43E27-E8E1-498B-BFE2-DCD58F4FDC56}"/>
    <cellStyle name="百分比 4 2 2 9 4 2 3" xfId="5179" xr:uid="{87432659-B577-48DD-9E5A-9B50AC307763}"/>
    <cellStyle name="百分比 4 2 2 9 4 2 4" xfId="5180" xr:uid="{50409F2B-5182-4984-ACDB-D003F569B459}"/>
    <cellStyle name="百分比 4 2 2 9 4 2 5" xfId="5181" xr:uid="{D749C871-A0EC-45BF-BC4B-475D8174E476}"/>
    <cellStyle name="百分比 4 2 2 9 4 2 6" xfId="5182" xr:uid="{FD4D4841-B107-4849-9DD9-1760E0D71E47}"/>
    <cellStyle name="百分比 4 2 2 9 4 3" xfId="5183" xr:uid="{16261F8C-D4A6-4142-B78A-9488464F44D3}"/>
    <cellStyle name="百分比 4 2 2 9 4 4" xfId="5184" xr:uid="{BCDFE30A-C6E8-4631-8F52-9832BE7601D8}"/>
    <cellStyle name="百分比 4 2 2 9 4 5" xfId="5185" xr:uid="{9A2CB2FF-CBEA-4F35-BFCC-E0779D684298}"/>
    <cellStyle name="百分比 4 2 2 9 4 6" xfId="5186" xr:uid="{BDC3FF0E-8666-4E3F-AA47-E391A85AF281}"/>
    <cellStyle name="百分比 4 2 2 9 4 7" xfId="5187" xr:uid="{68B4358B-E8C6-4844-ABCD-DE3395E00ECB}"/>
    <cellStyle name="百分比 4 2 2 9 5" xfId="5188" xr:uid="{979609C2-8F6C-4089-8E21-B373874A37B4}"/>
    <cellStyle name="百分比 4 2 2 9 5 2" xfId="5189" xr:uid="{8A314ED9-16C4-4C23-AC24-D1F9A367C379}"/>
    <cellStyle name="百分比 4 2 2 9 5 3" xfId="5190" xr:uid="{1D13EF0A-9531-40C2-9238-EFBB5331368D}"/>
    <cellStyle name="百分比 4 2 2 9 5 4" xfId="5191" xr:uid="{E84F573F-39A9-43E6-862E-584EAF14097F}"/>
    <cellStyle name="百分比 4 2 2 9 5 5" xfId="5192" xr:uid="{8E1D5191-E3E8-4170-BECF-370887672818}"/>
    <cellStyle name="百分比 4 2 2 9 5 6" xfId="5193" xr:uid="{3A236491-5B00-4908-B191-E36E06CC5086}"/>
    <cellStyle name="百分比 4 2 2 9 6" xfId="5194" xr:uid="{72CD9404-0BB0-4679-94C6-BD27062F0762}"/>
    <cellStyle name="百分比 4 2 2 9 7" xfId="5195" xr:uid="{38F023D2-C52F-4782-AA7E-B7564EB2026C}"/>
    <cellStyle name="百分比 4 2 2 9 8" xfId="5196" xr:uid="{19A0C55C-BFA9-496A-AF29-C075D5EF8189}"/>
    <cellStyle name="百分比 4 2 2 9 9" xfId="5197" xr:uid="{A083DF4E-BE9F-4B57-94F1-00B97B515396}"/>
    <cellStyle name="百分比 4 2 20" xfId="5198" xr:uid="{FC844983-6D5F-4D96-AB4D-39E872BA86B9}"/>
    <cellStyle name="百分比 4 2 20 2" xfId="5199" xr:uid="{C1D837CC-52A1-4B5B-B26D-92407F782C19}"/>
    <cellStyle name="百分比 4 2 20 3" xfId="5200" xr:uid="{78590981-58BE-4DB0-8BC1-2BF5AD31EED4}"/>
    <cellStyle name="百分比 4 2 20 4" xfId="5201" xr:uid="{F992B155-F510-4AB9-918E-256458E349C7}"/>
    <cellStyle name="百分比 4 2 20 5" xfId="5202" xr:uid="{DF2B4602-08D0-4A24-A647-5DDE44D44C1F}"/>
    <cellStyle name="百分比 4 2 20 6" xfId="5203" xr:uid="{C57DC0A0-EF3B-4129-8BC5-2CFB5A4E7C0F}"/>
    <cellStyle name="百分比 4 2 21" xfId="5204" xr:uid="{3B79CAB3-9294-4507-AFFD-7A36A208FD8F}"/>
    <cellStyle name="百分比 4 2 22" xfId="5205" xr:uid="{90D03391-C41F-4817-9EDC-0070A09BA159}"/>
    <cellStyle name="百分比 4 2 23" xfId="5206" xr:uid="{B5FC067B-03FF-46B9-8A38-D110D900CC27}"/>
    <cellStyle name="百分比 4 2 24" xfId="5207" xr:uid="{4B6AE79B-7674-46AB-A7F6-C9DEEEDFB225}"/>
    <cellStyle name="百分比 4 2 25" xfId="5208" xr:uid="{7F36A314-0F4A-4435-AB78-F5438D07ADA3}"/>
    <cellStyle name="百分比 4 2 26" xfId="5209" xr:uid="{B74BE514-9E8A-444E-BB8E-1DE3BDBE302B}"/>
    <cellStyle name="百分比 4 2 27" xfId="33166" xr:uid="{2744D3C9-FB38-442A-8EAA-498C7FA9C730}"/>
    <cellStyle name="百分比 4 2 3" xfId="5210" xr:uid="{B10231FA-75FE-404C-BC93-0B29BD2CEFA2}"/>
    <cellStyle name="百分比 4 2 3 10" xfId="5211" xr:uid="{E53E088A-ACC0-4BAD-A2EF-F0007C1BBE3C}"/>
    <cellStyle name="百分比 4 2 3 10 2" xfId="5212" xr:uid="{2F2457FC-CDFB-479B-8DEB-A7A7A265E968}"/>
    <cellStyle name="百分比 4 2 3 10 2 2" xfId="5213" xr:uid="{3516A94C-5D15-482B-966D-649EF71F6D7B}"/>
    <cellStyle name="百分比 4 2 3 10 2 3" xfId="5214" xr:uid="{D3D2F7B3-6E60-453D-9D75-4E26156755A3}"/>
    <cellStyle name="百分比 4 2 3 10 2 4" xfId="5215" xr:uid="{524D1F73-A251-4508-BDF6-92434BB77913}"/>
    <cellStyle name="百分比 4 2 3 10 2 5" xfId="5216" xr:uid="{39D242B7-1B30-475B-89D8-16CC85816825}"/>
    <cellStyle name="百分比 4 2 3 10 2 6" xfId="5217" xr:uid="{0A12B37A-C761-4847-8E7F-C1CDF376FD92}"/>
    <cellStyle name="百分比 4 2 3 10 3" xfId="5218" xr:uid="{23D64662-ADC0-4EDD-B7EC-F6EB41C58821}"/>
    <cellStyle name="百分比 4 2 3 10 4" xfId="5219" xr:uid="{0E82A6CB-849B-48F6-AD97-0E8B8A2D3347}"/>
    <cellStyle name="百分比 4 2 3 10 5" xfId="5220" xr:uid="{103DA67B-3FE9-4252-9066-9D27B56C9E00}"/>
    <cellStyle name="百分比 4 2 3 10 6" xfId="5221" xr:uid="{276FDE20-79AD-4B3F-B301-BD6971FCF708}"/>
    <cellStyle name="百分比 4 2 3 10 7" xfId="5222" xr:uid="{791D97A0-E769-4856-8D39-DA61FE0E981B}"/>
    <cellStyle name="百分比 4 2 3 11" xfId="5223" xr:uid="{45F0ADDF-1F71-45E5-825B-EE1A74BAF1AF}"/>
    <cellStyle name="百分比 4 2 3 11 2" xfId="5224" xr:uid="{D35B27EF-2B45-42F7-B999-7C7EF241ACCD}"/>
    <cellStyle name="百分比 4 2 3 11 2 2" xfId="5225" xr:uid="{41AA4E61-7546-46A4-A029-90E8CBB038A3}"/>
    <cellStyle name="百分比 4 2 3 11 2 3" xfId="5226" xr:uid="{128DF320-DAE6-47C9-B2CC-1A93EDDA4B00}"/>
    <cellStyle name="百分比 4 2 3 11 2 4" xfId="5227" xr:uid="{ED01DB96-374E-4CC7-8068-D660A50D40A2}"/>
    <cellStyle name="百分比 4 2 3 11 2 5" xfId="5228" xr:uid="{A5B71766-0F6A-454F-8FA4-BC23BFA87ADE}"/>
    <cellStyle name="百分比 4 2 3 11 2 6" xfId="5229" xr:uid="{81B6A604-2BA8-48CC-A298-07D7D0A91EDD}"/>
    <cellStyle name="百分比 4 2 3 11 3" xfId="5230" xr:uid="{7C9AFCBB-E3A0-4136-AF7C-9A3A735AEACE}"/>
    <cellStyle name="百分比 4 2 3 11 4" xfId="5231" xr:uid="{79F7D80A-C7D1-4DBB-8FF8-1DB185544AB1}"/>
    <cellStyle name="百分比 4 2 3 11 5" xfId="5232" xr:uid="{38DA2BD4-5B68-4197-AF7C-1A8373A58AB9}"/>
    <cellStyle name="百分比 4 2 3 11 6" xfId="5233" xr:uid="{94E7FA64-4575-43E1-BAC2-5058A2E876F2}"/>
    <cellStyle name="百分比 4 2 3 11 7" xfId="5234" xr:uid="{0738169C-DB1A-4A83-8000-3AF3C4D7A44B}"/>
    <cellStyle name="百分比 4 2 3 12" xfId="5235" xr:uid="{E12EF011-70E7-4B89-8BE9-D32EB0D61B9C}"/>
    <cellStyle name="百分比 4 2 3 12 2" xfId="5236" xr:uid="{78C6BC90-4DB9-445F-ABA8-D521AE010889}"/>
    <cellStyle name="百分比 4 2 3 12 3" xfId="5237" xr:uid="{10A0E6ED-2CEC-4296-80C2-2D458E6E39C8}"/>
    <cellStyle name="百分比 4 2 3 12 4" xfId="5238" xr:uid="{C19F37A3-4A63-4860-8897-99B259F80DA7}"/>
    <cellStyle name="百分比 4 2 3 12 5" xfId="5239" xr:uid="{5C1F0522-0DF8-478E-A1A9-630C975EFAE1}"/>
    <cellStyle name="百分比 4 2 3 12 6" xfId="5240" xr:uid="{21177708-8715-49CF-9BEB-CA909BCBAB16}"/>
    <cellStyle name="百分比 4 2 3 13" xfId="5241" xr:uid="{5A3EA87A-1505-44B3-B2ED-A48DBEB15F4B}"/>
    <cellStyle name="百分比 4 2 3 14" xfId="5242" xr:uid="{B50CBE3C-A2BB-4872-9BA0-B89FD8D6CCC1}"/>
    <cellStyle name="百分比 4 2 3 15" xfId="5243" xr:uid="{D80FDB3B-7972-45A8-8FCB-06D06F6A1DB7}"/>
    <cellStyle name="百分比 4 2 3 16" xfId="5244" xr:uid="{698EE89B-C295-4DC5-9BA7-028C4A98697C}"/>
    <cellStyle name="百分比 4 2 3 17" xfId="5245" xr:uid="{6F1E345B-8356-4BF4-B4AB-50D9124216F7}"/>
    <cellStyle name="百分比 4 2 3 2" xfId="5246" xr:uid="{10534454-D362-44EA-96B0-C31CD7678F94}"/>
    <cellStyle name="百分比 4 2 3 2 2" xfId="5247" xr:uid="{1C6C3FE5-4810-46F2-8130-4CE15B5D90F9}"/>
    <cellStyle name="百分比 4 2 3 2 2 2" xfId="5248" xr:uid="{7E78DD07-CF95-4578-A15C-BF0E03620814}"/>
    <cellStyle name="百分比 4 2 3 2 2 2 2" xfId="5249" xr:uid="{56D255B8-8E55-4CDB-83F2-BC58D69840C0}"/>
    <cellStyle name="百分比 4 2 3 2 2 3" xfId="5250" xr:uid="{9A3D13A7-F08B-4EDD-8891-8133C0CBE45C}"/>
    <cellStyle name="百分比 4 2 3 2 2 4" xfId="5251" xr:uid="{95283CDB-9024-45CE-8988-737A4E962AA0}"/>
    <cellStyle name="百分比 4 2 3 2 2 4 2" xfId="33167" xr:uid="{AF1045F6-CBF1-497C-9502-D922912C6025}"/>
    <cellStyle name="百分比 4 2 3 2 3" xfId="5252" xr:uid="{3E48FA23-36C5-491C-ACB6-1AB5FBB0A6F4}"/>
    <cellStyle name="百分比 4 2 3 2 3 2" xfId="5253" xr:uid="{3B81E4ED-8FBF-4EE2-9BC7-89A7D3A524F7}"/>
    <cellStyle name="百分比 4 2 3 2 4" xfId="5254" xr:uid="{236E5718-0EBC-477C-ABD1-E8536E859C3F}"/>
    <cellStyle name="百分比 4 2 3 2 5" xfId="5255" xr:uid="{10A8EF61-A656-46F4-835E-EA9B3FDEB944}"/>
    <cellStyle name="百分比 4 2 3 2 5 2" xfId="33168" xr:uid="{50551549-8FA2-4102-9B71-32F044FC8295}"/>
    <cellStyle name="百分比 4 2 3 3" xfId="5256" xr:uid="{95A7AB79-24B4-4A8A-9ED2-4CF7D7FB8B73}"/>
    <cellStyle name="百分比 4 2 3 3 2" xfId="5257" xr:uid="{FFEFCE30-5ADE-424B-BEBB-C1EA3FCD8D0F}"/>
    <cellStyle name="百分比 4 2 3 3 2 2" xfId="5258" xr:uid="{441B5FD4-9DCC-4911-B237-3115EA42025C}"/>
    <cellStyle name="百分比 4 2 3 3 2 3" xfId="5259" xr:uid="{256DD800-B4BC-40B6-863E-F947CD5F3F66}"/>
    <cellStyle name="百分比 4 2 3 3 2 4" xfId="5260" xr:uid="{4FF41A39-7E9E-4F15-AE20-57026DC16E4B}"/>
    <cellStyle name="百分比 4 2 3 3 2 5" xfId="5261" xr:uid="{A3DC220C-051A-461E-9D7B-94D2955CFCAA}"/>
    <cellStyle name="百分比 4 2 3 3 2 6" xfId="5262" xr:uid="{4CF750DE-E5D6-4F8E-961A-94DFFF8020A1}"/>
    <cellStyle name="百分比 4 2 3 3 2 7" xfId="5263" xr:uid="{7C771952-9465-4C1F-94D6-ACACA030EDA0}"/>
    <cellStyle name="百分比 4 2 3 3 3" xfId="5264" xr:uid="{AB08B6C2-255B-40C3-9119-C2A015DD2B1A}"/>
    <cellStyle name="百分比 4 2 3 3 3 2" xfId="5265" xr:uid="{238D11E8-7D9C-4B54-B4A1-A065E5ADC8F9}"/>
    <cellStyle name="百分比 4 2 3 3 4" xfId="5266" xr:uid="{CF899E59-D4DD-4543-BE65-13ABD0D4B4CC}"/>
    <cellStyle name="百分比 4 2 3 3 4 2" xfId="33169" xr:uid="{C10759A4-863E-474B-ADC8-86C0C9CD74B5}"/>
    <cellStyle name="百分比 4 2 3 3 5" xfId="5267" xr:uid="{3E4CBF09-C13B-4F78-83CE-C5DF000CD81E}"/>
    <cellStyle name="百分比 4 2 3 3 6" xfId="5268" xr:uid="{A440F5E3-89D7-4E01-AFD8-2C1A7D661925}"/>
    <cellStyle name="百分比 4 2 3 3 7" xfId="5269" xr:uid="{1157FC96-5589-40CB-8211-4CC6818142D0}"/>
    <cellStyle name="百分比 4 2 3 3 8" xfId="5270" xr:uid="{448E7057-A846-442D-A521-9856D9611646}"/>
    <cellStyle name="百分比 4 2 3 4" xfId="5271" xr:uid="{AB343FAB-8D66-4776-B2FE-F9FC7C15FAF9}"/>
    <cellStyle name="百分比 4 2 3 4 2" xfId="5272" xr:uid="{0FDB4E64-13A0-46B7-BCC3-B070531870C8}"/>
    <cellStyle name="百分比 4 2 3 4 2 2" xfId="5273" xr:uid="{EA77B868-25D4-4527-8A96-61D8100D6141}"/>
    <cellStyle name="百分比 4 2 3 4 2 3" xfId="5274" xr:uid="{115A8F07-6D6B-4DAF-87F9-A957F0D326BE}"/>
    <cellStyle name="百分比 4 2 3 4 2 4" xfId="5275" xr:uid="{A204200D-2661-4C50-8343-47F1A5F44022}"/>
    <cellStyle name="百分比 4 2 3 4 2 5" xfId="5276" xr:uid="{CBFD2404-8AE7-4D46-8BCF-6D2F1E068694}"/>
    <cellStyle name="百分比 4 2 3 4 2 6" xfId="5277" xr:uid="{CB4B21B7-851A-4FD2-B1A0-06101C7FFAA6}"/>
    <cellStyle name="百分比 4 2 3 4 3" xfId="5278" xr:uid="{D29CD3EB-E20D-4152-8E3C-DF676621C4F2}"/>
    <cellStyle name="百分比 4 2 3 4 4" xfId="5279" xr:uid="{5F3CD596-5555-484D-84E9-640C3942CD95}"/>
    <cellStyle name="百分比 4 2 3 4 5" xfId="5280" xr:uid="{42DF612D-627A-437B-856A-1673C54E774E}"/>
    <cellStyle name="百分比 4 2 3 4 6" xfId="5281" xr:uid="{D234EEFE-EE3D-4F89-A7FF-E2B2582172C1}"/>
    <cellStyle name="百分比 4 2 3 4 7" xfId="5282" xr:uid="{E1C37169-B396-4312-A6C8-1E1581964114}"/>
    <cellStyle name="百分比 4 2 3 4 8" xfId="5283" xr:uid="{0B87D3B7-103A-4736-BBD0-DB7ECF5534ED}"/>
    <cellStyle name="百分比 4 2 3 5" xfId="5284" xr:uid="{57693F40-3F8F-45CA-A910-3C289359274C}"/>
    <cellStyle name="百分比 4 2 3 5 2" xfId="5285" xr:uid="{E2FF092D-C3DC-4256-9188-987723FB62C3}"/>
    <cellStyle name="百分比 4 2 3 5 2 2" xfId="5286" xr:uid="{1796CD86-4995-4F7A-83C0-8FAED71A9B22}"/>
    <cellStyle name="百分比 4 2 3 5 2 3" xfId="5287" xr:uid="{E3CB1C08-FACC-477D-9993-2B2371B59123}"/>
    <cellStyle name="百分比 4 2 3 5 2 4" xfId="5288" xr:uid="{324EE66B-8CDB-43B3-9CD3-81B7AC0DE0D2}"/>
    <cellStyle name="百分比 4 2 3 5 2 5" xfId="5289" xr:uid="{42B0D6FC-0243-49D6-AEFD-5A357FBDC3FD}"/>
    <cellStyle name="百分比 4 2 3 5 2 6" xfId="5290" xr:uid="{2B938ECB-572D-44EE-836E-211E741F026B}"/>
    <cellStyle name="百分比 4 2 3 5 3" xfId="5291" xr:uid="{8140F1F4-F39D-468D-8CFA-6BE60CD8892C}"/>
    <cellStyle name="百分比 4 2 3 5 4" xfId="5292" xr:uid="{D5D07256-B7D9-4165-84A6-4D519C89198B}"/>
    <cellStyle name="百分比 4 2 3 5 5" xfId="5293" xr:uid="{9121BC3B-4B42-4CC3-AA09-3814876E7FB2}"/>
    <cellStyle name="百分比 4 2 3 5 6" xfId="5294" xr:uid="{BD09BC7D-D774-475F-B0E2-3027B1F188C9}"/>
    <cellStyle name="百分比 4 2 3 5 7" xfId="5295" xr:uid="{47210030-1AA5-4C58-BB81-F7CB2A94BEBE}"/>
    <cellStyle name="百分比 4 2 3 5 8" xfId="5296" xr:uid="{F8A286F1-C1C4-4ACE-8942-802CA3D70BEF}"/>
    <cellStyle name="百分比 4 2 3 6" xfId="5297" xr:uid="{D116F8E6-53E1-4081-A585-94B866426ECA}"/>
    <cellStyle name="百分比 4 2 3 6 2" xfId="5298" xr:uid="{9335A659-02C2-4299-AAC4-73B43D5B19D2}"/>
    <cellStyle name="百分比 4 2 3 6 2 2" xfId="5299" xr:uid="{EECA84DB-3F74-420A-AAF4-44F7A8C5BAA4}"/>
    <cellStyle name="百分比 4 2 3 6 2 3" xfId="5300" xr:uid="{0A603C0A-9ED2-489B-B8B2-FCABA2D85265}"/>
    <cellStyle name="百分比 4 2 3 6 2 4" xfId="5301" xr:uid="{E0B70BF9-E4DD-4E49-AE07-F87D7BBFCAB6}"/>
    <cellStyle name="百分比 4 2 3 6 2 5" xfId="5302" xr:uid="{C7F52B67-5765-4EC5-837C-D05575E01ED5}"/>
    <cellStyle name="百分比 4 2 3 6 2 6" xfId="5303" xr:uid="{4BF30584-2F78-4D75-9018-70F0CC0AB5B6}"/>
    <cellStyle name="百分比 4 2 3 6 3" xfId="5304" xr:uid="{BD244030-1FA7-45B7-95BF-4FDE670DC167}"/>
    <cellStyle name="百分比 4 2 3 6 4" xfId="5305" xr:uid="{926F1595-8EE4-4690-AA9C-1D72D45D8C9A}"/>
    <cellStyle name="百分比 4 2 3 6 5" xfId="5306" xr:uid="{D674EAEB-443D-4921-A207-02378119CFA4}"/>
    <cellStyle name="百分比 4 2 3 6 6" xfId="5307" xr:uid="{C5C9CA05-F802-4AB3-85F2-EFA4F9D91E83}"/>
    <cellStyle name="百分比 4 2 3 6 7" xfId="5308" xr:uid="{B31BD53A-9E5A-44E8-87D2-7AC9EB69628A}"/>
    <cellStyle name="百分比 4 2 3 6 8" xfId="33170" xr:uid="{B8E0B525-E797-410D-9CE3-AEF8F1F6B28A}"/>
    <cellStyle name="百分比 4 2 3 7" xfId="5309" xr:uid="{82D1259C-55DC-444A-AC76-BBFF28D3643F}"/>
    <cellStyle name="百分比 4 2 3 7 2" xfId="5310" xr:uid="{D58417C3-5CF7-4324-BF24-9C5F1ADF2E6A}"/>
    <cellStyle name="百分比 4 2 3 7 2 2" xfId="5311" xr:uid="{33AF43CA-4AA6-4055-818A-0EF8AF5232D4}"/>
    <cellStyle name="百分比 4 2 3 7 2 3" xfId="5312" xr:uid="{B8E46A95-AC99-4A8E-A4E2-443D82F44DAD}"/>
    <cellStyle name="百分比 4 2 3 7 2 4" xfId="5313" xr:uid="{F5CCC44B-7F03-4B00-9FED-E2C73182E014}"/>
    <cellStyle name="百分比 4 2 3 7 2 5" xfId="5314" xr:uid="{20A93911-6A6F-4099-B86E-42012B6F44EE}"/>
    <cellStyle name="百分比 4 2 3 7 2 6" xfId="5315" xr:uid="{FA942506-BE6E-4D7B-A3A9-F886FB9FF41B}"/>
    <cellStyle name="百分比 4 2 3 7 3" xfId="5316" xr:uid="{B618E57F-4D1C-4950-8F28-E3D29D4C9EB5}"/>
    <cellStyle name="百分比 4 2 3 7 4" xfId="5317" xr:uid="{CBCFDE61-001A-492B-B00D-3839F63DB1A2}"/>
    <cellStyle name="百分比 4 2 3 7 5" xfId="5318" xr:uid="{4AA9457A-EEB3-4E6A-8882-81D8F1D07755}"/>
    <cellStyle name="百分比 4 2 3 7 6" xfId="5319" xr:uid="{EBA023CC-5C3B-40D2-8CAF-A91E6CBBE9C4}"/>
    <cellStyle name="百分比 4 2 3 7 7" xfId="5320" xr:uid="{E03B3624-2233-4F3B-AAB6-51547E3277CF}"/>
    <cellStyle name="百分比 4 2 3 7 8" xfId="5321" xr:uid="{837DEE84-DDF8-485E-8B8A-F292B9415B53}"/>
    <cellStyle name="百分比 4 2 3 8" xfId="5322" xr:uid="{5570A042-27EF-475C-B723-12D84C29A81B}"/>
    <cellStyle name="百分比 4 2 3 8 2" xfId="5323" xr:uid="{D9A5B654-C70C-49E4-9AAF-068D1EDCDA02}"/>
    <cellStyle name="百分比 4 2 3 8 2 2" xfId="5324" xr:uid="{1D8A77C3-99DF-45B3-BF40-41A5BC53516C}"/>
    <cellStyle name="百分比 4 2 3 8 2 3" xfId="5325" xr:uid="{B2D93151-3403-4F96-AEAE-8C78157B0A8B}"/>
    <cellStyle name="百分比 4 2 3 8 2 4" xfId="5326" xr:uid="{E3865607-F746-42CB-86DB-F52F6366C385}"/>
    <cellStyle name="百分比 4 2 3 8 2 5" xfId="5327" xr:uid="{09D28EE7-CB77-4533-A4A5-422413ADD6AE}"/>
    <cellStyle name="百分比 4 2 3 8 2 6" xfId="5328" xr:uid="{3A5C55CC-BC67-401B-A777-8D352C1BC5FE}"/>
    <cellStyle name="百分比 4 2 3 8 3" xfId="5329" xr:uid="{854598D6-3396-4A7C-BF5B-628EE58D4847}"/>
    <cellStyle name="百分比 4 2 3 8 4" xfId="5330" xr:uid="{CF82334B-9CD7-441F-8C2F-00F10B8B0B28}"/>
    <cellStyle name="百分比 4 2 3 8 5" xfId="5331" xr:uid="{9CC8A069-2700-4A78-A08C-CAAA99E63BD6}"/>
    <cellStyle name="百分比 4 2 3 8 6" xfId="5332" xr:uid="{202F0DE4-EF62-4344-8D35-0422291897B8}"/>
    <cellStyle name="百分比 4 2 3 8 7" xfId="5333" xr:uid="{58BF2940-843F-4D89-997B-7277E5832C73}"/>
    <cellStyle name="百分比 4 2 3 9" xfId="5334" xr:uid="{F1093EFA-2333-4019-B03A-54D5C63862F5}"/>
    <cellStyle name="百分比 4 2 3 9 2" xfId="5335" xr:uid="{5273C79A-28B9-4F63-89FD-EAC9118353CB}"/>
    <cellStyle name="百分比 4 2 3 9 2 2" xfId="5336" xr:uid="{0FD78597-2B54-4954-8749-3364D6950E76}"/>
    <cellStyle name="百分比 4 2 3 9 2 3" xfId="5337" xr:uid="{1957A527-5514-4833-A910-A649A6788782}"/>
    <cellStyle name="百分比 4 2 3 9 2 4" xfId="5338" xr:uid="{FF9CE21C-EEB7-4C28-A2A5-568C4B3BB27D}"/>
    <cellStyle name="百分比 4 2 3 9 2 5" xfId="5339" xr:uid="{10444C2E-F68A-46BD-9EAE-A5C5590E1623}"/>
    <cellStyle name="百分比 4 2 3 9 2 6" xfId="5340" xr:uid="{BBFBAE7C-ED3D-4418-BF62-7811462E4253}"/>
    <cellStyle name="百分比 4 2 3 9 3" xfId="5341" xr:uid="{34370059-7372-4615-8F63-958C847C1CBE}"/>
    <cellStyle name="百分比 4 2 3 9 4" xfId="5342" xr:uid="{9282D5EA-C9A0-4E7E-8F2D-69B647B66F2B}"/>
    <cellStyle name="百分比 4 2 3 9 5" xfId="5343" xr:uid="{564B69C0-97E7-4E73-BA3C-B38133C342B1}"/>
    <cellStyle name="百分比 4 2 3 9 6" xfId="5344" xr:uid="{27FDF08C-5C39-43F8-9770-FEA583C9AFEE}"/>
    <cellStyle name="百分比 4 2 3 9 7" xfId="5345" xr:uid="{07675A5C-10F9-42D0-960F-AF93E87BEA65}"/>
    <cellStyle name="百分比 4 2 4" xfId="5346" xr:uid="{87C154B5-2ED1-47D5-8BE0-63EE64189B9F}"/>
    <cellStyle name="百分比 4 2 4 2" xfId="5347" xr:uid="{EDAA9FC7-A624-40B6-98D9-94D135F5B6E5}"/>
    <cellStyle name="百分比 4 2 4 2 2" xfId="5348" xr:uid="{144CF36F-6C6D-4E98-A6DC-1C3BD89B446E}"/>
    <cellStyle name="百分比 4 2 4 2 2 2" xfId="5349" xr:uid="{EF02F9D0-691F-453C-ADFE-E19DCAC17EEB}"/>
    <cellStyle name="百分比 4 2 4 2 2 3" xfId="5350" xr:uid="{4E8EA57D-8FC5-49B6-A7CF-C5DE1146B29C}"/>
    <cellStyle name="百分比 4 2 4 2 2 4" xfId="5351" xr:uid="{FAA404F0-2B71-4570-B8DB-8123561774AB}"/>
    <cellStyle name="百分比 4 2 4 2 2 5" xfId="5352" xr:uid="{128A30B1-AE1D-41DC-BA6D-D28843A16EFB}"/>
    <cellStyle name="百分比 4 2 4 2 2 6" xfId="5353" xr:uid="{9EFB77E8-6D02-4C52-AA35-560E3E54D846}"/>
    <cellStyle name="百分比 4 2 4 2 2 7" xfId="5354" xr:uid="{EEF5C6C5-1732-400F-A824-1D3A6D5876B7}"/>
    <cellStyle name="百分比 4 2 4 2 3" xfId="5355" xr:uid="{E3B9FDF6-E5D0-4DB2-B624-0F3437147AE8}"/>
    <cellStyle name="百分比 4 2 4 2 3 2" xfId="5356" xr:uid="{5E500BEF-7252-4FFF-8717-9C324948B8D9}"/>
    <cellStyle name="百分比 4 2 4 2 4" xfId="5357" xr:uid="{85AEB0D9-547C-4381-9541-5142164641E5}"/>
    <cellStyle name="百分比 4 2 4 2 4 2" xfId="33171" xr:uid="{C5AC3621-99CB-448B-930D-8C92D9F61523}"/>
    <cellStyle name="百分比 4 2 4 2 5" xfId="5358" xr:uid="{1C17813E-B56B-49EC-9A7A-1FD405F9B2E3}"/>
    <cellStyle name="百分比 4 2 4 2 6" xfId="5359" xr:uid="{FEA9DC79-7260-471C-93C8-708552017BCF}"/>
    <cellStyle name="百分比 4 2 4 2 7" xfId="5360" xr:uid="{7E3ECCFF-223B-4190-A01E-2D5B53E49E20}"/>
    <cellStyle name="百分比 4 2 4 2 8" xfId="5361" xr:uid="{81954108-70E3-47EA-B404-EE0400D72AF5}"/>
    <cellStyle name="百分比 4 2 4 3" xfId="5362" xr:uid="{9804E7DE-CC7C-4F27-91AF-1E8558150FC0}"/>
    <cellStyle name="百分比 4 2 4 3 2" xfId="5363" xr:uid="{5A5D04E7-857C-4EA6-8104-6A3F5F402BC7}"/>
    <cellStyle name="百分比 4 2 4 3 2 2" xfId="5364" xr:uid="{78FC20A0-093F-49BF-B482-8F240D0EAE59}"/>
    <cellStyle name="百分比 4 2 4 3 2 3" xfId="5365" xr:uid="{BBE72F0B-91F6-4E01-926A-BB5F653BA504}"/>
    <cellStyle name="百分比 4 2 4 3 2 4" xfId="5366" xr:uid="{4CEB6B51-818F-4AD3-ABCC-18C15BF8EA74}"/>
    <cellStyle name="百分比 4 2 4 3 2 5" xfId="5367" xr:uid="{4476EB5C-511D-4021-B5C5-C25686EF0B17}"/>
    <cellStyle name="百分比 4 2 4 3 2 6" xfId="5368" xr:uid="{B426C328-F94B-410A-95BF-2E6492E055A8}"/>
    <cellStyle name="百分比 4 2 4 3 2 7" xfId="5369" xr:uid="{E64C65DE-C74C-4DAA-8C3C-12480BB60537}"/>
    <cellStyle name="百分比 4 2 4 3 3" xfId="5370" xr:uid="{113FAF30-D54D-45EB-AB65-E49AF2E267ED}"/>
    <cellStyle name="百分比 4 2 4 3 3 2" xfId="5371" xr:uid="{7ABB5301-1BEB-41C7-856F-7E601E44AF1D}"/>
    <cellStyle name="百分比 4 2 4 3 4" xfId="5372" xr:uid="{632D7B4E-4207-4E6E-916E-A0AB63170BF4}"/>
    <cellStyle name="百分比 4 2 4 3 4 2" xfId="33172" xr:uid="{BFF63F46-06AB-45B8-908F-60941311365A}"/>
    <cellStyle name="百分比 4 2 4 3 5" xfId="5373" xr:uid="{4A18E2D1-FFB5-42C8-98F3-F99F6E66F0A4}"/>
    <cellStyle name="百分比 4 2 4 3 6" xfId="5374" xr:uid="{0F272F2D-3B68-4AE6-92C5-EAC5F3239D5E}"/>
    <cellStyle name="百分比 4 2 4 3 7" xfId="5375" xr:uid="{371FDFBF-C124-40E8-9111-318182AD68B8}"/>
    <cellStyle name="百分比 4 2 4 3 8" xfId="5376" xr:uid="{27B6E015-45A4-464D-9195-7275C808BA1F}"/>
    <cellStyle name="百分比 4 2 4 4" xfId="5377" xr:uid="{631378E0-F044-47B2-BB7E-2AAF9980D956}"/>
    <cellStyle name="百分比 4 2 4 4 2" xfId="5378" xr:uid="{C6DB3240-9B87-4AEE-B76D-0C9F581D6F82}"/>
    <cellStyle name="百分比 4 2 4 4 2 2" xfId="5379" xr:uid="{3B43D4C5-940D-4DA1-AB7D-0AC636727EB2}"/>
    <cellStyle name="百分比 4 2 4 4 2 3" xfId="5380" xr:uid="{9AD830C0-6B8F-4E13-8A11-BE50E67D1CC3}"/>
    <cellStyle name="百分比 4 2 4 4 2 4" xfId="5381" xr:uid="{D8731F3B-69AC-47EA-BD74-9DC530C5DD20}"/>
    <cellStyle name="百分比 4 2 4 4 2 5" xfId="5382" xr:uid="{AC8876D4-C5C3-4694-ABFA-45E4086A469E}"/>
    <cellStyle name="百分比 4 2 4 4 2 6" xfId="5383" xr:uid="{527CDBDD-2439-43E3-A0CE-9581825341EE}"/>
    <cellStyle name="百分比 4 2 4 4 3" xfId="5384" xr:uid="{63CDD9FC-DC8E-45E8-BB35-833D2238E0A8}"/>
    <cellStyle name="百分比 4 2 4 4 4" xfId="5385" xr:uid="{E2563F12-C057-4B97-9CCA-AFAB6BF2FAF0}"/>
    <cellStyle name="百分比 4 2 4 4 5" xfId="5386" xr:uid="{40F97635-BE6F-4496-9DD2-2D789B99025E}"/>
    <cellStyle name="百分比 4 2 4 4 6" xfId="5387" xr:uid="{2F6D45B5-CE21-4B91-8A97-3BAAD462726C}"/>
    <cellStyle name="百分比 4 2 4 4 7" xfId="5388" xr:uid="{DAFBEDED-BFC4-44C4-8C1B-AAA38C86A1C9}"/>
    <cellStyle name="百分比 4 2 4 4 8" xfId="5389" xr:uid="{E8CA3B11-93F5-49AB-89F2-1DB1A35E51E8}"/>
    <cellStyle name="百分比 4 2 4 5" xfId="5390" xr:uid="{5FC60DDA-9AF6-4AF5-B61B-FFADA506E89C}"/>
    <cellStyle name="百分比 4 2 4 5 2" xfId="5391" xr:uid="{899921B2-4C74-4F53-A8A9-F18C9CD72855}"/>
    <cellStyle name="百分比 4 2 4 5 2 2" xfId="5392" xr:uid="{BC79EFEB-B98F-414C-9B28-D725F7A6773F}"/>
    <cellStyle name="百分比 4 2 4 5 2 3" xfId="5393" xr:uid="{0858FDB0-361E-4AA0-92DB-5F5B2F6A840B}"/>
    <cellStyle name="百分比 4 2 4 5 2 4" xfId="5394" xr:uid="{EA78D4CC-D364-47E4-8F2E-39DC9281BFC4}"/>
    <cellStyle name="百分比 4 2 4 5 2 5" xfId="5395" xr:uid="{0A8F3A0B-D875-4932-8B01-164A13838FAD}"/>
    <cellStyle name="百分比 4 2 4 5 2 6" xfId="5396" xr:uid="{A6F4DD98-707A-4510-8C1B-E41065A63747}"/>
    <cellStyle name="百分比 4 2 4 5 3" xfId="5397" xr:uid="{63CB4E75-94BE-4180-B483-B7C07A54256A}"/>
    <cellStyle name="百分比 4 2 4 5 4" xfId="5398" xr:uid="{EB98507A-23A8-4E64-81C5-EBC28480C3F7}"/>
    <cellStyle name="百分比 4 2 4 5 5" xfId="5399" xr:uid="{FDFAEF99-CDD5-45B0-99A8-98A3D80EE89E}"/>
    <cellStyle name="百分比 4 2 4 5 6" xfId="5400" xr:uid="{9C9649D0-5CC9-4579-B0F3-B84FD01BE4A4}"/>
    <cellStyle name="百分比 4 2 4 5 7" xfId="5401" xr:uid="{3A0BA93D-33A7-4D24-B780-E0287DB5EFAD}"/>
    <cellStyle name="百分比 4 2 4 5 8" xfId="5402" xr:uid="{E55A9612-3C35-49D4-BDBA-CB49477BFB29}"/>
    <cellStyle name="百分比 4 2 4 6" xfId="5403" xr:uid="{A8B36AF1-D42E-4009-BE74-07BF398D8B68}"/>
    <cellStyle name="百分比 4 2 4 6 2" xfId="5404" xr:uid="{8714BE19-EDD7-4BCF-9EA6-02871C8DDF35}"/>
    <cellStyle name="百分比 4 2 4 6 2 2" xfId="5405" xr:uid="{C6389621-2F1B-4A47-8D44-20DD1990F49F}"/>
    <cellStyle name="百分比 4 2 4 6 2 3" xfId="5406" xr:uid="{6ABD3379-C22F-41D8-B993-90619E89CFE9}"/>
    <cellStyle name="百分比 4 2 4 6 2 4" xfId="5407" xr:uid="{DE4641F7-55F5-4AD9-B9C4-B1ADC1B7C48F}"/>
    <cellStyle name="百分比 4 2 4 6 2 5" xfId="5408" xr:uid="{429CCCF5-26A8-4D5F-865E-4A7BD520C822}"/>
    <cellStyle name="百分比 4 2 4 6 2 6" xfId="5409" xr:uid="{03A4D0FB-F078-4BAD-9179-E3E28BFC77D4}"/>
    <cellStyle name="百分比 4 2 4 6 3" xfId="5410" xr:uid="{A6A0A4AD-1463-4554-BED2-72EE82B95C4D}"/>
    <cellStyle name="百分比 4 2 4 6 4" xfId="5411" xr:uid="{72D852FA-D29B-440D-A66A-8C0A7BE41A84}"/>
    <cellStyle name="百分比 4 2 4 6 5" xfId="5412" xr:uid="{684367AA-091D-4765-A9C2-AAFF334DCB73}"/>
    <cellStyle name="百分比 4 2 4 6 6" xfId="5413" xr:uid="{72ACA19C-7EEF-482C-95C7-67E8232B4A34}"/>
    <cellStyle name="百分比 4 2 4 6 7" xfId="5414" xr:uid="{F3EDD866-D592-4FE7-8D22-31AE7552774E}"/>
    <cellStyle name="百分比 4 2 4 6 8" xfId="33173" xr:uid="{67603D12-CA7D-4A4B-B329-7A8D5CCA8F22}"/>
    <cellStyle name="百分比 4 2 4 7" xfId="5415" xr:uid="{0AED527E-5CB3-4AB6-A1E8-A2B915B4D1F5}"/>
    <cellStyle name="百分比 4 2 4 7 2" xfId="5416" xr:uid="{42E91FA6-B45C-4A4E-BFB4-836BE3B02537}"/>
    <cellStyle name="百分比 4 2 4 7 2 2" xfId="5417" xr:uid="{44B3DCAA-9D8E-41B0-AF17-E4A7E730D2F4}"/>
    <cellStyle name="百分比 4 2 4 7 2 3" xfId="5418" xr:uid="{B9C93DF0-7E87-443B-9B59-A394910D271E}"/>
    <cellStyle name="百分比 4 2 4 7 2 4" xfId="5419" xr:uid="{334769C8-94DD-417E-AEC3-FEDC1282D428}"/>
    <cellStyle name="百分比 4 2 4 7 2 5" xfId="5420" xr:uid="{8DF8A326-5940-4FA9-B436-5BF6426DDACB}"/>
    <cellStyle name="百分比 4 2 4 7 2 6" xfId="5421" xr:uid="{0BCE1EBF-0A75-41D1-A65A-01F4F7AC03B6}"/>
    <cellStyle name="百分比 4 2 4 7 3" xfId="5422" xr:uid="{37CCDAA2-BAF4-483D-A0FE-043DDF510531}"/>
    <cellStyle name="百分比 4 2 4 7 4" xfId="5423" xr:uid="{06225E81-87B9-4210-BB22-193F9B039EF4}"/>
    <cellStyle name="百分比 4 2 4 7 5" xfId="5424" xr:uid="{25A70175-EF9C-4C4E-A725-F0BC6ECC8BCE}"/>
    <cellStyle name="百分比 4 2 4 7 6" xfId="5425" xr:uid="{0E2612A3-52D8-4441-90D6-00ADEB4F0E4A}"/>
    <cellStyle name="百分比 4 2 4 7 7" xfId="5426" xr:uid="{863C1764-3B88-4F96-AFE1-0D641BC4A133}"/>
    <cellStyle name="百分比 4 2 4 7 8" xfId="5427" xr:uid="{A8EFE5BD-457F-4397-8A71-6633AC9B5DD0}"/>
    <cellStyle name="百分比 4 2 4 8" xfId="5428" xr:uid="{2A93D471-A155-4B99-B8A2-570CE4F4EE10}"/>
    <cellStyle name="百分比 4 2 4 8 2" xfId="5429" xr:uid="{2C09EDDF-CC1E-42C1-88F5-836528408F9B}"/>
    <cellStyle name="百分比 4 2 4 8 2 2" xfId="5430" xr:uid="{451C13DF-CBC5-406A-998F-460C72B50B62}"/>
    <cellStyle name="百分比 4 2 4 8 2 3" xfId="5431" xr:uid="{9B5A7654-E6A8-42A3-AC08-0A30484C298D}"/>
    <cellStyle name="百分比 4 2 4 8 2 4" xfId="5432" xr:uid="{1BA1A578-76AF-4806-86D3-37959A4FFBEA}"/>
    <cellStyle name="百分比 4 2 4 8 2 5" xfId="5433" xr:uid="{5D01A881-5E3A-4DA0-8CDC-6735C385BFD1}"/>
    <cellStyle name="百分比 4 2 4 8 2 6" xfId="5434" xr:uid="{C97219F9-8FDE-436E-AD96-7276900A5D44}"/>
    <cellStyle name="百分比 4 2 4 8 3" xfId="5435" xr:uid="{64F657F4-3099-41BF-A83F-24B204952313}"/>
    <cellStyle name="百分比 4 2 4 8 4" xfId="5436" xr:uid="{9545D289-0256-44E1-A384-0C50AB9C5F46}"/>
    <cellStyle name="百分比 4 2 4 8 5" xfId="5437" xr:uid="{653BB4EA-1C49-4BEA-BD02-CC41DA687FEA}"/>
    <cellStyle name="百分比 4 2 4 8 6" xfId="5438" xr:uid="{F42AAD93-2DB2-461C-A392-3EC0F61C75D6}"/>
    <cellStyle name="百分比 4 2 4 8 7" xfId="5439" xr:uid="{B81F671A-57E3-457A-B618-417C066AACDF}"/>
    <cellStyle name="百分比 4 2 4 9" xfId="5440" xr:uid="{7D76A2AF-DCE9-4E3F-B39E-0A40C98AE5D0}"/>
    <cellStyle name="百分比 4 2 4 9 2" xfId="5441" xr:uid="{192182AA-24ED-480B-8F2D-8899F9E4239E}"/>
    <cellStyle name="百分比 4 2 4 9 2 2" xfId="5442" xr:uid="{5F870E51-6D77-4F2A-BEB3-89E1585250BD}"/>
    <cellStyle name="百分比 4 2 4 9 2 3" xfId="5443" xr:uid="{494A57A3-9C5B-4D59-B9B1-251A7C73F550}"/>
    <cellStyle name="百分比 4 2 4 9 2 4" xfId="5444" xr:uid="{0B95A163-A660-4A35-B54F-2884D9597544}"/>
    <cellStyle name="百分比 4 2 4 9 2 5" xfId="5445" xr:uid="{0D792617-3F7E-46EE-8758-6273F37154EA}"/>
    <cellStyle name="百分比 4 2 4 9 2 6" xfId="5446" xr:uid="{23A465A5-26AD-4685-A0CC-8D348F3748FC}"/>
    <cellStyle name="百分比 4 2 4 9 3" xfId="5447" xr:uid="{817CEC1B-E998-4034-8D28-4F609D57533A}"/>
    <cellStyle name="百分比 4 2 4 9 4" xfId="5448" xr:uid="{1DAF6B9E-8C46-4851-9CB9-87B04E00E62C}"/>
    <cellStyle name="百分比 4 2 4 9 5" xfId="5449" xr:uid="{1AE0E7F0-6486-4893-AE61-8499F1B159A7}"/>
    <cellStyle name="百分比 4 2 4 9 6" xfId="5450" xr:uid="{1503030C-0008-492B-AE70-09FA5F7FAB40}"/>
    <cellStyle name="百分比 4 2 4 9 7" xfId="5451" xr:uid="{39DC82E0-4F06-4030-B9ED-5BCA4A2756B9}"/>
    <cellStyle name="百分比 4 2 5" xfId="5452" xr:uid="{798951C5-01F0-4CBA-BFE5-C01CBFA90464}"/>
    <cellStyle name="百分比 4 2 5 2" xfId="5453" xr:uid="{C0446D29-565C-4274-90A6-E73A90B150D6}"/>
    <cellStyle name="百分比 4 2 5 2 2" xfId="5454" xr:uid="{BC30A169-E708-4878-B171-F7A6BBE43D9A}"/>
    <cellStyle name="百分比 4 2 5 2 2 2" xfId="5455" xr:uid="{33B4487F-8D3E-40B0-A384-8ED3B4CCABC8}"/>
    <cellStyle name="百分比 4 2 5 2 2 3" xfId="5456" xr:uid="{F5B63B9C-DC95-4338-93EC-B802B0760C9F}"/>
    <cellStyle name="百分比 4 2 5 2 2 4" xfId="5457" xr:uid="{3FE1691E-7C44-4C0C-AA6C-8AB05B5A10DD}"/>
    <cellStyle name="百分比 4 2 5 2 2 5" xfId="5458" xr:uid="{6371BF3A-CDD1-496B-8B88-A04F90A660C1}"/>
    <cellStyle name="百分比 4 2 5 2 2 6" xfId="5459" xr:uid="{9BB56F23-4B12-4689-93FF-C772193A54FD}"/>
    <cellStyle name="百分比 4 2 5 2 3" xfId="5460" xr:uid="{3F2F434F-8EBC-4406-BF10-72DE3C9F1A49}"/>
    <cellStyle name="百分比 4 2 5 2 4" xfId="5461" xr:uid="{4225B35C-8921-446A-9BAC-D1C2D9CF37D8}"/>
    <cellStyle name="百分比 4 2 5 2 5" xfId="5462" xr:uid="{93DE3C41-CD87-4B92-A77E-4B0C24F4F818}"/>
    <cellStyle name="百分比 4 2 5 2 6" xfId="5463" xr:uid="{9C6F9B6E-AF96-4586-8E33-73326CCE3EBC}"/>
    <cellStyle name="百分比 4 2 5 2 7" xfId="5464" xr:uid="{6F17E1A7-3252-4D19-8376-DA6C9FB6D92D}"/>
    <cellStyle name="百分比 4 2 5 2 8" xfId="5465" xr:uid="{B82323D0-9890-4E32-8764-6C71E769167E}"/>
    <cellStyle name="百分比 4 2 5 3" xfId="5466" xr:uid="{915D55FF-6501-4D7B-8398-79CA75721129}"/>
    <cellStyle name="百分比 4 2 5 3 2" xfId="5467" xr:uid="{6124BFAE-82F7-4133-BB60-62F10EE5CEA6}"/>
    <cellStyle name="百分比 4 2 5 3 2 2" xfId="5468" xr:uid="{8043B08E-E65C-4F3A-A4B0-6C50099C1AFC}"/>
    <cellStyle name="百分比 4 2 5 3 2 3" xfId="5469" xr:uid="{D5B4899B-077E-4A02-9B7C-0FAA694EC5EF}"/>
    <cellStyle name="百分比 4 2 5 3 2 4" xfId="5470" xr:uid="{5A321EF8-AD61-41F9-BC42-CE650D3581E3}"/>
    <cellStyle name="百分比 4 2 5 3 2 5" xfId="5471" xr:uid="{1674CDBC-98DB-4681-810B-FCE4EB6C1847}"/>
    <cellStyle name="百分比 4 2 5 3 2 6" xfId="5472" xr:uid="{1B642C5E-31B2-40D2-8FB5-075D6E3B8E95}"/>
    <cellStyle name="百分比 4 2 5 3 3" xfId="5473" xr:uid="{1493943E-73DF-4403-8DF4-9A6D6D41549D}"/>
    <cellStyle name="百分比 4 2 5 3 4" xfId="5474" xr:uid="{6497B072-20EF-4ADD-9385-35E9A1344338}"/>
    <cellStyle name="百分比 4 2 5 3 5" xfId="5475" xr:uid="{F1367C80-0409-42F8-A770-5B00BAD30D5D}"/>
    <cellStyle name="百分比 4 2 5 3 6" xfId="5476" xr:uid="{99A6CB8A-EC55-4296-928C-A2745A21B095}"/>
    <cellStyle name="百分比 4 2 5 3 7" xfId="5477" xr:uid="{3A73268F-A94C-4639-BF7D-289DFF0B8A0B}"/>
    <cellStyle name="百分比 4 2 5 3 8" xfId="5478" xr:uid="{6A47EE16-C297-4FC6-8F58-543CC6AE691D}"/>
    <cellStyle name="百分比 4 2 5 4" xfId="5479" xr:uid="{F99564E4-E7ED-4B72-A517-9A7030489280}"/>
    <cellStyle name="百分比 4 2 5 4 2" xfId="5480" xr:uid="{0A6095DB-724F-4052-9777-3A0140D49C6B}"/>
    <cellStyle name="百分比 4 2 5 4 2 2" xfId="5481" xr:uid="{A915A5E5-E020-4688-8A18-7F72647205E9}"/>
    <cellStyle name="百分比 4 2 5 4 2 3" xfId="5482" xr:uid="{31092490-77CA-464C-9CBE-1B63C430AB5D}"/>
    <cellStyle name="百分比 4 2 5 4 2 4" xfId="5483" xr:uid="{5C84B4CD-79BF-4D86-BC08-F398C42A7AED}"/>
    <cellStyle name="百分比 4 2 5 4 2 5" xfId="5484" xr:uid="{5DE4F8CA-8AA0-48B5-A7A6-681D59C9DB74}"/>
    <cellStyle name="百分比 4 2 5 4 2 6" xfId="5485" xr:uid="{BBE16006-5D92-426B-B939-A9183A42EA5F}"/>
    <cellStyle name="百分比 4 2 5 4 3" xfId="5486" xr:uid="{6E56D771-0997-428E-826E-B9EE0637498E}"/>
    <cellStyle name="百分比 4 2 5 4 4" xfId="5487" xr:uid="{1DFBE49F-9C8B-4B1E-9078-32A4A8398AA4}"/>
    <cellStyle name="百分比 4 2 5 4 5" xfId="5488" xr:uid="{00D33985-33AE-46F0-8039-4CF48E02AAE7}"/>
    <cellStyle name="百分比 4 2 5 4 6" xfId="5489" xr:uid="{F08C8634-0A21-4105-86B2-00BA6C601F19}"/>
    <cellStyle name="百分比 4 2 5 4 7" xfId="5490" xr:uid="{177B0768-70DC-4503-BEE2-71F4CBCE8A66}"/>
    <cellStyle name="百分比 4 2 5 4 8" xfId="33174" xr:uid="{869AFD3B-ECB4-499A-83DB-3BA05E463701}"/>
    <cellStyle name="百分比 4 2 5 5" xfId="5491" xr:uid="{3FECA4BF-D15B-4112-B78C-4194BD38C0FA}"/>
    <cellStyle name="百分比 4 2 5 5 2" xfId="5492" xr:uid="{BDFFB8BA-43BB-4323-A3DE-18E25ECD853C}"/>
    <cellStyle name="百分比 4 2 5 5 2 2" xfId="5493" xr:uid="{1122F61B-B941-41B5-94D0-93238C739820}"/>
    <cellStyle name="百分比 4 2 5 5 2 3" xfId="5494" xr:uid="{8F094B7A-C497-4396-888F-A094BF2D60CA}"/>
    <cellStyle name="百分比 4 2 5 5 2 4" xfId="5495" xr:uid="{9039F364-EB72-4D84-AA05-D1B3545E2493}"/>
    <cellStyle name="百分比 4 2 5 5 2 5" xfId="5496" xr:uid="{D1C4F002-2D7C-49BD-985E-AC9B43232F4A}"/>
    <cellStyle name="百分比 4 2 5 5 2 6" xfId="5497" xr:uid="{1650F995-80D5-4C1D-88F8-305693B922E8}"/>
    <cellStyle name="百分比 4 2 5 5 3" xfId="5498" xr:uid="{AC20CB50-D744-4E29-9181-1038313BA7CF}"/>
    <cellStyle name="百分比 4 2 5 5 4" xfId="5499" xr:uid="{57BDC7EE-19E1-49D9-BA09-129EF59BA356}"/>
    <cellStyle name="百分比 4 2 5 5 5" xfId="5500" xr:uid="{FBEEA270-FCAA-4C8A-A0BA-D14331D99D1D}"/>
    <cellStyle name="百分比 4 2 5 5 6" xfId="5501" xr:uid="{586DB49B-75FE-4D78-B780-8FF2BCE9CC8E}"/>
    <cellStyle name="百分比 4 2 5 5 7" xfId="5502" xr:uid="{653B5638-6ADC-4179-A855-462818CBC8E3}"/>
    <cellStyle name="百分比 4 2 5 6" xfId="5503" xr:uid="{CCCEB3F8-AC04-4283-BB80-18EE13E9258F}"/>
    <cellStyle name="百分比 4 2 5 6 2" xfId="5504" xr:uid="{D9107DBA-D0C9-4E1E-9327-75F82C065EB2}"/>
    <cellStyle name="百分比 4 2 5 6 2 2" xfId="5505" xr:uid="{9C048702-631C-4417-BC87-38F63E1272C7}"/>
    <cellStyle name="百分比 4 2 5 6 2 3" xfId="5506" xr:uid="{7879D3C2-1635-42D9-8D46-9F3562A1DFB8}"/>
    <cellStyle name="百分比 4 2 5 6 2 4" xfId="5507" xr:uid="{704F782B-E19C-4485-85F6-F5DFAD0D60DF}"/>
    <cellStyle name="百分比 4 2 5 6 2 5" xfId="5508" xr:uid="{7C65490E-F588-4F23-BEB3-A692AFACCCAA}"/>
    <cellStyle name="百分比 4 2 5 6 2 6" xfId="5509" xr:uid="{E462CA5B-C228-46EE-9C86-772BE343DB51}"/>
    <cellStyle name="百分比 4 2 5 6 3" xfId="5510" xr:uid="{E9AA10BA-C9F6-4906-850F-6BB7188C1004}"/>
    <cellStyle name="百分比 4 2 5 6 4" xfId="5511" xr:uid="{96743C78-2339-48DA-A99D-25C7DFD7039B}"/>
    <cellStyle name="百分比 4 2 5 6 5" xfId="5512" xr:uid="{4104C4A8-4B3E-4AFE-9D31-942003122E09}"/>
    <cellStyle name="百分比 4 2 5 6 6" xfId="5513" xr:uid="{A907FB9F-D404-4572-9AC7-65DF09CC82AA}"/>
    <cellStyle name="百分比 4 2 5 6 7" xfId="5514" xr:uid="{C72AA78F-F995-4927-A040-5C59F6767128}"/>
    <cellStyle name="百分比 4 2 5 7" xfId="5515" xr:uid="{5E21E259-62F3-4C2F-9C28-814FF65E43F4}"/>
    <cellStyle name="百分比 4 2 5 7 2" xfId="5516" xr:uid="{928299BC-FF7A-4590-AF9F-8D00BFB95683}"/>
    <cellStyle name="百分比 4 2 5 7 2 2" xfId="5517" xr:uid="{5C04414C-CE55-406E-A9C1-3044CC4A34E0}"/>
    <cellStyle name="百分比 4 2 5 7 2 3" xfId="5518" xr:uid="{39A8E995-304F-4201-9599-40B02226433F}"/>
    <cellStyle name="百分比 4 2 5 7 2 4" xfId="5519" xr:uid="{314A830C-2804-4090-963C-BBCB6B43C994}"/>
    <cellStyle name="百分比 4 2 5 7 2 5" xfId="5520" xr:uid="{43D5EFC0-C97C-4883-B117-14BE66E0EB81}"/>
    <cellStyle name="百分比 4 2 5 7 2 6" xfId="5521" xr:uid="{6D6EEADE-0786-43F9-BFCB-4FED5E7C0121}"/>
    <cellStyle name="百分比 4 2 5 7 3" xfId="5522" xr:uid="{DC8BBD7C-EDE6-49D4-AFA5-69BBB0A32154}"/>
    <cellStyle name="百分比 4 2 5 7 4" xfId="5523" xr:uid="{6C3D896F-EBA5-4D6C-936C-558BD8AE4818}"/>
    <cellStyle name="百分比 4 2 5 7 5" xfId="5524" xr:uid="{F78FD66C-69FC-4E6C-A269-1F8C796F12DE}"/>
    <cellStyle name="百分比 4 2 5 7 6" xfId="5525" xr:uid="{577AC774-34D1-4AD9-B335-0BDAAFFB3B72}"/>
    <cellStyle name="百分比 4 2 5 7 7" xfId="5526" xr:uid="{E75810EA-82E7-488E-BCBC-C73FCC035B1A}"/>
    <cellStyle name="百分比 4 2 5 8" xfId="5527" xr:uid="{6263FFDB-918C-4BC5-9928-5FA925120C36}"/>
    <cellStyle name="百分比 4 2 5 8 2" xfId="5528" xr:uid="{2F7B1231-3B25-443D-B450-DE8BF07377CE}"/>
    <cellStyle name="百分比 4 2 5 8 2 2" xfId="5529" xr:uid="{E54C661B-16FC-4BA2-8BC3-A25D0FAE65F4}"/>
    <cellStyle name="百分比 4 2 5 8 2 3" xfId="5530" xr:uid="{4084E3B1-C7AD-40FC-B124-55F8686C5994}"/>
    <cellStyle name="百分比 4 2 5 8 2 4" xfId="5531" xr:uid="{F5C9CE2D-2564-405B-B3B5-282010BB0AF0}"/>
    <cellStyle name="百分比 4 2 5 8 2 5" xfId="5532" xr:uid="{179A0AEE-DCBD-4FB6-922B-DF4FF217C096}"/>
    <cellStyle name="百分比 4 2 5 8 2 6" xfId="5533" xr:uid="{C46A239E-CE88-40E0-A9EC-A0A1A98EFB01}"/>
    <cellStyle name="百分比 4 2 5 8 3" xfId="5534" xr:uid="{40480B82-5F7C-49BA-BD65-DA5C374EE579}"/>
    <cellStyle name="百分比 4 2 5 8 4" xfId="5535" xr:uid="{609B498C-406B-4C8E-9551-26A94234281A}"/>
    <cellStyle name="百分比 4 2 5 8 5" xfId="5536" xr:uid="{DA6BF019-E4AF-453E-BEF4-1CC8D5762023}"/>
    <cellStyle name="百分比 4 2 5 8 6" xfId="5537" xr:uid="{2E408B02-6480-4705-AB36-BDBB1E693588}"/>
    <cellStyle name="百分比 4 2 5 8 7" xfId="5538" xr:uid="{92F64869-2C6E-49F3-9F1F-1BA935F39993}"/>
    <cellStyle name="百分比 4 2 5 9" xfId="5539" xr:uid="{A063ECE7-8FC8-4EE9-A876-6616AAFB4EA9}"/>
    <cellStyle name="百分比 4 2 5 9 2" xfId="5540" xr:uid="{B371066C-53AD-4DC8-82CB-8973A92F6316}"/>
    <cellStyle name="百分比 4 2 5 9 2 2" xfId="5541" xr:uid="{4D19FA99-A450-4BA4-A05C-86AC36EF18E5}"/>
    <cellStyle name="百分比 4 2 5 9 2 3" xfId="5542" xr:uid="{D04D30E4-CACF-4D2F-BFEF-4DC8FCD73987}"/>
    <cellStyle name="百分比 4 2 5 9 2 4" xfId="5543" xr:uid="{F0E4EFFB-6964-4F05-B6C1-B94EE3240C21}"/>
    <cellStyle name="百分比 4 2 5 9 2 5" xfId="5544" xr:uid="{050EA95F-AFD9-4E30-984B-EBA699D085A7}"/>
    <cellStyle name="百分比 4 2 5 9 2 6" xfId="5545" xr:uid="{412237A3-8B98-410F-B253-3159C6DCD8D9}"/>
    <cellStyle name="百分比 4 2 5 9 3" xfId="5546" xr:uid="{20341254-681C-46C5-8AEB-1C170B50D060}"/>
    <cellStyle name="百分比 4 2 5 9 4" xfId="5547" xr:uid="{CA804BE8-849C-4B0F-A12A-6ACD882944AB}"/>
    <cellStyle name="百分比 4 2 5 9 5" xfId="5548" xr:uid="{CAFF61B0-082E-4F13-B910-8B30C482627C}"/>
    <cellStyle name="百分比 4 2 5 9 6" xfId="5549" xr:uid="{85BF64D8-562F-43C5-A471-D056EC7287D5}"/>
    <cellStyle name="百分比 4 2 5 9 7" xfId="5550" xr:uid="{8AE0C31F-6A36-497F-A9AD-29F26E54BD0A}"/>
    <cellStyle name="百分比 4 2 6" xfId="5551" xr:uid="{3B16B063-CE98-4F47-AD4C-EBE71893F34F}"/>
    <cellStyle name="百分比 4 2 6 10" xfId="5552" xr:uid="{D53E4B84-998C-43D0-964B-F823C1D2D1F6}"/>
    <cellStyle name="百分比 4 2 6 11" xfId="5553" xr:uid="{03B7BDE0-E683-409D-A8BA-7CE229CA143B}"/>
    <cellStyle name="百分比 4 2 6 12" xfId="5554" xr:uid="{2A7DB2DB-E2F8-49BA-A3CE-C632F5B914BD}"/>
    <cellStyle name="百分比 4 2 6 13" xfId="5555" xr:uid="{08D18FE4-0EF9-4697-BFAF-2D9B96DD29FC}"/>
    <cellStyle name="百分比 4 2 6 14" xfId="5556" xr:uid="{98EAB93B-4B3E-43B4-B16E-81F03B73F3BB}"/>
    <cellStyle name="百分比 4 2 6 15" xfId="5557" xr:uid="{C92ED828-D90A-4230-A5B1-10169DE5E5E1}"/>
    <cellStyle name="百分比 4 2 6 2" xfId="5558" xr:uid="{283D6678-D97D-494A-841E-690F107CDD7B}"/>
    <cellStyle name="百分比 4 2 6 2 2" xfId="5559" xr:uid="{8C63B88E-F0B1-45BA-88D2-25677B679A29}"/>
    <cellStyle name="百分比 4 2 6 2 2 2" xfId="5560" xr:uid="{BC37AABA-EEDB-45C0-A84F-DBB6ACD112CE}"/>
    <cellStyle name="百分比 4 2 6 2 2 3" xfId="5561" xr:uid="{5C9ADE26-BA54-449B-B3CB-CD08CBA7CD51}"/>
    <cellStyle name="百分比 4 2 6 2 2 4" xfId="5562" xr:uid="{5161997D-820D-4420-A1AB-D4C4E2B71F1E}"/>
    <cellStyle name="百分比 4 2 6 2 2 5" xfId="5563" xr:uid="{1A7E5E36-621C-4C2D-9743-0422910C6290}"/>
    <cellStyle name="百分比 4 2 6 2 2 6" xfId="5564" xr:uid="{1C7B6335-E4AE-4942-8ECE-AA59E6285C23}"/>
    <cellStyle name="百分比 4 2 6 2 3" xfId="5565" xr:uid="{A72A660C-EA94-4EDE-B4CF-95F9A8D6A5B5}"/>
    <cellStyle name="百分比 4 2 6 2 4" xfId="5566" xr:uid="{3CCD0102-D80C-4752-AC7A-FA224FCA6EA8}"/>
    <cellStyle name="百分比 4 2 6 2 5" xfId="5567" xr:uid="{41083975-9BBD-4CF3-B970-0CF09A119922}"/>
    <cellStyle name="百分比 4 2 6 2 6" xfId="5568" xr:uid="{7AE697FC-76BD-4B0B-A618-2B95F22CBA27}"/>
    <cellStyle name="百分比 4 2 6 2 7" xfId="5569" xr:uid="{9C341C07-766C-4204-BDAE-8D800E3070B0}"/>
    <cellStyle name="百分比 4 2 6 2 8" xfId="5570" xr:uid="{3B715BEF-2311-47E8-A48B-C304A3294359}"/>
    <cellStyle name="百分比 4 2 6 3" xfId="5571" xr:uid="{D94FE4AD-8A83-4981-8E13-9F0625405FFA}"/>
    <cellStyle name="百分比 4 2 6 3 2" xfId="5572" xr:uid="{CF76E25C-DE4A-4BB7-A7CF-EA1F61ECE62A}"/>
    <cellStyle name="百分比 4 2 6 3 2 2" xfId="5573" xr:uid="{C99D0498-DCD8-4779-8517-32FDE9EE59CE}"/>
    <cellStyle name="百分比 4 2 6 3 2 3" xfId="5574" xr:uid="{5CAA35FE-4419-4EB3-92CF-7B4CAFCAA76D}"/>
    <cellStyle name="百分比 4 2 6 3 2 4" xfId="5575" xr:uid="{DDB2A5FD-DCBC-44D1-8F7F-709115EDFD4C}"/>
    <cellStyle name="百分比 4 2 6 3 2 5" xfId="5576" xr:uid="{D4F78F33-35D8-4F92-85D7-AE7AF5B69D05}"/>
    <cellStyle name="百分比 4 2 6 3 2 6" xfId="5577" xr:uid="{9E3ECB15-26FD-41DD-8DA7-E5805F25ED56}"/>
    <cellStyle name="百分比 4 2 6 3 3" xfId="5578" xr:uid="{5A0A365B-C9F7-416B-BB14-78D6CB159C92}"/>
    <cellStyle name="百分比 4 2 6 3 4" xfId="5579" xr:uid="{FE26696D-0B93-4764-96FD-527A1905906A}"/>
    <cellStyle name="百分比 4 2 6 3 5" xfId="5580" xr:uid="{96C77984-11F1-405D-A1E8-688DEC12E595}"/>
    <cellStyle name="百分比 4 2 6 3 6" xfId="5581" xr:uid="{DDF255EF-487A-4857-96A9-A93EC40A6834}"/>
    <cellStyle name="百分比 4 2 6 3 7" xfId="5582" xr:uid="{1921614E-3BAD-48A2-B5E6-5FCCF46620C2}"/>
    <cellStyle name="百分比 4 2 6 3 8" xfId="5583" xr:uid="{22DB6BDD-4C54-4026-997B-09D2CE43DB8D}"/>
    <cellStyle name="百分比 4 2 6 4" xfId="5584" xr:uid="{CE6D2621-76F3-4A42-BAF3-7A5901FE3AE9}"/>
    <cellStyle name="百分比 4 2 6 4 2" xfId="5585" xr:uid="{B61C8D7B-0353-43B3-82DC-A1F9543F96FD}"/>
    <cellStyle name="百分比 4 2 6 4 2 2" xfId="5586" xr:uid="{50F6B42E-445C-470E-9714-F725B65118BA}"/>
    <cellStyle name="百分比 4 2 6 4 2 3" xfId="5587" xr:uid="{B12AA7C2-5D93-4D3D-A12D-07FDDE9F7F6A}"/>
    <cellStyle name="百分比 4 2 6 4 2 4" xfId="5588" xr:uid="{5CEEC99C-D572-41B3-A48E-44EF2D49CE48}"/>
    <cellStyle name="百分比 4 2 6 4 2 5" xfId="5589" xr:uid="{86040601-1773-40FC-9DDA-DE3AFBEC06BE}"/>
    <cellStyle name="百分比 4 2 6 4 2 6" xfId="5590" xr:uid="{86781622-1C26-4D95-A433-A352397D610D}"/>
    <cellStyle name="百分比 4 2 6 4 3" xfId="5591" xr:uid="{834A92E7-6414-442E-85B8-69156FE9F8AB}"/>
    <cellStyle name="百分比 4 2 6 4 4" xfId="5592" xr:uid="{BC5173CC-E500-4E12-A5A8-A69C4D80A46E}"/>
    <cellStyle name="百分比 4 2 6 4 5" xfId="5593" xr:uid="{E85A21E5-27FB-4F2B-94B4-F7936F1166FC}"/>
    <cellStyle name="百分比 4 2 6 4 6" xfId="5594" xr:uid="{EE45892A-6E90-4093-A765-D7FAE8DDD2E9}"/>
    <cellStyle name="百分比 4 2 6 4 7" xfId="5595" xr:uid="{334AFE28-B458-469A-AC21-EE15133C83F7}"/>
    <cellStyle name="百分比 4 2 6 4 8" xfId="33175" xr:uid="{76FCF153-5D48-47D1-AE41-E0F149D3C626}"/>
    <cellStyle name="百分比 4 2 6 5" xfId="5596" xr:uid="{EF11276D-F866-4F06-AB1D-3CA916FCB970}"/>
    <cellStyle name="百分比 4 2 6 5 2" xfId="5597" xr:uid="{28F0F4FD-0ED5-4877-A120-8CCA2B86CA84}"/>
    <cellStyle name="百分比 4 2 6 5 2 2" xfId="5598" xr:uid="{4F578579-4FE2-46B4-9FA3-EBB23D330329}"/>
    <cellStyle name="百分比 4 2 6 5 2 3" xfId="5599" xr:uid="{490CA3AC-FE02-4DA6-BFD9-FE9C72AF9FD1}"/>
    <cellStyle name="百分比 4 2 6 5 2 4" xfId="5600" xr:uid="{5CBA9A1F-0559-474D-A33A-FF19900CD9B1}"/>
    <cellStyle name="百分比 4 2 6 5 2 5" xfId="5601" xr:uid="{5ABA262E-5156-4CF7-967D-B62652B213AE}"/>
    <cellStyle name="百分比 4 2 6 5 2 6" xfId="5602" xr:uid="{99BCA9C5-35E6-4932-938C-594D3C6B4B39}"/>
    <cellStyle name="百分比 4 2 6 5 3" xfId="5603" xr:uid="{2D94E0FF-5A73-4DC8-A5FB-00CC1BB69601}"/>
    <cellStyle name="百分比 4 2 6 5 4" xfId="5604" xr:uid="{AC273295-84B7-4EC2-A76B-C3D8238D6455}"/>
    <cellStyle name="百分比 4 2 6 5 5" xfId="5605" xr:uid="{25358F27-916F-4FBC-A01F-9B8A71AEA011}"/>
    <cellStyle name="百分比 4 2 6 5 6" xfId="5606" xr:uid="{13243B4B-5030-41CB-8645-A6C044416365}"/>
    <cellStyle name="百分比 4 2 6 5 7" xfId="5607" xr:uid="{55634D7B-D602-4963-8CD4-E451BFA7F825}"/>
    <cellStyle name="百分比 4 2 6 6" xfId="5608" xr:uid="{3F5AC978-0604-4131-866D-8A175AAE2C67}"/>
    <cellStyle name="百分比 4 2 6 6 2" xfId="5609" xr:uid="{4D31466A-E67A-425D-8D81-A3F749C5CB8D}"/>
    <cellStyle name="百分比 4 2 6 6 2 2" xfId="5610" xr:uid="{88B50D58-5FC5-4047-9A40-0D0DA64B206F}"/>
    <cellStyle name="百分比 4 2 6 6 2 3" xfId="5611" xr:uid="{8B8244B4-52D8-4B82-A144-DE31DCBC2C25}"/>
    <cellStyle name="百分比 4 2 6 6 2 4" xfId="5612" xr:uid="{2EEDABAA-B268-4CD6-B56A-B3EEA05F9902}"/>
    <cellStyle name="百分比 4 2 6 6 2 5" xfId="5613" xr:uid="{6FB55D18-8E9D-4C7C-8F7A-68AFC5FA3962}"/>
    <cellStyle name="百分比 4 2 6 6 2 6" xfId="5614" xr:uid="{8C45C367-B619-4757-A0E8-6D1A98DF5A7F}"/>
    <cellStyle name="百分比 4 2 6 6 3" xfId="5615" xr:uid="{355DCCE5-E26D-4585-A9C7-2C86505E2959}"/>
    <cellStyle name="百分比 4 2 6 6 4" xfId="5616" xr:uid="{9311153F-AA78-4060-9279-EF358B513B4C}"/>
    <cellStyle name="百分比 4 2 6 6 5" xfId="5617" xr:uid="{DB9AE457-D882-45F6-B6FE-5EBE1C26E6AC}"/>
    <cellStyle name="百分比 4 2 6 6 6" xfId="5618" xr:uid="{2B1350B8-5456-4410-ABD6-4A96335C2ABE}"/>
    <cellStyle name="百分比 4 2 6 6 7" xfId="5619" xr:uid="{D6C664BF-2012-43C8-B27F-89F6E3C4D838}"/>
    <cellStyle name="百分比 4 2 6 7" xfId="5620" xr:uid="{B4D73802-C1D9-42F5-A69C-C2018A0496DF}"/>
    <cellStyle name="百分比 4 2 6 7 2" xfId="5621" xr:uid="{7AA1D26E-A05F-4434-B479-3860C54DBF9D}"/>
    <cellStyle name="百分比 4 2 6 7 2 2" xfId="5622" xr:uid="{F6F14917-0120-46F8-8B5C-5EE6FE5D0F01}"/>
    <cellStyle name="百分比 4 2 6 7 2 3" xfId="5623" xr:uid="{4D21E9B5-F912-4FEB-982B-8663E39DDC5E}"/>
    <cellStyle name="百分比 4 2 6 7 2 4" xfId="5624" xr:uid="{8676783C-84A9-4A79-8125-53B196203C39}"/>
    <cellStyle name="百分比 4 2 6 7 2 5" xfId="5625" xr:uid="{15ABFFDF-2D0E-4FF8-82B1-2D0B1A5DD0CC}"/>
    <cellStyle name="百分比 4 2 6 7 2 6" xfId="5626" xr:uid="{00E114F6-2137-4887-B40F-D91FB751E940}"/>
    <cellStyle name="百分比 4 2 6 7 3" xfId="5627" xr:uid="{B99C164F-B9A4-422D-8EC2-1378199BC735}"/>
    <cellStyle name="百分比 4 2 6 7 4" xfId="5628" xr:uid="{A025F1C9-2CD3-43A6-9633-18C056A7B4B6}"/>
    <cellStyle name="百分比 4 2 6 7 5" xfId="5629" xr:uid="{EB979E00-2C38-4FD2-B1EF-BC10621251B3}"/>
    <cellStyle name="百分比 4 2 6 7 6" xfId="5630" xr:uid="{6A199088-8D93-4460-A18E-2EC15CBA810A}"/>
    <cellStyle name="百分比 4 2 6 7 7" xfId="5631" xr:uid="{1FABEA68-05C9-4EE0-A5F5-FD4F18EB01E9}"/>
    <cellStyle name="百分比 4 2 6 8" xfId="5632" xr:uid="{E495F5FF-2F6A-4474-9A31-719F98C0F382}"/>
    <cellStyle name="百分比 4 2 6 8 2" xfId="5633" xr:uid="{1B89938C-0B64-4FD8-9F8F-1C2E7BD6CF91}"/>
    <cellStyle name="百分比 4 2 6 8 2 2" xfId="5634" xr:uid="{246A02B2-2DE0-435F-810A-4E811D297AFC}"/>
    <cellStyle name="百分比 4 2 6 8 2 3" xfId="5635" xr:uid="{710B2389-05D8-4558-B9E1-00C9B81B85DE}"/>
    <cellStyle name="百分比 4 2 6 8 2 4" xfId="5636" xr:uid="{B345BCB7-5A12-4D07-B027-DC5A8849674E}"/>
    <cellStyle name="百分比 4 2 6 8 2 5" xfId="5637" xr:uid="{A28EBEAB-A3A1-40D4-A7EE-0DC6B7F82A4B}"/>
    <cellStyle name="百分比 4 2 6 8 2 6" xfId="5638" xr:uid="{1608C515-7A4B-45DC-8E7C-90489F00CF7E}"/>
    <cellStyle name="百分比 4 2 6 8 3" xfId="5639" xr:uid="{2AEDE968-A77D-49A4-945E-264E3B562552}"/>
    <cellStyle name="百分比 4 2 6 8 4" xfId="5640" xr:uid="{6BF4BD8C-D2F3-4461-A207-92FD39CB0AF1}"/>
    <cellStyle name="百分比 4 2 6 8 5" xfId="5641" xr:uid="{EB486A9B-8F4C-4183-8555-AEBBBAD67C46}"/>
    <cellStyle name="百分比 4 2 6 8 6" xfId="5642" xr:uid="{D916DC5F-ED5C-479A-BC2C-67269DD2947B}"/>
    <cellStyle name="百分比 4 2 6 8 7" xfId="5643" xr:uid="{B657D42E-A6FC-4830-9092-FFA0DF163C43}"/>
    <cellStyle name="百分比 4 2 6 9" xfId="5644" xr:uid="{691C21AA-DBB6-41B5-A320-8C66C1C7DDBC}"/>
    <cellStyle name="百分比 4 2 6 9 2" xfId="5645" xr:uid="{55131FE0-4D6A-4CA7-B547-66D93204A54D}"/>
    <cellStyle name="百分比 4 2 6 9 3" xfId="5646" xr:uid="{85CCEA5D-CE2E-4335-9679-577B8275551F}"/>
    <cellStyle name="百分比 4 2 6 9 4" xfId="5647" xr:uid="{7841FEF6-1BFC-4BC3-ACDD-C9BCAB26EDD0}"/>
    <cellStyle name="百分比 4 2 6 9 5" xfId="5648" xr:uid="{765BA22F-4F2B-497F-BF55-2E97F5DCDE31}"/>
    <cellStyle name="百分比 4 2 6 9 6" xfId="5649" xr:uid="{06C53475-B722-4D96-A5EC-06B1A4415779}"/>
    <cellStyle name="百分比 4 2 7" xfId="5650" xr:uid="{93D94A14-EB68-4CB4-9C80-061582E593A1}"/>
    <cellStyle name="百分比 4 2 7 10" xfId="5651" xr:uid="{6B9E50E9-6DF4-46FC-AFDB-12E510AF51C5}"/>
    <cellStyle name="百分比 4 2 7 11" xfId="5652" xr:uid="{983438BC-2458-41C5-BAE1-F65793F1CD1A}"/>
    <cellStyle name="百分比 4 2 7 12" xfId="5653" xr:uid="{4CB9DCF2-64D9-451B-A23F-AB956783A115}"/>
    <cellStyle name="百分比 4 2 7 13" xfId="5654" xr:uid="{C58D5E3D-E3E9-4F6A-B72A-1145A57EA709}"/>
    <cellStyle name="百分比 4 2 7 14" xfId="5655" xr:uid="{9464294B-57CE-4932-AC3E-D649ADB878BB}"/>
    <cellStyle name="百分比 4 2 7 2" xfId="5656" xr:uid="{32A0722D-EBDA-4A4E-AFE1-241571FF3AD4}"/>
    <cellStyle name="百分比 4 2 7 2 2" xfId="5657" xr:uid="{92086767-719D-4570-ACB6-843787999B37}"/>
    <cellStyle name="百分比 4 2 7 2 2 2" xfId="5658" xr:uid="{04356358-A9F0-471A-B949-39742283A627}"/>
    <cellStyle name="百分比 4 2 7 2 2 3" xfId="5659" xr:uid="{E6B292D8-9068-4836-91A6-C286488958E8}"/>
    <cellStyle name="百分比 4 2 7 2 2 4" xfId="5660" xr:uid="{3CBF6BDF-EA74-41C2-BFF3-037B4E2B1759}"/>
    <cellStyle name="百分比 4 2 7 2 2 5" xfId="5661" xr:uid="{577D57A2-A3E6-477D-B4EF-2FF3F4F0B1E7}"/>
    <cellStyle name="百分比 4 2 7 2 2 6" xfId="5662" xr:uid="{58DA5CF9-68A2-4D1E-84DC-DC5A694AB902}"/>
    <cellStyle name="百分比 4 2 7 2 3" xfId="5663" xr:uid="{B48A5972-64F3-4F75-8AC2-8D43B6CD2A55}"/>
    <cellStyle name="百分比 4 2 7 2 4" xfId="5664" xr:uid="{959FDF84-4443-42DD-9A83-0978A6467474}"/>
    <cellStyle name="百分比 4 2 7 2 5" xfId="5665" xr:uid="{984D2E93-4A94-49A4-BFF9-F5E5B55F0D67}"/>
    <cellStyle name="百分比 4 2 7 2 6" xfId="5666" xr:uid="{9CD47D41-8D18-492D-A5B9-B46DE26C62E8}"/>
    <cellStyle name="百分比 4 2 7 2 7" xfId="5667" xr:uid="{AAA36DEC-5D13-4494-873E-FF3F6BD339E6}"/>
    <cellStyle name="百分比 4 2 7 3" xfId="5668" xr:uid="{F2381715-264C-4E57-B98E-B4A8008DF1D8}"/>
    <cellStyle name="百分比 4 2 7 3 2" xfId="5669" xr:uid="{4382E8BE-BE13-4137-AD46-711663439B8F}"/>
    <cellStyle name="百分比 4 2 7 3 2 2" xfId="5670" xr:uid="{033BC590-7418-4A75-9045-58F89AB9F2D3}"/>
    <cellStyle name="百分比 4 2 7 3 2 3" xfId="5671" xr:uid="{91DCD366-B6AC-4988-949A-E23D9E6AEB76}"/>
    <cellStyle name="百分比 4 2 7 3 2 4" xfId="5672" xr:uid="{DC0A0B3D-01C0-4312-B2E5-341B8B37AED6}"/>
    <cellStyle name="百分比 4 2 7 3 2 5" xfId="5673" xr:uid="{F996F816-5737-434E-8266-D91C65D9F4DF}"/>
    <cellStyle name="百分比 4 2 7 3 2 6" xfId="5674" xr:uid="{50E90E91-8760-4C27-B27C-E742191BE1B0}"/>
    <cellStyle name="百分比 4 2 7 3 3" xfId="5675" xr:uid="{56093DF3-0D75-4CE6-8272-303733983A70}"/>
    <cellStyle name="百分比 4 2 7 3 4" xfId="5676" xr:uid="{785989D6-498E-4BCC-B4A3-D85CA76522B4}"/>
    <cellStyle name="百分比 4 2 7 3 5" xfId="5677" xr:uid="{D427C12B-D224-42A3-BEF4-FBFE0F07E118}"/>
    <cellStyle name="百分比 4 2 7 3 6" xfId="5678" xr:uid="{2CD869A0-70C6-46FF-8B51-E767B2AAE67D}"/>
    <cellStyle name="百分比 4 2 7 3 7" xfId="5679" xr:uid="{BAFAD4B2-3EE5-4769-84A7-E909DA773CAA}"/>
    <cellStyle name="百分比 4 2 7 4" xfId="5680" xr:uid="{A39447F2-E980-4B2B-8046-38E6EEC6B039}"/>
    <cellStyle name="百分比 4 2 7 4 2" xfId="5681" xr:uid="{CF156398-6CE5-4005-8FD2-5E67B13E07E7}"/>
    <cellStyle name="百分比 4 2 7 4 2 2" xfId="5682" xr:uid="{4D7A4F75-5709-4BC0-8F96-6F00E28FF090}"/>
    <cellStyle name="百分比 4 2 7 4 2 3" xfId="5683" xr:uid="{DBF144FF-FFCD-41A3-A8D0-0DCB0DD95347}"/>
    <cellStyle name="百分比 4 2 7 4 2 4" xfId="5684" xr:uid="{0E1D37B5-B400-47A5-99F8-0D132CE3E9C9}"/>
    <cellStyle name="百分比 4 2 7 4 2 5" xfId="5685" xr:uid="{A0093C5C-DD8A-4556-9448-FAFB8B37AAC5}"/>
    <cellStyle name="百分比 4 2 7 4 2 6" xfId="5686" xr:uid="{754C511E-4271-4CF1-A74D-A597AAF909E3}"/>
    <cellStyle name="百分比 4 2 7 4 3" xfId="5687" xr:uid="{B4E46356-D71B-455D-A163-7A3602661C0D}"/>
    <cellStyle name="百分比 4 2 7 4 4" xfId="5688" xr:uid="{C1971B7D-0006-4DCC-B460-712218FD33BA}"/>
    <cellStyle name="百分比 4 2 7 4 5" xfId="5689" xr:uid="{ADD15662-55A8-47CD-B0B8-00061975485F}"/>
    <cellStyle name="百分比 4 2 7 4 6" xfId="5690" xr:uid="{6A5AEA31-6A63-4BF4-8FD7-F02E09FDB458}"/>
    <cellStyle name="百分比 4 2 7 4 7" xfId="5691" xr:uid="{6C80B6D2-6151-42BA-B152-68A988A42AF1}"/>
    <cellStyle name="百分比 4 2 7 5" xfId="5692" xr:uid="{EAC6924F-797E-4658-876B-46D66E6FCC00}"/>
    <cellStyle name="百分比 4 2 7 5 2" xfId="5693" xr:uid="{4822B527-A536-42E6-A020-1C61F3C0448B}"/>
    <cellStyle name="百分比 4 2 7 5 2 2" xfId="5694" xr:uid="{39114BD8-56AC-4E3E-959B-FEC6BED9D824}"/>
    <cellStyle name="百分比 4 2 7 5 2 3" xfId="5695" xr:uid="{A91CA16B-77FB-4A9B-A78E-36CBA8976683}"/>
    <cellStyle name="百分比 4 2 7 5 2 4" xfId="5696" xr:uid="{DB03F5F9-3626-49B3-8794-A5FA54483251}"/>
    <cellStyle name="百分比 4 2 7 5 2 5" xfId="5697" xr:uid="{56313B63-FDBB-4E06-91FA-490E9D0062FD}"/>
    <cellStyle name="百分比 4 2 7 5 2 6" xfId="5698" xr:uid="{29EA34F7-7E84-481D-BD6C-650F99CE0140}"/>
    <cellStyle name="百分比 4 2 7 5 3" xfId="5699" xr:uid="{D29E646C-EA08-40A7-9044-4BC960A5CB8A}"/>
    <cellStyle name="百分比 4 2 7 5 4" xfId="5700" xr:uid="{662D0AFF-1D24-4D96-ACE8-4EE37EA33C03}"/>
    <cellStyle name="百分比 4 2 7 5 5" xfId="5701" xr:uid="{1083A5D1-14FA-42F9-8388-C7EF557E363F}"/>
    <cellStyle name="百分比 4 2 7 5 6" xfId="5702" xr:uid="{D403444F-4CEF-41E3-903D-6C039936BBAE}"/>
    <cellStyle name="百分比 4 2 7 5 7" xfId="5703" xr:uid="{68756147-665F-435A-8766-0DE419360217}"/>
    <cellStyle name="百分比 4 2 7 6" xfId="5704" xr:uid="{4957C3E9-1717-4A6E-B8B7-4D6ECABF167E}"/>
    <cellStyle name="百分比 4 2 7 6 2" xfId="5705" xr:uid="{7FAF115A-BF56-45B2-AF29-9E2065AC122B}"/>
    <cellStyle name="百分比 4 2 7 6 2 2" xfId="5706" xr:uid="{A1C29D5A-4B2D-45F7-9957-3795C53B9459}"/>
    <cellStyle name="百分比 4 2 7 6 2 3" xfId="5707" xr:uid="{3482E5B2-A5A7-4473-9BBC-40A2EF9BEF1A}"/>
    <cellStyle name="百分比 4 2 7 6 2 4" xfId="5708" xr:uid="{3429DD2C-9F52-4468-87BE-6CE475F373B4}"/>
    <cellStyle name="百分比 4 2 7 6 2 5" xfId="5709" xr:uid="{6E66FC63-09D0-4FD0-B13E-01D332426567}"/>
    <cellStyle name="百分比 4 2 7 6 2 6" xfId="5710" xr:uid="{D0B38187-9DF1-4671-BD90-834D48A03CA1}"/>
    <cellStyle name="百分比 4 2 7 6 3" xfId="5711" xr:uid="{CB4CD3B0-7850-4914-B1CC-7FFA3FF96E56}"/>
    <cellStyle name="百分比 4 2 7 6 4" xfId="5712" xr:uid="{6132BD58-3F36-4B43-87A5-C274ECF235D7}"/>
    <cellStyle name="百分比 4 2 7 6 5" xfId="5713" xr:uid="{FDAB6C3A-8FAA-411B-B276-74CB57EA6F34}"/>
    <cellStyle name="百分比 4 2 7 6 6" xfId="5714" xr:uid="{64769981-2831-4087-80AE-C391368F2B40}"/>
    <cellStyle name="百分比 4 2 7 6 7" xfId="5715" xr:uid="{FDF0C2FD-97E5-4676-8A27-A2EC303DCD1A}"/>
    <cellStyle name="百分比 4 2 7 7" xfId="5716" xr:uid="{C10F945E-FD16-44CE-9ADE-9F349C9C2DAF}"/>
    <cellStyle name="百分比 4 2 7 7 2" xfId="5717" xr:uid="{A433AD70-953D-4628-AE8C-C90A0FB19A65}"/>
    <cellStyle name="百分比 4 2 7 7 2 2" xfId="5718" xr:uid="{E9C47B8E-4550-4B1B-AECB-AD0A6259B67E}"/>
    <cellStyle name="百分比 4 2 7 7 2 3" xfId="5719" xr:uid="{AA153857-4FD9-4E13-854E-FB6117BBA0B1}"/>
    <cellStyle name="百分比 4 2 7 7 2 4" xfId="5720" xr:uid="{79B460C1-6117-45DC-8ACC-1726BA360361}"/>
    <cellStyle name="百分比 4 2 7 7 2 5" xfId="5721" xr:uid="{75537958-A7ED-446D-BFAE-670598227745}"/>
    <cellStyle name="百分比 4 2 7 7 2 6" xfId="5722" xr:uid="{4F43158A-E77A-4A1E-B401-CCEFA2FB7204}"/>
    <cellStyle name="百分比 4 2 7 7 3" xfId="5723" xr:uid="{46C013C0-39B4-47F6-8C7A-01487DD8D313}"/>
    <cellStyle name="百分比 4 2 7 7 4" xfId="5724" xr:uid="{1C00B409-74A2-4ABA-A85F-FF8C58155A37}"/>
    <cellStyle name="百分比 4 2 7 7 5" xfId="5725" xr:uid="{731E7E70-4D9B-409C-901A-47074A3E7A07}"/>
    <cellStyle name="百分比 4 2 7 7 6" xfId="5726" xr:uid="{47227DAB-5745-420B-8263-0DF2A197550D}"/>
    <cellStyle name="百分比 4 2 7 7 7" xfId="5727" xr:uid="{CEF08847-6124-4B20-8E9A-DF67BD665FA4}"/>
    <cellStyle name="百分比 4 2 7 8" xfId="5728" xr:uid="{8388D857-5D46-46FA-8D6D-A393D1FA4C6B}"/>
    <cellStyle name="百分比 4 2 7 8 2" xfId="5729" xr:uid="{9ED0E9CA-6AD0-4684-B080-54718C7CC215}"/>
    <cellStyle name="百分比 4 2 7 8 3" xfId="5730" xr:uid="{0A24A070-7531-41CC-8F8E-3DFDE3F0F683}"/>
    <cellStyle name="百分比 4 2 7 8 4" xfId="5731" xr:uid="{C7585D39-5A9C-4544-B525-B0E713B31585}"/>
    <cellStyle name="百分比 4 2 7 8 5" xfId="5732" xr:uid="{F4F46384-694E-488E-9EB5-6C8BF989BC31}"/>
    <cellStyle name="百分比 4 2 7 8 6" xfId="5733" xr:uid="{F329E016-2739-4B24-8551-F21A45EB5E6F}"/>
    <cellStyle name="百分比 4 2 7 9" xfId="5734" xr:uid="{7AFF7273-570A-4097-A719-723A5756E38A}"/>
    <cellStyle name="百分比 4 2 8" xfId="5735" xr:uid="{E10FF3BD-2383-4A5A-BEC6-A142FC5798F6}"/>
    <cellStyle name="百分比 4 2 8 10" xfId="5736" xr:uid="{B98647F2-159A-4355-A272-54924CFFD6CE}"/>
    <cellStyle name="百分比 4 2 8 11" xfId="5737" xr:uid="{09D3481E-0FFD-4074-A38B-1806E9F52AD0}"/>
    <cellStyle name="百分比 4 2 8 12" xfId="5738" xr:uid="{240325D8-2257-436C-8A51-E03C462EA4D5}"/>
    <cellStyle name="百分比 4 2 8 13" xfId="5739" xr:uid="{20426191-E4D6-445C-A2BE-A04F5243DCC5}"/>
    <cellStyle name="百分比 4 2 8 2" xfId="5740" xr:uid="{91299D2D-6A1F-4A34-956E-673553155AED}"/>
    <cellStyle name="百分比 4 2 8 2 2" xfId="5741" xr:uid="{272C3D84-99BF-48FC-8CBE-0718877619A1}"/>
    <cellStyle name="百分比 4 2 8 2 2 2" xfId="5742" xr:uid="{80291F97-207E-4890-A7BB-FC6E7E82A325}"/>
    <cellStyle name="百分比 4 2 8 2 2 3" xfId="5743" xr:uid="{879BF3F0-D4AF-4EB6-BE01-F5817267A03B}"/>
    <cellStyle name="百分比 4 2 8 2 2 4" xfId="5744" xr:uid="{5C62B209-627E-4FF4-9CE7-B92F0BC8869B}"/>
    <cellStyle name="百分比 4 2 8 2 2 5" xfId="5745" xr:uid="{68FA0DBE-6A08-4747-92FB-124972D43219}"/>
    <cellStyle name="百分比 4 2 8 2 2 6" xfId="5746" xr:uid="{F7580AD4-9F7B-4BC1-93F4-C924F070960E}"/>
    <cellStyle name="百分比 4 2 8 2 3" xfId="5747" xr:uid="{5B13CF63-2B84-4FDD-A833-B402133BE5D2}"/>
    <cellStyle name="百分比 4 2 8 2 4" xfId="5748" xr:uid="{2011DA3A-C16F-4621-A0FC-FBD65214D06B}"/>
    <cellStyle name="百分比 4 2 8 2 5" xfId="5749" xr:uid="{F4D0E876-B461-4B37-A282-07AA116A0209}"/>
    <cellStyle name="百分比 4 2 8 2 6" xfId="5750" xr:uid="{D2535244-E2CE-4B26-AF90-C7AC8815E2A4}"/>
    <cellStyle name="百分比 4 2 8 2 7" xfId="5751" xr:uid="{D3F56D5F-1C58-4252-859A-A31DA67CEA28}"/>
    <cellStyle name="百分比 4 2 8 3" xfId="5752" xr:uid="{BD1625F0-446E-40BA-A4BF-CAFAAA13425F}"/>
    <cellStyle name="百分比 4 2 8 3 2" xfId="5753" xr:uid="{76A0C5A5-CAC1-4A55-8874-C25EA1B5C1D4}"/>
    <cellStyle name="百分比 4 2 8 3 2 2" xfId="5754" xr:uid="{6392300E-4BD2-4D61-A34B-8F1ACB7B5F90}"/>
    <cellStyle name="百分比 4 2 8 3 2 3" xfId="5755" xr:uid="{11F67B6A-1834-43C3-B1C4-2736DAC785D1}"/>
    <cellStyle name="百分比 4 2 8 3 2 4" xfId="5756" xr:uid="{CD404A48-6570-43F5-BF2F-196A214DF3D5}"/>
    <cellStyle name="百分比 4 2 8 3 2 5" xfId="5757" xr:uid="{58252940-2137-4286-8AF0-E671BC86C01D}"/>
    <cellStyle name="百分比 4 2 8 3 2 6" xfId="5758" xr:uid="{27A8BE0B-03FD-4545-9D8E-8075B16E77A4}"/>
    <cellStyle name="百分比 4 2 8 3 3" xfId="5759" xr:uid="{82B8F4BA-05C9-4749-A18E-49DD4A5A7C2D}"/>
    <cellStyle name="百分比 4 2 8 3 4" xfId="5760" xr:uid="{45D43486-6121-432B-9987-8C12C6380E50}"/>
    <cellStyle name="百分比 4 2 8 3 5" xfId="5761" xr:uid="{6C957BC6-F550-4F60-8407-E735E9479FFD}"/>
    <cellStyle name="百分比 4 2 8 3 6" xfId="5762" xr:uid="{A84AEF07-CE95-4291-82D0-C0459007EF52}"/>
    <cellStyle name="百分比 4 2 8 3 7" xfId="5763" xr:uid="{B7E64551-D559-4024-9392-D87D5654A567}"/>
    <cellStyle name="百分比 4 2 8 4" xfId="5764" xr:uid="{858B1EA1-F4B4-4C44-B6AD-2773C222B622}"/>
    <cellStyle name="百分比 4 2 8 4 2" xfId="5765" xr:uid="{8AE6735B-80FE-438A-9D13-82330188AC2B}"/>
    <cellStyle name="百分比 4 2 8 4 2 2" xfId="5766" xr:uid="{EABF2DA5-BA06-4F15-8B49-BE1211948E3B}"/>
    <cellStyle name="百分比 4 2 8 4 2 3" xfId="5767" xr:uid="{44A51D76-95E8-4A3E-B699-FD394FED723E}"/>
    <cellStyle name="百分比 4 2 8 4 2 4" xfId="5768" xr:uid="{64BD3F3E-A338-48AE-A9F5-6707E5A43CC3}"/>
    <cellStyle name="百分比 4 2 8 4 2 5" xfId="5769" xr:uid="{B6861AFF-12D4-449D-BD97-224C247A2C26}"/>
    <cellStyle name="百分比 4 2 8 4 2 6" xfId="5770" xr:uid="{5B3EBC5A-D9AC-45E1-872B-5D4113644D9D}"/>
    <cellStyle name="百分比 4 2 8 4 3" xfId="5771" xr:uid="{7EC60FA2-EB8E-4A32-94E9-D7FB7CA90DA4}"/>
    <cellStyle name="百分比 4 2 8 4 4" xfId="5772" xr:uid="{EAF36708-6142-428B-8D55-23686859348E}"/>
    <cellStyle name="百分比 4 2 8 4 5" xfId="5773" xr:uid="{A595B126-9A0B-4BC3-9905-2CD8CDD076BE}"/>
    <cellStyle name="百分比 4 2 8 4 6" xfId="5774" xr:uid="{80B3D9E1-1B65-4DDA-974B-587CA7EFF760}"/>
    <cellStyle name="百分比 4 2 8 4 7" xfId="5775" xr:uid="{94FC65FD-311F-42EE-B6D7-7CA32191B595}"/>
    <cellStyle name="百分比 4 2 8 5" xfId="5776" xr:uid="{4CC691A8-5D2E-4B1A-8F4E-8CFE6322E235}"/>
    <cellStyle name="百分比 4 2 8 5 2" xfId="5777" xr:uid="{796DC4CB-9D3D-48A3-AC86-E1E7AC9D1CDC}"/>
    <cellStyle name="百分比 4 2 8 5 2 2" xfId="5778" xr:uid="{4A7C48CF-31D3-4E9E-986E-121B2E63B0CE}"/>
    <cellStyle name="百分比 4 2 8 5 2 3" xfId="5779" xr:uid="{E676854C-31FA-44DE-AB65-22CBEA2E6933}"/>
    <cellStyle name="百分比 4 2 8 5 2 4" xfId="5780" xr:uid="{AC7F9DDD-2E16-4ECD-8727-870BB75C809D}"/>
    <cellStyle name="百分比 4 2 8 5 2 5" xfId="5781" xr:uid="{940D584C-2D0E-4EBF-89AB-6CBA5A77E97F}"/>
    <cellStyle name="百分比 4 2 8 5 2 6" xfId="5782" xr:uid="{58DE5B50-FDF6-407A-81E5-9884AF0162C2}"/>
    <cellStyle name="百分比 4 2 8 5 3" xfId="5783" xr:uid="{42C49715-BFD7-4E5A-BC17-AC7C285848F2}"/>
    <cellStyle name="百分比 4 2 8 5 4" xfId="5784" xr:uid="{75AAF664-1E63-4FB5-B937-CF303DCF7D34}"/>
    <cellStyle name="百分比 4 2 8 5 5" xfId="5785" xr:uid="{59994850-822F-4EE9-AEC7-110550647ECF}"/>
    <cellStyle name="百分比 4 2 8 5 6" xfId="5786" xr:uid="{1F6DC816-6998-40F2-8BBF-676029618F98}"/>
    <cellStyle name="百分比 4 2 8 5 7" xfId="5787" xr:uid="{6824B4F3-1BBC-4077-8715-FE39BB1E42E4}"/>
    <cellStyle name="百分比 4 2 8 6" xfId="5788" xr:uid="{6740435E-B6E6-4627-B4DA-BDE59E8EE506}"/>
    <cellStyle name="百分比 4 2 8 6 2" xfId="5789" xr:uid="{3E0D50B8-B9E6-4479-AC44-8E3013A421F9}"/>
    <cellStyle name="百分比 4 2 8 6 2 2" xfId="5790" xr:uid="{372911E2-076A-4761-8D1F-89630FD1EC71}"/>
    <cellStyle name="百分比 4 2 8 6 2 3" xfId="5791" xr:uid="{4DA5355A-CB66-4F47-A5CF-28EB3F543A3F}"/>
    <cellStyle name="百分比 4 2 8 6 2 4" xfId="5792" xr:uid="{3C4005B7-3133-4BBC-A4F6-86FB0D4297E0}"/>
    <cellStyle name="百分比 4 2 8 6 2 5" xfId="5793" xr:uid="{3BF6A42C-233F-4F7A-A708-149B6A7F0A10}"/>
    <cellStyle name="百分比 4 2 8 6 2 6" xfId="5794" xr:uid="{E96C2AF3-0670-44A3-9B3D-83B75F4C2862}"/>
    <cellStyle name="百分比 4 2 8 6 3" xfId="5795" xr:uid="{7603C598-5901-45E0-85B9-3B1803045011}"/>
    <cellStyle name="百分比 4 2 8 6 4" xfId="5796" xr:uid="{59650A09-D3FC-465F-BFE6-8D5C5576DF13}"/>
    <cellStyle name="百分比 4 2 8 6 5" xfId="5797" xr:uid="{220F619F-9A60-4365-AA28-65F2BD29BEDB}"/>
    <cellStyle name="百分比 4 2 8 6 6" xfId="5798" xr:uid="{2986A3B2-FF0C-4976-BF9F-41F47275EC99}"/>
    <cellStyle name="百分比 4 2 8 6 7" xfId="5799" xr:uid="{3624B7E0-185C-4570-B732-46114DFD7084}"/>
    <cellStyle name="百分比 4 2 8 7" xfId="5800" xr:uid="{EC98DD53-E196-4773-B579-9BC917837525}"/>
    <cellStyle name="百分比 4 2 8 7 2" xfId="5801" xr:uid="{B242505E-AD60-49B3-86EE-91AC341DC5E3}"/>
    <cellStyle name="百分比 4 2 8 7 3" xfId="5802" xr:uid="{E238ACAA-F557-4CFC-BADC-2F9C26861C0B}"/>
    <cellStyle name="百分比 4 2 8 7 4" xfId="5803" xr:uid="{96FAB1B2-BD55-4465-9E86-AFEF9A86ECA4}"/>
    <cellStyle name="百分比 4 2 8 7 5" xfId="5804" xr:uid="{321E4E25-D830-4955-8151-98F34BFD2D84}"/>
    <cellStyle name="百分比 4 2 8 7 6" xfId="5805" xr:uid="{55231301-EEE7-42F4-9483-A485CBF0348B}"/>
    <cellStyle name="百分比 4 2 8 8" xfId="5806" xr:uid="{2D734799-51AE-4E57-AD67-7012DE04E66C}"/>
    <cellStyle name="百分比 4 2 8 9" xfId="5807" xr:uid="{B9F87B9D-621F-47DF-AADC-DB603E6D6C05}"/>
    <cellStyle name="百分比 4 2 9" xfId="5808" xr:uid="{F3F70871-8FB1-475B-A942-5AD1616814D6}"/>
    <cellStyle name="百分比 4 2 9 10" xfId="5809" xr:uid="{6B942C6A-8B8D-4643-8634-EE3EC275CF7F}"/>
    <cellStyle name="百分比 4 2 9 11" xfId="5810" xr:uid="{5BD078F8-CF3D-4602-A74D-4F60E18E48B4}"/>
    <cellStyle name="百分比 4 2 9 12" xfId="33176" xr:uid="{488513E1-F68B-494F-A922-00BF2D7B50EF}"/>
    <cellStyle name="百分比 4 2 9 2" xfId="5811" xr:uid="{FDF74679-4D6F-4B83-BFDB-68DD13DC10AE}"/>
    <cellStyle name="百分比 4 2 9 2 2" xfId="5812" xr:uid="{090F2DFD-13AB-4739-B0EE-19630E46A581}"/>
    <cellStyle name="百分比 4 2 9 2 2 2" xfId="5813" xr:uid="{89B76FB9-6798-42E3-832F-6060A6AFEEE6}"/>
    <cellStyle name="百分比 4 2 9 2 2 3" xfId="5814" xr:uid="{C6DD45BF-1A90-4DB9-B1A4-A30769997A68}"/>
    <cellStyle name="百分比 4 2 9 2 2 4" xfId="5815" xr:uid="{6B2E6E3F-6FE8-4FAB-AA06-CB6166319097}"/>
    <cellStyle name="百分比 4 2 9 2 2 5" xfId="5816" xr:uid="{B7A0CA69-23F4-4B0D-9BAB-A085A4E8F65D}"/>
    <cellStyle name="百分比 4 2 9 2 2 6" xfId="5817" xr:uid="{BC375905-6740-49F8-8361-04F8677C950A}"/>
    <cellStyle name="百分比 4 2 9 2 3" xfId="5818" xr:uid="{4B714224-F474-471E-8B44-678B931A7B8E}"/>
    <cellStyle name="百分比 4 2 9 2 4" xfId="5819" xr:uid="{5D3DE6ED-FB24-443E-8640-BDA50A9C83F4}"/>
    <cellStyle name="百分比 4 2 9 2 5" xfId="5820" xr:uid="{85345A94-5C2B-4FD2-AC89-23EFB4E6A3DB}"/>
    <cellStyle name="百分比 4 2 9 2 6" xfId="5821" xr:uid="{F63E9E6C-0B9B-4D80-B403-2B807CAE66F2}"/>
    <cellStyle name="百分比 4 2 9 2 7" xfId="5822" xr:uid="{84F7415B-DBC0-4B9C-B90C-8BC960E1E721}"/>
    <cellStyle name="百分比 4 2 9 3" xfId="5823" xr:uid="{27F775B2-4F96-4ED3-AF78-B301787C07EA}"/>
    <cellStyle name="百分比 4 2 9 3 2" xfId="5824" xr:uid="{6D7F4EF3-403C-4111-8F4A-B6DC6912B052}"/>
    <cellStyle name="百分比 4 2 9 3 2 2" xfId="5825" xr:uid="{7B8DBF8C-744C-4DEA-8726-DBEE7BC081EB}"/>
    <cellStyle name="百分比 4 2 9 3 2 3" xfId="5826" xr:uid="{0CDC98E3-3DC1-48ED-BE98-A2CE8C84FE26}"/>
    <cellStyle name="百分比 4 2 9 3 2 4" xfId="5827" xr:uid="{3AA2356D-FA68-4A9E-A4F8-0E9B95FC92C0}"/>
    <cellStyle name="百分比 4 2 9 3 2 5" xfId="5828" xr:uid="{2580B11F-91D6-4E04-A4E8-8877152D77B3}"/>
    <cellStyle name="百分比 4 2 9 3 2 6" xfId="5829" xr:uid="{B9BF3630-BFBC-4370-8EED-BD95C420BBEC}"/>
    <cellStyle name="百分比 4 2 9 3 3" xfId="5830" xr:uid="{3F73B04F-319D-40D4-983C-9EF53CA1F0B2}"/>
    <cellStyle name="百分比 4 2 9 3 4" xfId="5831" xr:uid="{288F2377-4FCF-4C20-86BD-51A1BA1FEBD5}"/>
    <cellStyle name="百分比 4 2 9 3 5" xfId="5832" xr:uid="{6497011E-56AE-4C4A-9EAF-29EB1F20CBAA}"/>
    <cellStyle name="百分比 4 2 9 3 6" xfId="5833" xr:uid="{B085A7ED-24F9-4194-879C-57E39E80F8FA}"/>
    <cellStyle name="百分比 4 2 9 3 7" xfId="5834" xr:uid="{BF729C53-C762-42AC-A56F-D2C3AFD50D66}"/>
    <cellStyle name="百分比 4 2 9 4" xfId="5835" xr:uid="{AC02D79F-BEDE-42AF-90E9-2FB0D554DCDE}"/>
    <cellStyle name="百分比 4 2 9 4 2" xfId="5836" xr:uid="{426D7CF2-8706-45AA-83F0-11851DA58EE8}"/>
    <cellStyle name="百分比 4 2 9 4 2 2" xfId="5837" xr:uid="{6276E8B1-A550-4F5D-8C5D-241E39BDFD23}"/>
    <cellStyle name="百分比 4 2 9 4 2 3" xfId="5838" xr:uid="{5D020DC8-D708-436A-8EE5-1AEDDB1EFA53}"/>
    <cellStyle name="百分比 4 2 9 4 2 4" xfId="5839" xr:uid="{F48960A7-E1C1-4D81-A67F-6AA64BE3E2C0}"/>
    <cellStyle name="百分比 4 2 9 4 2 5" xfId="5840" xr:uid="{6DCB4367-71F3-4B92-804B-4F83699C543A}"/>
    <cellStyle name="百分比 4 2 9 4 2 6" xfId="5841" xr:uid="{9ED9060F-2B4E-43F4-8CCB-74A03C06A695}"/>
    <cellStyle name="百分比 4 2 9 4 3" xfId="5842" xr:uid="{87150CFB-F599-4ED8-B838-ADD4375BB549}"/>
    <cellStyle name="百分比 4 2 9 4 4" xfId="5843" xr:uid="{9E370607-A314-42DB-BA3E-98D6D4CCF543}"/>
    <cellStyle name="百分比 4 2 9 4 5" xfId="5844" xr:uid="{1DF2FCD6-81E5-4B25-BCE3-1A79CEE058FD}"/>
    <cellStyle name="百分比 4 2 9 4 6" xfId="5845" xr:uid="{4C1F0235-23CD-45BB-946D-D472012B92EE}"/>
    <cellStyle name="百分比 4 2 9 4 7" xfId="5846" xr:uid="{2508E4D7-BF7A-45DC-A4FC-E9E0D48B8EC6}"/>
    <cellStyle name="百分比 4 2 9 5" xfId="5847" xr:uid="{07ACB047-4A8F-425B-B9AF-C692723C545D}"/>
    <cellStyle name="百分比 4 2 9 5 2" xfId="5848" xr:uid="{D2D28A6D-2ED3-4A72-9C9D-15F49E5432E0}"/>
    <cellStyle name="百分比 4 2 9 5 2 2" xfId="5849" xr:uid="{76D87B80-908F-4F8F-BCC8-9F0C80BD5AD0}"/>
    <cellStyle name="百分比 4 2 9 5 2 3" xfId="5850" xr:uid="{9D6F18F4-4B9B-4DAD-91E6-46E3C17A6B41}"/>
    <cellStyle name="百分比 4 2 9 5 2 4" xfId="5851" xr:uid="{1CE0039A-B403-415B-A8DD-7A4144020A6E}"/>
    <cellStyle name="百分比 4 2 9 5 2 5" xfId="5852" xr:uid="{93DBF700-360A-448B-9D4D-3BC6F505F674}"/>
    <cellStyle name="百分比 4 2 9 5 2 6" xfId="5853" xr:uid="{06BF41B7-4B6F-4F67-86BA-AB8E1BEA8998}"/>
    <cellStyle name="百分比 4 2 9 5 3" xfId="5854" xr:uid="{0B5AD66E-4BBC-4280-A114-EC37F209787A}"/>
    <cellStyle name="百分比 4 2 9 5 4" xfId="5855" xr:uid="{A14CF23A-1CBB-4E63-97B0-4D54BD2EE59E}"/>
    <cellStyle name="百分比 4 2 9 5 5" xfId="5856" xr:uid="{A859E3DF-DA96-4D05-B1A8-FD5B621E0DAC}"/>
    <cellStyle name="百分比 4 2 9 5 6" xfId="5857" xr:uid="{B6B6E6ED-69BF-4F49-848B-CCCFF4F0272F}"/>
    <cellStyle name="百分比 4 2 9 5 7" xfId="5858" xr:uid="{A2317136-F185-4E1F-AB9E-C5B9F63FC6CC}"/>
    <cellStyle name="百分比 4 2 9 6" xfId="5859" xr:uid="{5C8D82B8-4219-41A4-BE1B-ACF04FB1918E}"/>
    <cellStyle name="百分比 4 2 9 6 2" xfId="5860" xr:uid="{0695BEB8-9F3F-4BB9-AC33-BBCC76178081}"/>
    <cellStyle name="百分比 4 2 9 6 3" xfId="5861" xr:uid="{632D9EA8-A983-478D-B874-3C2DE7B48B8D}"/>
    <cellStyle name="百分比 4 2 9 6 4" xfId="5862" xr:uid="{7A47893A-0D10-4CE3-8FEF-24BCFD218DCC}"/>
    <cellStyle name="百分比 4 2 9 6 5" xfId="5863" xr:uid="{BB471374-3A65-4D0F-B783-624688B9DD13}"/>
    <cellStyle name="百分比 4 2 9 6 6" xfId="5864" xr:uid="{059F93F8-A8F7-4784-80F8-624ADD3E4A71}"/>
    <cellStyle name="百分比 4 2 9 7" xfId="5865" xr:uid="{450E5D86-8EBA-4C20-A390-86D683402693}"/>
    <cellStyle name="百分比 4 2 9 8" xfId="5866" xr:uid="{CA96C238-ABF7-4EEB-B2F8-959F7FF5D2D0}"/>
    <cellStyle name="百分比 4 2 9 9" xfId="5867" xr:uid="{37AD7969-4C7C-49D6-8FB6-5C9310E70ABC}"/>
    <cellStyle name="百分比 4 20" xfId="5868" xr:uid="{B17E82EC-0E3F-468C-93DA-8993FD92C90B}"/>
    <cellStyle name="百分比 4 21" xfId="33177" xr:uid="{E51F9DD8-6B62-4121-B9BA-AB5441D5F4B9}"/>
    <cellStyle name="百分比 4 3" xfId="5869" xr:uid="{58A5B176-1D21-43B1-A5E5-F5A54947A4C8}"/>
    <cellStyle name="百分比 4 3 10" xfId="5870" xr:uid="{D0ADD512-FAB0-4E54-9C37-32F56533CEA4}"/>
    <cellStyle name="百分比 4 3 10 2" xfId="5871" xr:uid="{160BEAA6-5F74-498D-984A-A76327518CC1}"/>
    <cellStyle name="百分比 4 3 10 2 2" xfId="5872" xr:uid="{B1134FD4-E13D-414A-9B96-7A52C789D7A6}"/>
    <cellStyle name="百分比 4 3 10 2 2 2" xfId="5873" xr:uid="{5315C064-7C1B-4CD6-9172-280D3C67FD2A}"/>
    <cellStyle name="百分比 4 3 10 2 2 3" xfId="5874" xr:uid="{56FCC6DD-801C-4A36-9EA7-D8FBFC7EAB79}"/>
    <cellStyle name="百分比 4 3 10 2 2 4" xfId="5875" xr:uid="{321AB3AA-78B6-4A60-962D-5951C1453DD6}"/>
    <cellStyle name="百分比 4 3 10 2 2 5" xfId="5876" xr:uid="{46EF84B1-55EA-4E41-AEEF-F52E6C2C46B9}"/>
    <cellStyle name="百分比 4 3 10 2 2 6" xfId="5877" xr:uid="{395CEA58-ACD3-4388-BFEA-D2E8B0D04E14}"/>
    <cellStyle name="百分比 4 3 10 2 3" xfId="5878" xr:uid="{32ABAD31-33EC-44D1-85F9-C8C91DA4A5B2}"/>
    <cellStyle name="百分比 4 3 10 2 4" xfId="5879" xr:uid="{25A97E8E-B37B-466A-81F9-2CE8D2EE0124}"/>
    <cellStyle name="百分比 4 3 10 2 5" xfId="5880" xr:uid="{BB0DF6EA-9384-4127-8428-220ACD96A74E}"/>
    <cellStyle name="百分比 4 3 10 2 6" xfId="5881" xr:uid="{CEF04A40-966E-41F8-99FC-332B88B707F6}"/>
    <cellStyle name="百分比 4 3 10 2 7" xfId="5882" xr:uid="{02757BC5-A423-4D26-879D-7166F2EB4822}"/>
    <cellStyle name="百分比 4 3 10 3" xfId="5883" xr:uid="{7E931C0E-A566-4476-A2E6-7F51FB53AD29}"/>
    <cellStyle name="百分比 4 3 10 3 2" xfId="5884" xr:uid="{643BAB65-0058-45A5-98EE-EC488B750437}"/>
    <cellStyle name="百分比 4 3 10 3 2 2" xfId="5885" xr:uid="{CA06681D-478A-42FF-9FAB-D65187F096CC}"/>
    <cellStyle name="百分比 4 3 10 3 2 3" xfId="5886" xr:uid="{5DA139DF-C333-45A1-9950-40E69DDAE897}"/>
    <cellStyle name="百分比 4 3 10 3 2 4" xfId="5887" xr:uid="{923A0838-A8AC-46E4-A07A-D133E9B8DBB2}"/>
    <cellStyle name="百分比 4 3 10 3 2 5" xfId="5888" xr:uid="{81310F4E-EBE5-4DF7-9494-01C0C9238BA0}"/>
    <cellStyle name="百分比 4 3 10 3 2 6" xfId="5889" xr:uid="{892C7DE0-A7BA-4382-BA96-78B93074E338}"/>
    <cellStyle name="百分比 4 3 10 3 3" xfId="5890" xr:uid="{9F181366-A0BC-4F53-B3F0-E23BE0C4C264}"/>
    <cellStyle name="百分比 4 3 10 3 4" xfId="5891" xr:uid="{7174A382-9242-4B3D-BA5A-E100529525DF}"/>
    <cellStyle name="百分比 4 3 10 3 5" xfId="5892" xr:uid="{36A0EB9D-EFE2-45B9-AD8E-CC3D95625C42}"/>
    <cellStyle name="百分比 4 3 10 3 6" xfId="5893" xr:uid="{E10C74D2-014E-47DB-A6F4-FE66331042CC}"/>
    <cellStyle name="百分比 4 3 10 3 7" xfId="5894" xr:uid="{854D235C-AB45-4595-BCB2-B03EB692A38D}"/>
    <cellStyle name="百分比 4 3 10 4" xfId="5895" xr:uid="{B3DE2186-6DB3-466F-8B94-357F1F68F21A}"/>
    <cellStyle name="百分比 4 3 10 4 2" xfId="5896" xr:uid="{185D9A50-E6B6-449A-8CC6-718AACAE0BB3}"/>
    <cellStyle name="百分比 4 3 10 4 3" xfId="5897" xr:uid="{E9A47FBA-99FE-426E-B765-D8109297999C}"/>
    <cellStyle name="百分比 4 3 10 4 4" xfId="5898" xr:uid="{E530152A-A5C1-41E6-B964-67E7A9DA3A0D}"/>
    <cellStyle name="百分比 4 3 10 4 5" xfId="5899" xr:uid="{B092FA5A-A6DF-4AB0-A11A-40B9FE2BF3B0}"/>
    <cellStyle name="百分比 4 3 10 4 6" xfId="5900" xr:uid="{3CB4FCB2-9286-40D6-BCD8-B3A2F238505D}"/>
    <cellStyle name="百分比 4 3 10 5" xfId="5901" xr:uid="{A9309B8A-6858-4EDC-B556-77D80F828C0F}"/>
    <cellStyle name="百分比 4 3 10 6" xfId="5902" xr:uid="{D531A675-21FA-4A3A-9CA5-7801B0600F8B}"/>
    <cellStyle name="百分比 4 3 10 7" xfId="5903" xr:uid="{18CC7AE2-7291-4900-BD09-80569EB934FF}"/>
    <cellStyle name="百分比 4 3 10 8" xfId="5904" xr:uid="{961E07A1-F82C-4AC2-B8B6-D3E0C6371F11}"/>
    <cellStyle name="百分比 4 3 10 9" xfId="5905" xr:uid="{B718FDC9-AB57-4F32-974C-7A27F137BC77}"/>
    <cellStyle name="百分比 4 3 11" xfId="5906" xr:uid="{B5A22AAB-1C17-4EE7-A16D-0F1E188AE663}"/>
    <cellStyle name="百分比 4 3 11 2" xfId="5907" xr:uid="{7770C630-6DBE-4B42-B9E7-7670B9201CE7}"/>
    <cellStyle name="百分比 4 3 11 2 2" xfId="5908" xr:uid="{038CBFD1-A418-457B-9B15-5FC8C48AFE50}"/>
    <cellStyle name="百分比 4 3 11 2 2 2" xfId="5909" xr:uid="{E71EFE3E-0F54-4B89-85D8-F1CE36AFEBAB}"/>
    <cellStyle name="百分比 4 3 11 2 2 3" xfId="5910" xr:uid="{83B67AE1-6D0A-493F-B5FC-6D974CD096FB}"/>
    <cellStyle name="百分比 4 3 11 2 2 4" xfId="5911" xr:uid="{689AB9C3-7C3D-4246-9AD2-9C1583725B3B}"/>
    <cellStyle name="百分比 4 3 11 2 2 5" xfId="5912" xr:uid="{B30E902F-85D6-4EB1-95ED-3F002B032C51}"/>
    <cellStyle name="百分比 4 3 11 2 2 6" xfId="5913" xr:uid="{02293418-84EE-4754-81D6-F7B06F7221E0}"/>
    <cellStyle name="百分比 4 3 11 2 3" xfId="5914" xr:uid="{EBB8EDF9-8616-40F2-83B1-61984A725237}"/>
    <cellStyle name="百分比 4 3 11 2 4" xfId="5915" xr:uid="{38D09C10-0F1A-4433-A380-36ED1DC2C099}"/>
    <cellStyle name="百分比 4 3 11 2 5" xfId="5916" xr:uid="{B13DCD69-649E-4BBE-B938-DB3D4C552E5C}"/>
    <cellStyle name="百分比 4 3 11 2 6" xfId="5917" xr:uid="{34A88E40-60C4-473C-8A23-92E63DA8BA8C}"/>
    <cellStyle name="百分比 4 3 11 2 7" xfId="5918" xr:uid="{A6F4073D-E5A8-4607-BCEC-EFA7676BFE92}"/>
    <cellStyle name="百分比 4 3 11 3" xfId="5919" xr:uid="{92D52744-C233-4806-846F-ECFBCC4767DD}"/>
    <cellStyle name="百分比 4 3 11 3 2" xfId="5920" xr:uid="{9EB4FF3B-072D-411E-BD35-E9FD6C20E1DD}"/>
    <cellStyle name="百分比 4 3 11 3 3" xfId="5921" xr:uid="{054D3FEF-7A1D-4E73-B5E0-0922F4DC66CA}"/>
    <cellStyle name="百分比 4 3 11 3 4" xfId="5922" xr:uid="{F152E9C5-2047-4A5D-A1AB-378E12872911}"/>
    <cellStyle name="百分比 4 3 11 3 5" xfId="5923" xr:uid="{6AA943B6-9E01-48C4-A180-3A52DCCA3056}"/>
    <cellStyle name="百分比 4 3 11 3 6" xfId="5924" xr:uid="{13E6CCA6-8124-4E21-9105-EACF9E317ACE}"/>
    <cellStyle name="百分比 4 3 11 4" xfId="5925" xr:uid="{3469EB3D-4790-47DC-974A-78DC738C44EA}"/>
    <cellStyle name="百分比 4 3 11 5" xfId="5926" xr:uid="{82C5B0BD-3EDF-4209-ADB5-EB332AD10D34}"/>
    <cellStyle name="百分比 4 3 11 6" xfId="5927" xr:uid="{989DCB2D-E711-489C-AFB8-4905A578C653}"/>
    <cellStyle name="百分比 4 3 11 7" xfId="5928" xr:uid="{83FBB0E6-5269-4816-BBF2-4D962768D603}"/>
    <cellStyle name="百分比 4 3 11 8" xfId="5929" xr:uid="{963F454C-C8D5-4EA1-9825-FFDAA01C60CD}"/>
    <cellStyle name="百分比 4 3 12" xfId="5930" xr:uid="{F75C5F74-9BEB-4AF3-89BE-77918E685AF8}"/>
    <cellStyle name="百分比 4 3 12 2" xfId="5931" xr:uid="{6783D631-289F-47EA-8730-CEB6A51A95ED}"/>
    <cellStyle name="百分比 4 3 12 2 2" xfId="5932" xr:uid="{145F89E6-BFE4-4880-B2E9-BA63F99F02DC}"/>
    <cellStyle name="百分比 4 3 12 2 2 2" xfId="5933" xr:uid="{FF2BE87F-5411-4BD5-B1DA-DADB5344A654}"/>
    <cellStyle name="百分比 4 3 12 2 2 3" xfId="5934" xr:uid="{F115E686-153A-4898-A64A-56B2B818F78F}"/>
    <cellStyle name="百分比 4 3 12 2 2 4" xfId="5935" xr:uid="{AF848ECE-1A10-4D78-AE41-EF3947405955}"/>
    <cellStyle name="百分比 4 3 12 2 2 5" xfId="5936" xr:uid="{07A60052-3230-4779-85DB-B621E6D6E301}"/>
    <cellStyle name="百分比 4 3 12 2 2 6" xfId="5937" xr:uid="{DC8B3AE9-0798-4AB0-A21A-6D82DDE19291}"/>
    <cellStyle name="百分比 4 3 12 2 3" xfId="5938" xr:uid="{C6FF5D4E-9609-4FB1-9CD3-4DE106DAFD5A}"/>
    <cellStyle name="百分比 4 3 12 2 4" xfId="5939" xr:uid="{6E844663-F121-45D9-B623-98FE04BF7817}"/>
    <cellStyle name="百分比 4 3 12 2 5" xfId="5940" xr:uid="{D20583D6-BDF7-4771-9A8E-77D4F4FD6A87}"/>
    <cellStyle name="百分比 4 3 12 2 6" xfId="5941" xr:uid="{97632542-EB88-4054-895E-0BD0FDADEC3F}"/>
    <cellStyle name="百分比 4 3 12 2 7" xfId="5942" xr:uid="{09C84166-2CC4-46F6-BA1D-AC84B961CD31}"/>
    <cellStyle name="百分比 4 3 12 3" xfId="5943" xr:uid="{FBB4BB8B-3C3B-4DF3-BA4C-64B677308980}"/>
    <cellStyle name="百分比 4 3 12 3 2" xfId="5944" xr:uid="{6F944A40-AED1-4DC6-88CC-33EBE6D56384}"/>
    <cellStyle name="百分比 4 3 12 3 3" xfId="5945" xr:uid="{6F927AFC-2140-4B74-9642-307A06DED86A}"/>
    <cellStyle name="百分比 4 3 12 3 4" xfId="5946" xr:uid="{CCC3786E-1C49-41C6-A5EA-CF7AB42C9006}"/>
    <cellStyle name="百分比 4 3 12 3 5" xfId="5947" xr:uid="{1DEA33A0-BCE6-46DF-8177-9ACE1B1ACCC1}"/>
    <cellStyle name="百分比 4 3 12 3 6" xfId="5948" xr:uid="{2B9CC3C3-3F2F-40CD-B961-CBC290D5F813}"/>
    <cellStyle name="百分比 4 3 12 4" xfId="5949" xr:uid="{2D3FBBAB-F0C1-433C-980E-3967093C56C5}"/>
    <cellStyle name="百分比 4 3 12 5" xfId="5950" xr:uid="{B7809822-F63F-4D75-92EC-042E407F92C4}"/>
    <cellStyle name="百分比 4 3 12 6" xfId="5951" xr:uid="{17DD0F12-79FA-44C2-A815-FE862FB5ABF8}"/>
    <cellStyle name="百分比 4 3 12 7" xfId="5952" xr:uid="{18B96F69-70E1-474A-A3EA-0C40E9C76352}"/>
    <cellStyle name="百分比 4 3 12 8" xfId="5953" xr:uid="{38ADD114-539E-4A94-91CF-C6CD5AAA23EF}"/>
    <cellStyle name="百分比 4 3 13" xfId="5954" xr:uid="{FF672BCB-BD3C-472E-A177-51661CC5D792}"/>
    <cellStyle name="百分比 4 3 13 2" xfId="5955" xr:uid="{C4E7EA5C-9FCB-4CE4-B04F-2F1F2B25BD9E}"/>
    <cellStyle name="百分比 4 3 13 2 2" xfId="5956" xr:uid="{F07423D1-BCDC-489B-9892-A3C863DE4652}"/>
    <cellStyle name="百分比 4 3 13 2 2 2" xfId="5957" xr:uid="{EF58AE8C-C3C5-426E-BAAD-3B2166A39474}"/>
    <cellStyle name="百分比 4 3 13 2 2 3" xfId="5958" xr:uid="{887FFDE1-1489-4A63-80A7-4EF2554A8674}"/>
    <cellStyle name="百分比 4 3 13 2 2 4" xfId="5959" xr:uid="{B71D9996-2D40-4BB6-BE59-560F2C5B93C0}"/>
    <cellStyle name="百分比 4 3 13 2 2 5" xfId="5960" xr:uid="{648DBB5F-4CD5-4D76-ADB3-D354226FC8DC}"/>
    <cellStyle name="百分比 4 3 13 2 2 6" xfId="5961" xr:uid="{BB4345D4-9541-4162-90CD-E8A084D46A40}"/>
    <cellStyle name="百分比 4 3 13 2 3" xfId="5962" xr:uid="{7AB6D120-A5E3-48EE-9667-B0A1414264C4}"/>
    <cellStyle name="百分比 4 3 13 2 4" xfId="5963" xr:uid="{510F05E1-D50A-41D7-BA1E-2D36C9F27C73}"/>
    <cellStyle name="百分比 4 3 13 2 5" xfId="5964" xr:uid="{196C86F4-A888-4395-92FF-6CBB39614F3B}"/>
    <cellStyle name="百分比 4 3 13 2 6" xfId="5965" xr:uid="{6374E407-7A6A-4D82-8A20-4B1B6D1BB241}"/>
    <cellStyle name="百分比 4 3 13 2 7" xfId="5966" xr:uid="{0238F860-041B-4006-8129-3CD1EAF2D548}"/>
    <cellStyle name="百分比 4 3 13 3" xfId="5967" xr:uid="{D29475D9-9C61-4E47-A0B3-82481283963F}"/>
    <cellStyle name="百分比 4 3 13 3 2" xfId="5968" xr:uid="{2D24CBEE-579E-4238-A6E6-D5EB4CFDF11E}"/>
    <cellStyle name="百分比 4 3 13 3 3" xfId="5969" xr:uid="{F6AEDE79-2E13-4216-976E-E7A1D23709DC}"/>
    <cellStyle name="百分比 4 3 13 3 4" xfId="5970" xr:uid="{1AE93225-EDCE-4D2F-8626-6703F1B83BD2}"/>
    <cellStyle name="百分比 4 3 13 3 5" xfId="5971" xr:uid="{A8CB8364-4051-4CBB-B29D-E3F9859B990B}"/>
    <cellStyle name="百分比 4 3 13 3 6" xfId="5972" xr:uid="{14861EFC-C27E-4637-9BEA-FBDA47499814}"/>
    <cellStyle name="百分比 4 3 13 4" xfId="5973" xr:uid="{4A86BBF6-2E2E-4C7A-BD9D-251B5CEEFBA3}"/>
    <cellStyle name="百分比 4 3 13 5" xfId="5974" xr:uid="{5D2203E3-939E-4497-97EB-1EBC9FBAE6B1}"/>
    <cellStyle name="百分比 4 3 13 6" xfId="5975" xr:uid="{36C2DC06-B8C0-4EE9-A819-A300BFAF33A9}"/>
    <cellStyle name="百分比 4 3 13 7" xfId="5976" xr:uid="{3E0AF7B2-F99C-406E-B3E3-7DE56C8698A9}"/>
    <cellStyle name="百分比 4 3 13 8" xfId="5977" xr:uid="{99B4564A-216E-4665-8523-F9090B7CE5DD}"/>
    <cellStyle name="百分比 4 3 14" xfId="5978" xr:uid="{FA61C53B-0EE7-4561-8816-6A86CAF0723B}"/>
    <cellStyle name="百分比 4 3 14 2" xfId="5979" xr:uid="{6451926F-435F-40F2-A750-53DB3C04B042}"/>
    <cellStyle name="百分比 4 3 14 2 2" xfId="5980" xr:uid="{E59A1B28-ED16-4E65-BA78-3FF1F981E0C9}"/>
    <cellStyle name="百分比 4 3 14 2 2 2" xfId="5981" xr:uid="{0C3751FB-5887-46E5-BA24-EFD3F9E96986}"/>
    <cellStyle name="百分比 4 3 14 2 2 3" xfId="5982" xr:uid="{C7A1B3D6-A3F5-4BEC-8991-7B2F1D54B320}"/>
    <cellStyle name="百分比 4 3 14 2 2 4" xfId="5983" xr:uid="{75A37849-81CF-4E13-90CC-ECF5AFFD7C52}"/>
    <cellStyle name="百分比 4 3 14 2 2 5" xfId="5984" xr:uid="{89E1B2B5-FB21-4F32-AC27-F0829AF2FC5A}"/>
    <cellStyle name="百分比 4 3 14 2 2 6" xfId="5985" xr:uid="{658CB40D-9376-4157-8B09-F5C8C2AF2F6D}"/>
    <cellStyle name="百分比 4 3 14 2 3" xfId="5986" xr:uid="{1E5195CD-B2C6-4067-A4BB-C2D4A7DFA692}"/>
    <cellStyle name="百分比 4 3 14 2 4" xfId="5987" xr:uid="{B7BD0B88-A00B-4BC8-9973-E96BAB2C9B0A}"/>
    <cellStyle name="百分比 4 3 14 2 5" xfId="5988" xr:uid="{EFB995B1-8491-46C8-8382-933DCA9C8A2A}"/>
    <cellStyle name="百分比 4 3 14 2 6" xfId="5989" xr:uid="{388F5723-9A1F-405B-B7A3-5D41F723F383}"/>
    <cellStyle name="百分比 4 3 14 2 7" xfId="5990" xr:uid="{C3CDE5BB-F32E-4A12-81BD-F5BF49DBF3B3}"/>
    <cellStyle name="百分比 4 3 14 3" xfId="5991" xr:uid="{A8707DB0-C417-42CF-B832-68171C05C32A}"/>
    <cellStyle name="百分比 4 3 14 3 2" xfId="5992" xr:uid="{58A4B4E7-64BE-4414-ADC6-28C8D954937F}"/>
    <cellStyle name="百分比 4 3 14 3 3" xfId="5993" xr:uid="{458E8B32-1EB6-4855-8D57-440AC7BD62D3}"/>
    <cellStyle name="百分比 4 3 14 3 4" xfId="5994" xr:uid="{767C9391-8F51-4481-B554-FC323608E8AA}"/>
    <cellStyle name="百分比 4 3 14 3 5" xfId="5995" xr:uid="{C7811B27-0E08-4D5E-9042-686310ABF9EE}"/>
    <cellStyle name="百分比 4 3 14 3 6" xfId="5996" xr:uid="{305E83F0-7A89-4AC8-BE6D-4EE5B59525E6}"/>
    <cellStyle name="百分比 4 3 14 4" xfId="5997" xr:uid="{7DD291EC-4D96-4D52-A095-85242C676280}"/>
    <cellStyle name="百分比 4 3 14 5" xfId="5998" xr:uid="{EE3ADAF9-5AD6-4B9D-B9F4-42440E547161}"/>
    <cellStyle name="百分比 4 3 14 6" xfId="5999" xr:uid="{087E487E-A92A-4525-8BC2-26CB01F43E4E}"/>
    <cellStyle name="百分比 4 3 14 7" xfId="6000" xr:uid="{4F9C9441-B6B7-4794-A282-D96B2ED0BBDB}"/>
    <cellStyle name="百分比 4 3 14 8" xfId="6001" xr:uid="{EFBB8ABB-2A77-43CE-BB2B-0EE65C6F0580}"/>
    <cellStyle name="百分比 4 3 15" xfId="6002" xr:uid="{6E1BC498-6C03-4781-83F6-07ED3695AB01}"/>
    <cellStyle name="百分比 4 3 15 2" xfId="6003" xr:uid="{758038DF-065B-4E04-988B-7BA8CE24D6E7}"/>
    <cellStyle name="百分比 4 3 15 2 2" xfId="6004" xr:uid="{AC7A2F54-E7E9-4FEC-88EE-238B240FD7D1}"/>
    <cellStyle name="百分比 4 3 15 2 3" xfId="6005" xr:uid="{3CE90BF6-26AF-497A-AB17-382E66F3710D}"/>
    <cellStyle name="百分比 4 3 15 2 4" xfId="6006" xr:uid="{1A619FC6-F03C-406C-8D02-631A35F664D4}"/>
    <cellStyle name="百分比 4 3 15 2 5" xfId="6007" xr:uid="{408BB553-34BF-4E34-8421-FE60ECDCD0AB}"/>
    <cellStyle name="百分比 4 3 15 2 6" xfId="6008" xr:uid="{B1FB5D61-BF3A-4917-B2D3-D6776D3D1B4A}"/>
    <cellStyle name="百分比 4 3 15 3" xfId="6009" xr:uid="{F93285C3-81C9-4B9F-8B63-A73AFEFB907E}"/>
    <cellStyle name="百分比 4 3 15 4" xfId="6010" xr:uid="{73CAD626-982D-4745-BCD5-2E0BBC2DD7C2}"/>
    <cellStyle name="百分比 4 3 15 5" xfId="6011" xr:uid="{DA0014FC-06D2-44CD-8C47-BBBD4F463E7D}"/>
    <cellStyle name="百分比 4 3 15 6" xfId="6012" xr:uid="{27A476EE-BEE5-4636-90A1-E1F45749EA87}"/>
    <cellStyle name="百分比 4 3 15 7" xfId="6013" xr:uid="{45C16022-FF0C-4AB6-9E7C-395AB83DF81D}"/>
    <cellStyle name="百分比 4 3 16" xfId="6014" xr:uid="{27C32B4D-60C3-479C-98C3-E88440DA784E}"/>
    <cellStyle name="百分比 4 3 17" xfId="33178" xr:uid="{EE51FF43-EFB8-4E16-B953-3673AB854D8D}"/>
    <cellStyle name="百分比 4 3 2" xfId="6015" xr:uid="{E31D7092-DE76-4092-8058-6C5B7348771B}"/>
    <cellStyle name="百分比 4 3 2 10" xfId="6016" xr:uid="{88FED309-3C6A-4E20-8EDC-FA1EC36F7505}"/>
    <cellStyle name="百分比 4 3 2 10 2" xfId="6017" xr:uid="{AC6B5C32-5A57-4030-9755-45074749DB0E}"/>
    <cellStyle name="百分比 4 3 2 10 2 2" xfId="6018" xr:uid="{0379DAE8-2802-452A-84C7-4BFCB4593BFD}"/>
    <cellStyle name="百分比 4 3 2 10 2 3" xfId="6019" xr:uid="{5C8C0331-092C-4AE6-A069-8AD01D30EBCC}"/>
    <cellStyle name="百分比 4 3 2 10 2 4" xfId="6020" xr:uid="{FECE8236-BEB3-4868-938A-13096F11381E}"/>
    <cellStyle name="百分比 4 3 2 10 2 5" xfId="6021" xr:uid="{81BE72AC-1E37-4F9C-B4CD-607C0B7B592E}"/>
    <cellStyle name="百分比 4 3 2 10 2 6" xfId="6022" xr:uid="{D29204D3-ABF8-43EF-AF69-E7EE2CB8BA4A}"/>
    <cellStyle name="百分比 4 3 2 10 3" xfId="6023" xr:uid="{BA8931DD-818F-455C-85A6-F0DD8CCD6F26}"/>
    <cellStyle name="百分比 4 3 2 10 4" xfId="6024" xr:uid="{42AFBB81-AB29-4B7B-8A96-31CA89224440}"/>
    <cellStyle name="百分比 4 3 2 10 5" xfId="6025" xr:uid="{EFD4B704-F454-4543-B72A-C0590A87A779}"/>
    <cellStyle name="百分比 4 3 2 10 6" xfId="6026" xr:uid="{62F7564C-69DA-4B31-B23A-B8E1399E0DC7}"/>
    <cellStyle name="百分比 4 3 2 10 7" xfId="6027" xr:uid="{70431467-2F85-432E-AB80-B15806D4DBD1}"/>
    <cellStyle name="百分比 4 3 2 11" xfId="6028" xr:uid="{C28BEA21-AD43-4A1B-9406-BE761496C144}"/>
    <cellStyle name="百分比 4 3 2 11 2" xfId="6029" xr:uid="{EAB4FF15-B289-4E53-A0D2-5FE5E2E9CED1}"/>
    <cellStyle name="百分比 4 3 2 11 3" xfId="6030" xr:uid="{6B00B7B3-5CC5-40AB-83AC-46A8BD3EBC32}"/>
    <cellStyle name="百分比 4 3 2 11 4" xfId="6031" xr:uid="{E14E809D-D838-4AA3-B09B-F2180293A1CA}"/>
    <cellStyle name="百分比 4 3 2 11 5" xfId="6032" xr:uid="{C069421C-7F49-4D32-9A84-206258963412}"/>
    <cellStyle name="百分比 4 3 2 11 6" xfId="6033" xr:uid="{9E8C8CFC-2E03-4614-93F8-A67142B1CD12}"/>
    <cellStyle name="百分比 4 3 2 12" xfId="6034" xr:uid="{5080F86F-A116-4677-8CD6-BE60ADE38F24}"/>
    <cellStyle name="百分比 4 3 2 13" xfId="6035" xr:uid="{A1129C39-6AFC-4FCB-8F6D-65AA21BDAFC8}"/>
    <cellStyle name="百分比 4 3 2 14" xfId="6036" xr:uid="{DD613629-4005-4730-AFE3-4654598F627F}"/>
    <cellStyle name="百分比 4 3 2 15" xfId="6037" xr:uid="{E0EC00D8-7BC3-4055-93F7-8552163C2A90}"/>
    <cellStyle name="百分比 4 3 2 16" xfId="6038" xr:uid="{D284B3A7-B4ED-4D2E-8D00-AA9B6656D72B}"/>
    <cellStyle name="百分比 4 3 2 17" xfId="6039" xr:uid="{7FF02750-013F-4350-9B9D-F31089772463}"/>
    <cellStyle name="百分比 4 3 2 18" xfId="33179" xr:uid="{97F77937-A946-4EFA-952D-D46786F9FED2}"/>
    <cellStyle name="百分比 4 3 2 2" xfId="6040" xr:uid="{96EAD00D-BF6B-4AD2-A937-55954CC95142}"/>
    <cellStyle name="百分比 4 3 2 2 2" xfId="6041" xr:uid="{974EEDDB-3842-422A-A040-C955B470A8A8}"/>
    <cellStyle name="百分比 4 3 2 2 2 2" xfId="6042" xr:uid="{A2F9AD0C-2592-4BD9-977E-C0E8D9905A13}"/>
    <cellStyle name="百分比 4 3 2 2 2 2 2" xfId="6043" xr:uid="{F89533D0-0DEB-4A16-ADBD-131F7B602B8A}"/>
    <cellStyle name="百分比 4 3 2 2 2 3" xfId="6044" xr:uid="{F8EA5E05-1969-42D6-BF4A-C7A9A986D888}"/>
    <cellStyle name="百分比 4 3 2 2 2 3 2" xfId="6045" xr:uid="{F62DA8F7-D853-40CD-9193-4D8822EA8B4E}"/>
    <cellStyle name="百分比 4 3 2 2 2 4" xfId="6046" xr:uid="{49C69D05-82E0-49A5-AEE3-22E6AD65B947}"/>
    <cellStyle name="百分比 4 3 2 2 2 4 2" xfId="33180" xr:uid="{C7DF7676-B82B-4D79-8A82-FC37A2CFA025}"/>
    <cellStyle name="百分比 4 3 2 2 2 5" xfId="6047" xr:uid="{0A0084BE-9A4E-4C5B-AF6E-490671CE865C}"/>
    <cellStyle name="百分比 4 3 2 2 2 6" xfId="6048" xr:uid="{49CA419F-BCF9-47E4-8234-C95E3719113C}"/>
    <cellStyle name="百分比 4 3 2 2 2 7" xfId="6049" xr:uid="{B4FB167F-8DD7-4E80-A1D9-8C9909AAF438}"/>
    <cellStyle name="百分比 4 3 2 2 3" xfId="6050" xr:uid="{0CEF730D-68A6-4BA0-A070-632430D55B68}"/>
    <cellStyle name="百分比 4 3 2 2 3 2" xfId="6051" xr:uid="{C39D5A74-E678-4FFE-8BCC-12E5C622B933}"/>
    <cellStyle name="百分比 4 3 2 2 4" xfId="6052" xr:uid="{A6B3B49F-AD07-4801-9B85-572C0BCCFF6F}"/>
    <cellStyle name="百分比 4 3 2 2 4 2" xfId="6053" xr:uid="{F5328614-E634-499F-927E-AEBF4B96217A}"/>
    <cellStyle name="百分比 4 3 2 2 5" xfId="6054" xr:uid="{E4DEE58D-5905-4902-9297-920DD3BBBEAD}"/>
    <cellStyle name="百分比 4 3 2 2 5 2" xfId="33181" xr:uid="{297050AE-CD13-4819-9A3A-63CE6CE1FCB4}"/>
    <cellStyle name="百分比 4 3 2 2 6" xfId="6055" xr:uid="{AF57C13D-8123-493B-A5CD-04C69C125A10}"/>
    <cellStyle name="百分比 4 3 2 2 7" xfId="6056" xr:uid="{0DA89F8F-136C-4D51-B536-CFA3E4B9885A}"/>
    <cellStyle name="百分比 4 3 2 2 8" xfId="6057" xr:uid="{75EA3776-8ADE-4F5F-8A53-C7A589C8D3EE}"/>
    <cellStyle name="百分比 4 3 2 3" xfId="6058" xr:uid="{2E96280F-2098-4D27-8773-FB4115CA8AFA}"/>
    <cellStyle name="百分比 4 3 2 3 2" xfId="6059" xr:uid="{C7AA3667-22D0-47CF-B957-192A5DD118E8}"/>
    <cellStyle name="百分比 4 3 2 3 2 2" xfId="6060" xr:uid="{315B8884-2F73-4A03-9273-AB08AF61F44C}"/>
    <cellStyle name="百分比 4 3 2 3 2 3" xfId="6061" xr:uid="{33C2BD08-911D-4DFE-B106-0352B7290B10}"/>
    <cellStyle name="百分比 4 3 2 3 2 4" xfId="6062" xr:uid="{39A6624F-938F-4BB6-815B-6CA051A9F385}"/>
    <cellStyle name="百分比 4 3 2 3 2 5" xfId="6063" xr:uid="{8A33D8A0-3972-4206-811F-1628E4A5F654}"/>
    <cellStyle name="百分比 4 3 2 3 2 6" xfId="6064" xr:uid="{8E924BF5-AC89-4BC5-A7E6-617C59AED49A}"/>
    <cellStyle name="百分比 4 3 2 3 2 7" xfId="6065" xr:uid="{3CD1B4AF-F898-4D07-AAAC-BD55F70F14E8}"/>
    <cellStyle name="百分比 4 3 2 3 3" xfId="6066" xr:uid="{5E002A41-C36C-4C97-B49C-7933946F13D6}"/>
    <cellStyle name="百分比 4 3 2 3 3 2" xfId="6067" xr:uid="{E0F6638E-FC28-4AD1-935F-38ABFEFB821F}"/>
    <cellStyle name="百分比 4 3 2 3 4" xfId="6068" xr:uid="{660DC3CD-26B4-4079-AE07-0F067165E62A}"/>
    <cellStyle name="百分比 4 3 2 3 4 2" xfId="33182" xr:uid="{FD197EF8-81A1-4A14-AAA5-F3BB58942D29}"/>
    <cellStyle name="百分比 4 3 2 3 5" xfId="6069" xr:uid="{26C5513D-B024-403D-948C-E1AB75453C49}"/>
    <cellStyle name="百分比 4 3 2 3 6" xfId="6070" xr:uid="{083137AC-2AAC-4B5C-95D7-A94A4D4E21F4}"/>
    <cellStyle name="百分比 4 3 2 3 7" xfId="6071" xr:uid="{D24747C8-1C8E-4A5C-8CC8-7C07D7B09626}"/>
    <cellStyle name="百分比 4 3 2 3 8" xfId="6072" xr:uid="{6A2F99B2-F371-4EFD-8616-64ECD97DB22A}"/>
    <cellStyle name="百分比 4 3 2 4" xfId="6073" xr:uid="{31BA94C5-B225-4C7A-B341-FADF407D799D}"/>
    <cellStyle name="百分比 4 3 2 4 2" xfId="6074" xr:uid="{E26A4145-B0D1-4BF4-91BA-8C7A93A1F953}"/>
    <cellStyle name="百分比 4 3 2 4 2 2" xfId="6075" xr:uid="{E4AA6D7F-5CB6-4D14-BE95-C05FD3BF0C3D}"/>
    <cellStyle name="百分比 4 3 2 4 2 3" xfId="6076" xr:uid="{038B9BFB-9205-4467-8451-A02570B4587C}"/>
    <cellStyle name="百分比 4 3 2 4 2 4" xfId="6077" xr:uid="{C1FF4FAC-972C-4DE3-8F00-AE677C00D6BF}"/>
    <cellStyle name="百分比 4 3 2 4 2 5" xfId="6078" xr:uid="{CA502DCD-DE2B-4275-B79F-B7C19E2E3186}"/>
    <cellStyle name="百分比 4 3 2 4 2 6" xfId="6079" xr:uid="{4365AB15-9B75-4C4F-A697-CC8B9E1EEFC3}"/>
    <cellStyle name="百分比 4 3 2 4 3" xfId="6080" xr:uid="{C19A3C3D-2379-40DF-93BE-40BFC353810F}"/>
    <cellStyle name="百分比 4 3 2 4 4" xfId="6081" xr:uid="{6854DC8C-0072-4FAB-9E24-192A4F70CF78}"/>
    <cellStyle name="百分比 4 3 2 4 5" xfId="6082" xr:uid="{2024650F-7F4A-45C1-8A94-F5B603C42465}"/>
    <cellStyle name="百分比 4 3 2 4 6" xfId="6083" xr:uid="{E5CAE0A8-5D3F-4CFE-BEF6-1CD3D8F0D0AF}"/>
    <cellStyle name="百分比 4 3 2 4 7" xfId="6084" xr:uid="{84905327-C9EC-479B-8B10-85E8F2D54A96}"/>
    <cellStyle name="百分比 4 3 2 4 8" xfId="6085" xr:uid="{D027A0CE-F343-41E7-A0B5-DB1CD4E0AD7E}"/>
    <cellStyle name="百分比 4 3 2 5" xfId="6086" xr:uid="{6438EACC-ACA9-458B-9088-48714943098F}"/>
    <cellStyle name="百分比 4 3 2 5 2" xfId="6087" xr:uid="{C77CF9AF-3956-4047-9ECD-3990BEBA8D2C}"/>
    <cellStyle name="百分比 4 3 2 5 2 2" xfId="6088" xr:uid="{F1E7C788-F187-43B0-B136-A2FCBB481C5E}"/>
    <cellStyle name="百分比 4 3 2 5 2 3" xfId="6089" xr:uid="{B8CC0904-54BF-4BEB-BC3B-4B0B6DA8D7F5}"/>
    <cellStyle name="百分比 4 3 2 5 2 4" xfId="6090" xr:uid="{BA162C8C-9176-4DC9-AFF2-6A99D1367052}"/>
    <cellStyle name="百分比 4 3 2 5 2 5" xfId="6091" xr:uid="{22DCD51B-9AD9-4C4A-994D-3B3BB6639165}"/>
    <cellStyle name="百分比 4 3 2 5 2 6" xfId="6092" xr:uid="{C0B00263-8E23-4FD9-8065-45482E376F8F}"/>
    <cellStyle name="百分比 4 3 2 5 3" xfId="6093" xr:uid="{F67CBAF9-1CAE-41D4-AFDB-F29490A57398}"/>
    <cellStyle name="百分比 4 3 2 5 4" xfId="6094" xr:uid="{F0C63D82-0976-4922-A2B3-B27887D7780C}"/>
    <cellStyle name="百分比 4 3 2 5 5" xfId="6095" xr:uid="{D2632E86-F98C-4452-A6A2-8A083FD5ED8B}"/>
    <cellStyle name="百分比 4 3 2 5 6" xfId="6096" xr:uid="{90DED4A3-60AF-4EA7-92FE-4A644CD2FEF8}"/>
    <cellStyle name="百分比 4 3 2 5 7" xfId="6097" xr:uid="{99BD584B-9137-402E-B0D7-E88C765821BA}"/>
    <cellStyle name="百分比 4 3 2 5 8" xfId="6098" xr:uid="{0A059CCA-3461-4EDE-910F-C312D3328B9E}"/>
    <cellStyle name="百分比 4 3 2 6" xfId="6099" xr:uid="{CDE3F783-6D76-4FA4-A688-FA7DCDCA9E7F}"/>
    <cellStyle name="百分比 4 3 2 6 2" xfId="6100" xr:uid="{004AD7AD-C59F-4244-AF43-BF965BCAF7D2}"/>
    <cellStyle name="百分比 4 3 2 6 2 2" xfId="6101" xr:uid="{8791DA1C-D9FC-4AC1-AA7A-61AE27A6FDFD}"/>
    <cellStyle name="百分比 4 3 2 6 2 3" xfId="6102" xr:uid="{13762D2E-28F0-4915-916F-8B76A984B75C}"/>
    <cellStyle name="百分比 4 3 2 6 2 4" xfId="6103" xr:uid="{FAB90A0D-3ED6-4A88-B7BB-9DA3E46F9DB1}"/>
    <cellStyle name="百分比 4 3 2 6 2 5" xfId="6104" xr:uid="{05A8C96D-5D80-4005-841A-DC345ABBE874}"/>
    <cellStyle name="百分比 4 3 2 6 2 6" xfId="6105" xr:uid="{C0CCF702-4F44-49AF-BDE6-51391B03EEA7}"/>
    <cellStyle name="百分比 4 3 2 6 3" xfId="6106" xr:uid="{B3A2D506-FEDE-4F9A-BD53-352B213ADEC2}"/>
    <cellStyle name="百分比 4 3 2 6 4" xfId="6107" xr:uid="{0212715E-6D9E-4E2D-BD63-B01C5D9B6CEC}"/>
    <cellStyle name="百分比 4 3 2 6 5" xfId="6108" xr:uid="{C69C2F15-A670-4273-83AE-1C6532DD684B}"/>
    <cellStyle name="百分比 4 3 2 6 6" xfId="6109" xr:uid="{91D37E7B-F4A4-4646-B56C-8DA1FF0FB58E}"/>
    <cellStyle name="百分比 4 3 2 6 7" xfId="6110" xr:uid="{DE4133FB-68FD-4B30-8915-D21690B18157}"/>
    <cellStyle name="百分比 4 3 2 6 8" xfId="33183" xr:uid="{7A175815-44FE-4E45-A5DF-D1BECFFD1581}"/>
    <cellStyle name="百分比 4 3 2 7" xfId="6111" xr:uid="{F378CD67-CF8A-4AF9-89F1-5D926543704F}"/>
    <cellStyle name="百分比 4 3 2 7 2" xfId="6112" xr:uid="{48C6DC89-0E7B-43F0-8BA4-9E8ECAD3473A}"/>
    <cellStyle name="百分比 4 3 2 7 2 2" xfId="6113" xr:uid="{7899B3D7-7FCF-4C66-890A-F3EAB336E71A}"/>
    <cellStyle name="百分比 4 3 2 7 2 3" xfId="6114" xr:uid="{6CBAC83C-AFC0-4BC2-A035-E4A15D106B32}"/>
    <cellStyle name="百分比 4 3 2 7 2 4" xfId="6115" xr:uid="{5BCCD2A8-F71D-4E0E-8919-75ECC42E1AFE}"/>
    <cellStyle name="百分比 4 3 2 7 2 5" xfId="6116" xr:uid="{775F7638-7E63-481C-A190-F78124F6899F}"/>
    <cellStyle name="百分比 4 3 2 7 2 6" xfId="6117" xr:uid="{E48A4201-A9ED-4A12-90A0-6FDE90B4A526}"/>
    <cellStyle name="百分比 4 3 2 7 3" xfId="6118" xr:uid="{8954AE05-186D-40C4-AC8C-64E6A11122AF}"/>
    <cellStyle name="百分比 4 3 2 7 4" xfId="6119" xr:uid="{7B791D45-3FA2-429D-86A6-1FFB65A3FE9B}"/>
    <cellStyle name="百分比 4 3 2 7 5" xfId="6120" xr:uid="{E5F8A757-C89A-4C6D-A060-43307F75615A}"/>
    <cellStyle name="百分比 4 3 2 7 6" xfId="6121" xr:uid="{ED48BF93-2FC3-4CB1-86FF-74CDE0B0BA20}"/>
    <cellStyle name="百分比 4 3 2 7 7" xfId="6122" xr:uid="{D3B6F17C-E701-44B2-A1B8-A3C36DAE7B24}"/>
    <cellStyle name="百分比 4 3 2 7 8" xfId="6123" xr:uid="{5994EFEC-9F6E-452D-A979-7D2566CB44D4}"/>
    <cellStyle name="百分比 4 3 2 8" xfId="6124" xr:uid="{44A7CDFF-6A3C-4017-A4D2-2E31D6DF6853}"/>
    <cellStyle name="百分比 4 3 2 8 2" xfId="6125" xr:uid="{BC81DD70-A337-4C69-860E-D83327C67B01}"/>
    <cellStyle name="百分比 4 3 2 8 2 2" xfId="6126" xr:uid="{8D2AF104-94DE-4D69-8E21-700B42B94C36}"/>
    <cellStyle name="百分比 4 3 2 8 2 3" xfId="6127" xr:uid="{5BD15B1F-7B1D-45C4-89D7-2341CD4556D4}"/>
    <cellStyle name="百分比 4 3 2 8 2 4" xfId="6128" xr:uid="{392F1BDE-E5FF-4CD4-820C-E3C6DA5EED43}"/>
    <cellStyle name="百分比 4 3 2 8 2 5" xfId="6129" xr:uid="{74501205-9C82-4585-9C4E-C244DC5DAE9C}"/>
    <cellStyle name="百分比 4 3 2 8 2 6" xfId="6130" xr:uid="{5B78FEF5-F854-4447-B031-7CCAC08268DE}"/>
    <cellStyle name="百分比 4 3 2 8 3" xfId="6131" xr:uid="{BA355718-4AE3-47ED-848D-8B767C23BED1}"/>
    <cellStyle name="百分比 4 3 2 8 4" xfId="6132" xr:uid="{C18C2801-BD7F-4C57-B6A2-3DA754517CFD}"/>
    <cellStyle name="百分比 4 3 2 8 5" xfId="6133" xr:uid="{F500B2CD-113D-4FF6-BDF3-2C2EB2144F8D}"/>
    <cellStyle name="百分比 4 3 2 8 6" xfId="6134" xr:uid="{DAD28F58-5928-4DBB-9E1B-0227EBCC9730}"/>
    <cellStyle name="百分比 4 3 2 8 7" xfId="6135" xr:uid="{B5537DDA-010E-4C1A-8064-BB62A6B85AF4}"/>
    <cellStyle name="百分比 4 3 2 9" xfId="6136" xr:uid="{73440DAB-6CC3-472A-B9B9-2D2103FB7616}"/>
    <cellStyle name="百分比 4 3 2 9 2" xfId="6137" xr:uid="{90ECA5A2-D1F5-4A9A-81FD-EC7CB843D105}"/>
    <cellStyle name="百分比 4 3 2 9 2 2" xfId="6138" xr:uid="{514463FD-A502-4BF4-A945-305F2D82D2C7}"/>
    <cellStyle name="百分比 4 3 2 9 2 3" xfId="6139" xr:uid="{2FBDF4F1-A130-4379-8140-C952B1A3122D}"/>
    <cellStyle name="百分比 4 3 2 9 2 4" xfId="6140" xr:uid="{AB5B7D9D-C904-4BC6-843B-1E796787BCEB}"/>
    <cellStyle name="百分比 4 3 2 9 2 5" xfId="6141" xr:uid="{BCC11334-062C-4B98-BE51-B83A9C5E2779}"/>
    <cellStyle name="百分比 4 3 2 9 2 6" xfId="6142" xr:uid="{65FFB578-C30A-43FC-B58D-0B1AE93745AB}"/>
    <cellStyle name="百分比 4 3 2 9 3" xfId="6143" xr:uid="{6A5D990F-A316-47C5-A054-DCCB40EA5294}"/>
    <cellStyle name="百分比 4 3 2 9 4" xfId="6144" xr:uid="{73F8957A-7AC0-472E-8213-91DB7FAE81FE}"/>
    <cellStyle name="百分比 4 3 2 9 5" xfId="6145" xr:uid="{4C97B0FF-1087-4878-97D9-7895E90CE324}"/>
    <cellStyle name="百分比 4 3 2 9 6" xfId="6146" xr:uid="{4091BEF8-4FCA-45B5-8386-6B58F62967E4}"/>
    <cellStyle name="百分比 4 3 2 9 7" xfId="6147" xr:uid="{742E91CD-9584-4566-8936-CE5D9FE2ABEF}"/>
    <cellStyle name="百分比 4 3 3" xfId="6148" xr:uid="{177A3A19-1D6A-4FF9-BAE5-174D2534BBA1}"/>
    <cellStyle name="百分比 4 3 3 10" xfId="6149" xr:uid="{EA273D5E-0F1F-4A20-82F6-5C0E9DF87739}"/>
    <cellStyle name="百分比 4 3 3 10 2" xfId="6150" xr:uid="{DB32802A-ABEF-4C33-8457-64F54B746F19}"/>
    <cellStyle name="百分比 4 3 3 10 3" xfId="6151" xr:uid="{3C710D30-3C83-453E-AF51-D8E9A54EA621}"/>
    <cellStyle name="百分比 4 3 3 10 4" xfId="6152" xr:uid="{E75EB4BC-7E4C-412F-8516-B475F82D6523}"/>
    <cellStyle name="百分比 4 3 3 10 5" xfId="6153" xr:uid="{E545CBA5-8EE3-4E8B-A577-C531BA4A72FE}"/>
    <cellStyle name="百分比 4 3 3 10 6" xfId="6154" xr:uid="{8B23FB07-42DE-412A-8FE1-8E798C67F433}"/>
    <cellStyle name="百分比 4 3 3 11" xfId="6155" xr:uid="{73B88700-863E-41D9-BBE8-1CE800A36091}"/>
    <cellStyle name="百分比 4 3 3 12" xfId="6156" xr:uid="{4A223A4F-F0F3-494F-8708-4D3646EFB239}"/>
    <cellStyle name="百分比 4 3 3 13" xfId="6157" xr:uid="{2E31C296-D144-4596-A3A7-816642C8E772}"/>
    <cellStyle name="百分比 4 3 3 14" xfId="6158" xr:uid="{441EA9E9-E7E5-4F9D-B170-2B2246A17095}"/>
    <cellStyle name="百分比 4 3 3 15" xfId="6159" xr:uid="{DCE83423-66D4-4810-A4F0-D9E69985534F}"/>
    <cellStyle name="百分比 4 3 3 16" xfId="6160" xr:uid="{E45AAE22-4A15-4103-963A-8F1E6652E292}"/>
    <cellStyle name="百分比 4 3 3 2" xfId="6161" xr:uid="{29403EB6-17FB-495F-BF1B-5B3AF4C4D237}"/>
    <cellStyle name="百分比 4 3 3 2 2" xfId="6162" xr:uid="{D0A4785D-D0F5-4843-B2EC-A7F50D839363}"/>
    <cellStyle name="百分比 4 3 3 2 2 2" xfId="6163" xr:uid="{BE91396A-A195-4E36-B268-9EE7167CB896}"/>
    <cellStyle name="百分比 4 3 3 2 2 3" xfId="6164" xr:uid="{3B2CF3F3-3CA9-4BDA-A8A1-A1609095969F}"/>
    <cellStyle name="百分比 4 3 3 2 2 4" xfId="6165" xr:uid="{6AC64D9B-C935-45FA-A224-66AEE0B01CD8}"/>
    <cellStyle name="百分比 4 3 3 2 2 5" xfId="6166" xr:uid="{C7267081-F6CF-4FB3-B042-6F14E8AD84DE}"/>
    <cellStyle name="百分比 4 3 3 2 2 6" xfId="6167" xr:uid="{608B66B6-AA54-40B7-BCF0-70BA75E31FA4}"/>
    <cellStyle name="百分比 4 3 3 2 2 7" xfId="6168" xr:uid="{93767731-B7B7-4D45-B641-B2C763BE0BF7}"/>
    <cellStyle name="百分比 4 3 3 2 3" xfId="6169" xr:uid="{3EC6D72C-0666-4419-8ED4-E0386E25C767}"/>
    <cellStyle name="百分比 4 3 3 2 3 2" xfId="6170" xr:uid="{B72DA72D-C850-4CF7-8C73-39890152205C}"/>
    <cellStyle name="百分比 4 3 3 2 4" xfId="6171" xr:uid="{0F062C67-B4EC-48FB-8644-66EC18870304}"/>
    <cellStyle name="百分比 4 3 3 2 4 2" xfId="33184" xr:uid="{2214278A-F691-42C0-949B-68577C781B32}"/>
    <cellStyle name="百分比 4 3 3 2 5" xfId="6172" xr:uid="{FBD9332E-8A71-4AB4-94E7-FE47CA398E83}"/>
    <cellStyle name="百分比 4 3 3 2 6" xfId="6173" xr:uid="{9A1F8548-A087-4291-8734-CF87F3A9E591}"/>
    <cellStyle name="百分比 4 3 3 2 7" xfId="6174" xr:uid="{4D837469-D1C7-4FA5-8CCF-ED1C26D5092A}"/>
    <cellStyle name="百分比 4 3 3 2 8" xfId="6175" xr:uid="{375A6F1E-5377-4166-BBD5-686A13785FB6}"/>
    <cellStyle name="百分比 4 3 3 3" xfId="6176" xr:uid="{D3CA9773-41AA-4652-8912-BC34F18E3052}"/>
    <cellStyle name="百分比 4 3 3 3 2" xfId="6177" xr:uid="{46139E59-A88F-422A-B68D-84DB6E9325C0}"/>
    <cellStyle name="百分比 4 3 3 3 2 2" xfId="6178" xr:uid="{C7E6180A-F82F-48ED-BF9A-46817E4B129F}"/>
    <cellStyle name="百分比 4 3 3 3 2 3" xfId="6179" xr:uid="{0E7046C0-5ED3-446A-866A-F26D4209E9CC}"/>
    <cellStyle name="百分比 4 3 3 3 2 4" xfId="6180" xr:uid="{31D6BD8D-9448-46BC-B480-0FDC7FDB8E7B}"/>
    <cellStyle name="百分比 4 3 3 3 2 5" xfId="6181" xr:uid="{CACC4918-AA28-44BA-91B0-E219FDD01F1C}"/>
    <cellStyle name="百分比 4 3 3 3 2 6" xfId="6182" xr:uid="{4F99CBC5-71CC-4069-8341-0133876FDF56}"/>
    <cellStyle name="百分比 4 3 3 3 2 7" xfId="6183" xr:uid="{09E6BCD7-4BAC-4574-ACA3-FEC638AC3EB0}"/>
    <cellStyle name="百分比 4 3 3 3 3" xfId="6184" xr:uid="{C0D70B2A-2C6E-4309-A37B-302AED136A24}"/>
    <cellStyle name="百分比 4 3 3 3 3 2" xfId="6185" xr:uid="{C23BCFDE-2EAE-46EF-A621-AC69CCA59510}"/>
    <cellStyle name="百分比 4 3 3 3 4" xfId="6186" xr:uid="{A54EF150-B2F7-4305-965F-F49410E91DED}"/>
    <cellStyle name="百分比 4 3 3 3 4 2" xfId="33185" xr:uid="{12B68CBB-85BC-48AD-A262-F93D01E6FCF8}"/>
    <cellStyle name="百分比 4 3 3 3 5" xfId="6187" xr:uid="{11F51072-C95A-4D05-8853-4EE0D92321A2}"/>
    <cellStyle name="百分比 4 3 3 3 6" xfId="6188" xr:uid="{D2935D01-0AE1-4AEC-926F-8E620B1F2C88}"/>
    <cellStyle name="百分比 4 3 3 3 7" xfId="6189" xr:uid="{ACE1908F-54EB-4284-97FE-6AB7D8555FBC}"/>
    <cellStyle name="百分比 4 3 3 3 8" xfId="6190" xr:uid="{FECB9AEC-F530-4400-B027-337273ECF7F1}"/>
    <cellStyle name="百分比 4 3 3 4" xfId="6191" xr:uid="{948C95AA-22B6-4258-8368-588674ADDE71}"/>
    <cellStyle name="百分比 4 3 3 4 2" xfId="6192" xr:uid="{12DF50AC-D519-4225-AF5A-31164B32D076}"/>
    <cellStyle name="百分比 4 3 3 4 2 2" xfId="6193" xr:uid="{17920682-CC7B-49DF-851E-EFF2305BF724}"/>
    <cellStyle name="百分比 4 3 3 4 2 3" xfId="6194" xr:uid="{A521CD32-F93B-4ACC-8451-B0D748335D81}"/>
    <cellStyle name="百分比 4 3 3 4 2 4" xfId="6195" xr:uid="{52325159-1A69-42E6-9A3C-C5838DFD117C}"/>
    <cellStyle name="百分比 4 3 3 4 2 5" xfId="6196" xr:uid="{ED93E62F-021F-421F-964B-ED82C7ACA719}"/>
    <cellStyle name="百分比 4 3 3 4 2 6" xfId="6197" xr:uid="{5113F32D-EE0F-4E87-8AAE-3E3CF39B1A9A}"/>
    <cellStyle name="百分比 4 3 3 4 3" xfId="6198" xr:uid="{50120BB0-4044-4198-84DF-00CDB826A1BE}"/>
    <cellStyle name="百分比 4 3 3 4 4" xfId="6199" xr:uid="{E9BD873A-395B-4381-A68B-1B828B779FFC}"/>
    <cellStyle name="百分比 4 3 3 4 5" xfId="6200" xr:uid="{8A6FE73F-D762-4543-8B99-C9C69676E276}"/>
    <cellStyle name="百分比 4 3 3 4 6" xfId="6201" xr:uid="{641B4BE2-869D-4897-94E4-6C6FF5C37931}"/>
    <cellStyle name="百分比 4 3 3 4 7" xfId="6202" xr:uid="{6E60E468-8059-4288-9D86-DA781E838DA3}"/>
    <cellStyle name="百分比 4 3 3 4 8" xfId="6203" xr:uid="{9E870D27-83B0-49F5-B40C-AF8D5C457F9E}"/>
    <cellStyle name="百分比 4 3 3 5" xfId="6204" xr:uid="{3580DF1E-8618-461D-B7AA-EB5A2C290853}"/>
    <cellStyle name="百分比 4 3 3 5 2" xfId="6205" xr:uid="{95605715-0738-4F4A-8E14-9D89DAD4E801}"/>
    <cellStyle name="百分比 4 3 3 5 2 2" xfId="6206" xr:uid="{8F42B6F6-3434-4CF3-912D-00B784F4A1C2}"/>
    <cellStyle name="百分比 4 3 3 5 2 3" xfId="6207" xr:uid="{102F2039-58AB-4977-BFB0-84FFA968B2A7}"/>
    <cellStyle name="百分比 4 3 3 5 2 4" xfId="6208" xr:uid="{810E4D94-D968-4FA1-BAD7-C5688C920498}"/>
    <cellStyle name="百分比 4 3 3 5 2 5" xfId="6209" xr:uid="{4E1838C0-D10D-4191-B51A-3E1ABD8AF521}"/>
    <cellStyle name="百分比 4 3 3 5 2 6" xfId="6210" xr:uid="{DCE9F57D-FE7A-4693-9AC4-43AB3619DBAF}"/>
    <cellStyle name="百分比 4 3 3 5 3" xfId="6211" xr:uid="{D2EBD12F-073A-4FAA-BFC9-7E631ECEB860}"/>
    <cellStyle name="百分比 4 3 3 5 4" xfId="6212" xr:uid="{AB06FFF6-5042-411A-90AD-72C651BEBE74}"/>
    <cellStyle name="百分比 4 3 3 5 5" xfId="6213" xr:uid="{5ECD72F6-954E-4C74-9EE3-601D539468E3}"/>
    <cellStyle name="百分比 4 3 3 5 6" xfId="6214" xr:uid="{6AB5AB4B-1CAD-48BB-A039-5F87A5473661}"/>
    <cellStyle name="百分比 4 3 3 5 7" xfId="6215" xr:uid="{8919ECB9-CCCC-4F44-B51B-61988C7590E4}"/>
    <cellStyle name="百分比 4 3 3 5 8" xfId="6216" xr:uid="{15CC3525-07B5-4B64-B1C0-9C82A4606D48}"/>
    <cellStyle name="百分比 4 3 3 6" xfId="6217" xr:uid="{2E5BDF06-0F80-4474-9D26-A68D33F2B95D}"/>
    <cellStyle name="百分比 4 3 3 6 2" xfId="6218" xr:uid="{E6849217-2F77-4946-A855-06C997FB179B}"/>
    <cellStyle name="百分比 4 3 3 6 2 2" xfId="6219" xr:uid="{8F8E7B17-98C8-4EA8-9F44-BF1C87F0544E}"/>
    <cellStyle name="百分比 4 3 3 6 2 3" xfId="6220" xr:uid="{EE8B04DC-C7DD-4F6F-BED5-F6524BDBEF61}"/>
    <cellStyle name="百分比 4 3 3 6 2 4" xfId="6221" xr:uid="{BB8DC9E4-39F6-415F-9061-4A75C65B03A2}"/>
    <cellStyle name="百分比 4 3 3 6 2 5" xfId="6222" xr:uid="{0744C46A-7899-45DA-8EB6-028F685276BB}"/>
    <cellStyle name="百分比 4 3 3 6 2 6" xfId="6223" xr:uid="{D611041B-FAA1-4274-8D96-F5CBD51C9E9D}"/>
    <cellStyle name="百分比 4 3 3 6 3" xfId="6224" xr:uid="{C88B0B84-DD5D-4C22-9EBC-579D48965E45}"/>
    <cellStyle name="百分比 4 3 3 6 4" xfId="6225" xr:uid="{D82842E7-B5B4-4F4E-8509-0E3240205C84}"/>
    <cellStyle name="百分比 4 3 3 6 5" xfId="6226" xr:uid="{356ADE87-A7E3-43A6-87E5-B2A1B36B5653}"/>
    <cellStyle name="百分比 4 3 3 6 6" xfId="6227" xr:uid="{4FD4474C-A9FC-40B1-8323-B4A3E12AAEE6}"/>
    <cellStyle name="百分比 4 3 3 6 7" xfId="6228" xr:uid="{96D00288-DB63-43D1-8182-2EDC6EB413BD}"/>
    <cellStyle name="百分比 4 3 3 6 8" xfId="33186" xr:uid="{039DA5BB-19A0-4BB6-8A2C-8B8F6C9E2F1B}"/>
    <cellStyle name="百分比 4 3 3 7" xfId="6229" xr:uid="{9A348DAA-F32B-43FA-8234-B2E01EC223FA}"/>
    <cellStyle name="百分比 4 3 3 7 2" xfId="6230" xr:uid="{B7B515E6-898D-4465-866F-B7647F29C78F}"/>
    <cellStyle name="百分比 4 3 3 7 2 2" xfId="6231" xr:uid="{1B2CF6DD-5458-49C7-9DAF-B1F99B67F703}"/>
    <cellStyle name="百分比 4 3 3 7 2 3" xfId="6232" xr:uid="{7EAAC0EB-D4F6-42F7-8DE2-AB54AC5A7014}"/>
    <cellStyle name="百分比 4 3 3 7 2 4" xfId="6233" xr:uid="{995DC043-7CC4-43B2-B856-9D986FE9D793}"/>
    <cellStyle name="百分比 4 3 3 7 2 5" xfId="6234" xr:uid="{97E7497E-793F-4C21-9AAE-5A71C88E2D27}"/>
    <cellStyle name="百分比 4 3 3 7 2 6" xfId="6235" xr:uid="{ED42B1DD-CAE8-41F1-8C8B-C732FCCB6906}"/>
    <cellStyle name="百分比 4 3 3 7 3" xfId="6236" xr:uid="{BDE782E4-1BF4-48E5-85E4-7E2C207CADD4}"/>
    <cellStyle name="百分比 4 3 3 7 4" xfId="6237" xr:uid="{4EE16409-18A8-4192-A79E-404A0D1B2C47}"/>
    <cellStyle name="百分比 4 3 3 7 5" xfId="6238" xr:uid="{A06AB72D-868D-4C35-A902-252FFDB57209}"/>
    <cellStyle name="百分比 4 3 3 7 6" xfId="6239" xr:uid="{292DD387-62E2-44F6-80D8-F876C9CA7C73}"/>
    <cellStyle name="百分比 4 3 3 7 7" xfId="6240" xr:uid="{EAF9C132-BDA8-4084-A2FA-0235D5C457D7}"/>
    <cellStyle name="百分比 4 3 3 8" xfId="6241" xr:uid="{6CA7A10E-1E88-4AA6-A2AF-46F33AE356EA}"/>
    <cellStyle name="百分比 4 3 3 8 2" xfId="6242" xr:uid="{DA5D120E-15B5-453B-9E8A-6578CECA6047}"/>
    <cellStyle name="百分比 4 3 3 8 2 2" xfId="6243" xr:uid="{B3819E80-C834-436E-900C-5D74F7CAA8C8}"/>
    <cellStyle name="百分比 4 3 3 8 2 3" xfId="6244" xr:uid="{2AA77E04-0786-471D-A6FA-20EAF316B59B}"/>
    <cellStyle name="百分比 4 3 3 8 2 4" xfId="6245" xr:uid="{E2BC2248-FC76-4C34-8863-7D842F24E4D4}"/>
    <cellStyle name="百分比 4 3 3 8 2 5" xfId="6246" xr:uid="{C8935E3B-BD10-4757-AFBA-03E984826FA6}"/>
    <cellStyle name="百分比 4 3 3 8 2 6" xfId="6247" xr:uid="{529C1EF0-83CF-459E-907B-8B9DDACA7B95}"/>
    <cellStyle name="百分比 4 3 3 8 3" xfId="6248" xr:uid="{A432C4A2-0340-46D1-A2FD-09EEFA776C27}"/>
    <cellStyle name="百分比 4 3 3 8 4" xfId="6249" xr:uid="{311FAC73-2713-406D-9C34-FA775BB35A53}"/>
    <cellStyle name="百分比 4 3 3 8 5" xfId="6250" xr:uid="{DFF8E880-2B03-4664-A367-CF0ACAA6827A}"/>
    <cellStyle name="百分比 4 3 3 8 6" xfId="6251" xr:uid="{C7975F79-E6D9-449F-AF0A-F165F7F5E3F9}"/>
    <cellStyle name="百分比 4 3 3 8 7" xfId="6252" xr:uid="{A0DCA38A-6C32-4B02-94CA-20735CAB133A}"/>
    <cellStyle name="百分比 4 3 3 9" xfId="6253" xr:uid="{D3A0414F-A7E2-4E58-AE38-97BF34D09DCA}"/>
    <cellStyle name="百分比 4 3 3 9 2" xfId="6254" xr:uid="{69C8DA67-3ABE-44CC-A762-5A0E9C5DFB40}"/>
    <cellStyle name="百分比 4 3 3 9 2 2" xfId="6255" xr:uid="{02E68E98-3408-4DA1-927D-5DFFBFDC8736}"/>
    <cellStyle name="百分比 4 3 3 9 2 3" xfId="6256" xr:uid="{F26B666D-8202-415F-BEAA-2C6804031E60}"/>
    <cellStyle name="百分比 4 3 3 9 2 4" xfId="6257" xr:uid="{B5406A18-19BE-4498-9F52-7F43D941EBDC}"/>
    <cellStyle name="百分比 4 3 3 9 2 5" xfId="6258" xr:uid="{F2351413-92A7-40A6-B4BC-ACC4CA55B40E}"/>
    <cellStyle name="百分比 4 3 3 9 2 6" xfId="6259" xr:uid="{57545909-620A-40A9-9C88-2440AAE83EF1}"/>
    <cellStyle name="百分比 4 3 3 9 3" xfId="6260" xr:uid="{F0B4F685-DC34-4473-9FD9-5B2C935477E8}"/>
    <cellStyle name="百分比 4 3 3 9 4" xfId="6261" xr:uid="{19747770-465B-40C2-A68D-59F4B24611FB}"/>
    <cellStyle name="百分比 4 3 3 9 5" xfId="6262" xr:uid="{F6A2B18F-D82F-423B-87B8-9B56494E7274}"/>
    <cellStyle name="百分比 4 3 3 9 6" xfId="6263" xr:uid="{5A070CD7-4C01-46F0-852B-EF67660F733B}"/>
    <cellStyle name="百分比 4 3 3 9 7" xfId="6264" xr:uid="{23DE4953-F865-4776-AC99-CE1206FE83C0}"/>
    <cellStyle name="百分比 4 3 4" xfId="6265" xr:uid="{B4F5A2BC-2961-4602-8E61-6841CC566DFD}"/>
    <cellStyle name="百分比 4 3 4 10" xfId="6266" xr:uid="{8CD2D792-EE9A-4B27-AF2E-ACFEF0E152BE}"/>
    <cellStyle name="百分比 4 3 4 10 2" xfId="6267" xr:uid="{7F004C6C-D819-4D23-B515-EFE8679B86C0}"/>
    <cellStyle name="百分比 4 3 4 10 3" xfId="6268" xr:uid="{65146670-312C-48C0-B597-DDFBD37297B1}"/>
    <cellStyle name="百分比 4 3 4 10 4" xfId="6269" xr:uid="{B524D896-1DE4-42EF-8431-E08DF12AFAAC}"/>
    <cellStyle name="百分比 4 3 4 10 5" xfId="6270" xr:uid="{0D2613A4-181F-4737-A8FF-A1AA9AFCCD45}"/>
    <cellStyle name="百分比 4 3 4 10 6" xfId="6271" xr:uid="{5077006B-C2E4-430D-B680-F7C707E18547}"/>
    <cellStyle name="百分比 4 3 4 11" xfId="6272" xr:uid="{FF007CD7-9EA3-446D-8CB6-6C686B2AE2FF}"/>
    <cellStyle name="百分比 4 3 4 12" xfId="6273" xr:uid="{7078E43F-254C-4769-8B6A-2FCB5EC2B050}"/>
    <cellStyle name="百分比 4 3 4 13" xfId="6274" xr:uid="{4C403B10-0D0D-429B-800B-46AD89D197A4}"/>
    <cellStyle name="百分比 4 3 4 14" xfId="6275" xr:uid="{DA909697-A399-4E5C-A0D5-E2F05F9E4E06}"/>
    <cellStyle name="百分比 4 3 4 15" xfId="6276" xr:uid="{E07654F8-D165-46EA-84A2-63595AA17BAF}"/>
    <cellStyle name="百分比 4 3 4 16" xfId="6277" xr:uid="{9E8B3FF0-004E-4A1B-841D-62D61AFD2D09}"/>
    <cellStyle name="百分比 4 3 4 2" xfId="6278" xr:uid="{94020B35-F03D-4C98-8713-41FA3E2D9592}"/>
    <cellStyle name="百分比 4 3 4 2 2" xfId="6279" xr:uid="{7331169C-8A1F-4CBB-B54E-CE3E4611226B}"/>
    <cellStyle name="百分比 4 3 4 2 2 2" xfId="6280" xr:uid="{3BC09B90-76A4-41B8-93BA-9E2ECBF1EA77}"/>
    <cellStyle name="百分比 4 3 4 2 2 3" xfId="6281" xr:uid="{38B76860-B8FE-4EB5-B740-756C011DF1B5}"/>
    <cellStyle name="百分比 4 3 4 2 2 4" xfId="6282" xr:uid="{030920A3-F3E7-4DEC-BF0E-B67FDBFD2E3B}"/>
    <cellStyle name="百分比 4 3 4 2 2 5" xfId="6283" xr:uid="{90F96266-939B-44A9-87BE-CE7701994C5F}"/>
    <cellStyle name="百分比 4 3 4 2 2 6" xfId="6284" xr:uid="{38C75BA9-0DC3-4C5E-92DF-40432AF42147}"/>
    <cellStyle name="百分比 4 3 4 2 3" xfId="6285" xr:uid="{CDA82065-D55A-4BDE-BB7A-04C409D80247}"/>
    <cellStyle name="百分比 4 3 4 2 4" xfId="6286" xr:uid="{AE340837-0BB9-4D91-9FC7-4EA6B10E6310}"/>
    <cellStyle name="百分比 4 3 4 2 5" xfId="6287" xr:uid="{ED676453-7931-4698-9F79-F0294EFC1C19}"/>
    <cellStyle name="百分比 4 3 4 2 6" xfId="6288" xr:uid="{9801B9C0-CAAD-4B95-AEB3-414D8EEC9D76}"/>
    <cellStyle name="百分比 4 3 4 2 7" xfId="6289" xr:uid="{CD6CD355-856F-4C26-B9AE-1F1B31EA33BB}"/>
    <cellStyle name="百分比 4 3 4 2 8" xfId="6290" xr:uid="{3C6FB92F-4BD1-438A-B69B-DB6AC525F4FE}"/>
    <cellStyle name="百分比 4 3 4 3" xfId="6291" xr:uid="{103CACD8-2167-4EA1-94CF-0AEE6C80DAF8}"/>
    <cellStyle name="百分比 4 3 4 3 2" xfId="6292" xr:uid="{CC3CD057-D501-48D2-9493-FA2B0BF8EAED}"/>
    <cellStyle name="百分比 4 3 4 3 2 2" xfId="6293" xr:uid="{4E1D60E8-D0CD-42E7-A63F-342AFA9F3178}"/>
    <cellStyle name="百分比 4 3 4 3 2 3" xfId="6294" xr:uid="{9BABC5D6-ADD0-460F-A71B-43318A00BE59}"/>
    <cellStyle name="百分比 4 3 4 3 2 4" xfId="6295" xr:uid="{A683F0BF-81CB-42BD-9CC4-686500529543}"/>
    <cellStyle name="百分比 4 3 4 3 2 5" xfId="6296" xr:uid="{E43FC3BC-B3FA-4267-B19F-AEAE0E198C5D}"/>
    <cellStyle name="百分比 4 3 4 3 2 6" xfId="6297" xr:uid="{CCEF5AC5-BDA6-446D-BE34-9746F3D7A027}"/>
    <cellStyle name="百分比 4 3 4 3 3" xfId="6298" xr:uid="{17B0D295-2660-4C1F-9A29-AFB3FE71A12A}"/>
    <cellStyle name="百分比 4 3 4 3 4" xfId="6299" xr:uid="{6D236173-D23E-4FFE-82AF-6709FE2E624B}"/>
    <cellStyle name="百分比 4 3 4 3 5" xfId="6300" xr:uid="{48DAF6C7-B76B-4744-BD81-AF65FB961F45}"/>
    <cellStyle name="百分比 4 3 4 3 6" xfId="6301" xr:uid="{73EF7BA6-11DE-4DE5-8A00-724A57F0EF8E}"/>
    <cellStyle name="百分比 4 3 4 3 7" xfId="6302" xr:uid="{9E6D9A58-95FB-4C44-8F9B-8AA1FC5066F9}"/>
    <cellStyle name="百分比 4 3 4 3 8" xfId="6303" xr:uid="{9FC4709B-FAC7-4399-8096-8179A5E5F301}"/>
    <cellStyle name="百分比 4 3 4 4" xfId="6304" xr:uid="{921B8AB8-56A2-4FF0-BE18-F1F77A5FA5D1}"/>
    <cellStyle name="百分比 4 3 4 4 2" xfId="6305" xr:uid="{C2699CF5-4BEB-488C-BC04-2AE6FF2AAE1E}"/>
    <cellStyle name="百分比 4 3 4 4 2 2" xfId="6306" xr:uid="{A78919AE-D91B-49C2-B35F-46DDD82B5016}"/>
    <cellStyle name="百分比 4 3 4 4 2 3" xfId="6307" xr:uid="{A840A6E8-0484-42BE-8F9B-F55A5725D8CA}"/>
    <cellStyle name="百分比 4 3 4 4 2 4" xfId="6308" xr:uid="{CEEF5597-1A50-4572-8733-72C87D4FE612}"/>
    <cellStyle name="百分比 4 3 4 4 2 5" xfId="6309" xr:uid="{2C3735F6-2DEA-4070-BD6C-7E44A3ED60E7}"/>
    <cellStyle name="百分比 4 3 4 4 2 6" xfId="6310" xr:uid="{C44BF7A3-7C01-4F18-A1C6-F306AB1645B3}"/>
    <cellStyle name="百分比 4 3 4 4 3" xfId="6311" xr:uid="{38984573-7C4C-448D-8837-985B724F1314}"/>
    <cellStyle name="百分比 4 3 4 4 4" xfId="6312" xr:uid="{A0370C54-FE9E-4478-B30A-F9EC73C61BCB}"/>
    <cellStyle name="百分比 4 3 4 4 5" xfId="6313" xr:uid="{BDBCA773-977A-4846-B4B9-B458947AF11A}"/>
    <cellStyle name="百分比 4 3 4 4 6" xfId="6314" xr:uid="{7F26D30D-9216-485C-AA7C-ACDCAB7AEC63}"/>
    <cellStyle name="百分比 4 3 4 4 7" xfId="6315" xr:uid="{9AA26DDD-A8E3-422D-A81E-21E82675DDC2}"/>
    <cellStyle name="百分比 4 3 4 4 8" xfId="33187" xr:uid="{83E2A803-3359-43D9-BCCE-24B9879FB892}"/>
    <cellStyle name="百分比 4 3 4 5" xfId="6316" xr:uid="{35CB3C56-73AD-4953-AD00-8044B8B27134}"/>
    <cellStyle name="百分比 4 3 4 5 2" xfId="6317" xr:uid="{6395FFF2-EBEC-4F73-8C30-DD534AC7618E}"/>
    <cellStyle name="百分比 4 3 4 5 2 2" xfId="6318" xr:uid="{8E759E85-2D92-4467-B48C-ED18E6BCA597}"/>
    <cellStyle name="百分比 4 3 4 5 2 3" xfId="6319" xr:uid="{9321532A-26AA-45A2-8E02-3C1E08F94FBA}"/>
    <cellStyle name="百分比 4 3 4 5 2 4" xfId="6320" xr:uid="{AE6E3CCB-69D8-4C93-8248-B80E332E7A96}"/>
    <cellStyle name="百分比 4 3 4 5 2 5" xfId="6321" xr:uid="{F44A9202-D738-4A04-AA5B-4EE887A95415}"/>
    <cellStyle name="百分比 4 3 4 5 2 6" xfId="6322" xr:uid="{849BD2C2-5EDA-4E5D-832D-5C3AF9CEBEC7}"/>
    <cellStyle name="百分比 4 3 4 5 3" xfId="6323" xr:uid="{9EBFF423-E865-4A94-810E-B4D4BC1BEE18}"/>
    <cellStyle name="百分比 4 3 4 5 4" xfId="6324" xr:uid="{53B81449-B61E-48C4-B145-62A0255BDF9C}"/>
    <cellStyle name="百分比 4 3 4 5 5" xfId="6325" xr:uid="{6C001467-BD8C-43F9-B943-754BC8BA3E49}"/>
    <cellStyle name="百分比 4 3 4 5 6" xfId="6326" xr:uid="{DF6C8A78-A24C-4DA8-81AF-8E69CF15F8DA}"/>
    <cellStyle name="百分比 4 3 4 5 7" xfId="6327" xr:uid="{96C46C71-57CE-4348-8A00-D5AF76B1EED5}"/>
    <cellStyle name="百分比 4 3 4 6" xfId="6328" xr:uid="{4696D207-5E56-40BA-8F40-D0072A7B78D8}"/>
    <cellStyle name="百分比 4 3 4 6 2" xfId="6329" xr:uid="{601B2627-445A-4D0E-A355-5DBA6B336449}"/>
    <cellStyle name="百分比 4 3 4 6 2 2" xfId="6330" xr:uid="{044940ED-E6F5-4136-9619-74892A498B7D}"/>
    <cellStyle name="百分比 4 3 4 6 2 3" xfId="6331" xr:uid="{7108EB05-4C4E-4542-AE3F-72666AA04F2A}"/>
    <cellStyle name="百分比 4 3 4 6 2 4" xfId="6332" xr:uid="{F5A9DBB9-B1E6-4EAC-8BD9-6B4EDCDFA018}"/>
    <cellStyle name="百分比 4 3 4 6 2 5" xfId="6333" xr:uid="{2F5B6057-4752-43B3-93E7-7AEE4A864188}"/>
    <cellStyle name="百分比 4 3 4 6 2 6" xfId="6334" xr:uid="{2E3D969C-6510-4DF9-94AC-E6CC6D59D275}"/>
    <cellStyle name="百分比 4 3 4 6 3" xfId="6335" xr:uid="{ADD8CA51-6B40-493C-8239-520001BB600D}"/>
    <cellStyle name="百分比 4 3 4 6 4" xfId="6336" xr:uid="{07D40D67-2918-4509-86AE-44A8750C0142}"/>
    <cellStyle name="百分比 4 3 4 6 5" xfId="6337" xr:uid="{442218B1-F4A9-41B9-B5B2-B2BEB5E6221A}"/>
    <cellStyle name="百分比 4 3 4 6 6" xfId="6338" xr:uid="{3033A74B-C6EB-41A2-B715-3A1D67BE9341}"/>
    <cellStyle name="百分比 4 3 4 6 7" xfId="6339" xr:uid="{C56657B4-BD6F-40DA-9936-FBC5F84DA3AA}"/>
    <cellStyle name="百分比 4 3 4 7" xfId="6340" xr:uid="{13BEBED3-5AD0-4602-A879-A23D49EDAFF3}"/>
    <cellStyle name="百分比 4 3 4 7 2" xfId="6341" xr:uid="{AA38EF6A-1CB9-4DA1-8D8E-DBF9EF131EF7}"/>
    <cellStyle name="百分比 4 3 4 7 2 2" xfId="6342" xr:uid="{71E5A33D-E8FE-43D7-95AB-BB77B0552296}"/>
    <cellStyle name="百分比 4 3 4 7 2 3" xfId="6343" xr:uid="{2DE67347-C6D5-4E5B-A7AB-AA9F933EC2C8}"/>
    <cellStyle name="百分比 4 3 4 7 2 4" xfId="6344" xr:uid="{11DDF968-050A-443E-A34E-E18293CE0F46}"/>
    <cellStyle name="百分比 4 3 4 7 2 5" xfId="6345" xr:uid="{E2ABD590-F883-4670-BE71-AF0787AE93A6}"/>
    <cellStyle name="百分比 4 3 4 7 2 6" xfId="6346" xr:uid="{6BD4C6C3-B942-4F28-BA2A-86CDEADC56C1}"/>
    <cellStyle name="百分比 4 3 4 7 3" xfId="6347" xr:uid="{5E9E83D9-EF8B-427F-A485-B369B3CE02E9}"/>
    <cellStyle name="百分比 4 3 4 7 4" xfId="6348" xr:uid="{6F3FEF22-A184-416C-AEC1-4B868DF8BBB8}"/>
    <cellStyle name="百分比 4 3 4 7 5" xfId="6349" xr:uid="{4E606D83-67F1-43CA-BE37-632C49F2449F}"/>
    <cellStyle name="百分比 4 3 4 7 6" xfId="6350" xr:uid="{D5C7DF84-8D90-4824-BF0B-0195825C8FDA}"/>
    <cellStyle name="百分比 4 3 4 7 7" xfId="6351" xr:uid="{1700D604-F5FD-4196-9248-968462C7E27C}"/>
    <cellStyle name="百分比 4 3 4 8" xfId="6352" xr:uid="{995353D0-21B6-4811-A2AA-0734195481AF}"/>
    <cellStyle name="百分比 4 3 4 8 2" xfId="6353" xr:uid="{1FCBD4A0-55B2-4697-A5B6-6F4023B6353B}"/>
    <cellStyle name="百分比 4 3 4 8 2 2" xfId="6354" xr:uid="{545D0ACF-9AD5-48F9-AD3E-626F64C5812E}"/>
    <cellStyle name="百分比 4 3 4 8 2 3" xfId="6355" xr:uid="{A6C9B1B6-EC5F-401F-AAF5-65C61756B0A6}"/>
    <cellStyle name="百分比 4 3 4 8 2 4" xfId="6356" xr:uid="{12780A35-2C08-4C34-BCD3-FAE6A937F8B0}"/>
    <cellStyle name="百分比 4 3 4 8 2 5" xfId="6357" xr:uid="{5DD6AC3B-0FF5-4B5C-B689-30C623CCEC25}"/>
    <cellStyle name="百分比 4 3 4 8 2 6" xfId="6358" xr:uid="{6EE2E371-3D6F-4136-984C-A952AFD78C53}"/>
    <cellStyle name="百分比 4 3 4 8 3" xfId="6359" xr:uid="{F3D02FEB-7E75-480D-AB05-3D0DF50B8379}"/>
    <cellStyle name="百分比 4 3 4 8 4" xfId="6360" xr:uid="{77107385-744A-40EF-8031-9CDDCDB228B5}"/>
    <cellStyle name="百分比 4 3 4 8 5" xfId="6361" xr:uid="{5C46AF07-0D65-459C-8D3A-B321DE95111D}"/>
    <cellStyle name="百分比 4 3 4 8 6" xfId="6362" xr:uid="{50430437-5C62-4E09-9334-CCEDD5467C21}"/>
    <cellStyle name="百分比 4 3 4 8 7" xfId="6363" xr:uid="{EF609AE5-603B-4866-96FD-3CDE3DC23282}"/>
    <cellStyle name="百分比 4 3 4 9" xfId="6364" xr:uid="{4E66246B-653A-4F71-8CD7-22D93E174774}"/>
    <cellStyle name="百分比 4 3 4 9 2" xfId="6365" xr:uid="{D7E9B29B-44E6-43DC-B4F5-B3C34EAA2216}"/>
    <cellStyle name="百分比 4 3 4 9 2 2" xfId="6366" xr:uid="{A6213BCF-C3A7-4A4A-8A53-7874AE961295}"/>
    <cellStyle name="百分比 4 3 4 9 2 3" xfId="6367" xr:uid="{7A01CD60-D193-4441-85C2-74A5704F8B0F}"/>
    <cellStyle name="百分比 4 3 4 9 2 4" xfId="6368" xr:uid="{85E65AE9-9F3D-482C-BD06-01C009FC0EFA}"/>
    <cellStyle name="百分比 4 3 4 9 2 5" xfId="6369" xr:uid="{4CF54EEF-E47E-4E7A-A8F7-1E8EE544D395}"/>
    <cellStyle name="百分比 4 3 4 9 2 6" xfId="6370" xr:uid="{954004CF-4C40-4405-B60F-8B2A3DB3060A}"/>
    <cellStyle name="百分比 4 3 4 9 3" xfId="6371" xr:uid="{62500EB6-0573-41C4-9FB3-42EE5E5384FD}"/>
    <cellStyle name="百分比 4 3 4 9 4" xfId="6372" xr:uid="{0AC537E1-6AEE-4676-BE0E-2C6E407FB6F9}"/>
    <cellStyle name="百分比 4 3 4 9 5" xfId="6373" xr:uid="{50DF5D99-54B8-4860-B9DA-B7A134A8F2BC}"/>
    <cellStyle name="百分比 4 3 4 9 6" xfId="6374" xr:uid="{F4686507-2A68-443F-A0A6-E9800173B2A1}"/>
    <cellStyle name="百分比 4 3 4 9 7" xfId="6375" xr:uid="{9F607F35-42CB-4219-9DFB-C6457A06CA78}"/>
    <cellStyle name="百分比 4 3 5" xfId="6376" xr:uid="{09F799F3-4850-4A0A-88F7-9EBB24DFA689}"/>
    <cellStyle name="百分比 4 3 5 10" xfId="6377" xr:uid="{C384B08E-2CB2-48B4-8384-484672E9DAB7}"/>
    <cellStyle name="百分比 4 3 5 11" xfId="6378" xr:uid="{5988CBAE-90C8-4BE9-B73B-D9D0A9A95D42}"/>
    <cellStyle name="百分比 4 3 5 12" xfId="6379" xr:uid="{5DC604A1-A068-4318-8F8E-1789697B6BC1}"/>
    <cellStyle name="百分比 4 3 5 13" xfId="6380" xr:uid="{79289E2D-7433-45B7-AB2C-49C46ED979A2}"/>
    <cellStyle name="百分比 4 3 5 14" xfId="6381" xr:uid="{A5C3B0D2-2BF7-44A0-BF79-CA479E060AA8}"/>
    <cellStyle name="百分比 4 3 5 15" xfId="6382" xr:uid="{39E38310-AD2A-4887-A065-4FBB4338230F}"/>
    <cellStyle name="百分比 4 3 5 2" xfId="6383" xr:uid="{D36D0EC5-9132-456B-A964-6FA7A473731E}"/>
    <cellStyle name="百分比 4 3 5 2 2" xfId="6384" xr:uid="{CD12E39F-521E-4679-BFD7-EB556973CBD1}"/>
    <cellStyle name="百分比 4 3 5 2 2 2" xfId="6385" xr:uid="{3943478A-50B1-4F6F-8654-137A9EC73940}"/>
    <cellStyle name="百分比 4 3 5 2 2 3" xfId="6386" xr:uid="{B8F6541E-A460-4D95-999D-E12F752E6133}"/>
    <cellStyle name="百分比 4 3 5 2 2 4" xfId="6387" xr:uid="{6494FC3A-8692-4727-AD1B-F20EE5683012}"/>
    <cellStyle name="百分比 4 3 5 2 2 5" xfId="6388" xr:uid="{837B8071-3F46-4678-AF7D-582DF2264850}"/>
    <cellStyle name="百分比 4 3 5 2 2 6" xfId="6389" xr:uid="{8570CE58-3222-4E0A-9069-B2216F66B737}"/>
    <cellStyle name="百分比 4 3 5 2 3" xfId="6390" xr:uid="{02938F79-7810-4446-BBFA-31AF87200782}"/>
    <cellStyle name="百分比 4 3 5 2 4" xfId="6391" xr:uid="{5ED64F9A-8594-4A74-BDE9-2755600DE858}"/>
    <cellStyle name="百分比 4 3 5 2 5" xfId="6392" xr:uid="{09C6D09D-1404-4C53-BA94-7723622765CD}"/>
    <cellStyle name="百分比 4 3 5 2 6" xfId="6393" xr:uid="{63A0B527-2759-4957-A189-5CBC1011B013}"/>
    <cellStyle name="百分比 4 3 5 2 7" xfId="6394" xr:uid="{F860F2D4-9D28-41E5-8484-77D537F14B19}"/>
    <cellStyle name="百分比 4 3 5 2 8" xfId="6395" xr:uid="{2002CDA0-CC0B-4EEE-9D91-7BBB186B93C1}"/>
    <cellStyle name="百分比 4 3 5 3" xfId="6396" xr:uid="{1B3531BF-ECB9-4D0D-BD29-939FAB3A4FD6}"/>
    <cellStyle name="百分比 4 3 5 3 2" xfId="6397" xr:uid="{A5A2AEF9-1C58-4A7E-BFF5-B0BF210537F3}"/>
    <cellStyle name="百分比 4 3 5 3 2 2" xfId="6398" xr:uid="{0DF73299-DF65-4F2E-B755-79DB9B261D3E}"/>
    <cellStyle name="百分比 4 3 5 3 2 3" xfId="6399" xr:uid="{B8996F87-6EA5-45D6-904C-095B09533B04}"/>
    <cellStyle name="百分比 4 3 5 3 2 4" xfId="6400" xr:uid="{2D980B89-A3B2-4E77-8588-8FC347064B76}"/>
    <cellStyle name="百分比 4 3 5 3 2 5" xfId="6401" xr:uid="{0803C373-503A-44D5-8452-E5DE6EE7817F}"/>
    <cellStyle name="百分比 4 3 5 3 2 6" xfId="6402" xr:uid="{F91CB4B2-83B7-47B2-930A-2CE62DA0D651}"/>
    <cellStyle name="百分比 4 3 5 3 3" xfId="6403" xr:uid="{2C20FD11-AB6C-46B3-A14A-5B6FA48FB4C7}"/>
    <cellStyle name="百分比 4 3 5 3 4" xfId="6404" xr:uid="{7C3A943F-1F76-4432-A631-C824355DD524}"/>
    <cellStyle name="百分比 4 3 5 3 5" xfId="6405" xr:uid="{1720EDB3-C5BA-4BE8-8589-67F5E9F099D2}"/>
    <cellStyle name="百分比 4 3 5 3 6" xfId="6406" xr:uid="{8E66BA71-4289-465F-ABF2-752A53EBB173}"/>
    <cellStyle name="百分比 4 3 5 3 7" xfId="6407" xr:uid="{907613EA-B812-4F09-8650-1BE54D97812E}"/>
    <cellStyle name="百分比 4 3 5 3 8" xfId="6408" xr:uid="{345F4B96-B11A-4321-9D2B-613E696F2171}"/>
    <cellStyle name="百分比 4 3 5 4" xfId="6409" xr:uid="{2A312020-87B5-42F5-BC53-52B1BA29EC0A}"/>
    <cellStyle name="百分比 4 3 5 4 2" xfId="6410" xr:uid="{73BA9E51-5EC5-469A-BB6F-7460009E6942}"/>
    <cellStyle name="百分比 4 3 5 4 2 2" xfId="6411" xr:uid="{EC0252EA-3B21-4E65-947A-5C8354B82494}"/>
    <cellStyle name="百分比 4 3 5 4 2 3" xfId="6412" xr:uid="{3F3C63E6-C2E9-499D-907C-A65AAC023862}"/>
    <cellStyle name="百分比 4 3 5 4 2 4" xfId="6413" xr:uid="{D1E7D83C-4EED-4BF4-B136-8884FDB9E423}"/>
    <cellStyle name="百分比 4 3 5 4 2 5" xfId="6414" xr:uid="{BCA0CA40-50C0-4543-BC09-963B47476CBA}"/>
    <cellStyle name="百分比 4 3 5 4 2 6" xfId="6415" xr:uid="{29E25891-6A55-4404-B8B5-7BE1DC9849C7}"/>
    <cellStyle name="百分比 4 3 5 4 3" xfId="6416" xr:uid="{56C91E6B-1EAF-46C9-B736-3AE2342E5048}"/>
    <cellStyle name="百分比 4 3 5 4 4" xfId="6417" xr:uid="{C9A2D648-0F57-444E-9606-DDFC267B401A}"/>
    <cellStyle name="百分比 4 3 5 4 5" xfId="6418" xr:uid="{D70717A1-4F6D-4834-80F1-33B62B48CBFB}"/>
    <cellStyle name="百分比 4 3 5 4 6" xfId="6419" xr:uid="{2A572D33-FB74-442E-A551-48DFFE529D13}"/>
    <cellStyle name="百分比 4 3 5 4 7" xfId="6420" xr:uid="{F878DD6B-BCF6-4E74-8CC0-15BE1F840DC2}"/>
    <cellStyle name="百分比 4 3 5 4 8" xfId="33188" xr:uid="{28C4F015-8675-4E67-8F30-A2BEE880E360}"/>
    <cellStyle name="百分比 4 3 5 5" xfId="6421" xr:uid="{64E5EB5C-013D-44EC-BF30-0250BFD1CD2C}"/>
    <cellStyle name="百分比 4 3 5 5 2" xfId="6422" xr:uid="{EEE8A8D2-7671-4159-9131-F40953B747E4}"/>
    <cellStyle name="百分比 4 3 5 5 2 2" xfId="6423" xr:uid="{F8B1BA20-E0E8-4E39-BA75-7A91A9DBAD81}"/>
    <cellStyle name="百分比 4 3 5 5 2 3" xfId="6424" xr:uid="{510954FA-3CDB-49CB-929B-95AC6CB6779C}"/>
    <cellStyle name="百分比 4 3 5 5 2 4" xfId="6425" xr:uid="{76CE4B18-8771-48EE-A20E-11A15603F887}"/>
    <cellStyle name="百分比 4 3 5 5 2 5" xfId="6426" xr:uid="{AF812BE4-6DDB-4389-A5E1-DD1AA4DE8493}"/>
    <cellStyle name="百分比 4 3 5 5 2 6" xfId="6427" xr:uid="{EE78E578-1806-45A2-9B07-6B44DB3ECD14}"/>
    <cellStyle name="百分比 4 3 5 5 3" xfId="6428" xr:uid="{528C5F9E-0FB4-44B1-82FB-86FD401ABB5E}"/>
    <cellStyle name="百分比 4 3 5 5 4" xfId="6429" xr:uid="{E7E20B75-D1E3-451B-B590-6B24273FB665}"/>
    <cellStyle name="百分比 4 3 5 5 5" xfId="6430" xr:uid="{6AD8D7AB-124A-4E43-9576-C1B980376014}"/>
    <cellStyle name="百分比 4 3 5 5 6" xfId="6431" xr:uid="{4228AB2A-5545-41F0-9100-18D35BBEAC83}"/>
    <cellStyle name="百分比 4 3 5 5 7" xfId="6432" xr:uid="{3CCE870F-CD01-4F81-B169-49A3047BB81F}"/>
    <cellStyle name="百分比 4 3 5 6" xfId="6433" xr:uid="{068BB438-1C77-4C38-A389-C36A2B0B3F38}"/>
    <cellStyle name="百分比 4 3 5 6 2" xfId="6434" xr:uid="{1F3022FB-B4C5-40F3-8DFE-071F8A3DD45C}"/>
    <cellStyle name="百分比 4 3 5 6 2 2" xfId="6435" xr:uid="{4E875667-8A7A-437E-9366-C2BB0B1A2C77}"/>
    <cellStyle name="百分比 4 3 5 6 2 3" xfId="6436" xr:uid="{30A22BBD-3DF7-4A0C-9F8D-112089D68F04}"/>
    <cellStyle name="百分比 4 3 5 6 2 4" xfId="6437" xr:uid="{D66C2FDF-F74C-49E8-BE1B-13C7DD7D74BC}"/>
    <cellStyle name="百分比 4 3 5 6 2 5" xfId="6438" xr:uid="{2A5B82D1-D84B-4489-8303-BEC1CAC4F5CD}"/>
    <cellStyle name="百分比 4 3 5 6 2 6" xfId="6439" xr:uid="{D24A973E-FE2B-40F8-86C0-898EF5891CA9}"/>
    <cellStyle name="百分比 4 3 5 6 3" xfId="6440" xr:uid="{04430778-7594-40AA-8491-39A991D07028}"/>
    <cellStyle name="百分比 4 3 5 6 4" xfId="6441" xr:uid="{86AB5A21-6922-410D-88B2-5DC9CFB86F8C}"/>
    <cellStyle name="百分比 4 3 5 6 5" xfId="6442" xr:uid="{494CBCF4-DEE3-4ECC-AC88-445AA27ED7E0}"/>
    <cellStyle name="百分比 4 3 5 6 6" xfId="6443" xr:uid="{5494032B-7BC6-47EA-AA38-76A853E78572}"/>
    <cellStyle name="百分比 4 3 5 6 7" xfId="6444" xr:uid="{226A086B-62B2-47F2-A224-017E17E0D5ED}"/>
    <cellStyle name="百分比 4 3 5 7" xfId="6445" xr:uid="{1D0F92AC-AAA2-48A6-BB8B-06B34457304A}"/>
    <cellStyle name="百分比 4 3 5 7 2" xfId="6446" xr:uid="{C98DFC4F-191B-4854-9258-FC665FD75CF9}"/>
    <cellStyle name="百分比 4 3 5 7 2 2" xfId="6447" xr:uid="{37928895-3013-4F93-B91D-3282AE59617E}"/>
    <cellStyle name="百分比 4 3 5 7 2 3" xfId="6448" xr:uid="{514354AD-D902-4EC5-8350-5A21E27CC137}"/>
    <cellStyle name="百分比 4 3 5 7 2 4" xfId="6449" xr:uid="{D68F6A97-4FD2-44A4-8E4D-222C8C6169D3}"/>
    <cellStyle name="百分比 4 3 5 7 2 5" xfId="6450" xr:uid="{944AE80B-0A5C-497B-96FE-77ED7F1C1FBF}"/>
    <cellStyle name="百分比 4 3 5 7 2 6" xfId="6451" xr:uid="{728BF7F6-1960-407F-8FB1-02EE1C684E15}"/>
    <cellStyle name="百分比 4 3 5 7 3" xfId="6452" xr:uid="{5B747E3E-875F-47B8-9A89-7D9F372E4577}"/>
    <cellStyle name="百分比 4 3 5 7 4" xfId="6453" xr:uid="{4F7DDA52-114A-45CA-88B4-A4C4162B2D54}"/>
    <cellStyle name="百分比 4 3 5 7 5" xfId="6454" xr:uid="{A5C3D531-2C8B-41BD-A7DA-E1D1E122BD66}"/>
    <cellStyle name="百分比 4 3 5 7 6" xfId="6455" xr:uid="{31AF1E16-1DD0-46AC-9D01-31E9F175F050}"/>
    <cellStyle name="百分比 4 3 5 7 7" xfId="6456" xr:uid="{5A0AC994-87BB-40E4-A19B-33A2A2408A8A}"/>
    <cellStyle name="百分比 4 3 5 8" xfId="6457" xr:uid="{690BCE23-4D81-4D32-AD1C-ACB1C0CFC8E4}"/>
    <cellStyle name="百分比 4 3 5 8 2" xfId="6458" xr:uid="{0048D1E2-904F-41DE-8685-F88114E399EC}"/>
    <cellStyle name="百分比 4 3 5 8 2 2" xfId="6459" xr:uid="{9209A93B-363F-4398-80E3-3269749C2FB3}"/>
    <cellStyle name="百分比 4 3 5 8 2 3" xfId="6460" xr:uid="{3F9706E4-D048-47E5-B91E-4506B0C68CEC}"/>
    <cellStyle name="百分比 4 3 5 8 2 4" xfId="6461" xr:uid="{087C1ADB-819C-4601-8A30-ADFEC548FED3}"/>
    <cellStyle name="百分比 4 3 5 8 2 5" xfId="6462" xr:uid="{1E52C46D-C112-47DB-AF67-89E390DEB04F}"/>
    <cellStyle name="百分比 4 3 5 8 2 6" xfId="6463" xr:uid="{5E10EC12-6854-4428-8DAD-37AB4529B96A}"/>
    <cellStyle name="百分比 4 3 5 8 3" xfId="6464" xr:uid="{FBF3F770-2524-4ABA-A022-3803A6AF433D}"/>
    <cellStyle name="百分比 4 3 5 8 4" xfId="6465" xr:uid="{F5780C6D-6BD2-4FF4-B6CD-E276B2346E9E}"/>
    <cellStyle name="百分比 4 3 5 8 5" xfId="6466" xr:uid="{CAB2FF8B-B359-492E-83BB-D5114BDC60B9}"/>
    <cellStyle name="百分比 4 3 5 8 6" xfId="6467" xr:uid="{81AC2A44-6D51-4AEE-88F0-3D54A4245447}"/>
    <cellStyle name="百分比 4 3 5 8 7" xfId="6468" xr:uid="{64DE9C36-2BF1-489B-8AEE-01AD912D4641}"/>
    <cellStyle name="百分比 4 3 5 9" xfId="6469" xr:uid="{55C9D1E6-7B7B-423B-97FB-6E1F66718C69}"/>
    <cellStyle name="百分比 4 3 5 9 2" xfId="6470" xr:uid="{40DD903F-E472-4644-917A-9BBF143643D5}"/>
    <cellStyle name="百分比 4 3 5 9 3" xfId="6471" xr:uid="{78DC6F08-C22F-4777-9952-419818E00D77}"/>
    <cellStyle name="百分比 4 3 5 9 4" xfId="6472" xr:uid="{0E44F7C5-28BA-4DAA-A1CD-20F5C2F9BB07}"/>
    <cellStyle name="百分比 4 3 5 9 5" xfId="6473" xr:uid="{A676A133-6B87-4D63-AEF4-A39468200CD3}"/>
    <cellStyle name="百分比 4 3 5 9 6" xfId="6474" xr:uid="{65335418-756D-4FE2-AFB6-51EFCEDA2CAC}"/>
    <cellStyle name="百分比 4 3 6" xfId="6475" xr:uid="{2DF6AD1C-0D5E-42E2-9ECD-0CA13AE8FF08}"/>
    <cellStyle name="百分比 4 3 6 10" xfId="6476" xr:uid="{D26145F2-0FA2-481D-A017-6F44D04293C0}"/>
    <cellStyle name="百分比 4 3 6 11" xfId="6477" xr:uid="{268CDF81-14A4-4604-90EB-81D5504A9302}"/>
    <cellStyle name="百分比 4 3 6 12" xfId="6478" xr:uid="{B293F108-824C-43AF-B2FB-65E9832E92F0}"/>
    <cellStyle name="百分比 4 3 6 13" xfId="6479" xr:uid="{6170BE8B-D659-4533-8CB9-712361D8EFD1}"/>
    <cellStyle name="百分比 4 3 6 14" xfId="6480" xr:uid="{DFBB53A4-1F86-40B1-BB45-E528F3012264}"/>
    <cellStyle name="百分比 4 3 6 2" xfId="6481" xr:uid="{AD3621B5-43D3-4B16-A881-99024F1CD295}"/>
    <cellStyle name="百分比 4 3 6 2 2" xfId="6482" xr:uid="{7D22F2F7-515F-425A-87AF-3E67F67CD007}"/>
    <cellStyle name="百分比 4 3 6 2 2 2" xfId="6483" xr:uid="{99FA844C-142B-4414-BD31-ED8413E4E270}"/>
    <cellStyle name="百分比 4 3 6 2 2 3" xfId="6484" xr:uid="{AD6C61D4-0B32-4B76-9ECA-F521002FBAE6}"/>
    <cellStyle name="百分比 4 3 6 2 2 4" xfId="6485" xr:uid="{ECFF3DDB-1C65-4F8F-B15B-FB99F758E6EA}"/>
    <cellStyle name="百分比 4 3 6 2 2 5" xfId="6486" xr:uid="{8E64237C-7665-4A8B-A22F-9F7DE484CA17}"/>
    <cellStyle name="百分比 4 3 6 2 2 6" xfId="6487" xr:uid="{5F8ADEF2-695F-4EA2-82ED-2BBF4E1157DC}"/>
    <cellStyle name="百分比 4 3 6 2 3" xfId="6488" xr:uid="{01C7B106-B1AC-4F50-9410-405E9CED0FF2}"/>
    <cellStyle name="百分比 4 3 6 2 4" xfId="6489" xr:uid="{45E3EDAD-12EC-49AF-93D2-FD25589C191B}"/>
    <cellStyle name="百分比 4 3 6 2 5" xfId="6490" xr:uid="{C38A7A90-D184-4D1B-8BB5-093C685208FC}"/>
    <cellStyle name="百分比 4 3 6 2 6" xfId="6491" xr:uid="{763283D1-36D5-4699-8122-4EB48EBB9F9F}"/>
    <cellStyle name="百分比 4 3 6 2 7" xfId="6492" xr:uid="{FEE2C9AE-86BB-4C5D-A243-E86D4F1176AE}"/>
    <cellStyle name="百分比 4 3 6 3" xfId="6493" xr:uid="{01EA87ED-71E4-4715-B483-FC27F7258111}"/>
    <cellStyle name="百分比 4 3 6 3 2" xfId="6494" xr:uid="{20E4A023-11B1-43DD-8CA9-40DA348BAF01}"/>
    <cellStyle name="百分比 4 3 6 3 2 2" xfId="6495" xr:uid="{F607780B-D82D-48F3-B213-E03817E5EF6B}"/>
    <cellStyle name="百分比 4 3 6 3 2 3" xfId="6496" xr:uid="{846B53B3-54AC-405A-BFE2-4EE15303D258}"/>
    <cellStyle name="百分比 4 3 6 3 2 4" xfId="6497" xr:uid="{57C1AF5F-331B-4097-8B58-4AC2AAE0808D}"/>
    <cellStyle name="百分比 4 3 6 3 2 5" xfId="6498" xr:uid="{F959CCE4-0BCE-411D-93AD-9A4604F5D80E}"/>
    <cellStyle name="百分比 4 3 6 3 2 6" xfId="6499" xr:uid="{8071FB07-24FB-447F-AFE4-576876DA95BA}"/>
    <cellStyle name="百分比 4 3 6 3 3" xfId="6500" xr:uid="{4E749563-48CD-4BF8-8580-A07248816E6F}"/>
    <cellStyle name="百分比 4 3 6 3 4" xfId="6501" xr:uid="{2C41E536-57F3-4159-87A0-547BF5DEB825}"/>
    <cellStyle name="百分比 4 3 6 3 5" xfId="6502" xr:uid="{6A27AF26-5F41-4B15-99E6-03FB1E56FEBB}"/>
    <cellStyle name="百分比 4 3 6 3 6" xfId="6503" xr:uid="{5412D385-75F2-4DC1-AC5C-FF410764B7EB}"/>
    <cellStyle name="百分比 4 3 6 3 7" xfId="6504" xr:uid="{DA9F71DE-DE8C-40EE-AF7B-6665EA185115}"/>
    <cellStyle name="百分比 4 3 6 4" xfId="6505" xr:uid="{08A86E1A-5CC0-435D-AC5A-69B563C0EC07}"/>
    <cellStyle name="百分比 4 3 6 4 2" xfId="6506" xr:uid="{7487D869-6F68-4E8D-A3EA-91C469B78EAA}"/>
    <cellStyle name="百分比 4 3 6 4 2 2" xfId="6507" xr:uid="{F9C4460F-9D26-4C4D-885E-090AF4C7CC0D}"/>
    <cellStyle name="百分比 4 3 6 4 2 3" xfId="6508" xr:uid="{3B66E1E3-DE08-4CB8-93FC-DD2AFB563DA8}"/>
    <cellStyle name="百分比 4 3 6 4 2 4" xfId="6509" xr:uid="{91FF2507-E258-4F1F-AF9A-1EBCF9B31E3F}"/>
    <cellStyle name="百分比 4 3 6 4 2 5" xfId="6510" xr:uid="{95BA32F5-81D4-4ADF-BE9B-62985FD1D8C6}"/>
    <cellStyle name="百分比 4 3 6 4 2 6" xfId="6511" xr:uid="{F59AE6F3-3C65-4300-8128-BAD6AEB90037}"/>
    <cellStyle name="百分比 4 3 6 4 3" xfId="6512" xr:uid="{D2B80CAE-ABBB-42E3-B514-3C84C4412038}"/>
    <cellStyle name="百分比 4 3 6 4 4" xfId="6513" xr:uid="{0BD74A5F-65F9-43CD-B80F-FDAD9A38461E}"/>
    <cellStyle name="百分比 4 3 6 4 5" xfId="6514" xr:uid="{DD61F9ED-4B86-4376-8BAD-ED5A8DC48F11}"/>
    <cellStyle name="百分比 4 3 6 4 6" xfId="6515" xr:uid="{AEB05376-1085-4FD7-B643-09EF440BCDD0}"/>
    <cellStyle name="百分比 4 3 6 4 7" xfId="6516" xr:uid="{FDCFD2F7-A395-4F15-8EB1-20BF27BF801C}"/>
    <cellStyle name="百分比 4 3 6 5" xfId="6517" xr:uid="{85D49438-CBC6-4813-8BDF-5A6DBCFF67DA}"/>
    <cellStyle name="百分比 4 3 6 5 2" xfId="6518" xr:uid="{0AF73F37-2ADC-4EB6-A353-A48D7E641601}"/>
    <cellStyle name="百分比 4 3 6 5 2 2" xfId="6519" xr:uid="{D4E41A21-F318-4672-A755-935482185F93}"/>
    <cellStyle name="百分比 4 3 6 5 2 3" xfId="6520" xr:uid="{97B20CF9-1243-4689-8865-F4CD650EDA9C}"/>
    <cellStyle name="百分比 4 3 6 5 2 4" xfId="6521" xr:uid="{2F63EA7D-07A5-45C8-8320-6C095518469C}"/>
    <cellStyle name="百分比 4 3 6 5 2 5" xfId="6522" xr:uid="{08E8DEB9-BF90-4D56-B761-811613CF3BC1}"/>
    <cellStyle name="百分比 4 3 6 5 2 6" xfId="6523" xr:uid="{91E11755-63B2-47A3-9831-14A9C9033C88}"/>
    <cellStyle name="百分比 4 3 6 5 3" xfId="6524" xr:uid="{D59BC572-8BDF-4CDC-B092-9A7FACFCE2A7}"/>
    <cellStyle name="百分比 4 3 6 5 4" xfId="6525" xr:uid="{6C571B21-1CD0-49E7-8E62-C35BE62C8502}"/>
    <cellStyle name="百分比 4 3 6 5 5" xfId="6526" xr:uid="{9D693260-0C7E-44A1-9791-155E621EF458}"/>
    <cellStyle name="百分比 4 3 6 5 6" xfId="6527" xr:uid="{6FB364D8-FDA9-4687-A127-057C6A5C4AF2}"/>
    <cellStyle name="百分比 4 3 6 5 7" xfId="6528" xr:uid="{AD994925-29AD-47C7-88B3-D5A731BF9431}"/>
    <cellStyle name="百分比 4 3 6 6" xfId="6529" xr:uid="{701BE403-64E7-430A-8355-D49E8D1C1195}"/>
    <cellStyle name="百分比 4 3 6 6 2" xfId="6530" xr:uid="{0C680A86-4C49-4216-9AEC-DCCA2DAF7034}"/>
    <cellStyle name="百分比 4 3 6 6 2 2" xfId="6531" xr:uid="{B8F83B0A-0F23-48CF-A10B-C629A37A643B}"/>
    <cellStyle name="百分比 4 3 6 6 2 3" xfId="6532" xr:uid="{64F72484-F738-4C25-8054-0881CE168967}"/>
    <cellStyle name="百分比 4 3 6 6 2 4" xfId="6533" xr:uid="{E04ABE86-CB0D-492D-A6E8-89CC43AFE336}"/>
    <cellStyle name="百分比 4 3 6 6 2 5" xfId="6534" xr:uid="{53BE8828-05CE-4FD9-BEE1-053C1A15234B}"/>
    <cellStyle name="百分比 4 3 6 6 2 6" xfId="6535" xr:uid="{59DCBE00-2CB1-40F2-9E35-F959D71DE2E3}"/>
    <cellStyle name="百分比 4 3 6 6 3" xfId="6536" xr:uid="{162690AD-0FF8-4EDC-9614-943DFCCB9586}"/>
    <cellStyle name="百分比 4 3 6 6 4" xfId="6537" xr:uid="{6FA2072D-F150-432B-ACEC-2ACCE9BD5724}"/>
    <cellStyle name="百分比 4 3 6 6 5" xfId="6538" xr:uid="{EDA9C374-58EA-448C-A7A1-C19972B8226A}"/>
    <cellStyle name="百分比 4 3 6 6 6" xfId="6539" xr:uid="{73A6F1FF-8153-4DCB-AE62-B877AF357AE0}"/>
    <cellStyle name="百分比 4 3 6 6 7" xfId="6540" xr:uid="{1CE4FF9A-B2C8-49EB-A840-F702EF2175BA}"/>
    <cellStyle name="百分比 4 3 6 7" xfId="6541" xr:uid="{57EA35BA-3AEF-4224-AC59-87E5D695DBFA}"/>
    <cellStyle name="百分比 4 3 6 7 2" xfId="6542" xr:uid="{8E79056C-88EA-430F-92F7-C85D524E2D87}"/>
    <cellStyle name="百分比 4 3 6 7 2 2" xfId="6543" xr:uid="{CA8C8EC6-01CA-4694-9AD5-613B75E3E380}"/>
    <cellStyle name="百分比 4 3 6 7 2 3" xfId="6544" xr:uid="{2014C091-52C6-492E-8F9E-3B1646175763}"/>
    <cellStyle name="百分比 4 3 6 7 2 4" xfId="6545" xr:uid="{9C84B10A-FF10-46FE-BDEC-9A5F447122C1}"/>
    <cellStyle name="百分比 4 3 6 7 2 5" xfId="6546" xr:uid="{0DC900E2-A4D4-4F4F-AE21-9BB1E7926ABC}"/>
    <cellStyle name="百分比 4 3 6 7 2 6" xfId="6547" xr:uid="{FC950333-6B2D-4716-B273-55B872A46F79}"/>
    <cellStyle name="百分比 4 3 6 7 3" xfId="6548" xr:uid="{0E21AA84-B03B-4785-9D95-94EB22FA78E7}"/>
    <cellStyle name="百分比 4 3 6 7 4" xfId="6549" xr:uid="{6B3E6296-364B-43E1-9D50-CDA5C28370F4}"/>
    <cellStyle name="百分比 4 3 6 7 5" xfId="6550" xr:uid="{DE7432E3-98B0-4CCE-B36D-4F147450073F}"/>
    <cellStyle name="百分比 4 3 6 7 6" xfId="6551" xr:uid="{83858C1A-3A38-4009-8E7B-0E1F809A6A1D}"/>
    <cellStyle name="百分比 4 3 6 7 7" xfId="6552" xr:uid="{2EF05DF3-0416-45DF-98E6-50DB3C52AB64}"/>
    <cellStyle name="百分比 4 3 6 8" xfId="6553" xr:uid="{1D387469-5AAC-4DBC-A821-96DBB1C91BF2}"/>
    <cellStyle name="百分比 4 3 6 8 2" xfId="6554" xr:uid="{CCEB00CC-A458-4CA4-B3B5-AA78FAE244B7}"/>
    <cellStyle name="百分比 4 3 6 8 3" xfId="6555" xr:uid="{97078D86-E167-49E3-A404-5F4F2E8CE6E2}"/>
    <cellStyle name="百分比 4 3 6 8 4" xfId="6556" xr:uid="{44C99A01-7C78-462E-8A8B-09A412A52257}"/>
    <cellStyle name="百分比 4 3 6 8 5" xfId="6557" xr:uid="{52D14268-467C-4B79-90BC-B44EBBC62008}"/>
    <cellStyle name="百分比 4 3 6 8 6" xfId="6558" xr:uid="{F5F92CE3-FDAB-4248-8174-D5C3B6380AC2}"/>
    <cellStyle name="百分比 4 3 6 9" xfId="6559" xr:uid="{0322F900-7D14-4A4F-AFF5-7DDA2520DCA1}"/>
    <cellStyle name="百分比 4 3 7" xfId="6560" xr:uid="{98A07B0E-5137-4E8A-A194-DFC378D6C261}"/>
    <cellStyle name="百分比 4 3 7 10" xfId="6561" xr:uid="{AB31A7ED-64C1-4355-9AFD-0321B9A80923}"/>
    <cellStyle name="百分比 4 3 7 11" xfId="6562" xr:uid="{05AE3B87-5874-433B-972D-AEBE510DCC8D}"/>
    <cellStyle name="百分比 4 3 7 12" xfId="6563" xr:uid="{E2F01C7E-F2FA-4503-B264-3C0EE3BF1AF8}"/>
    <cellStyle name="百分比 4 3 7 13" xfId="6564" xr:uid="{07FB905D-FA50-4D26-B57A-68F8A0353104}"/>
    <cellStyle name="百分比 4 3 7 2" xfId="6565" xr:uid="{76CA8AEA-59CD-4572-A953-3F0460400C9E}"/>
    <cellStyle name="百分比 4 3 7 2 2" xfId="6566" xr:uid="{03582EA4-286C-4DDD-985F-89950E4F4A2B}"/>
    <cellStyle name="百分比 4 3 7 2 2 2" xfId="6567" xr:uid="{83BD5C4C-E94E-4710-9D5A-00AC8985B6DD}"/>
    <cellStyle name="百分比 4 3 7 2 2 3" xfId="6568" xr:uid="{AEF55462-3968-4956-9DA8-0710AACF1F3D}"/>
    <cellStyle name="百分比 4 3 7 2 2 4" xfId="6569" xr:uid="{85ADA9DC-07C7-4CA4-B1F0-97E7E067A54B}"/>
    <cellStyle name="百分比 4 3 7 2 2 5" xfId="6570" xr:uid="{08E96256-AECF-40EA-A1C5-656113E04DED}"/>
    <cellStyle name="百分比 4 3 7 2 2 6" xfId="6571" xr:uid="{61AE8DC7-7E6A-4787-81F4-ABD4FAD23276}"/>
    <cellStyle name="百分比 4 3 7 2 3" xfId="6572" xr:uid="{657D2AD1-A361-45D7-8B11-9FAD6AE144CD}"/>
    <cellStyle name="百分比 4 3 7 2 4" xfId="6573" xr:uid="{FA987835-F552-461A-B45A-2369D4633654}"/>
    <cellStyle name="百分比 4 3 7 2 5" xfId="6574" xr:uid="{0AA08D50-895F-4B05-B61A-40AC5E253E3E}"/>
    <cellStyle name="百分比 4 3 7 2 6" xfId="6575" xr:uid="{906FCEBD-F5C7-4415-8204-752410353216}"/>
    <cellStyle name="百分比 4 3 7 2 7" xfId="6576" xr:uid="{7EAE6790-9DB4-4E38-AA34-F21367488F27}"/>
    <cellStyle name="百分比 4 3 7 3" xfId="6577" xr:uid="{AE249537-E76F-4F15-A8CF-3DFD865D345E}"/>
    <cellStyle name="百分比 4 3 7 3 2" xfId="6578" xr:uid="{9472A00C-9137-4092-813B-28CB8CF49323}"/>
    <cellStyle name="百分比 4 3 7 3 2 2" xfId="6579" xr:uid="{51C735E9-6A75-44F0-9D1F-90F517B8BDB8}"/>
    <cellStyle name="百分比 4 3 7 3 2 3" xfId="6580" xr:uid="{3D7DCFB9-EE17-4288-8DA2-4E1F647B9A0C}"/>
    <cellStyle name="百分比 4 3 7 3 2 4" xfId="6581" xr:uid="{9E4DC3DB-4939-4ADA-9656-718D6B82DC9D}"/>
    <cellStyle name="百分比 4 3 7 3 2 5" xfId="6582" xr:uid="{9C72761F-0C6E-487A-A5F6-7FF5C2673DC7}"/>
    <cellStyle name="百分比 4 3 7 3 2 6" xfId="6583" xr:uid="{FD7E3ED9-8DF9-4F83-8EA8-2AD5B39BDAE8}"/>
    <cellStyle name="百分比 4 3 7 3 3" xfId="6584" xr:uid="{2285588E-78DA-41A7-8947-3C58EA8D1086}"/>
    <cellStyle name="百分比 4 3 7 3 4" xfId="6585" xr:uid="{82B4A0BE-3F3A-46EF-9687-89553137CD4C}"/>
    <cellStyle name="百分比 4 3 7 3 5" xfId="6586" xr:uid="{2BFD493B-3144-412D-B286-3B3A1104B6C3}"/>
    <cellStyle name="百分比 4 3 7 3 6" xfId="6587" xr:uid="{723D8EE0-EDD6-4EE7-8A8D-E5161F4CB7EF}"/>
    <cellStyle name="百分比 4 3 7 3 7" xfId="6588" xr:uid="{722CD1C9-080B-4674-AE02-397E47EDA972}"/>
    <cellStyle name="百分比 4 3 7 4" xfId="6589" xr:uid="{807519F3-CA9D-4E41-A09B-2569D06CFE3B}"/>
    <cellStyle name="百分比 4 3 7 4 2" xfId="6590" xr:uid="{93AD4110-F831-4801-A5E7-257920F30F7B}"/>
    <cellStyle name="百分比 4 3 7 4 2 2" xfId="6591" xr:uid="{7CEB46C3-B1B4-4E0E-B7D5-7C46BFA826A1}"/>
    <cellStyle name="百分比 4 3 7 4 2 3" xfId="6592" xr:uid="{E6EDA6D9-4461-4369-AA77-38497A147177}"/>
    <cellStyle name="百分比 4 3 7 4 2 4" xfId="6593" xr:uid="{BD912CCA-AB75-4AA2-8004-6DFFC4E7E14D}"/>
    <cellStyle name="百分比 4 3 7 4 2 5" xfId="6594" xr:uid="{22667EE1-55D0-4CAC-91BE-9E53D4F17C7F}"/>
    <cellStyle name="百分比 4 3 7 4 2 6" xfId="6595" xr:uid="{88CECAC1-DEE2-4EE5-9CA5-844253FA7CF1}"/>
    <cellStyle name="百分比 4 3 7 4 3" xfId="6596" xr:uid="{44E32AED-CCA0-40AA-9549-37A152E28A2C}"/>
    <cellStyle name="百分比 4 3 7 4 4" xfId="6597" xr:uid="{15264258-E38D-4F59-BC9C-4FA3636C88F1}"/>
    <cellStyle name="百分比 4 3 7 4 5" xfId="6598" xr:uid="{876FA164-3EDB-42F7-BB00-ED36ECBEAB42}"/>
    <cellStyle name="百分比 4 3 7 4 6" xfId="6599" xr:uid="{71E7F0DE-1BD1-4F71-A37D-8263A0E06EE0}"/>
    <cellStyle name="百分比 4 3 7 4 7" xfId="6600" xr:uid="{4C275693-1AF0-4E1A-BC3D-3AEEE53E97C8}"/>
    <cellStyle name="百分比 4 3 7 5" xfId="6601" xr:uid="{FD067817-2672-4995-A0AC-75B46DEED6E2}"/>
    <cellStyle name="百分比 4 3 7 5 2" xfId="6602" xr:uid="{AA3EE6FD-35E6-41A1-9C10-D248853B4B23}"/>
    <cellStyle name="百分比 4 3 7 5 2 2" xfId="6603" xr:uid="{80220B33-3465-4653-9DE0-5DE46A449A21}"/>
    <cellStyle name="百分比 4 3 7 5 2 3" xfId="6604" xr:uid="{7B0BB07D-EAC6-4B73-BAC6-6D9A0417BFCF}"/>
    <cellStyle name="百分比 4 3 7 5 2 4" xfId="6605" xr:uid="{2E0E2925-EA9B-48BB-8A14-AC8879B62F62}"/>
    <cellStyle name="百分比 4 3 7 5 2 5" xfId="6606" xr:uid="{23341B0F-CABB-4895-AB21-F69870932193}"/>
    <cellStyle name="百分比 4 3 7 5 2 6" xfId="6607" xr:uid="{7D951393-F829-4740-BC60-1646B89CC2B6}"/>
    <cellStyle name="百分比 4 3 7 5 3" xfId="6608" xr:uid="{BC2929A9-399C-44C1-9DAE-FB8C5C164F23}"/>
    <cellStyle name="百分比 4 3 7 5 4" xfId="6609" xr:uid="{ECFCA02B-BB02-4065-828F-E6EC4A002D75}"/>
    <cellStyle name="百分比 4 3 7 5 5" xfId="6610" xr:uid="{A565CA38-8671-46CE-9683-F9FCF70E427C}"/>
    <cellStyle name="百分比 4 3 7 5 6" xfId="6611" xr:uid="{870ECACB-4E25-4733-A991-5E529A4D5451}"/>
    <cellStyle name="百分比 4 3 7 5 7" xfId="6612" xr:uid="{41DC489F-4001-4388-82DC-7BC237FDB052}"/>
    <cellStyle name="百分比 4 3 7 6" xfId="6613" xr:uid="{8CB90D5E-DA70-4C94-9A47-214F1777FCD8}"/>
    <cellStyle name="百分比 4 3 7 6 2" xfId="6614" xr:uid="{637DA980-7644-48E1-B64E-2AB39FA3C2E7}"/>
    <cellStyle name="百分比 4 3 7 6 2 2" xfId="6615" xr:uid="{54DEF8CD-8EE5-4E52-970B-6ABA2172ABFC}"/>
    <cellStyle name="百分比 4 3 7 6 2 3" xfId="6616" xr:uid="{3ACCA5BE-4A84-40CA-95D1-6386EF2A3161}"/>
    <cellStyle name="百分比 4 3 7 6 2 4" xfId="6617" xr:uid="{E5B6E4F6-2847-4D91-A3E6-5FEEFAE02793}"/>
    <cellStyle name="百分比 4 3 7 6 2 5" xfId="6618" xr:uid="{3DF1DA2D-9068-4930-B5F0-BDE4E9C0AEDE}"/>
    <cellStyle name="百分比 4 3 7 6 2 6" xfId="6619" xr:uid="{3E80C335-3ECD-48E1-9609-470EBEFFF7C9}"/>
    <cellStyle name="百分比 4 3 7 6 3" xfId="6620" xr:uid="{9E272CA4-1F89-41A2-A302-CA37AECBB9E5}"/>
    <cellStyle name="百分比 4 3 7 6 4" xfId="6621" xr:uid="{EC19D8ED-3137-4A11-88AE-819D1F1DEC1E}"/>
    <cellStyle name="百分比 4 3 7 6 5" xfId="6622" xr:uid="{138E066C-2333-4A67-A815-2341132C70E3}"/>
    <cellStyle name="百分比 4 3 7 6 6" xfId="6623" xr:uid="{4AF41088-BB2A-4294-B7E8-CAB132704833}"/>
    <cellStyle name="百分比 4 3 7 6 7" xfId="6624" xr:uid="{401E0216-7F61-4D36-9916-B0E7F027568B}"/>
    <cellStyle name="百分比 4 3 7 7" xfId="6625" xr:uid="{92291A36-820D-4991-A236-F3F8BE636C9B}"/>
    <cellStyle name="百分比 4 3 7 7 2" xfId="6626" xr:uid="{46A3B856-2D51-4693-804B-7D7D60DFD047}"/>
    <cellStyle name="百分比 4 3 7 7 3" xfId="6627" xr:uid="{228AD774-1B45-43B9-A711-786FA859D849}"/>
    <cellStyle name="百分比 4 3 7 7 4" xfId="6628" xr:uid="{60131169-109D-49AB-B373-A90E8C4C5530}"/>
    <cellStyle name="百分比 4 3 7 7 5" xfId="6629" xr:uid="{5F6E4C61-0A9E-4FC2-A264-B821614C9A00}"/>
    <cellStyle name="百分比 4 3 7 7 6" xfId="6630" xr:uid="{25B21004-945E-4108-A95D-9BA5453013A6}"/>
    <cellStyle name="百分比 4 3 7 8" xfId="6631" xr:uid="{432FDB76-3B9F-460F-BF89-35045CC8C950}"/>
    <cellStyle name="百分比 4 3 7 9" xfId="6632" xr:uid="{56AC308A-4DBC-4F81-87A8-7024585A571C}"/>
    <cellStyle name="百分比 4 3 8" xfId="6633" xr:uid="{906F3BFD-7D03-4371-88E4-7096D49B64FF}"/>
    <cellStyle name="百分比 4 3 8 10" xfId="6634" xr:uid="{3EAFC984-8390-42EA-A85E-ECEBFF8EC060}"/>
    <cellStyle name="百分比 4 3 8 11" xfId="6635" xr:uid="{F7484C15-DBC3-4A3A-BCCC-98BA1FE79853}"/>
    <cellStyle name="百分比 4 3 8 12" xfId="33189" xr:uid="{5ACAC603-3EEC-48ED-803F-3131668AB19C}"/>
    <cellStyle name="百分比 4 3 8 2" xfId="6636" xr:uid="{C9179C16-983E-4653-AE02-D7695E3EC738}"/>
    <cellStyle name="百分比 4 3 8 2 2" xfId="6637" xr:uid="{BA3B61E0-38F6-44AD-BCEF-97FFDE9973E1}"/>
    <cellStyle name="百分比 4 3 8 2 2 2" xfId="6638" xr:uid="{019E854A-6C5E-43D7-8D67-0C65A4973428}"/>
    <cellStyle name="百分比 4 3 8 2 2 3" xfId="6639" xr:uid="{403271E2-FDC0-4317-A1E1-32D5DED723C3}"/>
    <cellStyle name="百分比 4 3 8 2 2 4" xfId="6640" xr:uid="{52976C97-585B-42F1-87EB-0F276092B967}"/>
    <cellStyle name="百分比 4 3 8 2 2 5" xfId="6641" xr:uid="{46642942-F094-46FF-88AD-FBE393C404C6}"/>
    <cellStyle name="百分比 4 3 8 2 2 6" xfId="6642" xr:uid="{441ED817-7868-4EA7-804D-3AF30E9D6712}"/>
    <cellStyle name="百分比 4 3 8 2 3" xfId="6643" xr:uid="{419F8D73-E368-46CF-A44E-78AA41F1189E}"/>
    <cellStyle name="百分比 4 3 8 2 4" xfId="6644" xr:uid="{789E4F75-ABEC-4F0C-9440-F1BE156C1870}"/>
    <cellStyle name="百分比 4 3 8 2 5" xfId="6645" xr:uid="{43B2072F-48CF-4ACD-8287-6D468A351075}"/>
    <cellStyle name="百分比 4 3 8 2 6" xfId="6646" xr:uid="{1BCF02F3-0962-4BCA-9C9C-B34BB085D51A}"/>
    <cellStyle name="百分比 4 3 8 2 7" xfId="6647" xr:uid="{1DEC151E-6AAE-4A85-A255-CECE8F01BF5A}"/>
    <cellStyle name="百分比 4 3 8 3" xfId="6648" xr:uid="{A3EDA478-C85D-45AF-995E-BAE41DA02D95}"/>
    <cellStyle name="百分比 4 3 8 3 2" xfId="6649" xr:uid="{F319B63B-1BE4-41BA-9791-2463E7109B8B}"/>
    <cellStyle name="百分比 4 3 8 3 2 2" xfId="6650" xr:uid="{E4F4F38D-60B5-4B87-B0AF-777900EAD647}"/>
    <cellStyle name="百分比 4 3 8 3 2 3" xfId="6651" xr:uid="{61D3E27C-CB59-4227-B493-A2F74CAB6A7F}"/>
    <cellStyle name="百分比 4 3 8 3 2 4" xfId="6652" xr:uid="{7B3EBAB3-914F-4E2C-B7A7-2A289968AA48}"/>
    <cellStyle name="百分比 4 3 8 3 2 5" xfId="6653" xr:uid="{87B69426-77ED-4B7C-B9F0-95C9F6BE5913}"/>
    <cellStyle name="百分比 4 3 8 3 2 6" xfId="6654" xr:uid="{ECEE7876-9C2A-4773-8C6C-037A4032D0D6}"/>
    <cellStyle name="百分比 4 3 8 3 3" xfId="6655" xr:uid="{16E9A966-745D-4679-8E42-7216B172CFD5}"/>
    <cellStyle name="百分比 4 3 8 3 4" xfId="6656" xr:uid="{876197ED-00B2-4C7D-A67F-50F95BC49AA8}"/>
    <cellStyle name="百分比 4 3 8 3 5" xfId="6657" xr:uid="{2254260E-E5D2-4787-8880-86077FC8BC37}"/>
    <cellStyle name="百分比 4 3 8 3 6" xfId="6658" xr:uid="{0A26F5D9-7F2A-43FE-8499-EB13B377F0DE}"/>
    <cellStyle name="百分比 4 3 8 3 7" xfId="6659" xr:uid="{D3BE7EAF-0EEB-496E-B7AD-6F5D687B7AF8}"/>
    <cellStyle name="百分比 4 3 8 4" xfId="6660" xr:uid="{D114B9F4-343B-4AC3-B588-609A576EA1EB}"/>
    <cellStyle name="百分比 4 3 8 4 2" xfId="6661" xr:uid="{5C0BF2A6-6000-4242-9763-604B8E8EFE1C}"/>
    <cellStyle name="百分比 4 3 8 4 2 2" xfId="6662" xr:uid="{E02506FA-BCAD-4CCB-A0F3-FCB383E9283F}"/>
    <cellStyle name="百分比 4 3 8 4 2 3" xfId="6663" xr:uid="{B2DA9741-1500-44C4-869A-69262EE13F9F}"/>
    <cellStyle name="百分比 4 3 8 4 2 4" xfId="6664" xr:uid="{9C256678-F9D4-482B-A9E1-A483F545917F}"/>
    <cellStyle name="百分比 4 3 8 4 2 5" xfId="6665" xr:uid="{71ABFCEE-6863-45CF-9507-E6890CD820F9}"/>
    <cellStyle name="百分比 4 3 8 4 2 6" xfId="6666" xr:uid="{45B2860D-1763-44AF-AFC3-B729950BA54A}"/>
    <cellStyle name="百分比 4 3 8 4 3" xfId="6667" xr:uid="{9E07BE5C-7803-4036-8FBD-6D8D27BC5B5B}"/>
    <cellStyle name="百分比 4 3 8 4 4" xfId="6668" xr:uid="{183E7E72-8B69-4BD1-BE8B-9F25FDF65093}"/>
    <cellStyle name="百分比 4 3 8 4 5" xfId="6669" xr:uid="{FB401B5D-3235-4257-9589-696681A54A97}"/>
    <cellStyle name="百分比 4 3 8 4 6" xfId="6670" xr:uid="{5C6BBBD7-AA23-4CAB-9B7D-A7EC5096E539}"/>
    <cellStyle name="百分比 4 3 8 4 7" xfId="6671" xr:uid="{9F3E6CCF-650F-473F-9E0E-5BCAA9BFAD0D}"/>
    <cellStyle name="百分比 4 3 8 5" xfId="6672" xr:uid="{6C649CE8-6C9A-4B24-A6AA-754CDA380E19}"/>
    <cellStyle name="百分比 4 3 8 5 2" xfId="6673" xr:uid="{E3B05485-E2DE-4EEC-9D2E-0BBF7A37B707}"/>
    <cellStyle name="百分比 4 3 8 5 2 2" xfId="6674" xr:uid="{4A86D1B1-8409-4AC8-927C-0BC71D05574F}"/>
    <cellStyle name="百分比 4 3 8 5 2 3" xfId="6675" xr:uid="{B55E0E25-5750-4AC2-8821-5899CF0278E4}"/>
    <cellStyle name="百分比 4 3 8 5 2 4" xfId="6676" xr:uid="{0AB367A1-E985-425D-BE76-470666288BC3}"/>
    <cellStyle name="百分比 4 3 8 5 2 5" xfId="6677" xr:uid="{856DAF44-1E96-493B-8276-D9AFEBF9D49D}"/>
    <cellStyle name="百分比 4 3 8 5 2 6" xfId="6678" xr:uid="{58B6057C-18C6-47D7-B4BA-34BC390EEF43}"/>
    <cellStyle name="百分比 4 3 8 5 3" xfId="6679" xr:uid="{1CEF8D9F-0D0E-429B-8E1F-26274048CB9F}"/>
    <cellStyle name="百分比 4 3 8 5 4" xfId="6680" xr:uid="{75E51D63-CE5E-4F35-8E65-4736E0F9DC3C}"/>
    <cellStyle name="百分比 4 3 8 5 5" xfId="6681" xr:uid="{F9C632C8-EBAA-49F7-A8A8-7321CACB4F87}"/>
    <cellStyle name="百分比 4 3 8 5 6" xfId="6682" xr:uid="{22FEF2EC-096D-4CDC-991C-460D24A59B3F}"/>
    <cellStyle name="百分比 4 3 8 5 7" xfId="6683" xr:uid="{3CBFA9DD-EC92-49CD-8FC5-00A332512394}"/>
    <cellStyle name="百分比 4 3 8 6" xfId="6684" xr:uid="{5AFEBB2A-6573-4089-AC27-F8EA054E8AC8}"/>
    <cellStyle name="百分比 4 3 8 6 2" xfId="6685" xr:uid="{FED6C56F-8B1C-43BF-AD33-57ADEA280DCD}"/>
    <cellStyle name="百分比 4 3 8 6 3" xfId="6686" xr:uid="{7B933807-868C-4379-80C8-BE1E49FC2AFB}"/>
    <cellStyle name="百分比 4 3 8 6 4" xfId="6687" xr:uid="{F514104E-187E-4EEB-9E76-8C39BDE94208}"/>
    <cellStyle name="百分比 4 3 8 6 5" xfId="6688" xr:uid="{B110D19A-4685-46B9-B9A1-F9E0708FB3C5}"/>
    <cellStyle name="百分比 4 3 8 6 6" xfId="6689" xr:uid="{4021C08B-A86E-4F08-9FD7-F8BE40E978CD}"/>
    <cellStyle name="百分比 4 3 8 7" xfId="6690" xr:uid="{AA758C4A-4668-4F0B-985E-AA4B113E3920}"/>
    <cellStyle name="百分比 4 3 8 8" xfId="6691" xr:uid="{756CB012-9859-402A-A1CE-EDE823544952}"/>
    <cellStyle name="百分比 4 3 8 9" xfId="6692" xr:uid="{C9DAF948-59B2-4DD3-BDFA-36C231B51BAB}"/>
    <cellStyle name="百分比 4 3 9" xfId="6693" xr:uid="{57DBFD39-58CE-4248-80BB-A65C85CE357F}"/>
    <cellStyle name="百分比 4 3 9 10" xfId="6694" xr:uid="{789D29D2-B129-4278-B98F-C0568DEF6621}"/>
    <cellStyle name="百分比 4 3 9 11" xfId="6695" xr:uid="{7B09EB65-EC54-4399-BC9B-2299E093A536}"/>
    <cellStyle name="百分比 4 3 9 2" xfId="6696" xr:uid="{1B7AF700-B95B-4AD3-9291-34214C89AE7D}"/>
    <cellStyle name="百分比 4 3 9 2 2" xfId="6697" xr:uid="{EA6F5E54-653B-44E3-BCDB-C55DEA160567}"/>
    <cellStyle name="百分比 4 3 9 2 2 2" xfId="6698" xr:uid="{49FA325B-DDE1-432C-B022-0D4124115743}"/>
    <cellStyle name="百分比 4 3 9 2 2 3" xfId="6699" xr:uid="{D2629DB6-234D-4713-950D-E6DB86308108}"/>
    <cellStyle name="百分比 4 3 9 2 2 4" xfId="6700" xr:uid="{A2F0D1C7-AC81-420E-A5BE-A42FF9E4735C}"/>
    <cellStyle name="百分比 4 3 9 2 2 5" xfId="6701" xr:uid="{BBF86A48-AB01-46E8-814D-6C0283BEC7D0}"/>
    <cellStyle name="百分比 4 3 9 2 2 6" xfId="6702" xr:uid="{10B0713F-D6B5-49E4-A520-40342AC2C669}"/>
    <cellStyle name="百分比 4 3 9 2 3" xfId="6703" xr:uid="{28236B69-09FB-4AEF-8DE4-8BE27863B25E}"/>
    <cellStyle name="百分比 4 3 9 2 4" xfId="6704" xr:uid="{3DFEDA3B-50D2-42CA-8CBC-681FF423FF27}"/>
    <cellStyle name="百分比 4 3 9 2 5" xfId="6705" xr:uid="{F5A17A8E-9363-4978-9B2F-93EC39316B9B}"/>
    <cellStyle name="百分比 4 3 9 2 6" xfId="6706" xr:uid="{F8B8CA60-F115-4DEE-BB5D-5A425E1267E3}"/>
    <cellStyle name="百分比 4 3 9 2 7" xfId="6707" xr:uid="{CE7DEABA-1100-44F5-999C-3A6D9D255248}"/>
    <cellStyle name="百分比 4 3 9 3" xfId="6708" xr:uid="{E5E1BC75-C95B-4BF4-9955-161F48A1E730}"/>
    <cellStyle name="百分比 4 3 9 3 2" xfId="6709" xr:uid="{BF4254E0-5442-4F57-9BB8-B4A110B60C53}"/>
    <cellStyle name="百分比 4 3 9 3 2 2" xfId="6710" xr:uid="{1E973089-3B05-4F76-AABE-CA1CDC8386AC}"/>
    <cellStyle name="百分比 4 3 9 3 2 3" xfId="6711" xr:uid="{BA1FF328-E17E-4DE0-BF1E-02AFD3CFF6B7}"/>
    <cellStyle name="百分比 4 3 9 3 2 4" xfId="6712" xr:uid="{979D653F-5460-47F1-9DE0-17796E39B948}"/>
    <cellStyle name="百分比 4 3 9 3 2 5" xfId="6713" xr:uid="{D05F7F46-976E-4763-9587-A18A208197A0}"/>
    <cellStyle name="百分比 4 3 9 3 2 6" xfId="6714" xr:uid="{D51E0903-239E-4EDA-8EC3-85F711975BE2}"/>
    <cellStyle name="百分比 4 3 9 3 3" xfId="6715" xr:uid="{828736C2-503F-4069-BD50-243EB0789D83}"/>
    <cellStyle name="百分比 4 3 9 3 4" xfId="6716" xr:uid="{49CF0E54-66F6-4635-8011-1FB7F32294B6}"/>
    <cellStyle name="百分比 4 3 9 3 5" xfId="6717" xr:uid="{3613561E-29A1-4417-9768-AAF57198E40E}"/>
    <cellStyle name="百分比 4 3 9 3 6" xfId="6718" xr:uid="{F7807538-4CD7-495E-BF9A-2357DFFE1B1D}"/>
    <cellStyle name="百分比 4 3 9 3 7" xfId="6719" xr:uid="{D2F89731-A2DF-445D-BF7E-098509A7F794}"/>
    <cellStyle name="百分比 4 3 9 4" xfId="6720" xr:uid="{1E26A49A-C930-4A4B-9496-A33EDD9342EC}"/>
    <cellStyle name="百分比 4 3 9 4 2" xfId="6721" xr:uid="{3232B58F-F915-4BCC-B1C3-94E280F96D89}"/>
    <cellStyle name="百分比 4 3 9 4 2 2" xfId="6722" xr:uid="{2E4E19A0-EC57-48EC-AEAC-E13F32DA2026}"/>
    <cellStyle name="百分比 4 3 9 4 2 3" xfId="6723" xr:uid="{919D6462-9B25-4BA9-812A-0FA86F7A8E9B}"/>
    <cellStyle name="百分比 4 3 9 4 2 4" xfId="6724" xr:uid="{75965C67-444A-4494-A3A2-25A8218B4CAA}"/>
    <cellStyle name="百分比 4 3 9 4 2 5" xfId="6725" xr:uid="{CBD3DAA1-282B-4358-A62C-E9963AE182F4}"/>
    <cellStyle name="百分比 4 3 9 4 2 6" xfId="6726" xr:uid="{C3AAE640-5741-4186-A13E-68400EB5E49B}"/>
    <cellStyle name="百分比 4 3 9 4 3" xfId="6727" xr:uid="{2E9D3D9C-213C-4504-86D7-FC83B020139F}"/>
    <cellStyle name="百分比 4 3 9 4 4" xfId="6728" xr:uid="{98490AD3-6294-4C25-BA79-8B1BC4D13C6E}"/>
    <cellStyle name="百分比 4 3 9 4 5" xfId="6729" xr:uid="{B0B57CA0-954E-4317-BFE4-587DD5481ED1}"/>
    <cellStyle name="百分比 4 3 9 4 6" xfId="6730" xr:uid="{FEE009A0-0A9C-4ABF-84E6-7C4F6EB85009}"/>
    <cellStyle name="百分比 4 3 9 4 7" xfId="6731" xr:uid="{6C3B5DC3-972F-4290-B13C-E736B8EEE218}"/>
    <cellStyle name="百分比 4 3 9 5" xfId="6732" xr:uid="{6AF369A0-EED3-4CAD-92D4-648B5DEB0F0E}"/>
    <cellStyle name="百分比 4 3 9 5 2" xfId="6733" xr:uid="{D0D073F1-BE93-46F9-B9B8-D7ACF7065927}"/>
    <cellStyle name="百分比 4 3 9 5 3" xfId="6734" xr:uid="{37F65877-ABC4-4CF0-99F3-3B1198248A62}"/>
    <cellStyle name="百分比 4 3 9 5 4" xfId="6735" xr:uid="{91FEBCAB-31B5-42B9-B60C-188C9FE123C3}"/>
    <cellStyle name="百分比 4 3 9 5 5" xfId="6736" xr:uid="{D0E68288-7779-43CB-868C-33AEF163DD05}"/>
    <cellStyle name="百分比 4 3 9 5 6" xfId="6737" xr:uid="{74311EE9-597B-480F-9F05-81D8604719D6}"/>
    <cellStyle name="百分比 4 3 9 6" xfId="6738" xr:uid="{C0724BF2-81E4-43DD-9FC8-B062A0DCC363}"/>
    <cellStyle name="百分比 4 3 9 7" xfId="6739" xr:uid="{16C061F2-57AF-4DE5-9860-2BE17708C31A}"/>
    <cellStyle name="百分比 4 3 9 8" xfId="6740" xr:uid="{E6E16C80-0572-4363-9B83-A57941B5C783}"/>
    <cellStyle name="百分比 4 3 9 9" xfId="6741" xr:uid="{A12A07A0-DB20-482B-B751-3DB1BA186E8F}"/>
    <cellStyle name="百分比 4 4" xfId="6742" xr:uid="{EE6750CE-DD75-4828-98F6-8735EDFF2B51}"/>
    <cellStyle name="百分比 4 4 10" xfId="6743" xr:uid="{5113157D-690F-45A8-B928-95C1EAB41D49}"/>
    <cellStyle name="百分比 4 4 10 2" xfId="6744" xr:uid="{1AF9A18D-73AB-4697-AE5D-C74CC91950F6}"/>
    <cellStyle name="百分比 4 4 10 2 2" xfId="6745" xr:uid="{23BC48D2-7D0B-4A30-839D-54417A973DEA}"/>
    <cellStyle name="百分比 4 4 10 2 3" xfId="6746" xr:uid="{270221CC-AB2A-42B0-8ABD-2C086577BEB0}"/>
    <cellStyle name="百分比 4 4 10 2 4" xfId="6747" xr:uid="{D8328636-357C-45D0-9087-1725905D376F}"/>
    <cellStyle name="百分比 4 4 10 2 5" xfId="6748" xr:uid="{E25EE165-AFF7-497E-AAC7-CEB56F4F6161}"/>
    <cellStyle name="百分比 4 4 10 2 6" xfId="6749" xr:uid="{1CA05B79-F48D-419B-878B-8FBDF57B781D}"/>
    <cellStyle name="百分比 4 4 10 3" xfId="6750" xr:uid="{FF6F1344-E4CD-41D4-9306-98D7C26CA2ED}"/>
    <cellStyle name="百分比 4 4 10 4" xfId="6751" xr:uid="{CFA0AACB-E57E-4315-AB94-C0EE8BA319AB}"/>
    <cellStyle name="百分比 4 4 10 5" xfId="6752" xr:uid="{1B3659B6-EDB7-4377-BD3C-2C9D6D204884}"/>
    <cellStyle name="百分比 4 4 10 6" xfId="6753" xr:uid="{CF213D3C-A6BC-42CA-91AC-D5B3C49EFD38}"/>
    <cellStyle name="百分比 4 4 10 7" xfId="6754" xr:uid="{657A120B-5538-4EF6-9074-DBF32CA8A5BC}"/>
    <cellStyle name="百分比 4 4 11" xfId="6755" xr:uid="{11546501-EFA8-4B5B-A48E-A66F7D58DA24}"/>
    <cellStyle name="百分比 4 4 11 2" xfId="6756" xr:uid="{EB060EF2-F89C-4EB8-A90B-042C299C00D9}"/>
    <cellStyle name="百分比 4 4 11 2 2" xfId="6757" xr:uid="{C19AD0E6-8EEC-41F5-B43E-3A22DFDCA826}"/>
    <cellStyle name="百分比 4 4 11 2 3" xfId="6758" xr:uid="{9324184F-BCF2-47EA-9CE5-205196530BF5}"/>
    <cellStyle name="百分比 4 4 11 2 4" xfId="6759" xr:uid="{54ADDAEC-6DB7-430C-A9FD-45EE393B1482}"/>
    <cellStyle name="百分比 4 4 11 2 5" xfId="6760" xr:uid="{3C821731-4FE9-47E9-BEC9-7EE3A678B7D0}"/>
    <cellStyle name="百分比 4 4 11 2 6" xfId="6761" xr:uid="{6DF8943E-1D93-457D-A048-B46C89DD79E0}"/>
    <cellStyle name="百分比 4 4 11 3" xfId="6762" xr:uid="{0274A430-9CFD-4E71-928C-E2C18F45A946}"/>
    <cellStyle name="百分比 4 4 11 4" xfId="6763" xr:uid="{F506B2FA-CF71-42C2-BF38-EF8ADEA2345E}"/>
    <cellStyle name="百分比 4 4 11 5" xfId="6764" xr:uid="{67B15CCD-63BE-4E67-8D9E-0B9A088E0AEA}"/>
    <cellStyle name="百分比 4 4 11 6" xfId="6765" xr:uid="{994865AB-5E7A-43EF-B739-47721164ED57}"/>
    <cellStyle name="百分比 4 4 11 7" xfId="6766" xr:uid="{DF14F98D-C7F9-4739-ADE1-93E46F430F72}"/>
    <cellStyle name="百分比 4 4 12" xfId="6767" xr:uid="{E529B106-1808-4535-99D4-7750B8EFAE1C}"/>
    <cellStyle name="百分比 4 4 12 2" xfId="6768" xr:uid="{AA4990CF-2E33-4155-AD13-52C3A0D15EC2}"/>
    <cellStyle name="百分比 4 4 12 2 2" xfId="6769" xr:uid="{603404D9-73A2-423D-8757-7560E952B5C2}"/>
    <cellStyle name="百分比 4 4 12 2 3" xfId="6770" xr:uid="{F63CBB36-D0DA-4330-87D4-9AC57CC4B580}"/>
    <cellStyle name="百分比 4 4 12 2 4" xfId="6771" xr:uid="{6D89B456-F15A-4F88-A115-3E3454E00FCD}"/>
    <cellStyle name="百分比 4 4 12 2 5" xfId="6772" xr:uid="{A4E23F01-34B0-42AF-9DD0-75DD3F21C825}"/>
    <cellStyle name="百分比 4 4 12 2 6" xfId="6773" xr:uid="{2943C62D-118D-4A47-A6E4-35A556431F3A}"/>
    <cellStyle name="百分比 4 4 12 3" xfId="6774" xr:uid="{D0A1D49B-FAC7-42C7-A674-349DCC7944A4}"/>
    <cellStyle name="百分比 4 4 12 4" xfId="6775" xr:uid="{FD2DB36F-D947-4267-B6B1-924F583F5EE6}"/>
    <cellStyle name="百分比 4 4 12 5" xfId="6776" xr:uid="{0BEFC640-6033-4D4D-985A-7C2DF10B49D4}"/>
    <cellStyle name="百分比 4 4 12 6" xfId="6777" xr:uid="{48379E89-E91E-4ECC-87CE-B3DE47C7F1CC}"/>
    <cellStyle name="百分比 4 4 12 7" xfId="6778" xr:uid="{9CA78C17-FDA9-4B2B-8500-3FE8E5C174B8}"/>
    <cellStyle name="百分比 4 4 13" xfId="6779" xr:uid="{AD34B09F-6D63-46F2-9B98-05108649DBB1}"/>
    <cellStyle name="百分比 4 4 14" xfId="33190" xr:uid="{F8EED395-EF4F-4EB3-ACF5-AAF00F604B0D}"/>
    <cellStyle name="百分比 4 4 2" xfId="6780" xr:uid="{CE1048B7-D713-4760-967A-F2E46AFEAE5F}"/>
    <cellStyle name="百分比 4 4 2 2" xfId="6781" xr:uid="{8F5F6331-C477-46FE-BA98-22727AECF45D}"/>
    <cellStyle name="百分比 4 4 3" xfId="6782" xr:uid="{EAF9F037-A654-4CEB-A501-BC46F9253102}"/>
    <cellStyle name="百分比 4 4 3 2" xfId="6783" xr:uid="{7C280471-FBAE-44E6-990D-4D1B6ACB6641}"/>
    <cellStyle name="百分比 4 4 3 2 2" xfId="6784" xr:uid="{EC822C7D-9C76-43FA-8D3F-0F7F9660FDE1}"/>
    <cellStyle name="百分比 4 4 3 2 3" xfId="6785" xr:uid="{4A9CDA68-1335-40D2-8215-9D728E754A88}"/>
    <cellStyle name="百分比 4 4 3 2 4" xfId="6786" xr:uid="{8EB866F8-D7A5-4C17-B76D-7BFC53CC852F}"/>
    <cellStyle name="百分比 4 4 3 2 5" xfId="6787" xr:uid="{1805648A-5DEA-4701-8F74-BF83E63C9558}"/>
    <cellStyle name="百分比 4 4 3 2 6" xfId="6788" xr:uid="{A69BC4B7-BA43-45EE-A7C2-E45D42CA4D68}"/>
    <cellStyle name="百分比 4 4 3 3" xfId="6789" xr:uid="{B03081B8-635F-4370-85CB-F1E8ECDB845D}"/>
    <cellStyle name="百分比 4 4 3 4" xfId="6790" xr:uid="{E5925BC3-E76E-4196-ABB5-8C0FC226D9EA}"/>
    <cellStyle name="百分比 4 4 3 5" xfId="6791" xr:uid="{4E8C6CBE-6F5E-479E-A866-DA0846CE76AE}"/>
    <cellStyle name="百分比 4 4 3 6" xfId="6792" xr:uid="{1F99477A-E8CA-4741-AF63-D08D97673190}"/>
    <cellStyle name="百分比 4 4 3 7" xfId="6793" xr:uid="{E6F2F647-F0A8-4F61-9B50-C7593F137D17}"/>
    <cellStyle name="百分比 4 4 4" xfId="6794" xr:uid="{B15BE691-6E53-492A-BA0C-49FF3AF1F255}"/>
    <cellStyle name="百分比 4 4 4 2" xfId="6795" xr:uid="{FF96B8A5-B7B0-4E1C-B9B3-328C18F8F201}"/>
    <cellStyle name="百分比 4 4 4 2 2" xfId="6796" xr:uid="{4776235B-A70D-4618-9A35-4C8E2F4BBC6A}"/>
    <cellStyle name="百分比 4 4 4 2 3" xfId="6797" xr:uid="{5204B814-690A-4A62-9925-1E43A74A3B0F}"/>
    <cellStyle name="百分比 4 4 4 2 4" xfId="6798" xr:uid="{78A256E1-079D-4999-A1F1-B389DF110C23}"/>
    <cellStyle name="百分比 4 4 4 2 5" xfId="6799" xr:uid="{50D86574-3BDA-43E8-B1D7-CEB00742EDD1}"/>
    <cellStyle name="百分比 4 4 4 2 6" xfId="6800" xr:uid="{104ABB38-6293-4CE4-955C-64A89FA0F025}"/>
    <cellStyle name="百分比 4 4 4 3" xfId="6801" xr:uid="{87584B22-C8D9-461E-8E4F-F0CFD3095A0C}"/>
    <cellStyle name="百分比 4 4 4 4" xfId="6802" xr:uid="{A5391B87-5F4B-4BAA-B717-7D4273271EBC}"/>
    <cellStyle name="百分比 4 4 4 5" xfId="6803" xr:uid="{7075E0B3-A524-4E57-B57D-36FB5679F399}"/>
    <cellStyle name="百分比 4 4 4 6" xfId="6804" xr:uid="{B53A740C-50E5-4938-A55C-1584DDA4A611}"/>
    <cellStyle name="百分比 4 4 4 7" xfId="6805" xr:uid="{49BF17F0-4BEB-490F-85E8-51B89A4B6200}"/>
    <cellStyle name="百分比 4 4 5" xfId="6806" xr:uid="{5FA8B0CD-9179-4105-B758-50C96A91B708}"/>
    <cellStyle name="百分比 4 4 5 2" xfId="6807" xr:uid="{7B1335D2-8EEF-4C07-9114-CD3545BD9C16}"/>
    <cellStyle name="百分比 4 4 5 2 2" xfId="6808" xr:uid="{ACFC4265-8A10-405A-9F6B-D1756920B459}"/>
    <cellStyle name="百分比 4 4 5 2 3" xfId="6809" xr:uid="{80CC664C-6EBD-4C5A-BBBA-B72AEDE38A67}"/>
    <cellStyle name="百分比 4 4 5 2 4" xfId="6810" xr:uid="{492F5941-544F-438E-A8D0-4618EC565E14}"/>
    <cellStyle name="百分比 4 4 5 2 5" xfId="6811" xr:uid="{9F12CEB5-7FD0-4737-88E1-7AE95EB364C4}"/>
    <cellStyle name="百分比 4 4 5 2 6" xfId="6812" xr:uid="{1D0961F5-7FF1-4787-9C94-B40C9B5C621D}"/>
    <cellStyle name="百分比 4 4 5 3" xfId="6813" xr:uid="{C7BAF31E-1CA8-4BAF-9F67-5F13E7F0BCFC}"/>
    <cellStyle name="百分比 4 4 5 4" xfId="6814" xr:uid="{80F80628-8677-478A-BD32-9CF6B06ACE24}"/>
    <cellStyle name="百分比 4 4 5 5" xfId="6815" xr:uid="{99743E4F-9A66-43A7-B456-A0A063BB8586}"/>
    <cellStyle name="百分比 4 4 5 6" xfId="6816" xr:uid="{2096D4BE-A28C-4029-BCA9-C51958D7575B}"/>
    <cellStyle name="百分比 4 4 5 7" xfId="6817" xr:uid="{51296E41-B619-46BD-A3CE-6BD55E3F851B}"/>
    <cellStyle name="百分比 4 4 6" xfId="6818" xr:uid="{A6611465-5DFA-4195-9EF1-DF7D5B6468AB}"/>
    <cellStyle name="百分比 4 4 6 2" xfId="6819" xr:uid="{4780BD03-FF89-4F56-A713-1D24BE8D5745}"/>
    <cellStyle name="百分比 4 4 6 2 2" xfId="6820" xr:uid="{87D5255A-2231-42D4-8F1D-D33E69273E88}"/>
    <cellStyle name="百分比 4 4 6 2 3" xfId="6821" xr:uid="{04E42435-93F2-4B1D-9D30-D7CC5F78BE5B}"/>
    <cellStyle name="百分比 4 4 6 2 4" xfId="6822" xr:uid="{C861EAEB-F131-4DDC-9ADB-C493F92E6A5F}"/>
    <cellStyle name="百分比 4 4 6 2 5" xfId="6823" xr:uid="{91B7C415-4AA4-4331-B083-187ABF8767F4}"/>
    <cellStyle name="百分比 4 4 6 2 6" xfId="6824" xr:uid="{66E5EBE3-9725-4453-BC04-1B9FB66EE1B3}"/>
    <cellStyle name="百分比 4 4 6 3" xfId="6825" xr:uid="{D038D8DE-260A-4136-816A-34002EC11D6A}"/>
    <cellStyle name="百分比 4 4 6 4" xfId="6826" xr:uid="{C5192D55-3423-48B6-AE7E-23557B058887}"/>
    <cellStyle name="百分比 4 4 6 5" xfId="6827" xr:uid="{1E58399D-36FF-48FF-AE3C-8CE1E54B3B16}"/>
    <cellStyle name="百分比 4 4 6 6" xfId="6828" xr:uid="{A8D98D57-2F90-433D-95A1-7C1F778B9D5C}"/>
    <cellStyle name="百分比 4 4 6 7" xfId="6829" xr:uid="{7E65F5D0-F034-4EFA-88FA-D1B061DFD778}"/>
    <cellStyle name="百分比 4 4 7" xfId="6830" xr:uid="{A513D1BA-6327-42BC-ABD0-EA4ED3E7367E}"/>
    <cellStyle name="百分比 4 4 7 2" xfId="6831" xr:uid="{D33569FF-3667-4775-8AEB-8330DA85D724}"/>
    <cellStyle name="百分比 4 4 7 2 2" xfId="6832" xr:uid="{1B06DD89-F4D9-48A1-AAF1-0D04B704847E}"/>
    <cellStyle name="百分比 4 4 7 2 3" xfId="6833" xr:uid="{D52F15F9-41C8-4F39-8FEC-D23E893D56E3}"/>
    <cellStyle name="百分比 4 4 7 2 4" xfId="6834" xr:uid="{46EB5058-0CF4-47AE-9E13-F1BB58188CEE}"/>
    <cellStyle name="百分比 4 4 7 2 5" xfId="6835" xr:uid="{A03A4DA2-97A7-413D-8E8A-DC9F19E76EF0}"/>
    <cellStyle name="百分比 4 4 7 2 6" xfId="6836" xr:uid="{2416E876-AC92-4823-BDC1-E7E2D2B07D92}"/>
    <cellStyle name="百分比 4 4 7 3" xfId="6837" xr:uid="{7E15DC58-5091-4E97-A07F-A1D110B503DF}"/>
    <cellStyle name="百分比 4 4 7 4" xfId="6838" xr:uid="{B459E780-C684-4BA9-BDD1-F7F590E07EED}"/>
    <cellStyle name="百分比 4 4 7 5" xfId="6839" xr:uid="{80D11E3C-62A6-4D1A-927F-D7569C2F7C91}"/>
    <cellStyle name="百分比 4 4 7 6" xfId="6840" xr:uid="{E0291667-FF01-42F7-B86C-224E70B1B273}"/>
    <cellStyle name="百分比 4 4 7 7" xfId="6841" xr:uid="{DCB248EF-64FF-4152-AAD4-220879F1B4EA}"/>
    <cellStyle name="百分比 4 4 8" xfId="6842" xr:uid="{9E8A9A8A-9170-4D7D-BD16-0FEDE2101C50}"/>
    <cellStyle name="百分比 4 4 8 2" xfId="6843" xr:uid="{E629944D-5F6E-473B-BA11-DCEF1A2E41FB}"/>
    <cellStyle name="百分比 4 4 8 2 2" xfId="6844" xr:uid="{D8BA6E28-020D-43DC-BE7F-C4402EE1DFFD}"/>
    <cellStyle name="百分比 4 4 8 2 3" xfId="6845" xr:uid="{6D062F44-2FDF-4EC9-8B7A-EAAC2A5DEA68}"/>
    <cellStyle name="百分比 4 4 8 2 4" xfId="6846" xr:uid="{C789BB28-1D8C-4C58-A666-D62E197AAC39}"/>
    <cellStyle name="百分比 4 4 8 2 5" xfId="6847" xr:uid="{D859B71F-34BA-407B-B78D-4D34C6DED252}"/>
    <cellStyle name="百分比 4 4 8 2 6" xfId="6848" xr:uid="{EE35D5E8-5EDB-4DFE-A135-707C0C3B7BF4}"/>
    <cellStyle name="百分比 4 4 8 3" xfId="6849" xr:uid="{9F7544DB-4996-41E9-AD8A-AA35A92C5DAA}"/>
    <cellStyle name="百分比 4 4 8 4" xfId="6850" xr:uid="{5B56D2BD-41CE-456A-A3DE-303043605FAB}"/>
    <cellStyle name="百分比 4 4 8 5" xfId="6851" xr:uid="{664CBA93-8EB9-4FD6-A016-D550760D5F1B}"/>
    <cellStyle name="百分比 4 4 8 6" xfId="6852" xr:uid="{746F594D-9F1D-41BE-8DB7-5A507745DCC5}"/>
    <cellStyle name="百分比 4 4 8 7" xfId="6853" xr:uid="{63A50F04-5B12-441A-A786-8AF3C3A0961A}"/>
    <cellStyle name="百分比 4 4 9" xfId="6854" xr:uid="{2687FD61-BC7B-480F-95F4-746A1C569C72}"/>
    <cellStyle name="百分比 4 4 9 2" xfId="6855" xr:uid="{263C557F-4DA2-4BA1-BE07-996A1429D818}"/>
    <cellStyle name="百分比 4 4 9 2 2" xfId="6856" xr:uid="{55642FBB-72FD-421F-9333-5872C1123E1F}"/>
    <cellStyle name="百分比 4 4 9 2 3" xfId="6857" xr:uid="{3D4AD165-F0E0-4A39-A808-CD19E746A024}"/>
    <cellStyle name="百分比 4 4 9 2 4" xfId="6858" xr:uid="{A8F6F81A-C598-4EA0-87C9-524C329F3B46}"/>
    <cellStyle name="百分比 4 4 9 2 5" xfId="6859" xr:uid="{AD5293DF-00AA-429B-AC8E-2420550261E8}"/>
    <cellStyle name="百分比 4 4 9 2 6" xfId="6860" xr:uid="{9389C802-1099-4AB0-AB5B-E1D53FE31C7D}"/>
    <cellStyle name="百分比 4 4 9 3" xfId="6861" xr:uid="{9E4134F2-7B07-47E7-9C5D-F82F382BF58C}"/>
    <cellStyle name="百分比 4 4 9 4" xfId="6862" xr:uid="{19C5F830-BDBB-49CF-ACBB-029579699A23}"/>
    <cellStyle name="百分比 4 4 9 5" xfId="6863" xr:uid="{0221D19D-1FB4-479B-ADA5-C5AD98371F63}"/>
    <cellStyle name="百分比 4 4 9 6" xfId="6864" xr:uid="{98AC01F9-8AD5-42E4-A321-66321378ED96}"/>
    <cellStyle name="百分比 4 4 9 7" xfId="6865" xr:uid="{A1305FFF-09B4-40C8-B23A-E562CE7DAE32}"/>
    <cellStyle name="百分比 4 5" xfId="6866" xr:uid="{31BD0825-7BA0-49F1-A7C1-54BAB29BC348}"/>
    <cellStyle name="百分比 4 5 10" xfId="6867" xr:uid="{45F9646E-3047-4666-BCB4-998262BFCB7B}"/>
    <cellStyle name="百分比 4 5 10 2" xfId="6868" xr:uid="{7C7EE282-5AD9-4453-99D4-371FF6EFB6AB}"/>
    <cellStyle name="百分比 4 5 10 2 2" xfId="6869" xr:uid="{7770EF04-B916-4208-A939-67CAF4EBFDEA}"/>
    <cellStyle name="百分比 4 5 10 2 3" xfId="6870" xr:uid="{C94EC065-0BC5-4AA5-B4DC-384B7977584C}"/>
    <cellStyle name="百分比 4 5 10 2 4" xfId="6871" xr:uid="{684BEB52-057B-415B-A285-36F9CD26F176}"/>
    <cellStyle name="百分比 4 5 10 2 5" xfId="6872" xr:uid="{FC8D1AA8-8EE9-47D6-86B9-19E3BB4A7845}"/>
    <cellStyle name="百分比 4 5 10 2 6" xfId="6873" xr:uid="{4584C22F-4D12-4EF2-A70D-DBA0FCCBF9D8}"/>
    <cellStyle name="百分比 4 5 10 3" xfId="6874" xr:uid="{4E3A2479-A21E-46C3-B8C2-091CFFCD1D10}"/>
    <cellStyle name="百分比 4 5 10 4" xfId="6875" xr:uid="{78386B17-FBF2-4347-9581-5B67FECCBF8C}"/>
    <cellStyle name="百分比 4 5 10 5" xfId="6876" xr:uid="{8B1E7FD5-2F58-46CC-A97C-32C2637688D4}"/>
    <cellStyle name="百分比 4 5 10 6" xfId="6877" xr:uid="{2F7C75D7-913A-47FD-B05D-ED90E5B16F1E}"/>
    <cellStyle name="百分比 4 5 10 7" xfId="6878" xr:uid="{B6D52F7F-2F40-4567-AFC9-A0DCE45F70C8}"/>
    <cellStyle name="百分比 4 5 11" xfId="33191" xr:uid="{86FB10C8-D063-4EB7-9C2E-2E2FA113EE04}"/>
    <cellStyle name="百分比 4 5 2" xfId="6879" xr:uid="{0BA7B79F-171D-4012-B3BD-2F1AC99C9FA3}"/>
    <cellStyle name="百分比 4 5 2 2" xfId="6880" xr:uid="{96B285C3-5BB4-4B34-B22E-234801DCDE0F}"/>
    <cellStyle name="百分比 4 5 2 2 2" xfId="6881" xr:uid="{C9A8220B-D4C6-4F22-BFF8-BE07E804EE14}"/>
    <cellStyle name="百分比 4 5 2 2 2 2" xfId="6882" xr:uid="{7F860919-B446-4A9F-9CDF-B6C9F298CDBD}"/>
    <cellStyle name="百分比 4 5 2 2 3" xfId="6883" xr:uid="{3924FE0B-3A09-4C41-8E5B-C8B079A3FD8A}"/>
    <cellStyle name="百分比 4 5 2 2 3 2" xfId="6884" xr:uid="{EBB8EB1E-CB44-4E9D-98DC-AB3940FA7BB6}"/>
    <cellStyle name="百分比 4 5 2 2 4" xfId="6885" xr:uid="{8057C69B-8E9F-431E-8539-61D1886E9B11}"/>
    <cellStyle name="百分比 4 5 2 2 4 2" xfId="33192" xr:uid="{B4483A10-6A87-4CF6-B3C3-456E4EA5C763}"/>
    <cellStyle name="百分比 4 5 2 2 5" xfId="6886" xr:uid="{8CA19908-1BCB-482C-B4BF-7E896DF2A2A7}"/>
    <cellStyle name="百分比 4 5 2 2 6" xfId="6887" xr:uid="{6E8B1805-06D4-4C97-AAE3-BBD9DEBB4F93}"/>
    <cellStyle name="百分比 4 5 2 2 7" xfId="6888" xr:uid="{ABA6D2D8-8956-43FF-A40C-BEC31A1DE25A}"/>
    <cellStyle name="百分比 4 5 2 3" xfId="6889" xr:uid="{CC363397-3F96-432F-81D2-6392AF7AC896}"/>
    <cellStyle name="百分比 4 5 2 3 2" xfId="6890" xr:uid="{34FA0FFE-9E90-4387-839D-B7D3BDBFFC77}"/>
    <cellStyle name="百分比 4 5 2 3 2 2" xfId="6891" xr:uid="{A38E3D95-FAD9-46E5-A040-E1BC8690ED06}"/>
    <cellStyle name="百分比 4 5 2 3 3" xfId="6892" xr:uid="{7ED69CF7-DC17-4058-8200-CA2261B3F53D}"/>
    <cellStyle name="百分比 4 5 2 3 4" xfId="6893" xr:uid="{0910B086-90AF-4536-B464-99184C60C39C}"/>
    <cellStyle name="百分比 4 5 2 3 4 2" xfId="33193" xr:uid="{2DAB3EB1-9CF5-4409-A21C-D6CD1D84A59E}"/>
    <cellStyle name="百分比 4 5 2 3 5" xfId="6894" xr:uid="{B8D31964-8CB0-4E86-BEF2-E895163853A5}"/>
    <cellStyle name="百分比 4 5 2 4" xfId="6895" xr:uid="{B277322E-46EA-4572-B47F-D19DFF8BBE7B}"/>
    <cellStyle name="百分比 4 5 2 4 2" xfId="6896" xr:uid="{C4303585-118B-4FCB-9914-48FC355895DC}"/>
    <cellStyle name="百分比 4 5 2 5" xfId="6897" xr:uid="{7594E6E9-B560-48D8-AEB4-5AD1201B1722}"/>
    <cellStyle name="百分比 4 5 2 5 2" xfId="6898" xr:uid="{65B788A0-DD2F-433B-99C9-E87D8F225754}"/>
    <cellStyle name="百分比 4 5 2 6" xfId="6899" xr:uid="{E5B1B690-4C3C-4ED4-A5DA-7C216ED73B60}"/>
    <cellStyle name="百分比 4 5 2 6 2" xfId="33194" xr:uid="{9C69EFD1-8D73-4AA5-A985-D5CF6F8D3F74}"/>
    <cellStyle name="百分比 4 5 2 7" xfId="6900" xr:uid="{63C158B1-6021-4211-815B-A622162DFBF5}"/>
    <cellStyle name="百分比 4 5 2 8" xfId="6901" xr:uid="{1CE3D0BE-BFC7-4D0D-B993-F3E3D0D0B744}"/>
    <cellStyle name="百分比 4 5 3" xfId="6902" xr:uid="{0D7D90F6-0AA0-4646-96BC-E8FB7E183332}"/>
    <cellStyle name="百分比 4 5 3 2" xfId="6903" xr:uid="{B6971E84-7A76-4AD9-8E76-5D56B04B5933}"/>
    <cellStyle name="百分比 4 5 3 2 2" xfId="6904" xr:uid="{D4AA14E1-AC83-46C9-B485-9AAAA79EA7CC}"/>
    <cellStyle name="百分比 4 5 3 2 3" xfId="6905" xr:uid="{6B082CF6-9571-44F1-819F-F85A5B994D30}"/>
    <cellStyle name="百分比 4 5 3 2 4" xfId="6906" xr:uid="{7A517749-EE1E-4E59-BA5B-E140039A5539}"/>
    <cellStyle name="百分比 4 5 3 2 5" xfId="6907" xr:uid="{7B6294BD-C3D0-4632-B672-8308D9B31880}"/>
    <cellStyle name="百分比 4 5 3 2 6" xfId="6908" xr:uid="{F01B1EB4-5FCB-4E0B-8D5E-D94225BF370B}"/>
    <cellStyle name="百分比 4 5 3 2 7" xfId="6909" xr:uid="{A5DCA0E9-FF88-4E57-A609-39CF5F3AA1BB}"/>
    <cellStyle name="百分比 4 5 3 3" xfId="6910" xr:uid="{5ECFB272-F16E-4066-88D7-33E990FF8030}"/>
    <cellStyle name="百分比 4 5 3 3 2" xfId="6911" xr:uid="{863EC0B1-BABC-4C0F-B352-A04DF82AE473}"/>
    <cellStyle name="百分比 4 5 3 4" xfId="6912" xr:uid="{11370683-FFF3-4CDA-95C7-1157915006F6}"/>
    <cellStyle name="百分比 4 5 3 4 2" xfId="33195" xr:uid="{5156F8CF-150D-4D2F-919A-53E92689FCB4}"/>
    <cellStyle name="百分比 4 5 3 5" xfId="6913" xr:uid="{F7A57D35-B431-43BA-81DA-DB37462790B4}"/>
    <cellStyle name="百分比 4 5 3 6" xfId="6914" xr:uid="{EAE364A0-5D9C-4737-BF21-4D605DA1A4B2}"/>
    <cellStyle name="百分比 4 5 3 7" xfId="6915" xr:uid="{475281E1-61D1-486F-894E-88C4BAB2BD65}"/>
    <cellStyle name="百分比 4 5 3 8" xfId="6916" xr:uid="{F82821A5-781F-43BE-B809-2C5FE13FFB3A}"/>
    <cellStyle name="百分比 4 5 4" xfId="6917" xr:uid="{0E680E3C-83B3-484E-A9E4-61034E004D3E}"/>
    <cellStyle name="百分比 4 5 4 2" xfId="6918" xr:uid="{43F3CA3E-55B0-4BDC-9AB9-825540D5348A}"/>
    <cellStyle name="百分比 4 5 4 2 2" xfId="6919" xr:uid="{9BEB870B-CF10-42A0-B05B-2A5F0323845F}"/>
    <cellStyle name="百分比 4 5 4 2 3" xfId="6920" xr:uid="{5C686422-067D-4577-BC04-5558892AD758}"/>
    <cellStyle name="百分比 4 5 4 2 4" xfId="6921" xr:uid="{86EDE29C-3CA0-446C-ACAE-F918EE72F9D8}"/>
    <cellStyle name="百分比 4 5 4 2 5" xfId="6922" xr:uid="{51AFDBCA-68D6-45E5-AA64-80EBE3AFB9F9}"/>
    <cellStyle name="百分比 4 5 4 2 6" xfId="6923" xr:uid="{05C82A70-CD8B-4319-BD8E-E64237A0A386}"/>
    <cellStyle name="百分比 4 5 4 2 7" xfId="6924" xr:uid="{25E9A54F-A076-42AA-9E6B-3CC03E98FE96}"/>
    <cellStyle name="百分比 4 5 4 3" xfId="6925" xr:uid="{8B97F801-ECD5-4870-A3AA-9AA7504DA2FA}"/>
    <cellStyle name="百分比 4 5 4 3 2" xfId="6926" xr:uid="{2EA8F5B4-3412-4362-9B78-0C94271E8046}"/>
    <cellStyle name="百分比 4 5 4 4" xfId="6927" xr:uid="{30DD1501-DBA8-4E57-96C2-9900BE4294C4}"/>
    <cellStyle name="百分比 4 5 4 4 2" xfId="33196" xr:uid="{5EBC4715-9AC0-4F65-AF57-3AEAF98FAF56}"/>
    <cellStyle name="百分比 4 5 4 5" xfId="6928" xr:uid="{AD67D84B-576C-459F-B622-2FBBFC5361BF}"/>
    <cellStyle name="百分比 4 5 4 6" xfId="6929" xr:uid="{A02E0D21-A45F-4DD4-838D-FED9654C6238}"/>
    <cellStyle name="百分比 4 5 4 7" xfId="6930" xr:uid="{02649A31-7C4B-4DBC-9E42-AA56B4C6E4FA}"/>
    <cellStyle name="百分比 4 5 4 8" xfId="6931" xr:uid="{E3922DE5-7402-4898-AFC5-B8BAE764666D}"/>
    <cellStyle name="百分比 4 5 5" xfId="6932" xr:uid="{95A335FB-B05A-494F-B3BE-371E0043BDBD}"/>
    <cellStyle name="百分比 4 5 5 2" xfId="6933" xr:uid="{CCE907AF-FB3B-402E-B28D-3516A4B6E276}"/>
    <cellStyle name="百分比 4 5 5 2 2" xfId="6934" xr:uid="{0BFA520F-35F9-4767-B300-00E507EDEEAB}"/>
    <cellStyle name="百分比 4 5 5 2 3" xfId="6935" xr:uid="{55313140-5FA0-42DB-8D13-EE07F56BC289}"/>
    <cellStyle name="百分比 4 5 5 2 4" xfId="6936" xr:uid="{C3DC8907-345D-4010-B3BB-55F057CF3240}"/>
    <cellStyle name="百分比 4 5 5 2 5" xfId="6937" xr:uid="{98CBA057-9777-415F-B1F2-90579AF9749A}"/>
    <cellStyle name="百分比 4 5 5 2 6" xfId="6938" xr:uid="{9D64D5BA-58EB-48F6-B157-7008F6748F03}"/>
    <cellStyle name="百分比 4 5 5 3" xfId="6939" xr:uid="{903E3D42-346E-493A-A830-F3A854BD82EF}"/>
    <cellStyle name="百分比 4 5 5 4" xfId="6940" xr:uid="{E42E5C56-CC6A-4E59-8F80-02BC25A6333A}"/>
    <cellStyle name="百分比 4 5 5 5" xfId="6941" xr:uid="{F93A0DD8-FD05-4016-B467-83503BC96B03}"/>
    <cellStyle name="百分比 4 5 5 6" xfId="6942" xr:uid="{96C0CB93-E878-4AF4-940B-12EE3D5FC554}"/>
    <cellStyle name="百分比 4 5 5 7" xfId="6943" xr:uid="{A6D9033C-BA85-4497-BBFC-A793107FCA39}"/>
    <cellStyle name="百分比 4 5 5 8" xfId="6944" xr:uid="{B6807287-75F4-4C0C-876A-F99A490643FA}"/>
    <cellStyle name="百分比 4 5 6" xfId="6945" xr:uid="{9BD86F10-C44B-4442-8A03-9EADCEF8478C}"/>
    <cellStyle name="百分比 4 5 6 2" xfId="6946" xr:uid="{7D4B2429-AEA8-4473-A79F-3ECF7F68EAAC}"/>
    <cellStyle name="百分比 4 5 6 2 2" xfId="6947" xr:uid="{89A96FE5-BEB0-465B-A24A-AFDCB2FA99D1}"/>
    <cellStyle name="百分比 4 5 6 2 3" xfId="6948" xr:uid="{BD579807-8C88-4693-90BA-DBD1A9E56E4D}"/>
    <cellStyle name="百分比 4 5 6 2 4" xfId="6949" xr:uid="{8085BB3D-B653-424D-AC6C-8C2CA64D96EA}"/>
    <cellStyle name="百分比 4 5 6 2 5" xfId="6950" xr:uid="{1B8A4E7F-7AA2-4ACE-A465-5C38860B1EC1}"/>
    <cellStyle name="百分比 4 5 6 2 6" xfId="6951" xr:uid="{357DE929-6D97-4C8D-B328-6C35E5595B18}"/>
    <cellStyle name="百分比 4 5 6 3" xfId="6952" xr:uid="{68B4C35C-97BE-4DE2-B94C-27E5C47002B6}"/>
    <cellStyle name="百分比 4 5 6 4" xfId="6953" xr:uid="{EA381B64-3B7D-442B-B42F-17F83938396F}"/>
    <cellStyle name="百分比 4 5 6 5" xfId="6954" xr:uid="{1CABFF04-37F6-4491-BA53-BFDE723511E2}"/>
    <cellStyle name="百分比 4 5 6 6" xfId="6955" xr:uid="{108B3EF8-641C-42A4-9977-54DF2F7C7653}"/>
    <cellStyle name="百分比 4 5 6 7" xfId="6956" xr:uid="{5D81D52A-BBD0-451D-A69F-819DC0562ADA}"/>
    <cellStyle name="百分比 4 5 6 8" xfId="6957" xr:uid="{E978AB98-5AE7-404A-BE30-45294E7E215F}"/>
    <cellStyle name="百分比 4 5 7" xfId="6958" xr:uid="{B2906434-542C-4888-92DC-AAD6F951AFB7}"/>
    <cellStyle name="百分比 4 5 7 2" xfId="6959" xr:uid="{4A9D1847-EEEF-4F0D-9F56-153DC4345AF1}"/>
    <cellStyle name="百分比 4 5 7 2 2" xfId="6960" xr:uid="{0FCF0B58-64A1-4BA7-BEFB-E85BDEAFE0D2}"/>
    <cellStyle name="百分比 4 5 7 2 3" xfId="6961" xr:uid="{A80A5BBA-7CCC-4C57-BFCD-ACDA841EB777}"/>
    <cellStyle name="百分比 4 5 7 2 4" xfId="6962" xr:uid="{EAE783B0-7A6E-4E48-A501-8EA3DB41C09F}"/>
    <cellStyle name="百分比 4 5 7 2 5" xfId="6963" xr:uid="{9053DDA3-56FD-43BB-BBB0-036932030407}"/>
    <cellStyle name="百分比 4 5 7 2 6" xfId="6964" xr:uid="{0EC4432C-18FE-4A0F-AE9F-65A48E2EA243}"/>
    <cellStyle name="百分比 4 5 7 3" xfId="6965" xr:uid="{508E16C4-E57B-4532-AE36-4B3FABCECBDE}"/>
    <cellStyle name="百分比 4 5 7 4" xfId="6966" xr:uid="{BA0661A3-5ED7-4469-AD7B-C729D02D6E5B}"/>
    <cellStyle name="百分比 4 5 7 5" xfId="6967" xr:uid="{84CD67DB-2531-4C91-ADA6-190299E49A82}"/>
    <cellStyle name="百分比 4 5 7 6" xfId="6968" xr:uid="{29DDE19E-F225-443E-907F-10041534A1C0}"/>
    <cellStyle name="百分比 4 5 7 7" xfId="6969" xr:uid="{FF483311-C1BE-4B16-B93E-19808FEEE01C}"/>
    <cellStyle name="百分比 4 5 7 8" xfId="33197" xr:uid="{4D2C4B0A-FF16-459A-B12B-559623A6D728}"/>
    <cellStyle name="百分比 4 5 8" xfId="6970" xr:uid="{452116AB-8520-49E7-BD06-CB929752AC5D}"/>
    <cellStyle name="百分比 4 5 8 2" xfId="6971" xr:uid="{C5582427-3997-4383-91B3-21FEAF4AB22F}"/>
    <cellStyle name="百分比 4 5 8 2 2" xfId="6972" xr:uid="{E9C260C2-7217-4F29-978A-AD875713DA92}"/>
    <cellStyle name="百分比 4 5 8 2 3" xfId="6973" xr:uid="{BC46DA0E-68FE-4946-A0BC-F8507974467F}"/>
    <cellStyle name="百分比 4 5 8 2 4" xfId="6974" xr:uid="{E9B27645-30EA-4D9D-B666-C7242859787B}"/>
    <cellStyle name="百分比 4 5 8 2 5" xfId="6975" xr:uid="{7E944077-D9B0-4B38-BF2A-5F700F2D819E}"/>
    <cellStyle name="百分比 4 5 8 2 6" xfId="6976" xr:uid="{D8FD4BBE-C092-4EB8-A9A1-569D22797C73}"/>
    <cellStyle name="百分比 4 5 8 3" xfId="6977" xr:uid="{FADB63B1-E30B-4334-907E-72E8ADCF49FB}"/>
    <cellStyle name="百分比 4 5 8 4" xfId="6978" xr:uid="{7B5750E5-ED7B-406D-81FB-F3508C4E83B9}"/>
    <cellStyle name="百分比 4 5 8 5" xfId="6979" xr:uid="{D4B5F4E5-784A-4086-962C-7FB45297B01F}"/>
    <cellStyle name="百分比 4 5 8 6" xfId="6980" xr:uid="{41FD9BD3-1B2B-4C46-837F-183E0039CDB2}"/>
    <cellStyle name="百分比 4 5 8 7" xfId="6981" xr:uid="{920546BE-3D2E-4952-8677-6DC57DD34B3C}"/>
    <cellStyle name="百分比 4 5 8 8" xfId="6982" xr:uid="{AC83786F-8D2E-41F1-827C-EC2B4641DE4C}"/>
    <cellStyle name="百分比 4 5 9" xfId="6983" xr:uid="{3912E785-10F6-4C75-95CC-9BEDD56CBF36}"/>
    <cellStyle name="百分比 4 5 9 2" xfId="6984" xr:uid="{97172142-33E1-4FED-9B2F-3CA602145677}"/>
    <cellStyle name="百分比 4 5 9 2 2" xfId="6985" xr:uid="{9C0914AB-86CA-4584-B752-446AAF19FA96}"/>
    <cellStyle name="百分比 4 5 9 2 3" xfId="6986" xr:uid="{347FACE1-87D0-41B7-8B88-450F337AC330}"/>
    <cellStyle name="百分比 4 5 9 2 4" xfId="6987" xr:uid="{B2D4D624-AA7A-4BFE-AB3E-14B3B921606B}"/>
    <cellStyle name="百分比 4 5 9 2 5" xfId="6988" xr:uid="{DE4063A6-B304-4FC9-B5E8-51324FA80988}"/>
    <cellStyle name="百分比 4 5 9 2 6" xfId="6989" xr:uid="{9B0711C3-1233-439D-9478-A8748677F585}"/>
    <cellStyle name="百分比 4 5 9 3" xfId="6990" xr:uid="{6764508E-0FBB-4EF6-96DF-32FF9B4D52CD}"/>
    <cellStyle name="百分比 4 5 9 4" xfId="6991" xr:uid="{E1B023FD-98B2-4D03-86A4-ED6AB8E775FF}"/>
    <cellStyle name="百分比 4 5 9 5" xfId="6992" xr:uid="{0A213DB5-C402-4A8E-BAB9-28F79DBD57F0}"/>
    <cellStyle name="百分比 4 5 9 6" xfId="6993" xr:uid="{3EE93781-9501-43C6-8853-9B6EB1282056}"/>
    <cellStyle name="百分比 4 5 9 7" xfId="6994" xr:uid="{0A27808B-4077-424C-B07E-EF731F9942AD}"/>
    <cellStyle name="百分比 4 6" xfId="6995" xr:uid="{ACD6D48D-A8BF-4FFF-B7E0-5888AE0D4E93}"/>
    <cellStyle name="百分比 4 6 10" xfId="6996" xr:uid="{1542EB17-E1A6-4A69-87B3-58352E197C4F}"/>
    <cellStyle name="百分比 4 6 10 2" xfId="6997" xr:uid="{A2A27C6B-D100-4B2C-9F63-F6C7503CB93D}"/>
    <cellStyle name="百分比 4 6 10 3" xfId="6998" xr:uid="{BE10648A-E6EC-40E9-B0BE-E747A2BE41DB}"/>
    <cellStyle name="百分比 4 6 10 4" xfId="6999" xr:uid="{B996B684-4EE3-4256-AAD9-01D928B5DD80}"/>
    <cellStyle name="百分比 4 6 10 5" xfId="7000" xr:uid="{8D519ED9-49D4-4690-B8D6-7DC3C4A58F02}"/>
    <cellStyle name="百分比 4 6 10 6" xfId="7001" xr:uid="{E23783C8-84CA-406D-B018-28EA748FCA18}"/>
    <cellStyle name="百分比 4 6 11" xfId="7002" xr:uid="{BA44F80A-4563-436B-AD51-CD6AD35D6750}"/>
    <cellStyle name="百分比 4 6 12" xfId="7003" xr:uid="{12310208-6D86-40F6-86BC-BC7120EED04B}"/>
    <cellStyle name="百分比 4 6 13" xfId="7004" xr:uid="{97E2C5DE-B6BD-4829-8497-D77527276A62}"/>
    <cellStyle name="百分比 4 6 14" xfId="7005" xr:uid="{5E3CD59A-C835-4D61-BB6F-82D3260C773D}"/>
    <cellStyle name="百分比 4 6 15" xfId="7006" xr:uid="{34A86642-6297-4663-8022-0C5BE41C8B60}"/>
    <cellStyle name="百分比 4 6 16" xfId="7007" xr:uid="{9CD1102B-E6A4-4E88-8F00-A52A30652994}"/>
    <cellStyle name="百分比 4 6 2" xfId="7008" xr:uid="{4FBC313E-8D69-44CD-97F7-CB31BB146141}"/>
    <cellStyle name="百分比 4 6 2 2" xfId="7009" xr:uid="{80154E06-1A6C-4C7A-ABA9-45FF55550547}"/>
    <cellStyle name="百分比 4 6 2 2 2" xfId="7010" xr:uid="{0058E3BF-86BC-40C0-BF8A-F5049906E07D}"/>
    <cellStyle name="百分比 4 6 2 2 2 2" xfId="7011" xr:uid="{03B65780-219C-4C0F-B289-4DA87A192AB6}"/>
    <cellStyle name="百分比 4 6 2 2 3" xfId="7012" xr:uid="{BB1DE019-EFC5-469A-ABC3-8B1A990CFEDC}"/>
    <cellStyle name="百分比 4 6 2 2 3 2" xfId="7013" xr:uid="{54D65050-1DAB-461E-B576-9D60DBD7D343}"/>
    <cellStyle name="百分比 4 6 2 2 4" xfId="7014" xr:uid="{B0BA2ED2-821D-47F1-9FDD-D59A60BEBC6D}"/>
    <cellStyle name="百分比 4 6 2 2 4 2" xfId="33198" xr:uid="{6E9CFC75-316B-4EFB-A86C-5C83ED565A63}"/>
    <cellStyle name="百分比 4 6 2 2 5" xfId="7015" xr:uid="{04F94142-408C-488C-BEEA-848CCCB1A3FD}"/>
    <cellStyle name="百分比 4 6 2 2 6" xfId="7016" xr:uid="{0485423E-E44A-49EB-ADF0-04205A4ED45A}"/>
    <cellStyle name="百分比 4 6 2 2 7" xfId="7017" xr:uid="{FFDC9C93-82F8-4459-AF47-6528B02E341F}"/>
    <cellStyle name="百分比 4 6 2 3" xfId="7018" xr:uid="{8B67A006-D1BD-4E5F-82C8-7AE2DC21AFD5}"/>
    <cellStyle name="百分比 4 6 2 3 2" xfId="7019" xr:uid="{85C5C868-C546-4B2C-BC69-62BCEFCA3770}"/>
    <cellStyle name="百分比 4 6 2 4" xfId="7020" xr:uid="{C124C4C0-A3B4-4366-88EE-8ECF20173839}"/>
    <cellStyle name="百分比 4 6 2 4 2" xfId="7021" xr:uid="{5BDC7292-9768-47CD-A4E4-4A3E92F2C3A8}"/>
    <cellStyle name="百分比 4 6 2 5" xfId="7022" xr:uid="{812AB065-17B2-445E-8F58-B3421E54A46D}"/>
    <cellStyle name="百分比 4 6 2 5 2" xfId="33199" xr:uid="{C1DC07EA-4A31-4862-9F65-07E0EB025794}"/>
    <cellStyle name="百分比 4 6 2 6" xfId="7023" xr:uid="{1A59DABD-3E88-40C8-A737-CEA4DDD51AEB}"/>
    <cellStyle name="百分比 4 6 2 7" xfId="7024" xr:uid="{B223192D-9417-4BA2-B203-4ACF9636A784}"/>
    <cellStyle name="百分比 4 6 2 8" xfId="7025" xr:uid="{479B1B68-19D7-4740-8626-4B58D7020735}"/>
    <cellStyle name="百分比 4 6 3" xfId="7026" xr:uid="{FED15A79-18B0-44AD-BA35-368140F5EB90}"/>
    <cellStyle name="百分比 4 6 3 2" xfId="7027" xr:uid="{92EF00A3-9D20-461F-829F-925FC4A2A76B}"/>
    <cellStyle name="百分比 4 6 3 2 2" xfId="7028" xr:uid="{18BB8C3F-1DCF-4752-A97D-02A5D4EF9CB2}"/>
    <cellStyle name="百分比 4 6 3 2 3" xfId="7029" xr:uid="{F2CE23B5-849C-4955-829B-C632F795BBFA}"/>
    <cellStyle name="百分比 4 6 3 2 4" xfId="7030" xr:uid="{89F3A7A9-948C-4E0F-855A-B8F01C37304B}"/>
    <cellStyle name="百分比 4 6 3 2 5" xfId="7031" xr:uid="{EF314314-6153-4EB8-A0A6-6FB1B9108E17}"/>
    <cellStyle name="百分比 4 6 3 2 6" xfId="7032" xr:uid="{C65DD1A4-60D6-4E8D-BE22-ADC7479A36B4}"/>
    <cellStyle name="百分比 4 6 3 2 7" xfId="7033" xr:uid="{7ECE4751-796B-40F6-8CFF-086C85F849DB}"/>
    <cellStyle name="百分比 4 6 3 3" xfId="7034" xr:uid="{9D4BD80E-3C36-4D24-AF60-6FA8B1FE72AF}"/>
    <cellStyle name="百分比 4 6 3 3 2" xfId="7035" xr:uid="{B9C32038-4200-40FC-9389-F9E9A2EA7C00}"/>
    <cellStyle name="百分比 4 6 3 4" xfId="7036" xr:uid="{8BBC57DB-B68B-4F5B-BE50-AEC80444618D}"/>
    <cellStyle name="百分比 4 6 3 4 2" xfId="33200" xr:uid="{39BAC4B6-A830-47F6-9200-285B190368F2}"/>
    <cellStyle name="百分比 4 6 3 5" xfId="7037" xr:uid="{3F9FBA24-9DBC-4A28-AC44-E6B98CB9F9B1}"/>
    <cellStyle name="百分比 4 6 3 6" xfId="7038" xr:uid="{1E2ADD78-698C-40CE-8704-2CBFE02AD035}"/>
    <cellStyle name="百分比 4 6 3 7" xfId="7039" xr:uid="{AB29E676-AFCD-4F43-B8C0-AEB591B3A14A}"/>
    <cellStyle name="百分比 4 6 3 8" xfId="7040" xr:uid="{C744F5FC-B6CC-4A04-BE80-1D4C5FAAFD5E}"/>
    <cellStyle name="百分比 4 6 4" xfId="7041" xr:uid="{38BC5840-B472-4F8E-B2F2-AFE40B3F7C70}"/>
    <cellStyle name="百分比 4 6 4 2" xfId="7042" xr:uid="{A5107ACF-212E-4645-BE0C-B5D71D6F0F2D}"/>
    <cellStyle name="百分比 4 6 4 2 2" xfId="7043" xr:uid="{8DE2E543-D2CD-4B5A-AAF2-1D143162B55C}"/>
    <cellStyle name="百分比 4 6 4 2 3" xfId="7044" xr:uid="{5990B0A9-C16F-4A49-B180-D66C1BF56603}"/>
    <cellStyle name="百分比 4 6 4 2 4" xfId="7045" xr:uid="{280A18C5-ED67-4569-BDB5-25B1EA84B6C3}"/>
    <cellStyle name="百分比 4 6 4 2 5" xfId="7046" xr:uid="{6817414C-D4E2-429B-B863-95021F90FE8D}"/>
    <cellStyle name="百分比 4 6 4 2 6" xfId="7047" xr:uid="{B49E3232-09DF-42AB-A09E-ECB527B59549}"/>
    <cellStyle name="百分比 4 6 4 3" xfId="7048" xr:uid="{7652769C-9021-4544-A8AC-E1D89FD0BB58}"/>
    <cellStyle name="百分比 4 6 4 4" xfId="7049" xr:uid="{C28437DC-DDCB-440B-B024-364C6A42910E}"/>
    <cellStyle name="百分比 4 6 4 5" xfId="7050" xr:uid="{69F02488-1861-49E9-B69B-ED261840D041}"/>
    <cellStyle name="百分比 4 6 4 6" xfId="7051" xr:uid="{19F47FCD-BC81-4C1F-9B81-50AEB11A7735}"/>
    <cellStyle name="百分比 4 6 4 7" xfId="7052" xr:uid="{EA1DA90F-34E8-47EB-975E-BBD589E9240C}"/>
    <cellStyle name="百分比 4 6 4 8" xfId="7053" xr:uid="{3ACF738F-15FE-4BB9-97BD-00D615D1B510}"/>
    <cellStyle name="百分比 4 6 5" xfId="7054" xr:uid="{09BFC5A7-12BF-45C9-91C3-84E470065750}"/>
    <cellStyle name="百分比 4 6 5 2" xfId="7055" xr:uid="{AC1F848A-AA1F-41A1-9AE4-88D2D8F1A19A}"/>
    <cellStyle name="百分比 4 6 5 2 2" xfId="7056" xr:uid="{858BB3FB-BF32-4536-B04D-92EE0C2D2BB2}"/>
    <cellStyle name="百分比 4 6 5 2 3" xfId="7057" xr:uid="{FCC51495-DEDD-4297-93F6-5C484423B06A}"/>
    <cellStyle name="百分比 4 6 5 2 4" xfId="7058" xr:uid="{05341323-32C6-4F13-93CA-1A0F6A523E50}"/>
    <cellStyle name="百分比 4 6 5 2 5" xfId="7059" xr:uid="{C6A5C497-EF76-4F2C-AC7C-F566DE8A4F9D}"/>
    <cellStyle name="百分比 4 6 5 2 6" xfId="7060" xr:uid="{A4836EBC-5D01-435A-BC7F-B3ABD8262B21}"/>
    <cellStyle name="百分比 4 6 5 3" xfId="7061" xr:uid="{CA41346D-1487-4E30-BACC-D535C393301B}"/>
    <cellStyle name="百分比 4 6 5 4" xfId="7062" xr:uid="{E1C2932C-B200-40F7-89F3-090E392E1709}"/>
    <cellStyle name="百分比 4 6 5 5" xfId="7063" xr:uid="{5DC1D942-AE25-414A-BBB7-E545436A199C}"/>
    <cellStyle name="百分比 4 6 5 6" xfId="7064" xr:uid="{92A82FDC-602F-4CF5-BECF-3CFE3680CF1D}"/>
    <cellStyle name="百分比 4 6 5 7" xfId="7065" xr:uid="{423464E1-1CAB-4509-9F8E-077889E75127}"/>
    <cellStyle name="百分比 4 6 5 8" xfId="7066" xr:uid="{C4B063CE-03C1-4112-AFA9-0FC9570B345D}"/>
    <cellStyle name="百分比 4 6 6" xfId="7067" xr:uid="{2BC6FECA-8273-4482-8135-B24FB44B6AD0}"/>
    <cellStyle name="百分比 4 6 6 2" xfId="7068" xr:uid="{E4E5E068-1C8D-4E79-A2F7-5957698AE60E}"/>
    <cellStyle name="百分比 4 6 6 2 2" xfId="7069" xr:uid="{C09DB819-2AEA-406F-86AA-2D4325DD0B3D}"/>
    <cellStyle name="百分比 4 6 6 2 3" xfId="7070" xr:uid="{34C7AFDF-DDC4-4EF7-9010-3DD81DC09AA3}"/>
    <cellStyle name="百分比 4 6 6 2 4" xfId="7071" xr:uid="{78413479-5F12-4E03-8B43-29E05810CA6D}"/>
    <cellStyle name="百分比 4 6 6 2 5" xfId="7072" xr:uid="{459FCF7B-0370-4619-B868-279434484D57}"/>
    <cellStyle name="百分比 4 6 6 2 6" xfId="7073" xr:uid="{55569032-14DC-4F29-AFEC-1D79C3A2D052}"/>
    <cellStyle name="百分比 4 6 6 3" xfId="7074" xr:uid="{F8D131EA-EA08-483A-A264-571C2381E030}"/>
    <cellStyle name="百分比 4 6 6 4" xfId="7075" xr:uid="{D7EDF8A3-77E2-44F6-AA95-C72FFF347A00}"/>
    <cellStyle name="百分比 4 6 6 5" xfId="7076" xr:uid="{91119F18-2555-470A-B63E-2534A88E9B8B}"/>
    <cellStyle name="百分比 4 6 6 6" xfId="7077" xr:uid="{DBEB8CA7-AF69-44D2-B5A0-996B68A17576}"/>
    <cellStyle name="百分比 4 6 6 7" xfId="7078" xr:uid="{0EE42E05-32F5-4D5B-A14E-6E5E8BACEEFF}"/>
    <cellStyle name="百分比 4 6 6 8" xfId="33201" xr:uid="{CF36F833-4BB4-4676-8842-1128685C28FA}"/>
    <cellStyle name="百分比 4 6 7" xfId="7079" xr:uid="{E6903217-B534-4892-966D-24F67C542FC2}"/>
    <cellStyle name="百分比 4 6 7 2" xfId="7080" xr:uid="{853391C5-C814-4598-A61F-A918B44E2C5B}"/>
    <cellStyle name="百分比 4 6 7 2 2" xfId="7081" xr:uid="{22090E3B-47B5-4095-975F-65A4965C2588}"/>
    <cellStyle name="百分比 4 6 7 2 3" xfId="7082" xr:uid="{EF19CAB3-54A7-48F5-B528-99100C29FADB}"/>
    <cellStyle name="百分比 4 6 7 2 4" xfId="7083" xr:uid="{568B7948-C592-41DF-843E-4C64DF2CC242}"/>
    <cellStyle name="百分比 4 6 7 2 5" xfId="7084" xr:uid="{DF202C02-9A34-465D-9AA4-C52A6FD9D81B}"/>
    <cellStyle name="百分比 4 6 7 2 6" xfId="7085" xr:uid="{CD8A11FE-E947-47B8-9596-E6DFEAD5D300}"/>
    <cellStyle name="百分比 4 6 7 3" xfId="7086" xr:uid="{294D7E01-B8F6-446D-973E-B0F1011AE35C}"/>
    <cellStyle name="百分比 4 6 7 4" xfId="7087" xr:uid="{702E1CFA-07BC-4FBB-93D7-328F8DA7A13F}"/>
    <cellStyle name="百分比 4 6 7 5" xfId="7088" xr:uid="{9CA02921-104D-4432-8434-BB1827726C6F}"/>
    <cellStyle name="百分比 4 6 7 6" xfId="7089" xr:uid="{5D7EA769-54E2-4B00-95A9-F3EFAA675ED7}"/>
    <cellStyle name="百分比 4 6 7 7" xfId="7090" xr:uid="{F6ABA837-3F9B-48F6-8FAC-CA1902F0699E}"/>
    <cellStyle name="百分比 4 6 8" xfId="7091" xr:uid="{744313D5-E7EC-4169-95A4-580DFD78EF49}"/>
    <cellStyle name="百分比 4 6 8 2" xfId="7092" xr:uid="{9E7ACF8F-64E2-4B3C-B366-EE5B9C34117C}"/>
    <cellStyle name="百分比 4 6 8 2 2" xfId="7093" xr:uid="{6E6FAFFE-EE32-40F8-AD99-2F5A52C2527A}"/>
    <cellStyle name="百分比 4 6 8 2 3" xfId="7094" xr:uid="{135E30B0-457B-4C22-95E8-A2101B3AB8E6}"/>
    <cellStyle name="百分比 4 6 8 2 4" xfId="7095" xr:uid="{BF9FD349-F411-4D46-99C9-19C198F5306D}"/>
    <cellStyle name="百分比 4 6 8 2 5" xfId="7096" xr:uid="{1E96AE35-58F7-48EA-9524-ECB316DB4783}"/>
    <cellStyle name="百分比 4 6 8 2 6" xfId="7097" xr:uid="{ACE0D601-C3DB-4697-9173-D1324CB6BF25}"/>
    <cellStyle name="百分比 4 6 8 3" xfId="7098" xr:uid="{19CF8C20-EBB8-4598-900B-8EBCAD0A4886}"/>
    <cellStyle name="百分比 4 6 8 4" xfId="7099" xr:uid="{CEC266A7-ABE5-4643-9A45-3EF0DF33D2A1}"/>
    <cellStyle name="百分比 4 6 8 5" xfId="7100" xr:uid="{402CD766-EF66-4511-8DC5-8DF464649288}"/>
    <cellStyle name="百分比 4 6 8 6" xfId="7101" xr:uid="{E5A9F74B-5EF8-468C-8733-DCA7256D4C9E}"/>
    <cellStyle name="百分比 4 6 8 7" xfId="7102" xr:uid="{9E38EE57-34D6-4377-B75E-0DC8B0172901}"/>
    <cellStyle name="百分比 4 6 9" xfId="7103" xr:uid="{3F0BA5C6-38F8-4BFF-8368-E20A9C89ABA3}"/>
    <cellStyle name="百分比 4 6 9 2" xfId="7104" xr:uid="{425E52B4-51B4-424D-91DD-39A51892DE74}"/>
    <cellStyle name="百分比 4 6 9 2 2" xfId="7105" xr:uid="{6A043703-7AE1-49D1-B111-1D6CA1D122EA}"/>
    <cellStyle name="百分比 4 6 9 2 3" xfId="7106" xr:uid="{B7ABB920-AA5F-4C49-B1B1-5E9753023A50}"/>
    <cellStyle name="百分比 4 6 9 2 4" xfId="7107" xr:uid="{099CEC20-2D20-44D2-8EFA-B575A283E105}"/>
    <cellStyle name="百分比 4 6 9 2 5" xfId="7108" xr:uid="{0D925B85-E427-497B-AA2C-13F0A8A6BBA5}"/>
    <cellStyle name="百分比 4 6 9 2 6" xfId="7109" xr:uid="{443A843D-B724-4A95-BE4B-143CDAC5ECBC}"/>
    <cellStyle name="百分比 4 6 9 3" xfId="7110" xr:uid="{E5C7EFB7-4459-4DF9-94D4-86285C5FF941}"/>
    <cellStyle name="百分比 4 6 9 4" xfId="7111" xr:uid="{069BA1EB-E6C1-4147-BBA3-5BE3D2B5B589}"/>
    <cellStyle name="百分比 4 6 9 5" xfId="7112" xr:uid="{12A8490D-CF7D-4BBE-8D53-F6394BA4D5FB}"/>
    <cellStyle name="百分比 4 6 9 6" xfId="7113" xr:uid="{503125AD-AE6C-4E74-8A67-55DAC1595399}"/>
    <cellStyle name="百分比 4 6 9 7" xfId="7114" xr:uid="{D47B85D2-BFAF-4100-A815-6806434029B6}"/>
    <cellStyle name="百分比 4 7" xfId="7115" xr:uid="{4A22C427-480F-4846-AFC6-C45D88CFEBD9}"/>
    <cellStyle name="百分比 4 7 10" xfId="7116" xr:uid="{3AA82675-6DD0-4BB2-B6BA-ADFC4CDE28C4}"/>
    <cellStyle name="百分比 4 7 10 2" xfId="7117" xr:uid="{7F352110-0750-4806-811F-B16AEFF9DAF3}"/>
    <cellStyle name="百分比 4 7 10 3" xfId="7118" xr:uid="{474C97F0-EF60-44A4-ADE6-9FEF79130E80}"/>
    <cellStyle name="百分比 4 7 10 4" xfId="7119" xr:uid="{90DDFA0C-EAD1-4DF7-A867-9CAC56178FB2}"/>
    <cellStyle name="百分比 4 7 10 5" xfId="7120" xr:uid="{360D60BD-6916-41F0-BE7C-2163B32194D1}"/>
    <cellStyle name="百分比 4 7 10 6" xfId="7121" xr:uid="{E6C7C098-520D-422D-B121-79FA1E22DBB4}"/>
    <cellStyle name="百分比 4 7 11" xfId="7122" xr:uid="{D06912CC-8E68-42D6-B0B2-4BF4EB1B8C21}"/>
    <cellStyle name="百分比 4 7 12" xfId="7123" xr:uid="{95D9E4D2-2FE4-4002-A8E2-0B56BB382D14}"/>
    <cellStyle name="百分比 4 7 13" xfId="7124" xr:uid="{B550D09B-E4DC-458B-9D37-90DDC16BD09C}"/>
    <cellStyle name="百分比 4 7 14" xfId="7125" xr:uid="{2EE67FE8-4635-4319-895B-648E1FFE1396}"/>
    <cellStyle name="百分比 4 7 15" xfId="7126" xr:uid="{69E4B128-5946-4A64-976E-F11C0EFB3702}"/>
    <cellStyle name="百分比 4 7 16" xfId="7127" xr:uid="{52FA15D7-7FC8-4FE2-B47B-3B46DA37F09B}"/>
    <cellStyle name="百分比 4 7 2" xfId="7128" xr:uid="{FD60523A-A05A-4BDC-A69B-5B65E4529DC0}"/>
    <cellStyle name="百分比 4 7 2 2" xfId="7129" xr:uid="{4B325C1F-EE23-442C-AFFD-9E93CB9A2B25}"/>
    <cellStyle name="百分比 4 7 2 2 2" xfId="7130" xr:uid="{9E4EB75C-0A2B-4F68-B471-4A06D990F50F}"/>
    <cellStyle name="百分比 4 7 2 2 3" xfId="7131" xr:uid="{93B21A72-E781-4BBB-A09D-A0AB97167C2C}"/>
    <cellStyle name="百分比 4 7 2 2 4" xfId="7132" xr:uid="{668AB147-9B8E-410E-AF6A-6BB9C242AF25}"/>
    <cellStyle name="百分比 4 7 2 2 5" xfId="7133" xr:uid="{65AE9A4C-7216-4354-A9D0-D4C02A813942}"/>
    <cellStyle name="百分比 4 7 2 2 6" xfId="7134" xr:uid="{A3B78ED0-C797-44C8-8569-81F4559D0544}"/>
    <cellStyle name="百分比 4 7 2 2 7" xfId="7135" xr:uid="{A4B2DD9A-B256-4B04-827E-9D2264736023}"/>
    <cellStyle name="百分比 4 7 2 3" xfId="7136" xr:uid="{2D20D513-ECA0-40F3-9361-CB24BA887BB1}"/>
    <cellStyle name="百分比 4 7 2 3 2" xfId="7137" xr:uid="{65683A0F-57C3-452E-B669-4822B4BFE513}"/>
    <cellStyle name="百分比 4 7 2 4" xfId="7138" xr:uid="{1A88C45A-183D-40B1-B747-E4BF2BE37BF0}"/>
    <cellStyle name="百分比 4 7 2 4 2" xfId="33202" xr:uid="{E9F152F9-EB86-4DCB-95E1-E664C53AAA27}"/>
    <cellStyle name="百分比 4 7 2 5" xfId="7139" xr:uid="{9831AC0E-075F-4C35-BFED-06C92A28F31D}"/>
    <cellStyle name="百分比 4 7 2 6" xfId="7140" xr:uid="{57C77814-C04C-4E39-91AC-E3A7EEC818B0}"/>
    <cellStyle name="百分比 4 7 2 7" xfId="7141" xr:uid="{6FB7B6F5-4FD1-4ED0-BC0F-E9FDA9A04B75}"/>
    <cellStyle name="百分比 4 7 2 8" xfId="7142" xr:uid="{3955F0CB-2498-483B-B9BA-34AD74963FAA}"/>
    <cellStyle name="百分比 4 7 3" xfId="7143" xr:uid="{6F66608A-5500-4BEB-A3AF-7A67DA8F8ECC}"/>
    <cellStyle name="百分比 4 7 3 2" xfId="7144" xr:uid="{2324CD9A-A8C0-462A-95C4-E0DA36F0D63D}"/>
    <cellStyle name="百分比 4 7 3 2 2" xfId="7145" xr:uid="{150F8D19-2FC3-4F04-8ED7-E43270BBB3CE}"/>
    <cellStyle name="百分比 4 7 3 2 3" xfId="7146" xr:uid="{42F28133-65AD-4B34-A21D-22C0F6DE22D2}"/>
    <cellStyle name="百分比 4 7 3 2 4" xfId="7147" xr:uid="{B81CA73F-352B-451B-8325-0BC78BB48EC6}"/>
    <cellStyle name="百分比 4 7 3 2 5" xfId="7148" xr:uid="{6BE40E29-1E31-403A-8DAD-6242E5937213}"/>
    <cellStyle name="百分比 4 7 3 2 6" xfId="7149" xr:uid="{979977AB-0A64-42F2-8AC2-EF67452709F1}"/>
    <cellStyle name="百分比 4 7 3 2 7" xfId="7150" xr:uid="{2DF0BBBC-411E-43BF-9A2D-064849C4C35D}"/>
    <cellStyle name="百分比 4 7 3 3" xfId="7151" xr:uid="{C12AC2DC-636D-42A0-BB30-6BA6AC503D3F}"/>
    <cellStyle name="百分比 4 7 3 3 2" xfId="7152" xr:uid="{D315104B-9BAB-4373-A8BD-920CD437E3EB}"/>
    <cellStyle name="百分比 4 7 3 4" xfId="7153" xr:uid="{22908AF1-4A19-4B02-8F4B-DB8F10525906}"/>
    <cellStyle name="百分比 4 7 3 4 2" xfId="33203" xr:uid="{DE6B193C-4FC0-4A28-B75A-50A10C66F7EE}"/>
    <cellStyle name="百分比 4 7 3 5" xfId="7154" xr:uid="{BF8E495C-B5A5-44C7-B93C-36D20A4F3DDE}"/>
    <cellStyle name="百分比 4 7 3 6" xfId="7155" xr:uid="{06984D21-BAAF-4082-9712-06540A2CAF94}"/>
    <cellStyle name="百分比 4 7 3 7" xfId="7156" xr:uid="{1BCDDDED-1FD1-4EDE-B517-C9967F5358AD}"/>
    <cellStyle name="百分比 4 7 3 8" xfId="7157" xr:uid="{5EEA2B1D-D36F-44D8-A856-58123626E5F3}"/>
    <cellStyle name="百分比 4 7 4" xfId="7158" xr:uid="{5E56B515-5FBF-4B1A-A62D-E59620992E1B}"/>
    <cellStyle name="百分比 4 7 4 2" xfId="7159" xr:uid="{24DF8CD3-2634-48D8-8D8A-6A8E5F2121A0}"/>
    <cellStyle name="百分比 4 7 4 2 2" xfId="7160" xr:uid="{CC2DBA77-D77E-4037-814F-AB205E8ADF96}"/>
    <cellStyle name="百分比 4 7 4 2 3" xfId="7161" xr:uid="{66D1DBE4-D664-4E0A-BFBA-8E438B15079C}"/>
    <cellStyle name="百分比 4 7 4 2 4" xfId="7162" xr:uid="{62B801C4-9AB3-4477-85E2-551BFB7E8C44}"/>
    <cellStyle name="百分比 4 7 4 2 5" xfId="7163" xr:uid="{BE61B630-7117-402F-AEA1-1ECFE12C1AD8}"/>
    <cellStyle name="百分比 4 7 4 2 6" xfId="7164" xr:uid="{7A604606-4569-4191-A746-6151841FA625}"/>
    <cellStyle name="百分比 4 7 4 3" xfId="7165" xr:uid="{C7CC7705-5113-4C1C-B010-FB8BB1195EDE}"/>
    <cellStyle name="百分比 4 7 4 4" xfId="7166" xr:uid="{17EBD8DF-2AF5-47ED-928B-E655374AF262}"/>
    <cellStyle name="百分比 4 7 4 5" xfId="7167" xr:uid="{D275B51A-64BD-4782-89F5-64CE7FDFF07A}"/>
    <cellStyle name="百分比 4 7 4 6" xfId="7168" xr:uid="{8A771EBB-796C-4DE2-B84C-33672C03208E}"/>
    <cellStyle name="百分比 4 7 4 7" xfId="7169" xr:uid="{41E8B14B-518B-476A-99C8-B88FBDE2F03C}"/>
    <cellStyle name="百分比 4 7 4 8" xfId="7170" xr:uid="{84D0362A-FD40-4B7F-B377-FC202DE40713}"/>
    <cellStyle name="百分比 4 7 5" xfId="7171" xr:uid="{0ED99F39-0E43-4A8F-A743-16BC206A14F8}"/>
    <cellStyle name="百分比 4 7 5 2" xfId="7172" xr:uid="{F4A03AFA-56E5-4AB6-A8F2-4EB58D37008D}"/>
    <cellStyle name="百分比 4 7 5 2 2" xfId="7173" xr:uid="{4DE02735-6CF3-4777-8A12-F4E3C6497FD6}"/>
    <cellStyle name="百分比 4 7 5 2 3" xfId="7174" xr:uid="{5F8866B2-C630-4E73-B34E-D7A21A356163}"/>
    <cellStyle name="百分比 4 7 5 2 4" xfId="7175" xr:uid="{47AA2E6E-2171-4FB7-AF7E-CD57EDD7D89D}"/>
    <cellStyle name="百分比 4 7 5 2 5" xfId="7176" xr:uid="{C3726570-03F9-4F14-9606-D386EDEB2BF1}"/>
    <cellStyle name="百分比 4 7 5 2 6" xfId="7177" xr:uid="{A5C14A67-8F54-4C0E-9DD5-EA2BE8A6E480}"/>
    <cellStyle name="百分比 4 7 5 3" xfId="7178" xr:uid="{4483FDED-A3EB-4A28-94AC-81D35B3B7F71}"/>
    <cellStyle name="百分比 4 7 5 4" xfId="7179" xr:uid="{6FDD0A70-BD40-4E05-AB5A-88D0BDBAD7E1}"/>
    <cellStyle name="百分比 4 7 5 5" xfId="7180" xr:uid="{F8E13CA7-20BA-4A34-8EEB-D4F82F4FF463}"/>
    <cellStyle name="百分比 4 7 5 6" xfId="7181" xr:uid="{BCD82623-88CF-4300-87F7-E23B2CD74627}"/>
    <cellStyle name="百分比 4 7 5 7" xfId="7182" xr:uid="{CD3A0DD5-4943-44EB-B7CF-3AE2A3D12BA7}"/>
    <cellStyle name="百分比 4 7 5 8" xfId="7183" xr:uid="{13CB20DF-A1D8-4B51-B24D-33EF09B4E451}"/>
    <cellStyle name="百分比 4 7 6" xfId="7184" xr:uid="{BA1800B9-F631-4796-B67E-41E56000C856}"/>
    <cellStyle name="百分比 4 7 6 2" xfId="7185" xr:uid="{DCA4D284-9A66-46B2-85BD-4403CA2BB49B}"/>
    <cellStyle name="百分比 4 7 6 2 2" xfId="7186" xr:uid="{8B87D18A-317D-4349-94B8-37CBF90C3340}"/>
    <cellStyle name="百分比 4 7 6 2 3" xfId="7187" xr:uid="{275A3508-AE2F-42EF-B763-7A11FF401886}"/>
    <cellStyle name="百分比 4 7 6 2 4" xfId="7188" xr:uid="{2AC383FF-981C-43ED-A75E-DB08D066BA68}"/>
    <cellStyle name="百分比 4 7 6 2 5" xfId="7189" xr:uid="{800E3DFD-6CD0-4E25-878D-7BEBF7976D36}"/>
    <cellStyle name="百分比 4 7 6 2 6" xfId="7190" xr:uid="{839896C5-DB65-4FB8-BB2B-824C90056C51}"/>
    <cellStyle name="百分比 4 7 6 3" xfId="7191" xr:uid="{BBA89251-88BA-4621-936B-E0FF9863A4D6}"/>
    <cellStyle name="百分比 4 7 6 4" xfId="7192" xr:uid="{91D4FBBA-DD34-4ABB-A98B-C22532D727E3}"/>
    <cellStyle name="百分比 4 7 6 5" xfId="7193" xr:uid="{BF9E7450-E419-441D-AEF6-9DACF2AC0ADE}"/>
    <cellStyle name="百分比 4 7 6 6" xfId="7194" xr:uid="{D9CA5D64-FE4C-4797-8562-B9D944646A32}"/>
    <cellStyle name="百分比 4 7 6 7" xfId="7195" xr:uid="{1DDAEBD7-DA86-4721-9265-1CA4EAB57CA9}"/>
    <cellStyle name="百分比 4 7 6 8" xfId="33204" xr:uid="{EC8F44CD-02F1-4C95-846C-4434B1B11F8A}"/>
    <cellStyle name="百分比 4 7 7" xfId="7196" xr:uid="{8C518B90-EADC-45E0-A875-03090A36F294}"/>
    <cellStyle name="百分比 4 7 7 2" xfId="7197" xr:uid="{4AECBF76-890B-45B5-9886-36A71FBD6AD4}"/>
    <cellStyle name="百分比 4 7 7 2 2" xfId="7198" xr:uid="{FC989BA7-31AB-41DB-A224-7DC576A2789D}"/>
    <cellStyle name="百分比 4 7 7 2 3" xfId="7199" xr:uid="{32F46BFB-092F-4C41-B69B-7AB68586C7CD}"/>
    <cellStyle name="百分比 4 7 7 2 4" xfId="7200" xr:uid="{43AB63DA-5A1A-4990-8863-B449A31CA0F3}"/>
    <cellStyle name="百分比 4 7 7 2 5" xfId="7201" xr:uid="{30E4256E-206C-447C-899A-4EB9E9D244B7}"/>
    <cellStyle name="百分比 4 7 7 2 6" xfId="7202" xr:uid="{9BD47FAE-70BB-470D-93E1-46076652B92E}"/>
    <cellStyle name="百分比 4 7 7 3" xfId="7203" xr:uid="{3E2D0B9B-FE9F-479D-BC53-9BFE753E49DC}"/>
    <cellStyle name="百分比 4 7 7 4" xfId="7204" xr:uid="{34ADD09F-E11E-4A3F-9394-1E1B57EEB0B6}"/>
    <cellStyle name="百分比 4 7 7 5" xfId="7205" xr:uid="{7C3FA580-5063-4A05-B52B-4CABAC0EA1E8}"/>
    <cellStyle name="百分比 4 7 7 6" xfId="7206" xr:uid="{F7D0AEF6-7C3B-48BA-8D76-2E5780621334}"/>
    <cellStyle name="百分比 4 7 7 7" xfId="7207" xr:uid="{9B460ED4-ADB7-44E0-B3E5-8BE292F147ED}"/>
    <cellStyle name="百分比 4 7 8" xfId="7208" xr:uid="{27656C9A-634A-48C0-847B-AE279F65B249}"/>
    <cellStyle name="百分比 4 7 8 2" xfId="7209" xr:uid="{07330823-EC42-4A67-B573-615F48E7CDE2}"/>
    <cellStyle name="百分比 4 7 8 2 2" xfId="7210" xr:uid="{32CA9965-D03E-4CE9-80AE-A956BB0432DB}"/>
    <cellStyle name="百分比 4 7 8 2 3" xfId="7211" xr:uid="{42D8E490-1C60-4281-BD18-F8C514E7E4B0}"/>
    <cellStyle name="百分比 4 7 8 2 4" xfId="7212" xr:uid="{758C3B5F-290B-4C46-B626-07D5925BDE7B}"/>
    <cellStyle name="百分比 4 7 8 2 5" xfId="7213" xr:uid="{4B989D91-055A-449C-A0BA-D445AE81FFA1}"/>
    <cellStyle name="百分比 4 7 8 2 6" xfId="7214" xr:uid="{09C15BC5-9641-4415-B89A-99FC9CC65802}"/>
    <cellStyle name="百分比 4 7 8 3" xfId="7215" xr:uid="{B0018FAB-FA8A-47EC-A7A9-75CD1EBB93E0}"/>
    <cellStyle name="百分比 4 7 8 4" xfId="7216" xr:uid="{26212ECE-99A6-4DC4-808C-BF6D7730CFC7}"/>
    <cellStyle name="百分比 4 7 8 5" xfId="7217" xr:uid="{E7AFE2C6-7126-4E56-AFCC-DB3CA4B7F0C9}"/>
    <cellStyle name="百分比 4 7 8 6" xfId="7218" xr:uid="{2213DF5D-7030-4BD7-A311-BC2861584A15}"/>
    <cellStyle name="百分比 4 7 8 7" xfId="7219" xr:uid="{C0010D8F-6F60-4EB8-A443-690EE19C85B5}"/>
    <cellStyle name="百分比 4 7 9" xfId="7220" xr:uid="{36BF36B3-8DF5-41D1-A704-A125A0DB22E2}"/>
    <cellStyle name="百分比 4 7 9 2" xfId="7221" xr:uid="{41A22A65-793D-435D-9063-5C361AFAB210}"/>
    <cellStyle name="百分比 4 7 9 2 2" xfId="7222" xr:uid="{D5672FA5-CD6F-44CD-A4EC-755219D32835}"/>
    <cellStyle name="百分比 4 7 9 2 3" xfId="7223" xr:uid="{126B6A1A-10D2-47DA-A953-4FCDDD1DC1B5}"/>
    <cellStyle name="百分比 4 7 9 2 4" xfId="7224" xr:uid="{3FC607C7-1F8C-4FCE-8357-B535103BFE62}"/>
    <cellStyle name="百分比 4 7 9 2 5" xfId="7225" xr:uid="{77F68AF1-18B7-4157-9590-88F9C02ABF65}"/>
    <cellStyle name="百分比 4 7 9 2 6" xfId="7226" xr:uid="{F59317ED-322B-4841-9047-E5B68623C542}"/>
    <cellStyle name="百分比 4 7 9 3" xfId="7227" xr:uid="{406BFA5C-6E07-47BB-8EC3-F7D3500CF58E}"/>
    <cellStyle name="百分比 4 7 9 4" xfId="7228" xr:uid="{B626231D-D238-4805-B991-71B0E47E8537}"/>
    <cellStyle name="百分比 4 7 9 5" xfId="7229" xr:uid="{07B21930-AAF0-438B-94CA-A35DAFC14C6A}"/>
    <cellStyle name="百分比 4 7 9 6" xfId="7230" xr:uid="{C087C002-F591-46FD-A713-2870D44766EB}"/>
    <cellStyle name="百分比 4 7 9 7" xfId="7231" xr:uid="{FE28D2CA-4563-4754-B8B0-5375A0A0321A}"/>
    <cellStyle name="百分比 4 8" xfId="7232" xr:uid="{1AFE9F5B-5712-488B-89D2-FB05DABED05B}"/>
    <cellStyle name="百分比 4 8 10" xfId="7233" xr:uid="{A5EC5C8A-8FB3-4C78-8229-E7F9ECE592F7}"/>
    <cellStyle name="百分比 4 8 11" xfId="7234" xr:uid="{B8E6324F-7400-448E-83C8-661E48B56501}"/>
    <cellStyle name="百分比 4 8 12" xfId="7235" xr:uid="{2915F70A-CC73-4B96-9686-75B2F787A948}"/>
    <cellStyle name="百分比 4 8 13" xfId="7236" xr:uid="{E3F4DDEC-49D8-4FC8-89FA-7C84742F0BEA}"/>
    <cellStyle name="百分比 4 8 14" xfId="7237" xr:uid="{9A963410-A2B6-4779-8CB8-FD0B61D55710}"/>
    <cellStyle name="百分比 4 8 15" xfId="7238" xr:uid="{564F7E6A-3ACB-4A17-83C6-61C99299B756}"/>
    <cellStyle name="百分比 4 8 2" xfId="7239" xr:uid="{44B25C43-C962-4BAF-B57A-13836442F593}"/>
    <cellStyle name="百分比 4 8 2 2" xfId="7240" xr:uid="{0552DE51-31DA-4571-8E6E-F1FDCFCC418C}"/>
    <cellStyle name="百分比 4 8 2 2 2" xfId="7241" xr:uid="{B5B4400F-171B-45EB-80C6-BD3193445A43}"/>
    <cellStyle name="百分比 4 8 2 2 3" xfId="7242" xr:uid="{2C442253-FCDD-433C-B023-C35CB0C845EB}"/>
    <cellStyle name="百分比 4 8 2 2 4" xfId="7243" xr:uid="{F0593DC1-17CD-47F6-9B88-EFC78F5A3134}"/>
    <cellStyle name="百分比 4 8 2 2 5" xfId="7244" xr:uid="{6F6E438E-CE3A-4C97-9A0F-78C038825F56}"/>
    <cellStyle name="百分比 4 8 2 2 6" xfId="7245" xr:uid="{A7700569-DEE5-47E1-A70F-647656AC66C7}"/>
    <cellStyle name="百分比 4 8 2 2 7" xfId="7246" xr:uid="{BBDFA2BB-7C4C-4541-B0D5-D6E897206AA6}"/>
    <cellStyle name="百分比 4 8 2 3" xfId="7247" xr:uid="{6A2BBAA9-82D0-45DA-BA34-C1DED769F58A}"/>
    <cellStyle name="百分比 4 8 2 3 2" xfId="7248" xr:uid="{B7684FFE-85C5-4185-BB53-219F26EDA3F5}"/>
    <cellStyle name="百分比 4 8 2 4" xfId="7249" xr:uid="{08062364-55F2-44D4-84C5-C7F1C32FA875}"/>
    <cellStyle name="百分比 4 8 2 4 2" xfId="7250" xr:uid="{EAF17580-F2BA-42B4-8DA7-9A0BFC268E09}"/>
    <cellStyle name="百分比 4 8 2 5" xfId="7251" xr:uid="{AED70B79-E434-413E-80EC-DD5375C92965}"/>
    <cellStyle name="百分比 4 8 2 6" xfId="7252" xr:uid="{526EEF80-CC8B-4203-85B9-02E1EA42D164}"/>
    <cellStyle name="百分比 4 8 2 7" xfId="7253" xr:uid="{490D9188-DC17-45EC-9401-EBA0F6478C63}"/>
    <cellStyle name="百分比 4 8 2 8" xfId="7254" xr:uid="{1143F011-755C-4AC0-879F-4B358DFBA6E6}"/>
    <cellStyle name="百分比 4 8 3" xfId="7255" xr:uid="{CE575659-ABA1-4193-B04E-66AC9A64F4C8}"/>
    <cellStyle name="百分比 4 8 3 2" xfId="7256" xr:uid="{2B2AF3A2-8479-48DF-8101-129ABDEF4297}"/>
    <cellStyle name="百分比 4 8 3 2 2" xfId="7257" xr:uid="{93D565A0-EF43-4495-A4D4-9C4AF24FEE5E}"/>
    <cellStyle name="百分比 4 8 3 2 3" xfId="7258" xr:uid="{78ABDA11-82DA-4DA3-ADC4-5842DCE17BB5}"/>
    <cellStyle name="百分比 4 8 3 2 4" xfId="7259" xr:uid="{403A40B0-7286-47A6-8A5E-E4C6DA844780}"/>
    <cellStyle name="百分比 4 8 3 2 5" xfId="7260" xr:uid="{E4CB337E-52C5-4DC1-A008-90A07832E589}"/>
    <cellStyle name="百分比 4 8 3 2 6" xfId="7261" xr:uid="{8E4AF8D4-00CD-4614-8354-87F43D3C2CE3}"/>
    <cellStyle name="百分比 4 8 3 3" xfId="7262" xr:uid="{A035D121-FD42-43FC-BFA5-635F44850D23}"/>
    <cellStyle name="百分比 4 8 3 4" xfId="7263" xr:uid="{9CDC2733-2523-452A-B8BB-E47FBAB52A27}"/>
    <cellStyle name="百分比 4 8 3 5" xfId="7264" xr:uid="{048F8988-F10F-422A-856C-8A19BF21D2F3}"/>
    <cellStyle name="百分比 4 8 3 6" xfId="7265" xr:uid="{738A31C4-4487-4CE3-BF63-E13B4B90B429}"/>
    <cellStyle name="百分比 4 8 3 7" xfId="7266" xr:uid="{61D52D67-ACCF-4B1D-B549-0520539C5D1E}"/>
    <cellStyle name="百分比 4 8 3 8" xfId="7267" xr:uid="{F1CC1912-6D01-4C5C-AB2C-B12E34155A96}"/>
    <cellStyle name="百分比 4 8 4" xfId="7268" xr:uid="{66621CC7-8474-4D1E-A538-34741454F47B}"/>
    <cellStyle name="百分比 4 8 4 2" xfId="7269" xr:uid="{5FA9F84C-9053-4D32-9497-3F5DBBCDA823}"/>
    <cellStyle name="百分比 4 8 4 2 2" xfId="7270" xr:uid="{87C5DA9C-6D8A-403A-99DC-79A073427C11}"/>
    <cellStyle name="百分比 4 8 4 2 3" xfId="7271" xr:uid="{147C1A72-946F-41D1-9428-86A31FD969A8}"/>
    <cellStyle name="百分比 4 8 4 2 4" xfId="7272" xr:uid="{CDAEB410-8F3D-4339-BDE0-2370C7DDCF11}"/>
    <cellStyle name="百分比 4 8 4 2 5" xfId="7273" xr:uid="{5DF1EEF0-240D-45CE-801E-56E6BE4DC20E}"/>
    <cellStyle name="百分比 4 8 4 2 6" xfId="7274" xr:uid="{053409DB-1D41-4FFE-A0E7-390B5722C08D}"/>
    <cellStyle name="百分比 4 8 4 3" xfId="7275" xr:uid="{A0C86E7A-5C1C-4A05-A5A4-4D5241D7E2D3}"/>
    <cellStyle name="百分比 4 8 4 4" xfId="7276" xr:uid="{1CBB65E7-A3B6-4832-90D1-6409B4471C61}"/>
    <cellStyle name="百分比 4 8 4 5" xfId="7277" xr:uid="{5ADCFD9B-5C33-415E-A288-8919CBBD5705}"/>
    <cellStyle name="百分比 4 8 4 6" xfId="7278" xr:uid="{7AD560A5-BBEF-449B-B9AD-96282B664D43}"/>
    <cellStyle name="百分比 4 8 4 7" xfId="7279" xr:uid="{604F84DE-D041-476E-BECE-7F35568D274C}"/>
    <cellStyle name="百分比 4 8 4 8" xfId="7280" xr:uid="{8BE7B118-C9D7-4642-A230-03B8075B5F43}"/>
    <cellStyle name="百分比 4 8 5" xfId="7281" xr:uid="{0FB2D4EE-9544-4F17-A4C4-88EFB87C8B56}"/>
    <cellStyle name="百分比 4 8 5 2" xfId="7282" xr:uid="{56BF9B13-2619-4693-B2C2-46AECEC59172}"/>
    <cellStyle name="百分比 4 8 5 2 2" xfId="7283" xr:uid="{9B2C3824-4626-4E64-9757-5BA5AB3C0D35}"/>
    <cellStyle name="百分比 4 8 5 2 3" xfId="7284" xr:uid="{5639CF5F-1142-48CE-9D41-3B6180CB1ED3}"/>
    <cellStyle name="百分比 4 8 5 2 4" xfId="7285" xr:uid="{F3831366-96A5-4155-82CA-0C8191D2478C}"/>
    <cellStyle name="百分比 4 8 5 2 5" xfId="7286" xr:uid="{0EFAE38E-C682-480F-8775-3732AFD0BE73}"/>
    <cellStyle name="百分比 4 8 5 2 6" xfId="7287" xr:uid="{E28D22BF-8BFA-4CE8-9D53-5ACD02541A2F}"/>
    <cellStyle name="百分比 4 8 5 3" xfId="7288" xr:uid="{7A8D0DE1-9D70-4B01-B94D-0CD0E98D23C7}"/>
    <cellStyle name="百分比 4 8 5 4" xfId="7289" xr:uid="{0A5B0A23-F04D-43A3-A92B-C85ACE2AB95D}"/>
    <cellStyle name="百分比 4 8 5 5" xfId="7290" xr:uid="{98E96E2F-0E7A-426A-AA70-6796F0D3FDD0}"/>
    <cellStyle name="百分比 4 8 5 6" xfId="7291" xr:uid="{51DEDAC2-3E09-4238-9900-F3C3D88470E4}"/>
    <cellStyle name="百分比 4 8 5 7" xfId="7292" xr:uid="{22B6B69F-E5E5-4050-B0BE-0AA9A230633A}"/>
    <cellStyle name="百分比 4 8 5 8" xfId="33205" xr:uid="{7B7AC1AE-67A9-4214-BCB8-A7DDEE7E7AD8}"/>
    <cellStyle name="百分比 4 8 6" xfId="7293" xr:uid="{AC1BB3D6-C4AC-4182-9BE1-F97C9636D138}"/>
    <cellStyle name="百分比 4 8 6 2" xfId="7294" xr:uid="{45C7C263-709D-4244-8699-4D630753ECC2}"/>
    <cellStyle name="百分比 4 8 6 2 2" xfId="7295" xr:uid="{8E21FBAB-D176-44BB-8C91-E7D33FD8AF7E}"/>
    <cellStyle name="百分比 4 8 6 2 3" xfId="7296" xr:uid="{96F6D9E3-D09C-481A-95C9-917DBD664D75}"/>
    <cellStyle name="百分比 4 8 6 2 4" xfId="7297" xr:uid="{0E0A208D-3054-4DE9-B7A2-9A467D004DB0}"/>
    <cellStyle name="百分比 4 8 6 2 5" xfId="7298" xr:uid="{3FD407E1-C84F-47DF-AD9F-A0485D8BC9A2}"/>
    <cellStyle name="百分比 4 8 6 2 6" xfId="7299" xr:uid="{8DEC0C06-8352-41D2-99EC-AF60CBEF451F}"/>
    <cellStyle name="百分比 4 8 6 3" xfId="7300" xr:uid="{A66C0F1C-CFA2-4B97-9F1B-D0F7C199EB7B}"/>
    <cellStyle name="百分比 4 8 6 4" xfId="7301" xr:uid="{E5ACAAD7-7F75-46FF-A14A-D65A1A8CDD7E}"/>
    <cellStyle name="百分比 4 8 6 5" xfId="7302" xr:uid="{E04E945E-F40D-4AC3-89FA-987DC3E2A5AA}"/>
    <cellStyle name="百分比 4 8 6 6" xfId="7303" xr:uid="{5391D2C6-847F-4F67-B36A-C181A910C154}"/>
    <cellStyle name="百分比 4 8 6 7" xfId="7304" xr:uid="{D465B229-DA04-4F2B-99B8-AB1269FA1B0B}"/>
    <cellStyle name="百分比 4 8 7" xfId="7305" xr:uid="{BE8D73C1-A2E3-471C-8D39-0220FF1C74E0}"/>
    <cellStyle name="百分比 4 8 7 2" xfId="7306" xr:uid="{AF8A4B25-7617-422A-ACAB-7FED9A06871C}"/>
    <cellStyle name="百分比 4 8 7 2 2" xfId="7307" xr:uid="{4F0A7D95-23BA-4512-8702-F3E47360F252}"/>
    <cellStyle name="百分比 4 8 7 2 3" xfId="7308" xr:uid="{9C6E39C6-2354-4E91-B722-9DFB84A9FDD8}"/>
    <cellStyle name="百分比 4 8 7 2 4" xfId="7309" xr:uid="{89A15019-4DA8-431E-A684-EBB6E16D20BD}"/>
    <cellStyle name="百分比 4 8 7 2 5" xfId="7310" xr:uid="{89459D3A-44F1-465E-BD9B-9989EAE370D6}"/>
    <cellStyle name="百分比 4 8 7 2 6" xfId="7311" xr:uid="{B82CFB64-ABC0-4725-A65C-49652E00937D}"/>
    <cellStyle name="百分比 4 8 7 3" xfId="7312" xr:uid="{257DF2B3-0CFC-43A9-9C37-CFCCDDF53C27}"/>
    <cellStyle name="百分比 4 8 7 4" xfId="7313" xr:uid="{98D23C91-69A7-4E81-801B-BC683CA6B520}"/>
    <cellStyle name="百分比 4 8 7 5" xfId="7314" xr:uid="{DA824379-DEFB-433D-9D2A-DBDFDC67F743}"/>
    <cellStyle name="百分比 4 8 7 6" xfId="7315" xr:uid="{0458231D-EA8C-4DF4-BE24-F764C9F274CA}"/>
    <cellStyle name="百分比 4 8 7 7" xfId="7316" xr:uid="{ED2C98F9-BBD5-4EDD-B396-BD1333EE3F0E}"/>
    <cellStyle name="百分比 4 8 8" xfId="7317" xr:uid="{B69595F1-C859-40A7-81FE-A3291CA92581}"/>
    <cellStyle name="百分比 4 8 8 2" xfId="7318" xr:uid="{BEDFD6CD-858A-4105-8804-BB0E8A711798}"/>
    <cellStyle name="百分比 4 8 8 2 2" xfId="7319" xr:uid="{41E53C31-6418-4EDD-8E25-87EFC7441622}"/>
    <cellStyle name="百分比 4 8 8 2 3" xfId="7320" xr:uid="{CE4B0B4B-E309-4D6A-B2AF-BC10100C60DD}"/>
    <cellStyle name="百分比 4 8 8 2 4" xfId="7321" xr:uid="{0F7E6D15-3F0B-41BA-9818-0A956CA2D950}"/>
    <cellStyle name="百分比 4 8 8 2 5" xfId="7322" xr:uid="{B1350422-47AF-42C1-8D49-D90E5FEF650C}"/>
    <cellStyle name="百分比 4 8 8 2 6" xfId="7323" xr:uid="{AD9F08E7-7BA8-42C6-9885-A35BBC04383A}"/>
    <cellStyle name="百分比 4 8 8 3" xfId="7324" xr:uid="{04C50FA6-D6D8-4617-8324-D50A1F86A00D}"/>
    <cellStyle name="百分比 4 8 8 4" xfId="7325" xr:uid="{21394839-64E3-40C0-9935-D7951590407F}"/>
    <cellStyle name="百分比 4 8 8 5" xfId="7326" xr:uid="{2691151D-8071-432E-990D-350465859865}"/>
    <cellStyle name="百分比 4 8 8 6" xfId="7327" xr:uid="{52C034AB-E92C-4D7C-9E4F-166F34E6EFCB}"/>
    <cellStyle name="百分比 4 8 8 7" xfId="7328" xr:uid="{2037C17E-BC61-4FD5-8C09-6F767D89DE57}"/>
    <cellStyle name="百分比 4 8 9" xfId="7329" xr:uid="{9D62CFCF-F3F7-4BA2-A800-6EA5BA9B597B}"/>
    <cellStyle name="百分比 4 8 9 2" xfId="7330" xr:uid="{7EEF445C-C0E6-459D-B746-1A45D58C8ACE}"/>
    <cellStyle name="百分比 4 8 9 3" xfId="7331" xr:uid="{D44C9942-4104-4530-85AB-AB85899344EA}"/>
    <cellStyle name="百分比 4 8 9 4" xfId="7332" xr:uid="{DB94AD88-9D5D-4E0F-928A-AB1F26DC8494}"/>
    <cellStyle name="百分比 4 8 9 5" xfId="7333" xr:uid="{652AB20E-401F-408A-9570-28419BAE45F9}"/>
    <cellStyle name="百分比 4 8 9 6" xfId="7334" xr:uid="{5D78C487-11A0-4A1C-B8B7-6134C363D7E7}"/>
    <cellStyle name="百分比 4 9" xfId="7335" xr:uid="{C2BD3DF6-1688-4782-897C-F63FF11B457A}"/>
    <cellStyle name="百分比 4 9 10" xfId="7336" xr:uid="{B2DF4FF6-0F48-4C51-B1FD-E498EC36872D}"/>
    <cellStyle name="百分比 4 9 11" xfId="7337" xr:uid="{772D4E96-EA0A-4B35-B4F2-3C4F5B43FE43}"/>
    <cellStyle name="百分比 4 9 12" xfId="7338" xr:uid="{9E6726E1-EE0F-4515-8CF5-02B08A0A9C4C}"/>
    <cellStyle name="百分比 4 9 13" xfId="7339" xr:uid="{402DB50A-CE22-482D-B122-5C1554582EEC}"/>
    <cellStyle name="百分比 4 9 14" xfId="7340" xr:uid="{ADBED520-5B09-44FD-BA7D-0F2459B87813}"/>
    <cellStyle name="百分比 4 9 2" xfId="7341" xr:uid="{AF1995ED-E8E6-44A1-B3B4-5F44A0CBF89B}"/>
    <cellStyle name="百分比 4 9 2 2" xfId="7342" xr:uid="{934322F0-5882-4850-9153-E26FC85DA190}"/>
    <cellStyle name="百分比 4 9 2 2 2" xfId="7343" xr:uid="{D70C7336-45D6-4761-AF2F-AFE8BB7585C5}"/>
    <cellStyle name="百分比 4 9 2 2 3" xfId="7344" xr:uid="{510FC3AF-3C87-41BA-9EF3-E06DA2CA2470}"/>
    <cellStyle name="百分比 4 9 2 2 4" xfId="7345" xr:uid="{A3ED6DC2-C68A-4661-8170-B82D5E1AAD17}"/>
    <cellStyle name="百分比 4 9 2 2 5" xfId="7346" xr:uid="{1A9315FA-D699-4904-BAB3-948E9672B26B}"/>
    <cellStyle name="百分比 4 9 2 2 6" xfId="7347" xr:uid="{D01514DD-6BF7-4F33-8D0D-6BFFB642B609}"/>
    <cellStyle name="百分比 4 9 2 3" xfId="7348" xr:uid="{12FDBA01-5372-4A33-B3B9-B9CA429E1D0E}"/>
    <cellStyle name="百分比 4 9 2 4" xfId="7349" xr:uid="{BC0BF67F-11AF-44FF-825C-EADB4FB6EE9D}"/>
    <cellStyle name="百分比 4 9 2 5" xfId="7350" xr:uid="{DA42D2B6-90B5-4A9C-B338-0C08D8E6E931}"/>
    <cellStyle name="百分比 4 9 2 6" xfId="7351" xr:uid="{12DFE1F7-3F5A-43F5-A5CC-F573CA4DF63C}"/>
    <cellStyle name="百分比 4 9 2 7" xfId="7352" xr:uid="{312B8C57-C0ED-440B-A454-98612EBD97C8}"/>
    <cellStyle name="百分比 4 9 2 8" xfId="7353" xr:uid="{9F8E8386-4F28-49AB-A940-07059AB3952B}"/>
    <cellStyle name="百分比 4 9 3" xfId="7354" xr:uid="{8C107DAE-E4BD-4C47-A234-814351603F7F}"/>
    <cellStyle name="百分比 4 9 3 2" xfId="7355" xr:uid="{262404F0-DFB3-4C99-B4F5-F97B8DA5C065}"/>
    <cellStyle name="百分比 4 9 3 2 2" xfId="7356" xr:uid="{180414E8-2902-4174-956A-537074E213C9}"/>
    <cellStyle name="百分比 4 9 3 2 3" xfId="7357" xr:uid="{8CCA9194-C498-4899-82A0-95384A44B96F}"/>
    <cellStyle name="百分比 4 9 3 2 4" xfId="7358" xr:uid="{EBBEC8B9-5EF2-45F9-85E5-2FC01E12EEBA}"/>
    <cellStyle name="百分比 4 9 3 2 5" xfId="7359" xr:uid="{283C9551-D9B3-47CA-9C38-253592931EC6}"/>
    <cellStyle name="百分比 4 9 3 2 6" xfId="7360" xr:uid="{2CD9F25D-04D3-4852-9D12-58ED5778AD8C}"/>
    <cellStyle name="百分比 4 9 3 3" xfId="7361" xr:uid="{89700994-8A6E-45E7-8B01-D1707D77679E}"/>
    <cellStyle name="百分比 4 9 3 4" xfId="7362" xr:uid="{2984C38F-B5F7-4932-B192-25075BF1E6E4}"/>
    <cellStyle name="百分比 4 9 3 5" xfId="7363" xr:uid="{323B4108-D73C-4B65-BF22-BB8EAABAF896}"/>
    <cellStyle name="百分比 4 9 3 6" xfId="7364" xr:uid="{75A914CE-B071-4783-A598-23129201DA24}"/>
    <cellStyle name="百分比 4 9 3 7" xfId="7365" xr:uid="{E8C53E4F-B98B-4495-A26A-5CB342362168}"/>
    <cellStyle name="百分比 4 9 3 8" xfId="7366" xr:uid="{25733BB2-DA8A-4D81-A535-0A7409168966}"/>
    <cellStyle name="百分比 4 9 4" xfId="7367" xr:uid="{682F3A34-E361-4001-B2C8-FF8FA9B66745}"/>
    <cellStyle name="百分比 4 9 4 2" xfId="7368" xr:uid="{7B9BAAC3-3AA3-437A-BD76-FDA7AA309A4A}"/>
    <cellStyle name="百分比 4 9 4 2 2" xfId="7369" xr:uid="{D2E92376-BEAA-4CF9-9300-EB87AC837EA9}"/>
    <cellStyle name="百分比 4 9 4 2 3" xfId="7370" xr:uid="{FD20B567-C39B-4E6A-992F-5C820E559919}"/>
    <cellStyle name="百分比 4 9 4 2 4" xfId="7371" xr:uid="{ECDA1967-9DBE-4E99-A203-20F2E49E1B43}"/>
    <cellStyle name="百分比 4 9 4 2 5" xfId="7372" xr:uid="{173E73CF-D38B-471A-9410-9136002B5FEA}"/>
    <cellStyle name="百分比 4 9 4 2 6" xfId="7373" xr:uid="{53FD39CC-6D68-468A-8EFA-4809EF4E18A5}"/>
    <cellStyle name="百分比 4 9 4 3" xfId="7374" xr:uid="{AD3432CC-8D84-49C0-BF71-9E1B83DB672B}"/>
    <cellStyle name="百分比 4 9 4 4" xfId="7375" xr:uid="{637555BA-F7A7-4758-83E4-F4B971A58BB0}"/>
    <cellStyle name="百分比 4 9 4 5" xfId="7376" xr:uid="{3529B713-BEDA-4162-965E-2E488BF9C360}"/>
    <cellStyle name="百分比 4 9 4 6" xfId="7377" xr:uid="{0D242B8A-8AA9-4B0C-9148-151F47D4289B}"/>
    <cellStyle name="百分比 4 9 4 7" xfId="7378" xr:uid="{F933970C-4E02-4388-AE25-1C7AE2D4D76D}"/>
    <cellStyle name="百分比 4 9 4 8" xfId="33206" xr:uid="{230C55D2-96F3-4982-85EC-50053F85861D}"/>
    <cellStyle name="百分比 4 9 5" xfId="7379" xr:uid="{3E4F2852-5EE8-4F0B-ADA4-951FAEEAFEBF}"/>
    <cellStyle name="百分比 4 9 5 2" xfId="7380" xr:uid="{BD56590B-DFFD-43E8-B715-83FF07DABB0D}"/>
    <cellStyle name="百分比 4 9 5 2 2" xfId="7381" xr:uid="{8283EAB9-5F52-4BC4-A45A-60A5D2835176}"/>
    <cellStyle name="百分比 4 9 5 2 3" xfId="7382" xr:uid="{9D4E87F1-32DF-4B15-AE42-F61610A9EE97}"/>
    <cellStyle name="百分比 4 9 5 2 4" xfId="7383" xr:uid="{2AE62CBB-9201-4CD1-9253-B40B1D07FCE1}"/>
    <cellStyle name="百分比 4 9 5 2 5" xfId="7384" xr:uid="{7DF45BA6-2AF3-473C-8553-713BF70770AD}"/>
    <cellStyle name="百分比 4 9 5 2 6" xfId="7385" xr:uid="{022B567B-724C-421C-A68F-3BAC12CB04DB}"/>
    <cellStyle name="百分比 4 9 5 3" xfId="7386" xr:uid="{F2371A1F-1968-47C3-A5ED-B4A48694CB32}"/>
    <cellStyle name="百分比 4 9 5 4" xfId="7387" xr:uid="{2B6FE5ED-8480-42F0-9796-9B840ED10DCC}"/>
    <cellStyle name="百分比 4 9 5 5" xfId="7388" xr:uid="{E0E17B7D-A965-4CAA-ADE7-45F2241B78CC}"/>
    <cellStyle name="百分比 4 9 5 6" xfId="7389" xr:uid="{9D22975A-D52D-4AFE-8354-DE4BDB317BE1}"/>
    <cellStyle name="百分比 4 9 5 7" xfId="7390" xr:uid="{1F1A991B-2CB6-47AB-A46E-3E041FF41443}"/>
    <cellStyle name="百分比 4 9 6" xfId="7391" xr:uid="{2AE2B3D8-5794-4D8E-A846-30E3564E9CC6}"/>
    <cellStyle name="百分比 4 9 6 2" xfId="7392" xr:uid="{0D2210D1-5175-4360-A111-2495663EA2F2}"/>
    <cellStyle name="百分比 4 9 6 2 2" xfId="7393" xr:uid="{11D15CCC-8AFA-4EF5-9C3F-D7851230B971}"/>
    <cellStyle name="百分比 4 9 6 2 3" xfId="7394" xr:uid="{AA60BE52-ACA7-48EE-ADAC-BF545FBBB661}"/>
    <cellStyle name="百分比 4 9 6 2 4" xfId="7395" xr:uid="{85CD7EC9-5596-4120-8D64-E8D0D2C71D0A}"/>
    <cellStyle name="百分比 4 9 6 2 5" xfId="7396" xr:uid="{A48C6A13-03D0-4A2B-936A-5394E83E9CFA}"/>
    <cellStyle name="百分比 4 9 6 2 6" xfId="7397" xr:uid="{FFBBD539-4B52-483A-B816-51BF8BA6FEE0}"/>
    <cellStyle name="百分比 4 9 6 3" xfId="7398" xr:uid="{36A008EF-98B3-499A-A645-72D343AF4D30}"/>
    <cellStyle name="百分比 4 9 6 4" xfId="7399" xr:uid="{0E77EAE4-C259-402F-9AB8-A9B98AAA5049}"/>
    <cellStyle name="百分比 4 9 6 5" xfId="7400" xr:uid="{9F99D98A-4EF1-443B-99CD-B5D5C5E431AE}"/>
    <cellStyle name="百分比 4 9 6 6" xfId="7401" xr:uid="{5BB87DF8-5F7F-4191-B20F-11E20CA22836}"/>
    <cellStyle name="百分比 4 9 6 7" xfId="7402" xr:uid="{52D0F66F-48B8-4A3E-97C1-38CA87C1EE8A}"/>
    <cellStyle name="百分比 4 9 7" xfId="7403" xr:uid="{FEC6E87A-96EE-49FD-86BF-5A9854A3630C}"/>
    <cellStyle name="百分比 4 9 7 2" xfId="7404" xr:uid="{3EBBC397-89CB-49FA-9FBF-A6CF7EF9FC89}"/>
    <cellStyle name="百分比 4 9 7 2 2" xfId="7405" xr:uid="{7B53A7B7-E56D-4A3E-AB1B-5C98771D147A}"/>
    <cellStyle name="百分比 4 9 7 2 3" xfId="7406" xr:uid="{6D0FA0E9-0B22-4F12-A353-84C0A00F9FA0}"/>
    <cellStyle name="百分比 4 9 7 2 4" xfId="7407" xr:uid="{5B59BFD5-B1D8-445E-BAF6-ECB506BBFBB7}"/>
    <cellStyle name="百分比 4 9 7 2 5" xfId="7408" xr:uid="{51E0C4CB-5285-4167-B8B3-BE5B5C37F96B}"/>
    <cellStyle name="百分比 4 9 7 2 6" xfId="7409" xr:uid="{0D671A54-9646-47E1-90AA-CD09DF2C89DB}"/>
    <cellStyle name="百分比 4 9 7 3" xfId="7410" xr:uid="{62AB58B3-96EE-410B-9BC9-6D1D38BB9B8D}"/>
    <cellStyle name="百分比 4 9 7 4" xfId="7411" xr:uid="{E16FFBC6-2D5A-4224-B62C-480B5282BFC1}"/>
    <cellStyle name="百分比 4 9 7 5" xfId="7412" xr:uid="{AF1D35AF-F132-4523-8E30-2A190E066EA3}"/>
    <cellStyle name="百分比 4 9 7 6" xfId="7413" xr:uid="{EBA40AE2-B599-427F-B5CF-5F93E6C53C3F}"/>
    <cellStyle name="百分比 4 9 7 7" xfId="7414" xr:uid="{CFE03512-05D2-46CB-B055-9735AD1737C6}"/>
    <cellStyle name="百分比 4 9 8" xfId="7415" xr:uid="{050C2191-2B64-49BB-80C3-A999C651DC52}"/>
    <cellStyle name="百分比 4 9 8 2" xfId="7416" xr:uid="{1390C65B-E64F-43CB-96DB-F069F9AFFDB2}"/>
    <cellStyle name="百分比 4 9 8 3" xfId="7417" xr:uid="{FB77DC7E-0EE1-4FD6-AAE8-1CB9D52753EB}"/>
    <cellStyle name="百分比 4 9 8 4" xfId="7418" xr:uid="{38F0C6C1-EFE1-447E-818B-5CE64ECF6F19}"/>
    <cellStyle name="百分比 4 9 8 5" xfId="7419" xr:uid="{4E7B1477-8B8A-4D3D-8E04-14AA428F8758}"/>
    <cellStyle name="百分比 4 9 8 6" xfId="7420" xr:uid="{626FE758-E137-4AA6-9BE7-9DFBC1D4C65B}"/>
    <cellStyle name="百分比 4 9 9" xfId="7421" xr:uid="{AAEB1B6E-1DFD-4BBC-B1F8-7B89276CF194}"/>
    <cellStyle name="百分比 5" xfId="7422" xr:uid="{22A64CBA-51B4-4694-BC6A-E52D5F48937A}"/>
    <cellStyle name="百分比 5 10" xfId="7423" xr:uid="{51F9EE61-D563-4CEF-9138-0389BA6E3A43}"/>
    <cellStyle name="百分比 5 10 2" xfId="7424" xr:uid="{36F3970C-5C39-4F61-9F4D-4BB459F6BB98}"/>
    <cellStyle name="百分比 5 11" xfId="7425" xr:uid="{ED9289D3-179B-472E-9FE8-B0752DBA50AD}"/>
    <cellStyle name="百分比 5 11 2" xfId="7426" xr:uid="{6ACB7E2E-AD40-4C68-B45E-B7973C07FA58}"/>
    <cellStyle name="百分比 5 12" xfId="7427" xr:uid="{891F1502-C58C-4B42-9FDE-39F2296CFB23}"/>
    <cellStyle name="百分比 5 12 2" xfId="33207" xr:uid="{1C5F9597-752E-4E99-8C29-A32F997ED3CB}"/>
    <cellStyle name="百分比 5 13" xfId="7428" xr:uid="{EDBBA42F-0277-45E4-B1F8-640219CB1B87}"/>
    <cellStyle name="百分比 5 13 2" xfId="7429" xr:uid="{35B6987D-A45A-47A3-80A8-E821401956E6}"/>
    <cellStyle name="百分比 5 14" xfId="7430" xr:uid="{09EAF92B-B4B9-40FB-AF5A-4EEBCC1F351D}"/>
    <cellStyle name="百分比 5 15" xfId="7431" xr:uid="{D73A75E3-B220-4A93-9AA8-B34A0460E52F}"/>
    <cellStyle name="百分比 5 16" xfId="33208" xr:uid="{65A3CB43-57DE-4914-9AE5-0B30919C1B5E}"/>
    <cellStyle name="百分比 5 2" xfId="7432" xr:uid="{2F2074FB-75A0-4C08-B789-FB0AC3FBED64}"/>
    <cellStyle name="百分比 5 2 10" xfId="7433" xr:uid="{FFB4C539-054A-4751-A4A0-82573B0B57B6}"/>
    <cellStyle name="百分比 5 2 11" xfId="7434" xr:uid="{A6882989-18AE-4ADC-9F67-BFC38EB6FF24}"/>
    <cellStyle name="百分比 5 2 12" xfId="7435" xr:uid="{0F706C3C-7E74-4691-A93B-F1910DE04366}"/>
    <cellStyle name="百分比 5 2 13" xfId="7436" xr:uid="{07F8547A-F1BB-4641-A745-49ABDD981D68}"/>
    <cellStyle name="百分比 5 2 14" xfId="7437" xr:uid="{F7F0C5D9-7CC6-4305-B4AD-B0F002121874}"/>
    <cellStyle name="百分比 5 2 2" xfId="7438" xr:uid="{953F5138-DCAD-41E9-AFD9-3C3ACB093892}"/>
    <cellStyle name="百分比 5 2 2 10" xfId="7439" xr:uid="{110563FE-E2D9-4FF9-9A74-AEB39406BB43}"/>
    <cellStyle name="百分比 5 2 2 11" xfId="7440" xr:uid="{07E4C984-AD1D-4966-8024-870F642F44E7}"/>
    <cellStyle name="百分比 5 2 2 12" xfId="7441" xr:uid="{C7999A7F-B39B-47AD-BDF2-E9E52ACC0D38}"/>
    <cellStyle name="百分比 5 2 2 2" xfId="7442" xr:uid="{C50A2DAA-DD92-43F3-BA19-D4E48BBC4A3C}"/>
    <cellStyle name="百分比 5 2 2 2 2" xfId="7443" xr:uid="{291154D7-D2F5-4B9A-80D0-24995BAFEE59}"/>
    <cellStyle name="百分比 5 2 2 2 2 2" xfId="7444" xr:uid="{79FC5D8E-2302-4474-B9BC-D766FE946618}"/>
    <cellStyle name="百分比 5 2 2 2 2 2 2" xfId="7445" xr:uid="{6C057CB8-9837-45A4-8E83-9405A77F26EE}"/>
    <cellStyle name="百分比 5 2 2 2 2 2 3" xfId="7446" xr:uid="{078E32CB-1BA9-4C62-80B8-CD45157F952C}"/>
    <cellStyle name="百分比 5 2 2 2 2 2 4" xfId="7447" xr:uid="{91372AB6-3E2B-40A0-A421-7446979DDD53}"/>
    <cellStyle name="百分比 5 2 2 2 2 2 5" xfId="7448" xr:uid="{C721B0EC-A892-42AC-A396-4F6BE94C6BF8}"/>
    <cellStyle name="百分比 5 2 2 2 2 2 6" xfId="7449" xr:uid="{D0CD502A-A6FB-4B42-9D0B-6EB055C6727D}"/>
    <cellStyle name="百分比 5 2 2 2 2 2 7" xfId="7450" xr:uid="{32F6BD1F-6B88-4BBE-9A1D-69C375E6B8BE}"/>
    <cellStyle name="百分比 5 2 2 2 2 3" xfId="7451" xr:uid="{A8B7A7FC-C181-4EED-9288-65BA31F36047}"/>
    <cellStyle name="百分比 5 2 2 2 2 3 2" xfId="7452" xr:uid="{2A6CD74B-4E67-4B14-B3D0-BF7F23D1C467}"/>
    <cellStyle name="百分比 5 2 2 2 2 4" xfId="7453" xr:uid="{0A902BCA-BD52-4157-8546-8BCB6B6F394C}"/>
    <cellStyle name="百分比 5 2 2 2 2 4 2" xfId="33209" xr:uid="{D23AD1CF-392D-4233-B43D-709E7E0BDE11}"/>
    <cellStyle name="百分比 5 2 2 2 2 5" xfId="7454" xr:uid="{A42D090D-FD9E-4068-9E6B-AA086A759D26}"/>
    <cellStyle name="百分比 5 2 2 2 2 6" xfId="7455" xr:uid="{8152D6A2-5A3A-49A2-A892-ABD795599F99}"/>
    <cellStyle name="百分比 5 2 2 2 2 7" xfId="7456" xr:uid="{759C9A29-6D03-4051-8D14-8917921BEBB6}"/>
    <cellStyle name="百分比 5 2 2 2 2 8" xfId="7457" xr:uid="{9D17E4EA-6568-49A1-8802-0F83D41034A0}"/>
    <cellStyle name="百分比 5 2 2 2 3" xfId="7458" xr:uid="{CDF08321-7730-462D-91A1-0134C44A1A33}"/>
    <cellStyle name="百分比 5 2 2 2 3 2" xfId="7459" xr:uid="{DCD7CFF3-88FA-4CCE-BE8C-F87B67B4E9C9}"/>
    <cellStyle name="百分比 5 2 2 2 3 2 2" xfId="7460" xr:uid="{4FFDA31E-4B94-4A20-B4ED-916EE054DE6E}"/>
    <cellStyle name="百分比 5 2 2 2 3 3" xfId="7461" xr:uid="{740DED81-5ABD-43CB-9F4D-B2AA724C59E0}"/>
    <cellStyle name="百分比 5 2 2 2 3 3 2" xfId="7462" xr:uid="{DE12751D-FC90-4111-89D4-830110FE7DBA}"/>
    <cellStyle name="百分比 5 2 2 2 3 4" xfId="7463" xr:uid="{55436D1C-443E-454C-B1BC-8C96E7986A40}"/>
    <cellStyle name="百分比 5 2 2 2 3 4 2" xfId="33210" xr:uid="{F690AE80-668F-4464-A723-AD9DB7B05DC9}"/>
    <cellStyle name="百分比 5 2 2 2 3 5" xfId="7464" xr:uid="{1A5048E4-645B-41E2-A142-0D67C6518081}"/>
    <cellStyle name="百分比 5 2 2 2 3 6" xfId="7465" xr:uid="{C809D721-C4B3-4C63-90A6-B487A2D8B62D}"/>
    <cellStyle name="百分比 5 2 2 2 3 7" xfId="7466" xr:uid="{ED51F194-5451-4D96-93CA-6246130CB6C5}"/>
    <cellStyle name="百分比 5 2 2 2 4" xfId="7467" xr:uid="{F1FF7353-F495-47D3-B157-4B2615C74FB7}"/>
    <cellStyle name="百分比 5 2 2 2 4 2" xfId="7468" xr:uid="{245945F5-18BF-49A5-AF03-BAA253AF9B80}"/>
    <cellStyle name="百分比 5 2 2 2 5" xfId="7469" xr:uid="{FAC3E0FD-9B3D-4948-8887-3A65240BEEBB}"/>
    <cellStyle name="百分比 5 2 2 2 5 2" xfId="7470" xr:uid="{35CD27E5-4623-4F33-834F-F67691BF4F28}"/>
    <cellStyle name="百分比 5 2 2 2 6" xfId="7471" xr:uid="{DEBAC6B2-8047-49EC-BC05-63D7A266D0D4}"/>
    <cellStyle name="百分比 5 2 2 2 6 2" xfId="33211" xr:uid="{456ABAB1-C62C-4DE3-B415-87AAA97D0DB2}"/>
    <cellStyle name="百分比 5 2 2 2 7" xfId="7472" xr:uid="{3D709D57-8203-4FEB-804D-15673418106E}"/>
    <cellStyle name="百分比 5 2 2 2 8" xfId="7473" xr:uid="{12B26CD0-B99D-4503-9433-EA6DC148C547}"/>
    <cellStyle name="百分比 5 2 2 2 9" xfId="7474" xr:uid="{532687B8-935C-45AE-A59A-A19B68BCC0CC}"/>
    <cellStyle name="百分比 5 2 2 3" xfId="7475" xr:uid="{7020CDAD-7EEA-44A7-B4AC-C375DF5CDFBA}"/>
    <cellStyle name="百分比 5 2 2 3 2" xfId="7476" xr:uid="{17829B3E-6DD2-4156-B61D-A6062B03236A}"/>
    <cellStyle name="百分比 5 2 2 3 2 2" xfId="7477" xr:uid="{DB14B7A2-63B8-42E1-AD8E-43675B955BF1}"/>
    <cellStyle name="百分比 5 2 2 3 2 2 2" xfId="7478" xr:uid="{4947D438-AA0C-4385-ADF7-E5CA9F94839B}"/>
    <cellStyle name="百分比 5 2 2 3 2 2 3" xfId="7479" xr:uid="{D9BD36B1-23D3-4966-AE7A-DE51ED0F9280}"/>
    <cellStyle name="百分比 5 2 2 3 2 2 4" xfId="7480" xr:uid="{5CF9D379-92E8-4AD2-8F3E-2EBDB8734BD0}"/>
    <cellStyle name="百分比 5 2 2 3 2 2 5" xfId="7481" xr:uid="{DDD3A5C4-C96C-4A18-8112-619D3360F34F}"/>
    <cellStyle name="百分比 5 2 2 3 2 2 6" xfId="7482" xr:uid="{45CD1DC5-8631-42F2-8963-A156E4E21381}"/>
    <cellStyle name="百分比 5 2 2 3 2 3" xfId="7483" xr:uid="{0B1B26F8-6559-4FBE-B265-E42A7A20912B}"/>
    <cellStyle name="百分比 5 2 2 3 2 4" xfId="7484" xr:uid="{EAC3800A-352B-4FCB-A8B5-A44AA18ECBD4}"/>
    <cellStyle name="百分比 5 2 2 3 2 5" xfId="7485" xr:uid="{DB1575B0-10BC-425E-B155-433E04DD9372}"/>
    <cellStyle name="百分比 5 2 2 3 2 6" xfId="7486" xr:uid="{AD744AB1-3EA0-4992-B5D8-D742DBE359F9}"/>
    <cellStyle name="百分比 5 2 2 3 2 7" xfId="7487" xr:uid="{C8B304C0-8AFE-4743-8177-7B8ABE9A8B3F}"/>
    <cellStyle name="百分比 5 2 2 3 2 8" xfId="7488" xr:uid="{24E8A9B0-06FE-4C2C-98C3-FCB7E5C8CE38}"/>
    <cellStyle name="百分比 5 2 2 3 3" xfId="7489" xr:uid="{0C3446C8-C7C0-4EBD-8A2F-E94DF1A3F676}"/>
    <cellStyle name="百分比 5 2 2 3 3 2" xfId="7490" xr:uid="{FBBB12FA-31BD-41DD-82DB-6D91C5638EDA}"/>
    <cellStyle name="百分比 5 2 2 3 3 3" xfId="7491" xr:uid="{83FCEFEB-2D52-4C90-84B2-4D61F67DE880}"/>
    <cellStyle name="百分比 5 2 2 3 3 4" xfId="7492" xr:uid="{1A4CD4CC-FEA1-4F03-8B7F-1A2B2361D313}"/>
    <cellStyle name="百分比 5 2 2 3 3 5" xfId="7493" xr:uid="{94DB7413-EADD-4839-97C4-8AAC1083DCAC}"/>
    <cellStyle name="百分比 5 2 2 3 3 6" xfId="7494" xr:uid="{A0C42416-283D-4973-B564-8B04AF6CBBD7}"/>
    <cellStyle name="百分比 5 2 2 3 3 7" xfId="7495" xr:uid="{EFE1407E-0A53-4487-8350-BCD77E46A736}"/>
    <cellStyle name="百分比 5 2 2 3 4" xfId="7496" xr:uid="{BEE755EF-2E44-4B44-826F-EBCF56481CEB}"/>
    <cellStyle name="百分比 5 2 2 3 4 2" xfId="33212" xr:uid="{C6BF7F64-FF15-4506-B418-3803ED21D263}"/>
    <cellStyle name="百分比 5 2 2 3 5" xfId="7497" xr:uid="{DB557450-015F-4FE8-846E-9E437CF31AC9}"/>
    <cellStyle name="百分比 5 2 2 3 6" xfId="7498" xr:uid="{078DCCED-69AA-41A6-96AA-069DE2B549E9}"/>
    <cellStyle name="百分比 5 2 2 3 7" xfId="7499" xr:uid="{4108A9F1-043A-4460-92BE-855DFA0F3B5A}"/>
    <cellStyle name="百分比 5 2 2 3 8" xfId="7500" xr:uid="{6C4B916E-DF8F-46F0-970E-94D4BC1C3C5A}"/>
    <cellStyle name="百分比 5 2 2 3 9" xfId="7501" xr:uid="{CE280EE6-4E97-45E9-AE25-12D3F59825D8}"/>
    <cellStyle name="百分比 5 2 2 4" xfId="7502" xr:uid="{B17E36E5-D6ED-45CC-B519-4B1F32654908}"/>
    <cellStyle name="百分比 5 2 2 4 2" xfId="7503" xr:uid="{4EADA41F-2C53-44C6-9E0B-7BBBA1DE6311}"/>
    <cellStyle name="百分比 5 2 2 4 2 2" xfId="7504" xr:uid="{75F6FC4E-BF21-486E-B942-CDA7BB60009B}"/>
    <cellStyle name="百分比 5 2 2 4 2 3" xfId="7505" xr:uid="{5822B7D7-0923-4900-BD83-7D82D3A46BA5}"/>
    <cellStyle name="百分比 5 2 2 4 2 4" xfId="7506" xr:uid="{E12464E6-0F12-4BF8-928F-D45D2745CFA9}"/>
    <cellStyle name="百分比 5 2 2 4 2 5" xfId="7507" xr:uid="{4405F0F3-F52E-4296-BC01-3715A75F8A14}"/>
    <cellStyle name="百分比 5 2 2 4 2 6" xfId="7508" xr:uid="{5BC2A27F-8A58-48AE-933B-DF5441470C67}"/>
    <cellStyle name="百分比 5 2 2 4 2 7" xfId="7509" xr:uid="{32C81996-D420-405E-8DDE-A14F08671D0A}"/>
    <cellStyle name="百分比 5 2 2 4 3" xfId="7510" xr:uid="{C981063F-2CD8-4847-B427-EAC9B1DE517D}"/>
    <cellStyle name="百分比 5 2 2 4 3 2" xfId="7511" xr:uid="{C9933856-A909-44FB-AA8F-B09639305A64}"/>
    <cellStyle name="百分比 5 2 2 4 4" xfId="7512" xr:uid="{1F156BCE-5F0D-4946-B74B-809746234571}"/>
    <cellStyle name="百分比 5 2 2 4 4 2" xfId="33213" xr:uid="{A01D029D-08F1-4F90-B884-8A18A24767C1}"/>
    <cellStyle name="百分比 5 2 2 4 5" xfId="7513" xr:uid="{F0EA9AA7-4C46-4EEE-A516-A648BF04722E}"/>
    <cellStyle name="百分比 5 2 2 4 6" xfId="7514" xr:uid="{A268447B-7529-4C48-989A-102E0F6D7C15}"/>
    <cellStyle name="百分比 5 2 2 4 7" xfId="7515" xr:uid="{BFA45E05-DE7E-4B65-8FBD-0278B9FA2F88}"/>
    <cellStyle name="百分比 5 2 2 4 8" xfId="7516" xr:uid="{FE374962-FA27-4382-9F05-A8CF514CE8B3}"/>
    <cellStyle name="百分比 5 2 2 5" xfId="7517" xr:uid="{5D104090-66E3-4B29-AD6A-3B0568DAAC7F}"/>
    <cellStyle name="百分比 5 2 2 5 2" xfId="7518" xr:uid="{76357258-A702-46C3-9E5A-EDC7574C4EE2}"/>
    <cellStyle name="百分比 5 2 2 5 2 2" xfId="7519" xr:uid="{578B9046-7EB8-402A-8484-9E18E4CB2520}"/>
    <cellStyle name="百分比 5 2 2 5 2 3" xfId="7520" xr:uid="{F455530F-258E-47CA-BEFE-31E077BDD432}"/>
    <cellStyle name="百分比 5 2 2 5 2 4" xfId="7521" xr:uid="{1B49BE28-62ED-4E89-BE9E-F941448C553F}"/>
    <cellStyle name="百分比 5 2 2 5 2 5" xfId="7522" xr:uid="{EAD86B91-1C99-477B-B6DF-C0FEC4AB996A}"/>
    <cellStyle name="百分比 5 2 2 5 2 6" xfId="7523" xr:uid="{EFCC153C-B84E-4CB2-9440-621B7C9703FF}"/>
    <cellStyle name="百分比 5 2 2 5 3" xfId="7524" xr:uid="{DAB6973F-C47B-494F-A20C-BEEC4C61D1B0}"/>
    <cellStyle name="百分比 5 2 2 5 4" xfId="7525" xr:uid="{3B4714C9-5A48-4072-B079-B0B60E072467}"/>
    <cellStyle name="百分比 5 2 2 5 5" xfId="7526" xr:uid="{114F7DB9-D4E0-43E8-B041-D50EF0A8C7D9}"/>
    <cellStyle name="百分比 5 2 2 5 6" xfId="7527" xr:uid="{AC6244D6-F7EE-4089-9845-3423E8368569}"/>
    <cellStyle name="百分比 5 2 2 5 7" xfId="7528" xr:uid="{72501B98-A22B-4D28-A9DC-71677B784444}"/>
    <cellStyle name="百分比 5 2 2 5 8" xfId="7529" xr:uid="{6872368D-0AC0-48F5-B89F-567711777FC6}"/>
    <cellStyle name="百分比 5 2 2 6" xfId="7530" xr:uid="{B879500F-590B-4F46-9D57-A276C899A83D}"/>
    <cellStyle name="百分比 5 2 2 6 2" xfId="7531" xr:uid="{80046643-B2BB-4A98-A994-C1416CCFB44E}"/>
    <cellStyle name="百分比 5 2 2 6 3" xfId="7532" xr:uid="{C9A6138C-C4FF-478B-9806-E040CC6C0B25}"/>
    <cellStyle name="百分比 5 2 2 6 4" xfId="7533" xr:uid="{37535BAE-09F4-4EAA-A7A6-EA49BE73A197}"/>
    <cellStyle name="百分比 5 2 2 6 5" xfId="7534" xr:uid="{DBE88466-8D5E-46CF-AE29-9DE92A9F1853}"/>
    <cellStyle name="百分比 5 2 2 6 6" xfId="7535" xr:uid="{49A566DF-B887-4BA2-BCED-241F8E0AA413}"/>
    <cellStyle name="百分比 5 2 2 6 7" xfId="7536" xr:uid="{F3CE144E-8B7B-4C9D-8803-B826FB803A40}"/>
    <cellStyle name="百分比 5 2 2 7" xfId="7537" xr:uid="{DEB70C8D-7A9E-441A-A148-75E8BB43B1AA}"/>
    <cellStyle name="百分比 5 2 2 7 2" xfId="33214" xr:uid="{D8195617-34FF-4905-ADC2-AE89E86B35E9}"/>
    <cellStyle name="百分比 5 2 2 8" xfId="7538" xr:uid="{11CF201C-983D-4D65-9614-03BF8F437ED1}"/>
    <cellStyle name="百分比 5 2 2 9" xfId="7539" xr:uid="{23AC13EB-29DE-4920-A375-DB34733D5B53}"/>
    <cellStyle name="百分比 5 2 3" xfId="7540" xr:uid="{50E7D6B6-D603-46EC-8744-C0DC1AC89858}"/>
    <cellStyle name="百分比 5 2 3 2" xfId="7541" xr:uid="{67CBD421-03FC-4465-8A4A-292352FA128C}"/>
    <cellStyle name="百分比 5 2 3 2 2" xfId="7542" xr:uid="{84F1AD7E-AEEE-48DC-BC4C-3193D31CF593}"/>
    <cellStyle name="百分比 5 2 3 2 2 2" xfId="7543" xr:uid="{AB609EF8-EB48-4BC8-A1F8-60649FDE13CF}"/>
    <cellStyle name="百分比 5 2 3 2 2 3" xfId="7544" xr:uid="{D45725A3-99F8-456F-9D81-637F133545A5}"/>
    <cellStyle name="百分比 5 2 3 2 2 4" xfId="7545" xr:uid="{ECEB929A-E6EA-470B-826F-5A86FF31A341}"/>
    <cellStyle name="百分比 5 2 3 2 2 5" xfId="7546" xr:uid="{7B47F46B-6FBE-4061-AADB-CFEBD5F6502A}"/>
    <cellStyle name="百分比 5 2 3 2 2 6" xfId="7547" xr:uid="{E3A17D5D-AE4C-4C38-9515-E03A95648D4A}"/>
    <cellStyle name="百分比 5 2 3 2 2 7" xfId="7548" xr:uid="{43848171-F2AE-4983-88EC-576EB80668A7}"/>
    <cellStyle name="百分比 5 2 3 2 3" xfId="7549" xr:uid="{CA0A2C66-3DBE-4B92-B652-FA9BD6BFB182}"/>
    <cellStyle name="百分比 5 2 3 2 3 2" xfId="7550" xr:uid="{881348CE-471D-4C1D-B002-B0B9D8943310}"/>
    <cellStyle name="百分比 5 2 3 2 4" xfId="7551" xr:uid="{8D07286D-0EB7-4CA1-A61E-2101C317B155}"/>
    <cellStyle name="百分比 5 2 3 2 4 2" xfId="33215" xr:uid="{7E9FBE76-2458-47AF-8048-9B31E96CE800}"/>
    <cellStyle name="百分比 5 2 3 2 5" xfId="7552" xr:uid="{B14633F9-7D95-44B5-BAEF-107A08E581DF}"/>
    <cellStyle name="百分比 5 2 3 2 6" xfId="7553" xr:uid="{56CBDA98-0452-4BE7-8CD2-40213FE9C4A4}"/>
    <cellStyle name="百分比 5 2 3 2 7" xfId="7554" xr:uid="{88CD8B3D-FF5C-4BBD-883E-718A17B90D88}"/>
    <cellStyle name="百分比 5 2 3 2 8" xfId="7555" xr:uid="{31620743-1212-4C6A-ADC1-19E89C8F043C}"/>
    <cellStyle name="百分比 5 2 3 3" xfId="7556" xr:uid="{002E9C78-5A3D-4E10-AED8-DF27D5C9495C}"/>
    <cellStyle name="百分比 5 2 3 3 2" xfId="7557" xr:uid="{15BC01FE-BF72-4BDD-AE43-C91280979815}"/>
    <cellStyle name="百分比 5 2 3 3 2 2" xfId="7558" xr:uid="{28AAFAA5-3733-43A8-95A8-C13975454E22}"/>
    <cellStyle name="百分比 5 2 3 3 3" xfId="7559" xr:uid="{C95FECF6-2EF0-4AC7-9ECE-59FC1ADA7B0D}"/>
    <cellStyle name="百分比 5 2 3 3 3 2" xfId="7560" xr:uid="{4F748F47-D891-4635-8957-5428208F2EF8}"/>
    <cellStyle name="百分比 5 2 3 3 4" xfId="7561" xr:uid="{133EEAB6-9F5D-4777-812B-065D3791CE31}"/>
    <cellStyle name="百分比 5 2 3 3 4 2" xfId="33216" xr:uid="{5AD3AAEA-FCD3-4669-858C-8DA49F71E326}"/>
    <cellStyle name="百分比 5 2 3 3 5" xfId="7562" xr:uid="{981AF4D8-6932-4801-BBD2-C00BE55B90CE}"/>
    <cellStyle name="百分比 5 2 3 3 6" xfId="7563" xr:uid="{FAC5A282-DC2C-4DE2-AC43-354343496353}"/>
    <cellStyle name="百分比 5 2 3 3 7" xfId="7564" xr:uid="{17B7673B-E774-4447-A136-3994C7F9C830}"/>
    <cellStyle name="百分比 5 2 3 4" xfId="7565" xr:uid="{BAB73E3D-C8DF-419A-83EF-DD4FDD10C5C3}"/>
    <cellStyle name="百分比 5 2 3 4 2" xfId="7566" xr:uid="{9EC47FDD-030D-4846-8D03-D0EA1142FB3B}"/>
    <cellStyle name="百分比 5 2 3 5" xfId="7567" xr:uid="{F46100B0-9FF4-46F1-A337-D2082FF2A759}"/>
    <cellStyle name="百分比 5 2 3 5 2" xfId="7568" xr:uid="{EF440B54-4721-4E6E-A135-ECCC47E724C7}"/>
    <cellStyle name="百分比 5 2 3 6" xfId="7569" xr:uid="{D74B4399-F6E0-451F-8AE9-6B83AFEA916D}"/>
    <cellStyle name="百分比 5 2 3 6 2" xfId="33217" xr:uid="{3EB3F1CA-05EE-4098-9F1D-FA5119EC3354}"/>
    <cellStyle name="百分比 5 2 3 7" xfId="7570" xr:uid="{37D9CB8E-572F-4816-8B7A-1C5920C36A0D}"/>
    <cellStyle name="百分比 5 2 3 8" xfId="7571" xr:uid="{9E409725-BAC9-493D-B023-59358C224B03}"/>
    <cellStyle name="百分比 5 2 3 9" xfId="7572" xr:uid="{2F571F83-EE33-4310-89B3-F167A494B5E8}"/>
    <cellStyle name="百分比 5 2 4" xfId="7573" xr:uid="{A0230BA3-A98A-4A21-8390-4E1E21FA260A}"/>
    <cellStyle name="百分比 5 2 4 2" xfId="7574" xr:uid="{F5D764F4-A937-403B-8E0B-D5B2A721BBA0}"/>
    <cellStyle name="百分比 5 2 4 2 2" xfId="7575" xr:uid="{D1B50D7B-F2A4-4F7A-A8F0-98D2FCA47F25}"/>
    <cellStyle name="百分比 5 2 4 2 2 2" xfId="7576" xr:uid="{986DAACD-3EE4-4D0F-B586-146CCAE4E480}"/>
    <cellStyle name="百分比 5 2 4 2 2 3" xfId="7577" xr:uid="{38340C8D-7B72-4756-AE1E-2CF6D1D56628}"/>
    <cellStyle name="百分比 5 2 4 2 2 4" xfId="7578" xr:uid="{3B86FD61-B651-425A-B56A-BD3FF5767649}"/>
    <cellStyle name="百分比 5 2 4 2 2 5" xfId="7579" xr:uid="{8177C8CD-B72E-4DD6-8472-F016C76796CB}"/>
    <cellStyle name="百分比 5 2 4 2 2 6" xfId="7580" xr:uid="{D1EF26AC-99C0-4E66-9C9D-3D522E44F05A}"/>
    <cellStyle name="百分比 5 2 4 2 3" xfId="7581" xr:uid="{B4DB492B-1A80-4EB6-BCD1-AB17C3AD066D}"/>
    <cellStyle name="百分比 5 2 4 2 4" xfId="7582" xr:uid="{9132F7AD-3E25-4B8E-881F-130678687C0E}"/>
    <cellStyle name="百分比 5 2 4 2 5" xfId="7583" xr:uid="{A967BDEC-95A8-4C68-9875-5CC6A55A10EA}"/>
    <cellStyle name="百分比 5 2 4 2 6" xfId="7584" xr:uid="{4653C976-B23D-4D45-A133-4B98DA4BC281}"/>
    <cellStyle name="百分比 5 2 4 2 7" xfId="7585" xr:uid="{05116330-C3EE-40CA-BC40-8BEB0032009C}"/>
    <cellStyle name="百分比 5 2 4 2 8" xfId="7586" xr:uid="{66EC830D-FCE6-4705-8063-4674D0BAD581}"/>
    <cellStyle name="百分比 5 2 4 3" xfId="7587" xr:uid="{1C9B1F1F-D065-4F1A-BA33-AF7B23B08DE5}"/>
    <cellStyle name="百分比 5 2 4 3 2" xfId="7588" xr:uid="{A1F1AF83-34F1-460D-8276-4BEBFEC5C3E7}"/>
    <cellStyle name="百分比 5 2 4 3 3" xfId="7589" xr:uid="{AD9D7586-00FC-4218-A41A-7D14F7538695}"/>
    <cellStyle name="百分比 5 2 4 3 4" xfId="7590" xr:uid="{5EF78E52-FEB1-47BF-B7AC-B9E75AE226D7}"/>
    <cellStyle name="百分比 5 2 4 3 5" xfId="7591" xr:uid="{AE918C27-D68A-4835-ACFD-193FC58E1250}"/>
    <cellStyle name="百分比 5 2 4 3 6" xfId="7592" xr:uid="{C695FEBA-0220-4B25-8A29-0A4AE0771890}"/>
    <cellStyle name="百分比 5 2 4 3 7" xfId="7593" xr:uid="{0DE55434-B3F2-49AB-95ED-E9969A3E54C2}"/>
    <cellStyle name="百分比 5 2 4 4" xfId="7594" xr:uid="{0DF14046-8A82-4410-9999-578DC4A24BE0}"/>
    <cellStyle name="百分比 5 2 4 4 2" xfId="33218" xr:uid="{67BFD4CF-0E26-411A-82CF-1B937722085A}"/>
    <cellStyle name="百分比 5 2 4 5" xfId="7595" xr:uid="{BD0B64A9-062C-4601-A700-8146B79E271F}"/>
    <cellStyle name="百分比 5 2 4 6" xfId="7596" xr:uid="{8097CFEC-4812-4B0F-A8F1-07ECB40308E5}"/>
    <cellStyle name="百分比 5 2 4 7" xfId="7597" xr:uid="{9FC88223-CD53-42A2-95FA-82B19305F437}"/>
    <cellStyle name="百分比 5 2 4 8" xfId="7598" xr:uid="{650FC0C8-07A3-4AB3-971D-9D599D3DEC0B}"/>
    <cellStyle name="百分比 5 2 4 9" xfId="7599" xr:uid="{DA302129-ABCB-4C6E-9DBE-5845087E33B7}"/>
    <cellStyle name="百分比 5 2 5" xfId="7600" xr:uid="{013DD266-DB02-4231-8841-A2E84747B1AF}"/>
    <cellStyle name="百分比 5 2 5 2" xfId="7601" xr:uid="{3788A7DA-B98B-4474-A704-4FAED6FCCA40}"/>
    <cellStyle name="百分比 5 2 5 2 2" xfId="7602" xr:uid="{DF40B9B7-8FBC-4CA1-879E-E27A11D267B3}"/>
    <cellStyle name="百分比 5 2 5 2 3" xfId="7603" xr:uid="{0F9CC894-62A4-4EA9-B11C-255232405F2C}"/>
    <cellStyle name="百分比 5 2 5 2 4" xfId="7604" xr:uid="{5779D46A-AA19-4377-829A-A0F0373421C7}"/>
    <cellStyle name="百分比 5 2 5 2 5" xfId="7605" xr:uid="{A1DD5BA7-6F3C-4412-85CF-0091F22A597A}"/>
    <cellStyle name="百分比 5 2 5 2 6" xfId="7606" xr:uid="{833419F0-94C0-4DF2-9FEF-6E8697A093FB}"/>
    <cellStyle name="百分比 5 2 5 2 7" xfId="7607" xr:uid="{9C964132-400E-4272-9252-7B85154AD041}"/>
    <cellStyle name="百分比 5 2 5 3" xfId="7608" xr:uid="{1097C12B-7049-41FC-9E93-F1DC3D52216A}"/>
    <cellStyle name="百分比 5 2 5 3 2" xfId="7609" xr:uid="{A9A9056F-A3BC-4073-B704-2BCE07A8B056}"/>
    <cellStyle name="百分比 5 2 5 4" xfId="7610" xr:uid="{30986537-2360-4B19-BCDF-8A1AFB8BBE07}"/>
    <cellStyle name="百分比 5 2 5 4 2" xfId="33219" xr:uid="{E48558A1-E28D-4269-AF64-AB74A88920A3}"/>
    <cellStyle name="百分比 5 2 5 5" xfId="7611" xr:uid="{8DB49BF3-ED4E-4B2F-B261-805F352A73A5}"/>
    <cellStyle name="百分比 5 2 5 6" xfId="7612" xr:uid="{F5F2B56C-56DC-408B-B8BB-BF903DFD38FC}"/>
    <cellStyle name="百分比 5 2 5 7" xfId="7613" xr:uid="{F7AA0CED-F06A-41C2-A204-B8E72AA6F4B8}"/>
    <cellStyle name="百分比 5 2 5 8" xfId="7614" xr:uid="{C23F7E05-45E2-490F-828E-2B0127404EEF}"/>
    <cellStyle name="百分比 5 2 6" xfId="7615" xr:uid="{567DAA9A-0972-489D-8BC5-696601900075}"/>
    <cellStyle name="百分比 5 2 6 2" xfId="7616" xr:uid="{90C5097D-1496-4D2F-AD15-2C4EAE9853F8}"/>
    <cellStyle name="百分比 5 2 6 2 2" xfId="7617" xr:uid="{EBAE2253-C820-4D9E-9213-50FD170BDE6C}"/>
    <cellStyle name="百分比 5 2 6 2 3" xfId="7618" xr:uid="{15AAE626-D33E-42B1-83C1-55CCE19A7C54}"/>
    <cellStyle name="百分比 5 2 6 2 4" xfId="7619" xr:uid="{8E5E3464-BF95-46C1-8262-3BDFF1CC32D3}"/>
    <cellStyle name="百分比 5 2 6 2 5" xfId="7620" xr:uid="{C673C55C-5203-483B-A97A-6B4530D19085}"/>
    <cellStyle name="百分比 5 2 6 2 6" xfId="7621" xr:uid="{F1BC1FBE-B67C-4A17-BD46-CFD55A203855}"/>
    <cellStyle name="百分比 5 2 6 3" xfId="7622" xr:uid="{CF57C92A-59CF-4C2B-8DF4-8D40B478453E}"/>
    <cellStyle name="百分比 5 2 6 4" xfId="7623" xr:uid="{C1CD01C1-DCD6-482E-BDED-126E176B2DBF}"/>
    <cellStyle name="百分比 5 2 6 5" xfId="7624" xr:uid="{27D471F9-C917-45E1-8AB2-62E63B131456}"/>
    <cellStyle name="百分比 5 2 6 6" xfId="7625" xr:uid="{2D0A9FFB-2737-4DEC-850C-F8A33A0F9BEA}"/>
    <cellStyle name="百分比 5 2 6 7" xfId="7626" xr:uid="{F617D624-4252-4E05-80C7-C16825423318}"/>
    <cellStyle name="百分比 5 2 6 8" xfId="7627" xr:uid="{76F9C1FE-27D2-4CCA-BA7C-B27BDB304862}"/>
    <cellStyle name="百分比 5 2 7" xfId="7628" xr:uid="{ADA823FF-ADF8-4D36-951B-C70CA47C3F5E}"/>
    <cellStyle name="百分比 5 2 7 2" xfId="7629" xr:uid="{958A8B12-72D7-4B54-A089-F8A9FE783722}"/>
    <cellStyle name="百分比 5 2 7 2 2" xfId="7630" xr:uid="{3C0A81A2-50A2-4110-85BB-9EB71514DF3B}"/>
    <cellStyle name="百分比 5 2 7 2 3" xfId="7631" xr:uid="{0574C669-896B-47E7-919D-20FA46A10D6B}"/>
    <cellStyle name="百分比 5 2 7 2 4" xfId="7632" xr:uid="{D880FC85-7787-4965-B817-2B73DD30D626}"/>
    <cellStyle name="百分比 5 2 7 2 5" xfId="7633" xr:uid="{0228626A-06BC-4C3B-87A2-3CA2EAE88885}"/>
    <cellStyle name="百分比 5 2 7 2 6" xfId="7634" xr:uid="{D5EAAF7D-83B4-4AB3-B7A2-5DB842E0CA05}"/>
    <cellStyle name="百分比 5 2 7 3" xfId="7635" xr:uid="{97F52AC0-D136-4E85-B1B4-DB3D66450672}"/>
    <cellStyle name="百分比 5 2 7 4" xfId="7636" xr:uid="{6CD60806-E181-4489-865A-285B62266C2F}"/>
    <cellStyle name="百分比 5 2 7 5" xfId="7637" xr:uid="{22CDB841-AE6D-4403-AF28-415B0DA715A3}"/>
    <cellStyle name="百分比 5 2 7 6" xfId="7638" xr:uid="{B938A2DA-CB7E-480F-9BE2-02E0FD16D395}"/>
    <cellStyle name="百分比 5 2 7 7" xfId="7639" xr:uid="{84E20AE0-1A6B-4AA0-BAD1-6CA72F9CE388}"/>
    <cellStyle name="百分比 5 2 7 8" xfId="7640" xr:uid="{0BA34C9B-27BA-4D71-A170-28EC4BCE0668}"/>
    <cellStyle name="百分比 5 2 8" xfId="7641" xr:uid="{95CCABF4-D0D0-499D-9093-C856A50A396C}"/>
    <cellStyle name="百分比 5 2 8 2" xfId="7642" xr:uid="{029A667E-BF53-46AD-A11E-488360C9BE4C}"/>
    <cellStyle name="百分比 5 2 8 3" xfId="7643" xr:uid="{55BFFAD6-2F8A-4038-AD23-31916CA65DAA}"/>
    <cellStyle name="百分比 5 2 8 4" xfId="7644" xr:uid="{989A62A3-126C-4007-A431-9FBF5048A28B}"/>
    <cellStyle name="百分比 5 2 8 5" xfId="7645" xr:uid="{8DEE2ADD-96A6-4FEC-B44C-B372F1674ABD}"/>
    <cellStyle name="百分比 5 2 8 6" xfId="7646" xr:uid="{27A9DF7D-FCD6-4747-A7B8-26DD273186CD}"/>
    <cellStyle name="百分比 5 2 8 7" xfId="33220" xr:uid="{CDA24926-0D17-44DD-A191-126832D7F385}"/>
    <cellStyle name="百分比 5 2 9" xfId="7647" xr:uid="{ED018277-5DC7-4A9C-9CEF-29FAD8803004}"/>
    <cellStyle name="百分比 5 2 9 2" xfId="7648" xr:uid="{9825554A-5CEB-4F7E-8C62-9F0EE1B64E0F}"/>
    <cellStyle name="百分比 5 3" xfId="7649" xr:uid="{B9C9366B-278B-40CF-B42C-4197FA20810A}"/>
    <cellStyle name="百分比 5 3 10" xfId="7650" xr:uid="{75AC5053-CD72-4026-81FB-59DFAB750006}"/>
    <cellStyle name="百分比 5 3 11" xfId="7651" xr:uid="{D88026FF-A3F8-402B-A5F2-B7DB75918AC3}"/>
    <cellStyle name="百分比 5 3 12" xfId="7652" xr:uid="{ED030289-78C2-49C4-B33C-C6B7AD7C35D4}"/>
    <cellStyle name="百分比 5 3 13" xfId="7653" xr:uid="{AE6607EA-C1E7-4B00-B387-2D6C01DE57B3}"/>
    <cellStyle name="百分比 5 3 2" xfId="7654" xr:uid="{2BB93087-DB65-4044-907D-981ED8636E57}"/>
    <cellStyle name="百分比 5 3 2 10" xfId="7655" xr:uid="{F5ABD3D4-3100-40F1-BB4C-27829BFFA7D2}"/>
    <cellStyle name="百分比 5 3 2 11" xfId="7656" xr:uid="{D19AE5CB-7071-489A-8F5E-6794393B1C5E}"/>
    <cellStyle name="百分比 5 3 2 2" xfId="7657" xr:uid="{EA43299A-C9F8-41CD-9AEF-F65FC873079D}"/>
    <cellStyle name="百分比 5 3 2 2 2" xfId="7658" xr:uid="{920C0F72-C8D7-4D40-A94D-F1F59C6D292A}"/>
    <cellStyle name="百分比 5 3 2 2 2 2" xfId="7659" xr:uid="{8A666816-6C1A-45FB-9623-26FE6B6599C5}"/>
    <cellStyle name="百分比 5 3 2 2 2 2 2" xfId="7660" xr:uid="{EB033EFE-B14E-420D-8340-2D8ECFF4B045}"/>
    <cellStyle name="百分比 5 3 2 2 2 2 3" xfId="7661" xr:uid="{B765C01B-6C32-477C-B794-42879C3A3085}"/>
    <cellStyle name="百分比 5 3 2 2 2 2 4" xfId="7662" xr:uid="{DECAF21E-BDED-4B72-988D-B81E85F45561}"/>
    <cellStyle name="百分比 5 3 2 2 2 2 5" xfId="7663" xr:uid="{6A2923F4-1C9E-4A16-BDD4-3FC325B18940}"/>
    <cellStyle name="百分比 5 3 2 2 2 2 6" xfId="7664" xr:uid="{47F9CEA0-A3F6-4ED9-8AAD-BB04B4063B80}"/>
    <cellStyle name="百分比 5 3 2 2 2 2 7" xfId="7665" xr:uid="{A7923DEB-5332-4951-ACB0-F6BF829D6516}"/>
    <cellStyle name="百分比 5 3 2 2 2 3" xfId="7666" xr:uid="{9A6F5598-7D95-45DC-A8D6-B6A51EE0A37E}"/>
    <cellStyle name="百分比 5 3 2 2 2 3 2" xfId="7667" xr:uid="{0DAE27E1-F0AC-4F97-BF5F-19D660580715}"/>
    <cellStyle name="百分比 5 3 2 2 2 4" xfId="7668" xr:uid="{85D2B0AF-2458-44F7-BA16-EB99861277C8}"/>
    <cellStyle name="百分比 5 3 2 2 2 4 2" xfId="33221" xr:uid="{9C8FE523-B496-475B-8378-BEB270B02F45}"/>
    <cellStyle name="百分比 5 3 2 2 2 5" xfId="7669" xr:uid="{1368389E-4D6A-4134-8B02-E2EEE564904B}"/>
    <cellStyle name="百分比 5 3 2 2 2 6" xfId="7670" xr:uid="{6BDD1637-3C5F-4F8F-BEF5-38BD52EE3950}"/>
    <cellStyle name="百分比 5 3 2 2 2 7" xfId="7671" xr:uid="{CC282A80-2475-444D-892A-7798A56BC878}"/>
    <cellStyle name="百分比 5 3 2 2 2 8" xfId="7672" xr:uid="{B8975EAC-5655-4782-9AE0-17730DE8EE8A}"/>
    <cellStyle name="百分比 5 3 2 2 3" xfId="7673" xr:uid="{1C0E1F10-3695-4585-96F8-0D1DF2BB0A43}"/>
    <cellStyle name="百分比 5 3 2 2 3 2" xfId="7674" xr:uid="{5EF4E3F4-F6E2-4C4C-B409-00142CDE704E}"/>
    <cellStyle name="百分比 5 3 2 2 3 3" xfId="7675" xr:uid="{4D54E308-C4A5-4421-B526-DD6F9CE68652}"/>
    <cellStyle name="百分比 5 3 2 2 3 4" xfId="7676" xr:uid="{ED1C8510-64AB-4861-BE2E-A473F0DD93FB}"/>
    <cellStyle name="百分比 5 3 2 2 3 5" xfId="7677" xr:uid="{7B2CD56E-A8E5-4FDB-B54F-D387DA52B1D5}"/>
    <cellStyle name="百分比 5 3 2 2 3 6" xfId="7678" xr:uid="{353E2C37-4313-4316-BA3F-4163068EA517}"/>
    <cellStyle name="百分比 5 3 2 2 3 7" xfId="7679" xr:uid="{4248AB1B-021A-4E86-9757-244EAEF54249}"/>
    <cellStyle name="百分比 5 3 2 2 4" xfId="7680" xr:uid="{CF74E432-9AB8-4F71-B21F-28B2F349EDEA}"/>
    <cellStyle name="百分比 5 3 2 2 4 2" xfId="7681" xr:uid="{C77F4FB1-CFFB-4CDF-908B-C08E61103834}"/>
    <cellStyle name="百分比 5 3 2 2 5" xfId="7682" xr:uid="{D2DE8889-963F-4A9E-867E-E9A2080BC7C5}"/>
    <cellStyle name="百分比 5 3 2 2 5 2" xfId="33222" xr:uid="{2AB4E8B3-B62F-48D5-BD81-2031F3EE1102}"/>
    <cellStyle name="百分比 5 3 2 2 6" xfId="7683" xr:uid="{E8737BEE-FCE4-4A1A-8D81-B46A76B7D319}"/>
    <cellStyle name="百分比 5 3 2 2 7" xfId="7684" xr:uid="{EA925243-F266-485A-804E-7B8E8E7935F4}"/>
    <cellStyle name="百分比 5 3 2 2 8" xfId="7685" xr:uid="{96776105-A3CF-4706-9B67-24B8D5D5DBCB}"/>
    <cellStyle name="百分比 5 3 2 2 9" xfId="7686" xr:uid="{BBF32AA7-ABFB-450C-A2F4-BF6738F04A25}"/>
    <cellStyle name="百分比 5 3 2 3" xfId="7687" xr:uid="{7D68D108-DCD4-487D-B947-96790E51C8C9}"/>
    <cellStyle name="百分比 5 3 2 3 2" xfId="7688" xr:uid="{E70D325F-1BC9-4629-9C5A-2DD8A9F299FC}"/>
    <cellStyle name="百分比 5 3 2 3 2 2" xfId="7689" xr:uid="{C32FF6A4-0DE5-4E07-8802-8839776169B9}"/>
    <cellStyle name="百分比 5 3 2 3 2 2 2" xfId="7690" xr:uid="{665FDC23-F723-4453-B089-C65A420588B0}"/>
    <cellStyle name="百分比 5 3 2 3 2 2 3" xfId="7691" xr:uid="{E0508CBE-BA99-4F47-B636-407ECCAC87E6}"/>
    <cellStyle name="百分比 5 3 2 3 2 2 4" xfId="7692" xr:uid="{AA361DE5-3260-4EC7-8142-25760555BAD2}"/>
    <cellStyle name="百分比 5 3 2 3 2 2 5" xfId="7693" xr:uid="{475C6C7D-A9FE-4BA4-8EC4-52ECF74DB2BB}"/>
    <cellStyle name="百分比 5 3 2 3 2 2 6" xfId="7694" xr:uid="{AEF60168-A901-4F15-848D-E74639A5AF40}"/>
    <cellStyle name="百分比 5 3 2 3 2 3" xfId="7695" xr:uid="{1E13E40B-E978-463B-9831-1CCF0844A124}"/>
    <cellStyle name="百分比 5 3 2 3 2 4" xfId="7696" xr:uid="{566DCFE9-5CAB-4F87-81CD-3102B06E908E}"/>
    <cellStyle name="百分比 5 3 2 3 2 5" xfId="7697" xr:uid="{05C73710-6A37-4693-B255-B682A9D10F43}"/>
    <cellStyle name="百分比 5 3 2 3 2 6" xfId="7698" xr:uid="{45D088C3-3410-4266-8CFE-8B2F940E736E}"/>
    <cellStyle name="百分比 5 3 2 3 2 7" xfId="7699" xr:uid="{1298ED46-6A86-4AF5-BC8E-73143AC35426}"/>
    <cellStyle name="百分比 5 3 2 3 2 8" xfId="7700" xr:uid="{04ADA03A-ADCC-4FDB-B973-BE506D9C4526}"/>
    <cellStyle name="百分比 5 3 2 3 3" xfId="7701" xr:uid="{10499BE0-969A-4F8F-B34D-91E6C7F8D2A3}"/>
    <cellStyle name="百分比 5 3 2 3 3 2" xfId="7702" xr:uid="{C59B05EC-CCBD-4F27-8EF9-41D88A31DA4C}"/>
    <cellStyle name="百分比 5 3 2 3 3 3" xfId="7703" xr:uid="{AC205FA6-DD2B-45EA-A1C6-F967F0002B27}"/>
    <cellStyle name="百分比 5 3 2 3 3 4" xfId="7704" xr:uid="{A7E929E5-A011-4F10-8FEB-D69C8F3CDE44}"/>
    <cellStyle name="百分比 5 3 2 3 3 5" xfId="7705" xr:uid="{DA6DC51E-2FD1-41BC-8948-891B45EAC7B8}"/>
    <cellStyle name="百分比 5 3 2 3 3 6" xfId="7706" xr:uid="{CAFB3A1D-690B-4B13-A358-24FC1CDDFD72}"/>
    <cellStyle name="百分比 5 3 2 3 3 7" xfId="7707" xr:uid="{D24A7DC3-2B73-4FEA-81BB-88E98B63E33C}"/>
    <cellStyle name="百分比 5 3 2 3 4" xfId="7708" xr:uid="{54E83B52-31C6-473F-9AA4-871CD4FD0614}"/>
    <cellStyle name="百分比 5 3 2 3 4 2" xfId="33223" xr:uid="{5644CA19-1F8F-48CD-B7F2-ADE91C016715}"/>
    <cellStyle name="百分比 5 3 2 3 5" xfId="7709" xr:uid="{B0FDED1A-8A9B-43F8-A82D-54D5705727DC}"/>
    <cellStyle name="百分比 5 3 2 3 6" xfId="7710" xr:uid="{D25B5380-C556-4CF9-8455-14D79CD0DD4F}"/>
    <cellStyle name="百分比 5 3 2 3 7" xfId="7711" xr:uid="{06C3AFA7-4F25-474B-92A1-D4C70D63FCC3}"/>
    <cellStyle name="百分比 5 3 2 3 8" xfId="7712" xr:uid="{1BE5113E-B5FA-438F-B1A5-75EE17898BD4}"/>
    <cellStyle name="百分比 5 3 2 3 9" xfId="7713" xr:uid="{2F1E5C8B-4E66-4799-9B52-DF421AD0DCB3}"/>
    <cellStyle name="百分比 5 3 2 4" xfId="7714" xr:uid="{D651DCBB-5A8A-4039-B234-C48B1CD565C8}"/>
    <cellStyle name="百分比 5 3 2 4 2" xfId="7715" xr:uid="{F0FC7386-3BEC-4745-8273-38C2C44B34CD}"/>
    <cellStyle name="百分比 5 3 2 4 2 2" xfId="7716" xr:uid="{202E9B14-E470-451A-9AA9-C4885D79303F}"/>
    <cellStyle name="百分比 5 3 2 4 2 3" xfId="7717" xr:uid="{C0D8C095-9E23-4656-9B13-8999C26B6A71}"/>
    <cellStyle name="百分比 5 3 2 4 2 4" xfId="7718" xr:uid="{B967BC38-1E64-46DD-BEE5-0CDAD2BAEA69}"/>
    <cellStyle name="百分比 5 3 2 4 2 5" xfId="7719" xr:uid="{51A6FD12-FE1A-4533-898F-82148DD9711B}"/>
    <cellStyle name="百分比 5 3 2 4 2 6" xfId="7720" xr:uid="{C5BA4D76-2F8E-4ABA-8C49-104921929E7E}"/>
    <cellStyle name="百分比 5 3 2 4 3" xfId="7721" xr:uid="{FAAB12A5-2D69-486E-935F-C5878A869597}"/>
    <cellStyle name="百分比 5 3 2 4 4" xfId="7722" xr:uid="{8A212FFE-12CD-4650-9C9C-16CCD5BC4B89}"/>
    <cellStyle name="百分比 5 3 2 4 5" xfId="7723" xr:uid="{4EF4D32B-8B0E-4EE2-BF47-5F817F824AFC}"/>
    <cellStyle name="百分比 5 3 2 4 6" xfId="7724" xr:uid="{3FFF5355-C86A-4554-8C4F-21D692B6FD93}"/>
    <cellStyle name="百分比 5 3 2 4 7" xfId="7725" xr:uid="{FD2D6128-8CE4-424F-9A27-617BCE7B3B4F}"/>
    <cellStyle name="百分比 5 3 2 4 8" xfId="7726" xr:uid="{B6B98FED-A40B-4343-8A0D-4A256B01821A}"/>
    <cellStyle name="百分比 5 3 2 5" xfId="7727" xr:uid="{476512C4-122F-4DA4-8FBB-1C9075DB2C1D}"/>
    <cellStyle name="百分比 5 3 2 5 2" xfId="7728" xr:uid="{A763BF68-D0C0-4F4D-BF70-CED76C216C48}"/>
    <cellStyle name="百分比 5 3 2 5 3" xfId="7729" xr:uid="{FB1F4B38-EB3C-48DC-940E-D79F8012857F}"/>
    <cellStyle name="百分比 5 3 2 5 4" xfId="7730" xr:uid="{B1AEA9D5-4C5D-4ADB-9F0C-71CE402DA930}"/>
    <cellStyle name="百分比 5 3 2 5 5" xfId="7731" xr:uid="{DE0A3EA5-BDFC-41B0-9B7E-BEC559D0F6B6}"/>
    <cellStyle name="百分比 5 3 2 5 6" xfId="7732" xr:uid="{3651267F-829F-4A46-9914-BC54EF30A15B}"/>
    <cellStyle name="百分比 5 3 2 5 7" xfId="7733" xr:uid="{2A5348BE-8D9B-484E-974E-DAA43E1F23D2}"/>
    <cellStyle name="百分比 5 3 2 6" xfId="7734" xr:uid="{A35E40F1-88BE-4849-A342-A0A144EFA355}"/>
    <cellStyle name="百分比 5 3 2 6 2" xfId="33224" xr:uid="{96EE2F99-F94D-4D52-98CF-59A2A770BA1C}"/>
    <cellStyle name="百分比 5 3 2 7" xfId="7735" xr:uid="{4844BA37-AB55-4946-AC12-79CDB7699211}"/>
    <cellStyle name="百分比 5 3 2 8" xfId="7736" xr:uid="{3D0A6842-4422-4F8E-9909-70C29399BB50}"/>
    <cellStyle name="百分比 5 3 2 9" xfId="7737" xr:uid="{156079DE-1953-46EA-A463-9E731B3FD25F}"/>
    <cellStyle name="百分比 5 3 3" xfId="7738" xr:uid="{CD53A459-CC41-4772-87EC-40E6B80E8C4D}"/>
    <cellStyle name="百分比 5 3 3 2" xfId="7739" xr:uid="{14FF1A82-6389-4F2D-A27D-AFB479F18A12}"/>
    <cellStyle name="百分比 5 3 3 2 2" xfId="7740" xr:uid="{024F32D0-6903-4926-B4CD-172DB259BDD6}"/>
    <cellStyle name="百分比 5 3 3 2 2 2" xfId="7741" xr:uid="{60C97D78-B7F0-4D90-AF8C-D29E7D5BB3D9}"/>
    <cellStyle name="百分比 5 3 3 2 2 3" xfId="7742" xr:uid="{BC699370-2C83-4BB5-9B10-61F93FEF6794}"/>
    <cellStyle name="百分比 5 3 3 2 2 4" xfId="7743" xr:uid="{D3CDE242-7209-4F4C-A3C4-DD3925F9E046}"/>
    <cellStyle name="百分比 5 3 3 2 2 5" xfId="7744" xr:uid="{6FB0DA2C-C306-409C-8475-A254A64FE99E}"/>
    <cellStyle name="百分比 5 3 3 2 2 6" xfId="7745" xr:uid="{C5E820C3-CB16-44E9-996D-1DC52E10B6A7}"/>
    <cellStyle name="百分比 5 3 3 2 2 7" xfId="7746" xr:uid="{89117BAE-A73F-4039-BBD1-A73B3B0F3E20}"/>
    <cellStyle name="百分比 5 3 3 2 3" xfId="7747" xr:uid="{AD008D0E-CBEB-4C35-8D8A-6FE4D2BC10A1}"/>
    <cellStyle name="百分比 5 3 3 2 3 2" xfId="7748" xr:uid="{94B91D96-27BA-4C05-8EF1-4CFFD0CCF82C}"/>
    <cellStyle name="百分比 5 3 3 2 4" xfId="7749" xr:uid="{42B97412-A26B-4AB5-92ED-F46179202377}"/>
    <cellStyle name="百分比 5 3 3 2 4 2" xfId="33225" xr:uid="{EE1EEEF5-749A-46D9-9D3D-7CFE87E91C59}"/>
    <cellStyle name="百分比 5 3 3 2 5" xfId="7750" xr:uid="{FFCD4187-5BFC-4748-B190-542335C9574E}"/>
    <cellStyle name="百分比 5 3 3 2 6" xfId="7751" xr:uid="{9E7645A8-908E-498A-AD24-F88D1E4E8F60}"/>
    <cellStyle name="百分比 5 3 3 2 7" xfId="7752" xr:uid="{6CDDEFD8-A37A-42A6-9098-A2E00EF95953}"/>
    <cellStyle name="百分比 5 3 3 2 8" xfId="7753" xr:uid="{3D1E4035-6609-4979-8156-9B7EE8534237}"/>
    <cellStyle name="百分比 5 3 3 3" xfId="7754" xr:uid="{6FC204FC-3786-4D7E-AAD0-EB83365CF828}"/>
    <cellStyle name="百分比 5 3 3 3 2" xfId="7755" xr:uid="{0FA68AE2-A542-46FB-936D-A6A707C09C1B}"/>
    <cellStyle name="百分比 5 3 3 3 2 2" xfId="7756" xr:uid="{8D07A9CE-B673-4FF9-9DA5-6ACDAAAF1013}"/>
    <cellStyle name="百分比 5 3 3 3 3" xfId="7757" xr:uid="{5D3CF5E9-DC22-463F-ACB9-001B5D78E68F}"/>
    <cellStyle name="百分比 5 3 3 3 3 2" xfId="7758" xr:uid="{F8712A42-FEC8-41F9-904B-33D923F30414}"/>
    <cellStyle name="百分比 5 3 3 3 4" xfId="7759" xr:uid="{C558EE90-22B7-454B-BFDA-73CDF10CD5D8}"/>
    <cellStyle name="百分比 5 3 3 3 4 2" xfId="33226" xr:uid="{A92FF7C6-8872-41A4-A623-65604A16F248}"/>
    <cellStyle name="百分比 5 3 3 3 5" xfId="7760" xr:uid="{70559825-C902-4064-BF83-EBCD44D42813}"/>
    <cellStyle name="百分比 5 3 3 3 6" xfId="7761" xr:uid="{A153A1DE-E472-4C1B-ABF3-CF2BD9275462}"/>
    <cellStyle name="百分比 5 3 3 3 7" xfId="7762" xr:uid="{4E278E5A-2AB6-436C-AEEC-BEA8BA34BD24}"/>
    <cellStyle name="百分比 5 3 3 4" xfId="7763" xr:uid="{EC1BCEAA-3F13-4EFD-8CA3-0F032F6B8F98}"/>
    <cellStyle name="百分比 5 3 3 4 2" xfId="7764" xr:uid="{DF8B6432-42B7-429F-81CF-F397A13D8385}"/>
    <cellStyle name="百分比 5 3 3 5" xfId="7765" xr:uid="{A33B9919-39F8-49DF-B62B-3473FE8FE1D0}"/>
    <cellStyle name="百分比 5 3 3 5 2" xfId="7766" xr:uid="{FEA2538E-1643-4BDB-8760-5AA07E36B307}"/>
    <cellStyle name="百分比 5 3 3 6" xfId="7767" xr:uid="{D495073C-4CB4-465F-BFE2-BFF613AF4019}"/>
    <cellStyle name="百分比 5 3 3 6 2" xfId="33227" xr:uid="{E0D93580-A017-4273-A4A4-7CD87EF21681}"/>
    <cellStyle name="百分比 5 3 3 7" xfId="7768" xr:uid="{93FEA8CC-5E8A-4F51-9CD3-82E905F98CC5}"/>
    <cellStyle name="百分比 5 3 3 8" xfId="7769" xr:uid="{4CDC1583-3BCF-4AC9-BB5A-F901BF6D2E0F}"/>
    <cellStyle name="百分比 5 3 3 9" xfId="7770" xr:uid="{123AB5B8-055F-4949-A0C0-9BFA97B5FF8F}"/>
    <cellStyle name="百分比 5 3 4" xfId="7771" xr:uid="{4F5CD7B0-6CAE-408B-A499-B061DF6D46B7}"/>
    <cellStyle name="百分比 5 3 4 2" xfId="7772" xr:uid="{EDE5D575-8FC3-4F3F-9C94-31BA049ED164}"/>
    <cellStyle name="百分比 5 3 4 2 2" xfId="7773" xr:uid="{F8A44A2B-2AF0-4BF6-AF47-124252C5BB87}"/>
    <cellStyle name="百分比 5 3 4 2 2 2" xfId="7774" xr:uid="{3F0A025A-FF31-43D8-97AC-672F0051322E}"/>
    <cellStyle name="百分比 5 3 4 2 2 3" xfId="7775" xr:uid="{C6ADCDFC-9437-4384-A743-5C1F96A57ACC}"/>
    <cellStyle name="百分比 5 3 4 2 2 4" xfId="7776" xr:uid="{EE354E20-98D3-4E2F-BA0E-21C356250934}"/>
    <cellStyle name="百分比 5 3 4 2 2 5" xfId="7777" xr:uid="{D67AD4AE-708D-4CF4-A8D5-99484188DB2F}"/>
    <cellStyle name="百分比 5 3 4 2 2 6" xfId="7778" xr:uid="{21DEFA83-BC93-49E4-9558-D73A048F123C}"/>
    <cellStyle name="百分比 5 3 4 2 3" xfId="7779" xr:uid="{C4DEF455-D353-4E53-ADA1-E4C86B035C1D}"/>
    <cellStyle name="百分比 5 3 4 2 4" xfId="7780" xr:uid="{01A7C17B-FEFD-4A10-AC9D-48A637A820EE}"/>
    <cellStyle name="百分比 5 3 4 2 5" xfId="7781" xr:uid="{91E397E2-C0F2-4E4E-B7AE-3820AF32B858}"/>
    <cellStyle name="百分比 5 3 4 2 6" xfId="7782" xr:uid="{F435E587-9A3E-44FD-822D-132AAA985700}"/>
    <cellStyle name="百分比 5 3 4 2 7" xfId="7783" xr:uid="{668843C9-E4CB-4BD5-9F60-24EB8E139ADF}"/>
    <cellStyle name="百分比 5 3 4 2 8" xfId="7784" xr:uid="{34351DFF-CB9B-4AE5-A64E-C8EEA56A09F8}"/>
    <cellStyle name="百分比 5 3 4 3" xfId="7785" xr:uid="{505566D6-E93C-4A4B-9D51-E73411E4EB65}"/>
    <cellStyle name="百分比 5 3 4 3 2" xfId="7786" xr:uid="{A2EFB3FA-5A1A-4A06-B021-62030597B960}"/>
    <cellStyle name="百分比 5 3 4 3 3" xfId="7787" xr:uid="{45AAEB7F-FF5E-40CA-B769-6448EA383EA4}"/>
    <cellStyle name="百分比 5 3 4 3 4" xfId="7788" xr:uid="{85080F01-7DD6-4CCE-A064-61D52F6024A7}"/>
    <cellStyle name="百分比 5 3 4 3 5" xfId="7789" xr:uid="{AFF57045-E2EA-4DB1-9A7B-2F9B80976C1D}"/>
    <cellStyle name="百分比 5 3 4 3 6" xfId="7790" xr:uid="{2AA08FB8-3174-416A-9792-2D445AD68368}"/>
    <cellStyle name="百分比 5 3 4 3 7" xfId="7791" xr:uid="{7F325DEC-5A53-41A4-B3DA-08CA9C168117}"/>
    <cellStyle name="百分比 5 3 4 4" xfId="7792" xr:uid="{2CBDF9B1-F75B-4800-B14D-3F0AEB17470D}"/>
    <cellStyle name="百分比 5 3 4 4 2" xfId="33228" xr:uid="{606B67F7-CBF8-401B-BA2A-CD57FEF415A8}"/>
    <cellStyle name="百分比 5 3 4 5" xfId="7793" xr:uid="{8BA64441-0246-4559-9DF6-0ACDCAAADB6B}"/>
    <cellStyle name="百分比 5 3 4 6" xfId="7794" xr:uid="{726A8FC6-3406-456A-8ED9-F6BC53256002}"/>
    <cellStyle name="百分比 5 3 4 7" xfId="7795" xr:uid="{EC9300FB-1A8C-44E1-9509-0C097FCAA0FA}"/>
    <cellStyle name="百分比 5 3 4 8" xfId="7796" xr:uid="{F89D5A21-D281-4E15-AA5D-9A004B31ECD6}"/>
    <cellStyle name="百分比 5 3 4 9" xfId="7797" xr:uid="{8C782800-CC93-4E7F-9738-385D62D9461A}"/>
    <cellStyle name="百分比 5 3 5" xfId="7798" xr:uid="{E11C3887-AEFF-4581-848B-8A057C7E35E9}"/>
    <cellStyle name="百分比 5 3 5 2" xfId="7799" xr:uid="{6C78357B-E7E3-4ECD-B438-9EB9A151BBDB}"/>
    <cellStyle name="百分比 5 3 5 2 2" xfId="7800" xr:uid="{24F5D7C3-2DEA-4005-AC1E-183789AD5BF8}"/>
    <cellStyle name="百分比 5 3 5 2 3" xfId="7801" xr:uid="{0A29E912-A52A-4132-B0EE-2DCD3DC9AB6A}"/>
    <cellStyle name="百分比 5 3 5 2 4" xfId="7802" xr:uid="{F3EF17B8-50C1-459E-83DB-2BEFAC5742DB}"/>
    <cellStyle name="百分比 5 3 5 2 5" xfId="7803" xr:uid="{F3571D45-AAE7-478A-8F65-22A66A56192E}"/>
    <cellStyle name="百分比 5 3 5 2 6" xfId="7804" xr:uid="{409D0FCD-0655-4E92-A317-C03718CFD34C}"/>
    <cellStyle name="百分比 5 3 5 2 7" xfId="7805" xr:uid="{20F85452-C5C7-4F0C-858C-6961E87363F8}"/>
    <cellStyle name="百分比 5 3 5 3" xfId="7806" xr:uid="{1189FE08-E403-4444-B505-935049200C5C}"/>
    <cellStyle name="百分比 5 3 5 3 2" xfId="7807" xr:uid="{28F8D3FC-DD89-45D0-9CCE-C519B8C4A254}"/>
    <cellStyle name="百分比 5 3 5 4" xfId="7808" xr:uid="{EA28C5DE-372B-43EA-9D61-852F77E730AD}"/>
    <cellStyle name="百分比 5 3 5 4 2" xfId="33229" xr:uid="{0CD92876-AA7B-4646-A264-0B6152EDDF90}"/>
    <cellStyle name="百分比 5 3 5 5" xfId="7809" xr:uid="{D1ABB238-A672-4625-9028-645912248E89}"/>
    <cellStyle name="百分比 5 3 5 6" xfId="7810" xr:uid="{EA0D90B6-7E59-42D4-9690-E36F199993A3}"/>
    <cellStyle name="百分比 5 3 5 7" xfId="7811" xr:uid="{41656861-EAB3-41AE-8005-2829437925F5}"/>
    <cellStyle name="百分比 5 3 5 8" xfId="7812" xr:uid="{AB192924-B807-4272-AAB6-805F042449B8}"/>
    <cellStyle name="百分比 5 3 6" xfId="7813" xr:uid="{02507E08-7C0F-4A9B-90A9-99B8A7AC8AB3}"/>
    <cellStyle name="百分比 5 3 6 2" xfId="7814" xr:uid="{FF9AD666-5029-48D1-B8E7-18E35A03D64A}"/>
    <cellStyle name="百分比 5 3 6 2 2" xfId="7815" xr:uid="{C057CE7A-BBA1-4F9B-98E3-10C4C3863BDC}"/>
    <cellStyle name="百分比 5 3 6 2 3" xfId="7816" xr:uid="{C6728C0F-1800-4942-B7CF-64B1ED58C35B}"/>
    <cellStyle name="百分比 5 3 6 2 4" xfId="7817" xr:uid="{1CBA26E0-4B77-43DD-A751-1BD15AA952E1}"/>
    <cellStyle name="百分比 5 3 6 2 5" xfId="7818" xr:uid="{10033656-6EB5-4B21-981C-E1D1EB9C406A}"/>
    <cellStyle name="百分比 5 3 6 2 6" xfId="7819" xr:uid="{373D5CD9-3B15-4873-9132-80D03DE81D2A}"/>
    <cellStyle name="百分比 5 3 6 3" xfId="7820" xr:uid="{8EB4A70A-3BEA-4A72-89B6-3BFF79DF017B}"/>
    <cellStyle name="百分比 5 3 6 4" xfId="7821" xr:uid="{2414A93A-6F97-4B58-9DF3-F1ACA4F1DB46}"/>
    <cellStyle name="百分比 5 3 6 5" xfId="7822" xr:uid="{D2FB5FBB-B283-481E-BA41-59675D60D2A4}"/>
    <cellStyle name="百分比 5 3 6 6" xfId="7823" xr:uid="{87341185-3C84-4F0D-8D6B-3039FB962787}"/>
    <cellStyle name="百分比 5 3 6 7" xfId="7824" xr:uid="{328F03BB-122D-461B-91EA-01BD3CFD2F4E}"/>
    <cellStyle name="百分比 5 3 6 8" xfId="7825" xr:uid="{1385E890-0D35-46EA-9BF0-7737882CC5BD}"/>
    <cellStyle name="百分比 5 3 7" xfId="7826" xr:uid="{8D31BDBF-769A-4B48-B605-F024105A0551}"/>
    <cellStyle name="百分比 5 3 7 2" xfId="7827" xr:uid="{AFE391BA-A27A-4DC3-97C2-3D606E118171}"/>
    <cellStyle name="百分比 5 3 7 3" xfId="7828" xr:uid="{3B9349CF-D82A-427E-A1BA-724F544C95FF}"/>
    <cellStyle name="百分比 5 3 7 4" xfId="7829" xr:uid="{235ECC84-7F79-47DF-985C-53022FDBFBC9}"/>
    <cellStyle name="百分比 5 3 7 5" xfId="7830" xr:uid="{1BB3CFF5-AFD6-415E-AE97-F01BC098E9FF}"/>
    <cellStyle name="百分比 5 3 7 6" xfId="7831" xr:uid="{141926F0-CA67-4D09-81E3-8E69A5AC301B}"/>
    <cellStyle name="百分比 5 3 7 7" xfId="7832" xr:uid="{28D39BAB-69D6-4D2F-8D82-1EF972B3A259}"/>
    <cellStyle name="百分比 5 3 8" xfId="7833" xr:uid="{21648CE1-1D68-4A42-A839-30E12229BC58}"/>
    <cellStyle name="百分比 5 3 8 2" xfId="33230" xr:uid="{077DC503-CBB3-4AD1-8A73-8B8CDCD3BB00}"/>
    <cellStyle name="百分比 5 3 9" xfId="7834" xr:uid="{65FBB57A-9BFA-47C0-BFCE-31AD351D4440}"/>
    <cellStyle name="百分比 5 3 9 2" xfId="7835" xr:uid="{68145351-D757-4C70-8AC0-1292C32FE41B}"/>
    <cellStyle name="百分比 5 4" xfId="7836" xr:uid="{CDE0E2DC-8FA5-490A-AD7D-C1CD1D1F26EB}"/>
    <cellStyle name="百分比 5 4 2" xfId="7837" xr:uid="{989CB5FF-4949-4666-B9C9-1DCE5AC0A2C2}"/>
    <cellStyle name="百分比 5 4 2 2" xfId="7838" xr:uid="{F023418B-8351-4533-A7CC-D2B74A067565}"/>
    <cellStyle name="百分比 5 4 2 2 2" xfId="7839" xr:uid="{9B3AD2F3-06DD-44ED-8E78-7ED50BA92202}"/>
    <cellStyle name="百分比 5 4 2 2 2 2" xfId="7840" xr:uid="{B597D6D4-C064-4EFA-9EB7-06EF7895D155}"/>
    <cellStyle name="百分比 5 4 2 2 3" xfId="7841" xr:uid="{CC2E1330-A5A1-4B90-8D6F-B2B6523D8F38}"/>
    <cellStyle name="百分比 5 4 2 2 4" xfId="7842" xr:uid="{14BBE49E-3159-48C3-823E-B2079F6784CF}"/>
    <cellStyle name="百分比 5 4 2 2 4 2" xfId="33231" xr:uid="{07CFE934-9AE8-4FD7-AB1B-C425DFDB18E4}"/>
    <cellStyle name="百分比 5 4 2 3" xfId="7843" xr:uid="{AA08D0E9-9641-44E5-BB59-9A80DA6B9E45}"/>
    <cellStyle name="百分比 5 4 2 3 2" xfId="7844" xr:uid="{77A12260-6807-400D-BB4A-15FC69A9C6A6}"/>
    <cellStyle name="百分比 5 4 2 3 2 2" xfId="7845" xr:uid="{24740B8D-7594-4CAB-AD0B-2CA848EB1254}"/>
    <cellStyle name="百分比 5 4 2 3 3" xfId="7846" xr:uid="{561292AA-AA69-4A3B-A14B-D1A2C36D1ADB}"/>
    <cellStyle name="百分比 5 4 2 3 4" xfId="7847" xr:uid="{1A5322EB-A2A7-45CD-B470-EF407D2CC728}"/>
    <cellStyle name="百分比 5 4 2 3 4 2" xfId="33232" xr:uid="{0AE25DD2-ABDF-46FA-845B-28E684B6944D}"/>
    <cellStyle name="百分比 5 4 2 4" xfId="7848" xr:uid="{826F7509-DC5D-4A7A-A46D-91C8EF70DC3A}"/>
    <cellStyle name="百分比 5 4 2 4 2" xfId="7849" xr:uid="{63D93A84-2B7C-44BD-A2BF-0D0D806A91BD}"/>
    <cellStyle name="百分比 5 4 2 5" xfId="7850" xr:uid="{E2315AAE-D845-444C-BAF5-EC00BFCC041C}"/>
    <cellStyle name="百分比 5 4 2 6" xfId="7851" xr:uid="{43F7C802-B007-4DCF-9EB6-276BF455D711}"/>
    <cellStyle name="百分比 5 4 2 6 2" xfId="33233" xr:uid="{9E655E4A-3AA8-4BE1-95FA-391B77EBE47E}"/>
    <cellStyle name="百分比 5 4 3" xfId="7852" xr:uid="{2A1BC4FF-2088-4523-9FC1-CE52AB0494C6}"/>
    <cellStyle name="百分比 5 4 3 2" xfId="7853" xr:uid="{6E12C1EA-FBAA-47EC-A510-16B7C045BA9E}"/>
    <cellStyle name="百分比 5 4 3 2 2" xfId="7854" xr:uid="{5C042569-C003-4ED0-9BE6-4A972E8AFE8F}"/>
    <cellStyle name="百分比 5 4 3 3" xfId="7855" xr:uid="{7E3BB4BD-F9C7-4AB0-B16E-73D6C5E1A4E1}"/>
    <cellStyle name="百分比 5 4 3 4" xfId="7856" xr:uid="{3E3D0667-BE3B-4DAE-BBCF-4FB77DBC764A}"/>
    <cellStyle name="百分比 5 4 3 4 2" xfId="33234" xr:uid="{1BC8788E-0967-4AC9-807D-F88D31272907}"/>
    <cellStyle name="百分比 5 4 4" xfId="7857" xr:uid="{AFEBBD98-07C5-41FD-9220-291BFA29524E}"/>
    <cellStyle name="百分比 5 4 4 2" xfId="7858" xr:uid="{30369D86-B460-4433-B6C2-048AFAF3AC58}"/>
    <cellStyle name="百分比 5 4 4 2 2" xfId="7859" xr:uid="{86C6CFF5-D7BB-4843-9149-FB1D2FECCBFD}"/>
    <cellStyle name="百分比 5 4 4 3" xfId="7860" xr:uid="{8F13672A-2D8D-4031-9078-98C6CF6B42EC}"/>
    <cellStyle name="百分比 5 4 4 4" xfId="7861" xr:uid="{9D21B76D-4884-44C3-85E4-79C30BA6D0DE}"/>
    <cellStyle name="百分比 5 4 4 4 2" xfId="33235" xr:uid="{D5F2B7B5-2A88-46B2-BA35-5210BA737881}"/>
    <cellStyle name="百分比 5 4 5" xfId="7862" xr:uid="{DA515C2E-DD9D-4F7B-A19D-86947943ED39}"/>
    <cellStyle name="百分比 5 4 5 2" xfId="7863" xr:uid="{B884B5DC-8AD1-45C7-A96D-CEBF5BD5C80D}"/>
    <cellStyle name="百分比 5 4 6" xfId="7864" xr:uid="{399C24B2-D05A-49DB-8A4D-E11363BC1F22}"/>
    <cellStyle name="百分比 5 4 7" xfId="7865" xr:uid="{468D03AE-057F-45D7-9E31-5264DB917ECB}"/>
    <cellStyle name="百分比 5 4 7 2" xfId="33236" xr:uid="{0AF9157E-A4DB-4F84-8DD2-BB6809FFC086}"/>
    <cellStyle name="百分比 5 4 8" xfId="7866" xr:uid="{0540F78C-3E14-43B0-BC98-09ADAA28C4CB}"/>
    <cellStyle name="百分比 5 5" xfId="7867" xr:uid="{2BA47CB1-2C77-4290-A88E-8E4369F1DC17}"/>
    <cellStyle name="百分比 5 5 2" xfId="7868" xr:uid="{DA8948AC-54F6-423B-9A85-8A7E0298B29F}"/>
    <cellStyle name="百分比 5 5 2 2" xfId="7869" xr:uid="{2BCE325A-BF4D-427F-8701-83FB23E4266D}"/>
    <cellStyle name="百分比 5 5 2 2 2" xfId="7870" xr:uid="{FB31769B-0E7F-4AAC-B165-36D509D5839B}"/>
    <cellStyle name="百分比 5 5 2 2 2 2" xfId="7871" xr:uid="{AB24E862-592D-4673-804D-7614A154AE68}"/>
    <cellStyle name="百分比 5 5 2 2 3" xfId="7872" xr:uid="{714BB0BD-0EB9-40B6-AEDC-E8EBE4FFA3D7}"/>
    <cellStyle name="百分比 5 5 2 2 4" xfId="7873" xr:uid="{6E9CAA67-273F-498C-86FD-2BC0C5ED92BE}"/>
    <cellStyle name="百分比 5 5 2 2 4 2" xfId="33237" xr:uid="{605D9063-4362-4AB3-9200-105D40294578}"/>
    <cellStyle name="百分比 5 5 2 3" xfId="7874" xr:uid="{8EAD4E32-83F4-43D6-BA29-AC4EA6386EEC}"/>
    <cellStyle name="百分比 5 5 2 3 2" xfId="7875" xr:uid="{00DC1B7D-CF40-4E5D-8065-9D46E9F60F53}"/>
    <cellStyle name="百分比 5 5 2 4" xfId="7876" xr:uid="{EE16A215-9AC3-4CE0-A276-2DDE9A766782}"/>
    <cellStyle name="百分比 5 5 2 5" xfId="7877" xr:uid="{0F5EE789-FC7A-45D2-B874-35A884C4402E}"/>
    <cellStyle name="百分比 5 5 2 5 2" xfId="33238" xr:uid="{4AA782B7-851F-4A41-8D02-9D7D83E3EF72}"/>
    <cellStyle name="百分比 5 5 3" xfId="7878" xr:uid="{CF86A316-EFD5-4AA1-914F-28804E89E4FA}"/>
    <cellStyle name="百分比 5 5 3 2" xfId="7879" xr:uid="{5986151C-EAA7-499D-A4E6-62983D2592E7}"/>
    <cellStyle name="百分比 5 5 3 2 2" xfId="7880" xr:uid="{36998C3A-695E-40C0-9558-814206105CD9}"/>
    <cellStyle name="百分比 5 5 3 3" xfId="7881" xr:uid="{04CA4DB7-822D-49E2-9F69-2399AE04D154}"/>
    <cellStyle name="百分比 5 5 3 4" xfId="7882" xr:uid="{59853C05-4307-4316-92DE-B74CF1F8B140}"/>
    <cellStyle name="百分比 5 5 3 4 2" xfId="33239" xr:uid="{DFCE27B0-369D-45BC-86F5-5EA2C7CFC800}"/>
    <cellStyle name="百分比 5 5 4" xfId="7883" xr:uid="{7950FE4F-2AC7-4971-BEB9-D79C215CCC42}"/>
    <cellStyle name="百分比 5 5 4 2" xfId="7884" xr:uid="{69A09F7E-70B0-49CD-8BE5-BFAA4B6B18B5}"/>
    <cellStyle name="百分比 5 5 5" xfId="7885" xr:uid="{5D51501D-82B8-4E8C-8FA9-0A8065CEA03A}"/>
    <cellStyle name="百分比 5 5 6" xfId="7886" xr:uid="{4B72892C-CFE0-44C2-8FCC-ABCC03BD8F11}"/>
    <cellStyle name="百分比 5 5 6 2" xfId="33240" xr:uid="{D4AD83B3-CF2A-4551-96D5-D1FFA90F838B}"/>
    <cellStyle name="百分比 5 5 7" xfId="7887" xr:uid="{8DC95CCA-D42E-4D33-8D0B-BE9CCA7DDFCB}"/>
    <cellStyle name="百分比 5 6" xfId="7888" xr:uid="{C1DB6E82-6979-466F-93E0-DB0F37A82DCF}"/>
    <cellStyle name="百分比 5 6 2" xfId="7889" xr:uid="{B811C020-8567-41DB-BEB1-A84D567EB1B3}"/>
    <cellStyle name="百分比 5 6 2 2" xfId="7890" xr:uid="{C3112E3D-AB83-44E4-8435-AD72EE096F12}"/>
    <cellStyle name="百分比 5 6 2 2 2" xfId="7891" xr:uid="{37F96648-22E6-40FB-A3B9-0157026BF550}"/>
    <cellStyle name="百分比 5 6 2 3" xfId="7892" xr:uid="{7FF3813E-8A27-4D93-8817-4E7A11DE6E18}"/>
    <cellStyle name="百分比 5 6 2 4" xfId="7893" xr:uid="{600A564A-D3D6-477F-9E4D-734983B4355A}"/>
    <cellStyle name="百分比 5 6 2 4 2" xfId="33241" xr:uid="{65B61765-F77A-4E58-A97A-48918E7C674C}"/>
    <cellStyle name="百分比 5 6 3" xfId="7894" xr:uid="{4937B634-20CF-4472-A07A-C961B330CD5E}"/>
    <cellStyle name="百分比 5 6 3 2" xfId="7895" xr:uid="{B2DC164C-DBB3-4AC6-AF1A-41271EFEFAD9}"/>
    <cellStyle name="百分比 5 6 3 2 2" xfId="7896" xr:uid="{17833E72-695B-4FF2-8045-B1481872B851}"/>
    <cellStyle name="百分比 5 6 3 3" xfId="7897" xr:uid="{3FCDC276-4814-4E10-8C65-E7D5AABE6D81}"/>
    <cellStyle name="百分比 5 6 3 4" xfId="7898" xr:uid="{334BE0C3-3167-4A6D-BE3F-D51B147AC5B1}"/>
    <cellStyle name="百分比 5 6 3 4 2" xfId="33242" xr:uid="{E28BCA51-9415-4F4D-892A-70924180126E}"/>
    <cellStyle name="百分比 5 6 4" xfId="7899" xr:uid="{BF4E8AF1-1854-44D8-858D-AFED4C185381}"/>
    <cellStyle name="百分比 5 6 4 2" xfId="7900" xr:uid="{C016EA4F-7CDF-4661-ACAD-C4FBE9A8AB3E}"/>
    <cellStyle name="百分比 5 6 5" xfId="7901" xr:uid="{1639FDFD-6358-479C-83F8-5ED2591E7722}"/>
    <cellStyle name="百分比 5 6 6" xfId="7902" xr:uid="{88E67938-6474-49F8-8791-633D7B555FAD}"/>
    <cellStyle name="百分比 5 6 6 2" xfId="33243" xr:uid="{37E2BB56-AFD0-4C12-B351-4C0963AEC8E0}"/>
    <cellStyle name="百分比 5 7" xfId="7903" xr:uid="{5298C420-FC0A-41CE-961B-F8D90B8EE7F4}"/>
    <cellStyle name="百分比 5 7 2" xfId="7904" xr:uid="{7EB08EF2-A3F1-46CA-8A9E-F71CEDB6AE56}"/>
    <cellStyle name="百分比 5 8" xfId="7905" xr:uid="{83C25C0F-1672-4E62-8CB9-145E7F09C182}"/>
    <cellStyle name="百分比 5 8 2" xfId="7906" xr:uid="{2FB5DEF9-7EEE-4DFC-AEB2-2ADE30DF7C57}"/>
    <cellStyle name="百分比 5 8 2 2" xfId="7907" xr:uid="{DE249029-5F69-4D4C-812D-48CC0889D75E}"/>
    <cellStyle name="百分比 5 8 3" xfId="7908" xr:uid="{B0B306D6-51BA-45C9-8526-6D3DADC24A3F}"/>
    <cellStyle name="百分比 5 8 3 2" xfId="7909" xr:uid="{09E9D5F5-96B2-4270-AD85-F48E1C7D8646}"/>
    <cellStyle name="百分比 5 8 4" xfId="7910" xr:uid="{8DE7D2CD-A989-411B-8060-2223B193B5C7}"/>
    <cellStyle name="百分比 5 8 4 2" xfId="33244" xr:uid="{0CE3CCD0-206C-4F63-9056-0EF740AFBEA8}"/>
    <cellStyle name="百分比 5 8 5" xfId="7911" xr:uid="{71A093CE-FDA0-4958-BDDB-C2CFD29D8DDE}"/>
    <cellStyle name="百分比 5 8 6" xfId="7912" xr:uid="{F7E58F5E-217B-4DFB-8A97-2D2293C6E0B8}"/>
    <cellStyle name="百分比 5 8 7" xfId="7913" xr:uid="{56E74C95-A3AB-4525-9CB9-BB0180184143}"/>
    <cellStyle name="百分比 5 9" xfId="7914" xr:uid="{59A6D1D4-71AD-402E-A3C8-B0DBB448F93A}"/>
    <cellStyle name="百分比 5 9 2" xfId="7915" xr:uid="{4CC4B3CB-1457-472F-9ABD-051D4EB1C19C}"/>
    <cellStyle name="百分比 5 9 2 2" xfId="7916" xr:uid="{CC520F56-D192-4E86-8EFD-267F2CB417DB}"/>
    <cellStyle name="百分比 5 9 3" xfId="7917" xr:uid="{BBD2AC03-8AE7-4F32-8BA8-6EF0783A47EE}"/>
    <cellStyle name="百分比 5 9 4" xfId="7918" xr:uid="{91AF496B-6BB3-408A-A6F9-7A74ADE96B51}"/>
    <cellStyle name="百分比 5 9 4 2" xfId="33245" xr:uid="{DAE88CD5-6A2E-4091-8B9B-99997046C503}"/>
    <cellStyle name="百分比 5 9 5" xfId="7919" xr:uid="{C4FD5502-F70A-4B58-AED3-AFD438DED837}"/>
    <cellStyle name="百分比 6" xfId="7920" xr:uid="{AE3834D0-60E3-4DC5-A80C-D9689859DE9A}"/>
    <cellStyle name="百分比 6 10" xfId="7921" xr:uid="{B7DE5972-71A1-484F-BDD4-3D644F069A9B}"/>
    <cellStyle name="百分比 6 10 2" xfId="33246" xr:uid="{29EFFB33-F771-4966-9D3D-338C7B591F34}"/>
    <cellStyle name="百分比 6 11" xfId="7922" xr:uid="{21E953AB-F267-4BA8-BCEE-190AADD5B120}"/>
    <cellStyle name="百分比 6 11 2" xfId="7923" xr:uid="{060FC5FD-DB34-4EF5-89FA-A0800FBC01AB}"/>
    <cellStyle name="百分比 6 12" xfId="7924" xr:uid="{FCC40187-48D8-48DC-A8D1-8F8AD20FA650}"/>
    <cellStyle name="百分比 6 13" xfId="7925" xr:uid="{FADCF669-3747-47F9-8C99-DF6EB76CB590}"/>
    <cellStyle name="百分比 6 14" xfId="33247" xr:uid="{7FB2F916-E4F2-40F5-98C3-475E66A9CFDE}"/>
    <cellStyle name="百分比 6 2" xfId="7926" xr:uid="{4F367BE5-5F32-45E3-B516-99E229C436D2}"/>
    <cellStyle name="百分比 6 2 10" xfId="33248" xr:uid="{F017E2F4-6F0A-468F-8373-9F21FB5CBF4F}"/>
    <cellStyle name="百分比 6 2 2" xfId="7927" xr:uid="{93725107-4E3B-4F32-BA15-307561A85F08}"/>
    <cellStyle name="百分比 6 2 2 2" xfId="7928" xr:uid="{662DBF54-C414-4BEC-8650-2FB3232DA89F}"/>
    <cellStyle name="百分比 6 2 2 2 2" xfId="7929" xr:uid="{4F0C180E-AC4E-49D8-A9BC-F9F90BD76287}"/>
    <cellStyle name="百分比 6 2 2 2 2 2" xfId="7930" xr:uid="{5131C5CC-7F2F-4E61-9FC3-42E5F74070A0}"/>
    <cellStyle name="百分比 6 2 2 2 2 2 2" xfId="7931" xr:uid="{2105E171-0437-49B1-9FE2-CA130A8577EC}"/>
    <cellStyle name="百分比 6 2 2 2 2 3" xfId="7932" xr:uid="{C6D5FF2C-CDF1-48D7-8EB0-5C09F2037EF9}"/>
    <cellStyle name="百分比 6 2 2 2 2 4" xfId="7933" xr:uid="{8855D5F7-4F24-4D40-B7EA-DAC2FA2FD6EC}"/>
    <cellStyle name="百分比 6 2 2 2 2 4 2" xfId="33249" xr:uid="{79DC537E-7FA3-41DD-9D23-DB40D64A15F1}"/>
    <cellStyle name="百分比 6 2 2 2 3" xfId="7934" xr:uid="{FB32D82E-E7FD-4906-B3EF-5329C9ABE253}"/>
    <cellStyle name="百分比 6 2 2 2 3 2" xfId="7935" xr:uid="{12D2BE04-0F4D-4282-8D19-A67C13C20497}"/>
    <cellStyle name="百分比 6 2 2 2 3 2 2" xfId="7936" xr:uid="{2686BC62-AE59-4A9B-A16D-0D1F84AB6A6F}"/>
    <cellStyle name="百分比 6 2 2 2 3 3" xfId="7937" xr:uid="{6908AD47-0DB2-4027-AFB9-34885C53979B}"/>
    <cellStyle name="百分比 6 2 2 2 3 4" xfId="7938" xr:uid="{9EBC56E4-FB38-4909-A493-0988A12036F7}"/>
    <cellStyle name="百分比 6 2 2 2 3 4 2" xfId="33250" xr:uid="{3F944675-3C32-46BF-B511-E48CEA055A40}"/>
    <cellStyle name="百分比 6 2 2 2 4" xfId="7939" xr:uid="{C6192B84-F079-4993-88D7-019F8AA5DADC}"/>
    <cellStyle name="百分比 6 2 2 2 4 2" xfId="7940" xr:uid="{B7F31474-72D5-461B-B73F-592B37C04374}"/>
    <cellStyle name="百分比 6 2 2 2 5" xfId="7941" xr:uid="{57F0E350-CE12-4B6C-B634-D4832146E18B}"/>
    <cellStyle name="百分比 6 2 2 2 6" xfId="7942" xr:uid="{6E802FB9-E0C2-451B-BEC9-A6C283F50425}"/>
    <cellStyle name="百分比 6 2 2 2 6 2" xfId="33251" xr:uid="{72DA68EA-C4DC-463A-9978-56BF4834AFFC}"/>
    <cellStyle name="百分比 6 2 2 3" xfId="7943" xr:uid="{1FCF4612-5C95-402A-9A66-B7630010E939}"/>
    <cellStyle name="百分比 6 2 2 3 2" xfId="7944" xr:uid="{78D0C36D-FDFA-4AB2-B1C8-F4F3293D6E2D}"/>
    <cellStyle name="百分比 6 2 2 3 2 2" xfId="7945" xr:uid="{8D89FD43-8621-46A4-875B-CBBA98FC72FB}"/>
    <cellStyle name="百分比 6 2 2 3 3" xfId="7946" xr:uid="{7924EB8C-0450-448D-9BE7-EBD2A5A6FF2F}"/>
    <cellStyle name="百分比 6 2 2 3 3 2" xfId="7947" xr:uid="{138239D5-88CB-41F1-9F00-C5AAA70B2B14}"/>
    <cellStyle name="百分比 6 2 2 3 4" xfId="7948" xr:uid="{6868582A-E031-4C64-944F-5A9EE1FA3803}"/>
    <cellStyle name="百分比 6 2 2 3 4 2" xfId="33252" xr:uid="{83DC0743-7172-42FB-8BCD-811F1FD5AE75}"/>
    <cellStyle name="百分比 6 2 2 3 5" xfId="7949" xr:uid="{B13A3F84-BC8D-40B1-BC56-37D13C4BDB58}"/>
    <cellStyle name="百分比 6 2 2 3 6" xfId="7950" xr:uid="{48A510D4-C9CF-4E29-9439-763D9D546183}"/>
    <cellStyle name="百分比 6 2 2 3 7" xfId="7951" xr:uid="{CB04E7CE-ED80-4B4F-B66A-92B60CF86172}"/>
    <cellStyle name="百分比 6 2 2 4" xfId="7952" xr:uid="{6FD4DAA4-6B99-4C3B-AD9E-5D96F9729EB8}"/>
    <cellStyle name="百分比 6 2 2 4 2" xfId="7953" xr:uid="{0DAB7227-F5F7-4567-9CDF-A965B666AE0D}"/>
    <cellStyle name="百分比 6 2 2 4 2 2" xfId="7954" xr:uid="{96B58D0B-5310-48AF-B193-CADAE6B71849}"/>
    <cellStyle name="百分比 6 2 2 4 3" xfId="7955" xr:uid="{7114E6E8-3BD9-45F9-BBE8-050E2892FCA6}"/>
    <cellStyle name="百分比 6 2 2 4 4" xfId="7956" xr:uid="{45EA794C-E8D7-48DF-A8F1-8818916630B6}"/>
    <cellStyle name="百分比 6 2 2 4 4 2" xfId="33253" xr:uid="{A6935940-85D4-42E9-BFA4-C26D7CFFA085}"/>
    <cellStyle name="百分比 6 2 2 4 5" xfId="7957" xr:uid="{10FCDE8B-4EF1-412A-9A45-7770F9B47705}"/>
    <cellStyle name="百分比 6 2 2 5" xfId="7958" xr:uid="{19BC430F-CB4F-4913-93EE-C2CB42B22BF4}"/>
    <cellStyle name="百分比 6 2 2 5 2" xfId="7959" xr:uid="{D3B95ED2-3D5E-425D-8DA3-D39D979DC7BF}"/>
    <cellStyle name="百分比 6 2 2 6" xfId="7960" xr:uid="{F607415B-72B7-40E9-8893-3B2FDA82CFA7}"/>
    <cellStyle name="百分比 6 2 2 6 2" xfId="7961" xr:uid="{93936019-39F5-4BC5-B358-D6F29A2FD219}"/>
    <cellStyle name="百分比 6 2 2 7" xfId="7962" xr:uid="{128153C1-4B68-4DA8-BB8F-C82B776A3F95}"/>
    <cellStyle name="百分比 6 2 2 7 2" xfId="33254" xr:uid="{1EEB2774-AD32-425E-A95C-649C3DAE082E}"/>
    <cellStyle name="百分比 6 2 2 8" xfId="7963" xr:uid="{35BA20F3-4740-49F1-962B-7387BCA77463}"/>
    <cellStyle name="百分比 6 2 3" xfId="7964" xr:uid="{95EE40C6-53F1-430E-90A4-47FD887A8F6D}"/>
    <cellStyle name="百分比 6 2 3 2" xfId="7965" xr:uid="{7380A436-6148-4B3E-A666-19484100D2B0}"/>
    <cellStyle name="百分比 6 2 3 2 2" xfId="7966" xr:uid="{96B1A4CE-729E-4B30-A48B-AA7EA1A2E3AC}"/>
    <cellStyle name="百分比 6 2 3 2 2 2" xfId="7967" xr:uid="{1AFFB8F2-67AB-4DA9-B3BC-F49F82E83769}"/>
    <cellStyle name="百分比 6 2 3 2 3" xfId="7968" xr:uid="{2331BF34-5BAD-49BC-A0E6-DC55569B2337}"/>
    <cellStyle name="百分比 6 2 3 2 3 2" xfId="7969" xr:uid="{9AA7A3D8-1E35-458D-AAB8-65DB36A870D3}"/>
    <cellStyle name="百分比 6 2 3 2 4" xfId="7970" xr:uid="{FA23C021-99D7-4E05-A37D-4713C721E66F}"/>
    <cellStyle name="百分比 6 2 3 2 4 2" xfId="33255" xr:uid="{B8D3C981-927F-49FD-95E2-A5486CCE2E17}"/>
    <cellStyle name="百分比 6 2 3 2 5" xfId="7971" xr:uid="{D3E3E703-60C8-4C42-81FB-77230A48465A}"/>
    <cellStyle name="百分比 6 2 3 2 6" xfId="7972" xr:uid="{B7E5CC07-D39A-4A50-9EB7-53D7B9862826}"/>
    <cellStyle name="百分比 6 2 3 2 7" xfId="7973" xr:uid="{AE58BCB8-C2D7-4371-9D52-CB77510EC4BF}"/>
    <cellStyle name="百分比 6 2 3 3" xfId="7974" xr:uid="{5A19782E-16A6-47F4-8E48-9E1589C1A631}"/>
    <cellStyle name="百分比 6 2 3 3 2" xfId="7975" xr:uid="{69F6EDFB-CD0B-42BA-B133-1F3753E63ABA}"/>
    <cellStyle name="百分比 6 2 3 3 2 2" xfId="7976" xr:uid="{BAF24D2D-02A6-4A6B-8D5D-67271CC90A15}"/>
    <cellStyle name="百分比 6 2 3 3 3" xfId="7977" xr:uid="{E04BF98F-F4DA-428D-A0E8-346C19C23168}"/>
    <cellStyle name="百分比 6 2 3 3 4" xfId="7978" xr:uid="{B095CF87-0994-40DA-A326-CDB5A24D7F24}"/>
    <cellStyle name="百分比 6 2 3 3 4 2" xfId="33256" xr:uid="{442F5C68-3C09-420E-9326-6F1CEA034005}"/>
    <cellStyle name="百分比 6 2 3 3 5" xfId="7979" xr:uid="{F3BE1E0C-7C89-465B-8E8E-65E5EF028F81}"/>
    <cellStyle name="百分比 6 2 3 4" xfId="7980" xr:uid="{9799504E-7415-425C-838B-607F84B5825C}"/>
    <cellStyle name="百分比 6 2 3 4 2" xfId="7981" xr:uid="{4256D5DB-6979-4AA9-BD87-8E28BA7233DA}"/>
    <cellStyle name="百分比 6 2 3 5" xfId="7982" xr:uid="{5F0475E2-028B-4BB7-A948-C6BEB8F6D3C7}"/>
    <cellStyle name="百分比 6 2 3 5 2" xfId="7983" xr:uid="{FB86D768-4682-4169-99E4-5E0AF057F310}"/>
    <cellStyle name="百分比 6 2 3 6" xfId="7984" xr:uid="{B598DF8E-5C84-4FE6-9946-167F8C972AB7}"/>
    <cellStyle name="百分比 6 2 3 6 2" xfId="33257" xr:uid="{DC8800AD-7209-47CD-8F06-2D00D4163D4A}"/>
    <cellStyle name="百分比 6 2 3 7" xfId="7985" xr:uid="{61F319E2-17DD-45E3-A5CD-A931227B0CAA}"/>
    <cellStyle name="百分比 6 2 3 8" xfId="7986" xr:uid="{FD2E1302-7D92-498A-BF91-3CD9F35AFF25}"/>
    <cellStyle name="百分比 6 2 4" xfId="7987" xr:uid="{C778F19F-4255-4776-8683-AF693432D2D1}"/>
    <cellStyle name="百分比 6 2 4 2" xfId="7988" xr:uid="{E894432B-1AFB-4FBA-A0E5-9BDD685E7D33}"/>
    <cellStyle name="百分比 6 2 4 2 2" xfId="7989" xr:uid="{367306C8-6547-4A42-9AC8-D4308958F453}"/>
    <cellStyle name="百分比 6 2 4 3" xfId="7990" xr:uid="{5833E656-EAE1-422B-A7C5-8F7DA684F827}"/>
    <cellStyle name="百分比 6 2 4 3 2" xfId="7991" xr:uid="{2AB5AA9A-E273-4C1D-B7C6-E7B36B12E41D}"/>
    <cellStyle name="百分比 6 2 4 4" xfId="7992" xr:uid="{F19E8641-2751-4AAF-9625-A11670B8281B}"/>
    <cellStyle name="百分比 6 2 4 4 2" xfId="33258" xr:uid="{BED39D2D-B279-41E5-B978-E3396156832E}"/>
    <cellStyle name="百分比 6 2 4 5" xfId="7993" xr:uid="{75B04DEF-B3CD-4917-AD10-2AC7636AA479}"/>
    <cellStyle name="百分比 6 2 4 6" xfId="7994" xr:uid="{58235C30-412C-4927-B883-F2FC69EEAF14}"/>
    <cellStyle name="百分比 6 2 4 7" xfId="7995" xr:uid="{D3BFC3EA-DF0E-4000-96D8-7C58D45C26B5}"/>
    <cellStyle name="百分比 6 2 5" xfId="7996" xr:uid="{B02B58FE-003B-4998-A0E0-0F77E020DB19}"/>
    <cellStyle name="百分比 6 2 5 2" xfId="7997" xr:uid="{24BF4BDC-A25C-46F0-ABDE-800D1B540AF2}"/>
    <cellStyle name="百分比 6 2 5 2 2" xfId="7998" xr:uid="{11FBAAC0-9EE9-48A1-90C9-1C498E8521BA}"/>
    <cellStyle name="百分比 6 2 5 3" xfId="7999" xr:uid="{8CBF43FD-D117-4AD3-84BB-5FBCBBB442B5}"/>
    <cellStyle name="百分比 6 2 5 4" xfId="8000" xr:uid="{F3B51C7D-DA98-4D54-91D1-EE37301791B1}"/>
    <cellStyle name="百分比 6 2 5 4 2" xfId="33259" xr:uid="{B9D927AF-E0CC-4FCC-96A5-4C489554309D}"/>
    <cellStyle name="百分比 6 2 5 5" xfId="8001" xr:uid="{D26AF858-B9A2-42C2-8848-3925A461F24B}"/>
    <cellStyle name="百分比 6 2 6" xfId="8002" xr:uid="{B684377C-D073-4C17-BABF-58F21AD76B7C}"/>
    <cellStyle name="百分比 6 2 6 2" xfId="8003" xr:uid="{C39A48D4-52A0-48A0-A2EB-307D7CD7ABBC}"/>
    <cellStyle name="百分比 6 2 7" xfId="8004" xr:uid="{65125BD5-7A10-4707-A0E9-EC8E26B2736C}"/>
    <cellStyle name="百分比 6 2 7 2" xfId="8005" xr:uid="{69981FC0-2204-4EBA-A251-49A031EDDDAA}"/>
    <cellStyle name="百分比 6 2 8" xfId="8006" xr:uid="{783190CD-85D0-4938-9B59-CABB48BB41D8}"/>
    <cellStyle name="百分比 6 2 8 2" xfId="33260" xr:uid="{6A868844-9EA3-409F-AFEB-F1E48B621260}"/>
    <cellStyle name="百分比 6 2 9" xfId="8007" xr:uid="{8A9BD7D4-EA11-4584-90F7-39C71DF11E93}"/>
    <cellStyle name="百分比 6 2 9 2" xfId="8008" xr:uid="{AB9E996C-92EB-428E-8778-A627C0B5DC60}"/>
    <cellStyle name="百分比 6 3" xfId="8009" xr:uid="{45BE0856-4A59-47D8-989E-5EAA71DB8386}"/>
    <cellStyle name="百分比 6 3 2" xfId="8010" xr:uid="{08D5614D-228B-4E3B-8198-0645BA45616F}"/>
    <cellStyle name="百分比 6 3 2 2" xfId="8011" xr:uid="{00B7ACBB-9EFA-49AB-BF38-24EA438120BD}"/>
    <cellStyle name="百分比 6 3 2 2 2" xfId="8012" xr:uid="{66B55A54-90B1-4F3E-95DF-7841EB92167C}"/>
    <cellStyle name="百分比 6 3 2 2 2 2" xfId="8013" xr:uid="{13C61AF8-FA08-4564-817E-1F4FB8607643}"/>
    <cellStyle name="百分比 6 3 2 2 2 2 2" xfId="8014" xr:uid="{12FDD45A-37EA-4F6F-B6F3-2CCC6E357B23}"/>
    <cellStyle name="百分比 6 3 2 2 2 3" xfId="8015" xr:uid="{9F033F47-CECE-43F8-960F-712EE089C6B0}"/>
    <cellStyle name="百分比 6 3 2 2 2 4" xfId="8016" xr:uid="{177717CD-74FF-4077-B37F-424249804963}"/>
    <cellStyle name="百分比 6 3 2 2 2 4 2" xfId="33261" xr:uid="{69AA674A-A3F3-48A6-9DB6-DB64480AE236}"/>
    <cellStyle name="百分比 6 3 2 2 3" xfId="8017" xr:uid="{32F5A270-B9BB-461A-A99B-AEE6235076CC}"/>
    <cellStyle name="百分比 6 3 2 2 3 2" xfId="8018" xr:uid="{6F1FC410-0C10-4B18-AB82-0C9145DFDDD6}"/>
    <cellStyle name="百分比 6 3 2 2 4" xfId="8019" xr:uid="{474BAE08-C985-43EF-8666-EDA7DDB18001}"/>
    <cellStyle name="百分比 6 3 2 2 5" xfId="8020" xr:uid="{1119C532-CFCE-464B-B1BE-A20BBC8E7085}"/>
    <cellStyle name="百分比 6 3 2 2 5 2" xfId="33262" xr:uid="{BBAAE032-A3E0-42B1-93D4-0927FB0C9F02}"/>
    <cellStyle name="百分比 6 3 2 3" xfId="8021" xr:uid="{560B4395-0395-4CA7-B8D9-6D284825074C}"/>
    <cellStyle name="百分比 6 3 2 3 2" xfId="8022" xr:uid="{C6EC6CFF-4F60-46BD-9191-17EF004CB0C2}"/>
    <cellStyle name="百分比 6 3 2 3 2 2" xfId="8023" xr:uid="{5B93DE9C-7304-4745-A071-22A02B51D943}"/>
    <cellStyle name="百分比 6 3 2 3 3" xfId="8024" xr:uid="{8B142012-BE82-49D3-83B0-8B223D13DF7D}"/>
    <cellStyle name="百分比 6 3 2 3 4" xfId="8025" xr:uid="{1DD8232F-B93A-4445-B973-5E84574043BA}"/>
    <cellStyle name="百分比 6 3 2 3 4 2" xfId="33263" xr:uid="{A5EDD24B-A816-4CF5-8BEB-3E208A7D14B1}"/>
    <cellStyle name="百分比 6 3 2 4" xfId="8026" xr:uid="{913D4E8C-FDBB-42A5-8EFB-7BA3B141B372}"/>
    <cellStyle name="百分比 6 3 2 4 2" xfId="8027" xr:uid="{95EB8F04-9649-40A3-850E-8DED97FC7F3A}"/>
    <cellStyle name="百分比 6 3 2 5" xfId="8028" xr:uid="{E624384A-4A5E-4E1C-8958-0AA01A0F9B2C}"/>
    <cellStyle name="百分比 6 3 2 6" xfId="8029" xr:uid="{F1BE2C0A-39FF-47E9-9650-FC6301C68C34}"/>
    <cellStyle name="百分比 6 3 2 6 2" xfId="33264" xr:uid="{E5352BC6-214E-4C43-83B0-73D8D728F8A5}"/>
    <cellStyle name="百分比 6 3 2 7" xfId="8030" xr:uid="{54E21DE1-AFE6-474C-BA57-9E54E5EDE6A1}"/>
    <cellStyle name="百分比 6 3 3" xfId="8031" xr:uid="{AF9B7B4C-533D-4A87-9FC3-A31BFA365A9F}"/>
    <cellStyle name="百分比 6 3 3 2" xfId="8032" xr:uid="{B6DD78B1-5AD0-4480-AC80-5AA8C436BFA3}"/>
    <cellStyle name="百分比 6 3 3 2 2" xfId="8033" xr:uid="{230732B3-3F93-444C-8FCA-2490F495B110}"/>
    <cellStyle name="百分比 6 3 3 2 2 2" xfId="8034" xr:uid="{380F1DF3-9933-445B-A4D4-E137C4DD0E49}"/>
    <cellStyle name="百分比 6 3 3 2 3" xfId="8035" xr:uid="{8429C7E3-7202-4DEC-9655-80A32D03AE4E}"/>
    <cellStyle name="百分比 6 3 3 2 4" xfId="8036" xr:uid="{3D9C6FA2-A91D-4344-81C2-5BDE3C775F1B}"/>
    <cellStyle name="百分比 6 3 3 2 4 2" xfId="33265" xr:uid="{3310E2C3-7FED-4810-9AB2-42B350654629}"/>
    <cellStyle name="百分比 6 3 3 2 5" xfId="8037" xr:uid="{419AB61F-84F2-4F4F-AE50-93CDC7820FDC}"/>
    <cellStyle name="百分比 6 3 3 3" xfId="8038" xr:uid="{68EEA551-0F0A-4BA8-A299-3F6C1EC5D423}"/>
    <cellStyle name="百分比 6 3 3 3 2" xfId="8039" xr:uid="{ABDB1C46-BDF3-4FA0-9991-086F48140BC1}"/>
    <cellStyle name="百分比 6 3 3 3 2 2" xfId="8040" xr:uid="{A342F0EC-2E07-4F68-BEA7-BD65E65E22CB}"/>
    <cellStyle name="百分比 6 3 3 3 3" xfId="8041" xr:uid="{4D0E177D-05E1-46ED-A9E5-4A5E6EE63105}"/>
    <cellStyle name="百分比 6 3 3 3 4" xfId="8042" xr:uid="{66EAF183-C631-4BFF-A307-263AC0B69D72}"/>
    <cellStyle name="百分比 6 3 3 3 4 2" xfId="33266" xr:uid="{9BE36AE2-07AA-4C2E-B55D-798FF93E6FB7}"/>
    <cellStyle name="百分比 6 3 3 3 5" xfId="8043" xr:uid="{FDAA6AD6-8FD7-4195-9389-686212B4F1C3}"/>
    <cellStyle name="百分比 6 3 3 4" xfId="8044" xr:uid="{7C48311A-F023-4A6B-B91F-8D54526A586B}"/>
    <cellStyle name="百分比 6 3 3 4 2" xfId="8045" xr:uid="{EA5C043C-663F-4E15-AAA3-AB0788AABA1A}"/>
    <cellStyle name="百分比 6 3 3 5" xfId="8046" xr:uid="{EF06FD0A-DAF2-4640-8F57-A7042C37C065}"/>
    <cellStyle name="百分比 6 3 3 5 2" xfId="8047" xr:uid="{59A383E7-6F91-4804-9D0B-E1901454C74C}"/>
    <cellStyle name="百分比 6 3 3 6" xfId="8048" xr:uid="{FEF58318-ED77-4729-97EF-EB246EE6E8C5}"/>
    <cellStyle name="百分比 6 3 3 6 2" xfId="33267" xr:uid="{3DFE4E41-D268-4822-A547-C4DE172BD459}"/>
    <cellStyle name="百分比 6 3 3 7" xfId="8049" xr:uid="{CA2877C0-EB82-4952-B372-B87DADF02EA3}"/>
    <cellStyle name="百分比 6 3 4" xfId="8050" xr:uid="{C920D6A2-9167-4278-9E4F-C8A9377B68B5}"/>
    <cellStyle name="百分比 6 3 4 2" xfId="8051" xr:uid="{2F17707A-3045-497A-A5A4-C7D63C6E36F5}"/>
    <cellStyle name="百分比 6 3 4 2 2" xfId="8052" xr:uid="{9C513485-466C-4A46-9EF5-2875A5F71259}"/>
    <cellStyle name="百分比 6 3 4 3" xfId="8053" xr:uid="{87CCFB5C-E4FE-4624-81BA-00DDCB88905B}"/>
    <cellStyle name="百分比 6 3 4 4" xfId="8054" xr:uid="{D6B45186-E0F6-4563-9F39-56BDB9922023}"/>
    <cellStyle name="百分比 6 3 4 4 2" xfId="33268" xr:uid="{560F41DE-5DA8-4944-B7E0-A854D31EFA47}"/>
    <cellStyle name="百分比 6 3 4 5" xfId="8055" xr:uid="{9A955B20-0FE2-46BD-9200-E3746C46B770}"/>
    <cellStyle name="百分比 6 3 5" xfId="8056" xr:uid="{DD4E8CA2-E9AF-41BB-815D-84F62C671C20}"/>
    <cellStyle name="百分比 6 3 5 2" xfId="8057" xr:uid="{84AC9CFF-4103-44CA-8538-8F6BF020C360}"/>
    <cellStyle name="百分比 6 3 5 2 2" xfId="8058" xr:uid="{D2C3DF8E-FEA9-46ED-AE87-0E51355496A5}"/>
    <cellStyle name="百分比 6 3 5 3" xfId="8059" xr:uid="{DEFCD713-4819-4308-A967-45C5B0B00AC9}"/>
    <cellStyle name="百分比 6 3 5 4" xfId="8060" xr:uid="{8D84BB73-1F00-456A-9B8A-9F3DBCDA94A6}"/>
    <cellStyle name="百分比 6 3 5 4 2" xfId="33269" xr:uid="{42E3019A-5D7C-43C2-9C1D-046A6C6D84EF}"/>
    <cellStyle name="百分比 6 3 5 5" xfId="8061" xr:uid="{8A229C7B-0AF1-449C-8884-E17BE12D3CD1}"/>
    <cellStyle name="百分比 6 3 6" xfId="8062" xr:uid="{750AC9BC-9257-403C-B0ED-C6B6E4F95222}"/>
    <cellStyle name="百分比 6 3 6 2" xfId="8063" xr:uid="{07C1766D-3956-494F-A072-22741D515745}"/>
    <cellStyle name="百分比 6 3 7" xfId="8064" xr:uid="{4D9C00B3-DAC6-463D-A49A-1773FDE8C30E}"/>
    <cellStyle name="百分比 6 3 7 2" xfId="8065" xr:uid="{8006FE77-7A70-4A29-BC03-D0D176F5A329}"/>
    <cellStyle name="百分比 6 3 8" xfId="8066" xr:uid="{DC8F2B7E-37EC-4F42-ACDF-BD39047CEF6D}"/>
    <cellStyle name="百分比 6 3 8 2" xfId="33270" xr:uid="{D298EA4D-74DB-425D-8473-344F3BFD1926}"/>
    <cellStyle name="百分比 6 3 9" xfId="8067" xr:uid="{2BA709C7-54FF-4D89-8940-9B5955DAB268}"/>
    <cellStyle name="百分比 6 4" xfId="8068" xr:uid="{CF00B12F-69BF-46B6-8BE1-809E3598B71D}"/>
    <cellStyle name="百分比 6 4 2" xfId="8069" xr:uid="{60C2AB65-950D-406C-8B56-165B9B96F6F1}"/>
    <cellStyle name="百分比 6 4 2 2" xfId="8070" xr:uid="{EFF8D25C-C3A1-4080-9809-E3FAFCF54D7B}"/>
    <cellStyle name="百分比 6 4 2 2 2" xfId="8071" xr:uid="{177CD49C-34A0-429E-B097-56E262F62AF6}"/>
    <cellStyle name="百分比 6 4 2 2 2 2" xfId="8072" xr:uid="{50562CAC-AA31-468C-9A94-9AD3A2F11E6B}"/>
    <cellStyle name="百分比 6 4 2 2 3" xfId="8073" xr:uid="{60F17EC7-C16B-4D21-BBEF-82AFC539F464}"/>
    <cellStyle name="百分比 6 4 2 2 4" xfId="8074" xr:uid="{471643D5-A05E-408A-8AF6-B1E8D018B003}"/>
    <cellStyle name="百分比 6 4 2 2 4 2" xfId="33271" xr:uid="{3A2D07CA-2C09-4DCE-90F4-C142E63160C4}"/>
    <cellStyle name="百分比 6 4 2 3" xfId="8075" xr:uid="{A462F52B-9F6F-4771-A136-5B39D13CF5C5}"/>
    <cellStyle name="百分比 6 4 2 3 2" xfId="8076" xr:uid="{7C20B702-A7E8-444B-B308-78B107640B14}"/>
    <cellStyle name="百分比 6 4 2 3 2 2" xfId="8077" xr:uid="{50AC44BB-5F63-4157-BDD3-43D5F4AEFCF5}"/>
    <cellStyle name="百分比 6 4 2 3 3" xfId="8078" xr:uid="{AA939802-CCD1-433C-9B78-DD5F40AFFC45}"/>
    <cellStyle name="百分比 6 4 2 3 4" xfId="8079" xr:uid="{56C73721-85D5-4E48-985A-7CA37B9BF187}"/>
    <cellStyle name="百分比 6 4 2 3 4 2" xfId="33272" xr:uid="{3F290ECB-6F76-44B9-AB47-C0A2E02D4D28}"/>
    <cellStyle name="百分比 6 4 2 4" xfId="8080" xr:uid="{20B61DDF-1BB5-4E7B-9F0B-323D4BA59CAF}"/>
    <cellStyle name="百分比 6 4 2 4 2" xfId="8081" xr:uid="{667F15F2-7B91-43DE-BCB3-EE772979D7EC}"/>
    <cellStyle name="百分比 6 4 2 5" xfId="8082" xr:uid="{3772F677-7F67-408E-A78F-63B6A25588C7}"/>
    <cellStyle name="百分比 6 4 2 6" xfId="8083" xr:uid="{330BEB85-2FBC-45EE-AC18-4EA544F8AD28}"/>
    <cellStyle name="百分比 6 4 2 6 2" xfId="33273" xr:uid="{52FCF2CF-1999-4E0E-B70C-C7B968401F06}"/>
    <cellStyle name="百分比 6 4 3" xfId="8084" xr:uid="{8A3662DE-C6C5-45F4-99D2-245848A8FEB8}"/>
    <cellStyle name="百分比 6 4 3 2" xfId="8085" xr:uid="{C2508EBF-7143-40E8-A89A-5DA2D0856437}"/>
    <cellStyle name="百分比 6 4 3 2 2" xfId="8086" xr:uid="{778B3CC4-E745-4013-BDCE-A0761E921A60}"/>
    <cellStyle name="百分比 6 4 3 3" xfId="8087" xr:uid="{9FFF0A92-E49A-494C-B0E7-3A1A033CD512}"/>
    <cellStyle name="百分比 6 4 3 4" xfId="8088" xr:uid="{0088CCF5-6167-40EE-A968-7D9065E38045}"/>
    <cellStyle name="百分比 6 4 3 4 2" xfId="33274" xr:uid="{9B3C1CA5-7FD9-4845-B995-8F8CC1FC8F16}"/>
    <cellStyle name="百分比 6 4 4" xfId="8089" xr:uid="{C8692755-E13E-4E38-A64B-E4CF98898879}"/>
    <cellStyle name="百分比 6 4 4 2" xfId="8090" xr:uid="{E160B5C8-5144-412D-8188-B0CF19DBCB3E}"/>
    <cellStyle name="百分比 6 4 4 2 2" xfId="8091" xr:uid="{2CCC1DE7-552D-43F7-9698-96F3F303148A}"/>
    <cellStyle name="百分比 6 4 4 3" xfId="8092" xr:uid="{02549E2C-90BB-4FFF-B439-F9FCEEDA5A69}"/>
    <cellStyle name="百分比 6 4 4 4" xfId="8093" xr:uid="{4AA0AE70-836E-483C-BC66-57F18D1F9C88}"/>
    <cellStyle name="百分比 6 4 4 4 2" xfId="33275" xr:uid="{46D86636-492D-4060-8EE1-BD1404902A16}"/>
    <cellStyle name="百分比 6 4 5" xfId="8094" xr:uid="{FB9692AA-F614-4A6E-AA4D-BC0045EA9724}"/>
    <cellStyle name="百分比 6 4 5 2" xfId="8095" xr:uid="{E8CAA550-7FA0-441F-BE98-C4D5CE11E97E}"/>
    <cellStyle name="百分比 6 4 6" xfId="8096" xr:uid="{146C1BB8-07B8-4EEC-BDCD-FC359A372DA0}"/>
    <cellStyle name="百分比 6 4 7" xfId="8097" xr:uid="{D0E425F6-AB2C-4302-878E-3A7D6D0EAB6E}"/>
    <cellStyle name="百分比 6 4 7 2" xfId="33276" xr:uid="{39B7614E-DCB3-4AD8-BAA8-AC734ED16CF3}"/>
    <cellStyle name="百分比 6 4 8" xfId="8098" xr:uid="{38F3D911-4C91-4028-A362-3A1DDEC1EC83}"/>
    <cellStyle name="百分比 6 5" xfId="8099" xr:uid="{4FFA2CA7-E566-4952-9FB1-94B64DD25FD0}"/>
    <cellStyle name="百分比 6 5 2" xfId="8100" xr:uid="{5E780DE7-CAC2-475C-98E1-D628D24680F4}"/>
    <cellStyle name="百分比 6 5 2 2" xfId="8101" xr:uid="{C3D072A6-BD8A-4248-AE6A-D84F660E2E2A}"/>
    <cellStyle name="百分比 6 5 2 2 2" xfId="8102" xr:uid="{2D0E0F03-3ED3-4F05-AC09-898913F39259}"/>
    <cellStyle name="百分比 6 5 2 3" xfId="8103" xr:uid="{8CD99894-9180-48B4-8EA0-DD53586BA295}"/>
    <cellStyle name="百分比 6 5 2 4" xfId="8104" xr:uid="{06E78270-B9AF-48A9-A103-1D919854A863}"/>
    <cellStyle name="百分比 6 5 2 4 2" xfId="33277" xr:uid="{A348A7D5-ADE5-435D-A353-49EC04042904}"/>
    <cellStyle name="百分比 6 5 3" xfId="8105" xr:uid="{EA223A13-8C43-4214-BA40-5EF063E977C0}"/>
    <cellStyle name="百分比 6 5 4" xfId="8106" xr:uid="{DAAE0D38-B5DA-400A-86CB-878347F1E1E2}"/>
    <cellStyle name="百分比 6 5 4 2" xfId="8107" xr:uid="{E604062A-07F6-448B-A943-169AC31E5CA6}"/>
    <cellStyle name="百分比 6 5 5" xfId="8108" xr:uid="{98699178-3B98-4E84-8C03-F1CDCCD5833D}"/>
    <cellStyle name="百分比 6 5 6" xfId="8109" xr:uid="{1AC7FD4A-C416-4E3E-9DCF-100ED5718198}"/>
    <cellStyle name="百分比 6 5 6 2" xfId="33278" xr:uid="{2C1AC847-98C1-4FEF-B0D7-E31211CF343A}"/>
    <cellStyle name="百分比 6 6" xfId="8110" xr:uid="{F67D4061-C386-4C3A-AAD5-31404A447B4C}"/>
    <cellStyle name="百分比 6 6 2" xfId="8111" xr:uid="{060A5201-FC07-4679-8837-114157C4A647}"/>
    <cellStyle name="百分比 6 6 2 2" xfId="8112" xr:uid="{CE6BB531-3F6C-4B07-9452-B860B9E3B723}"/>
    <cellStyle name="百分比 6 6 2 2 2" xfId="8113" xr:uid="{AD6CCD26-D67C-4BEF-8604-E2BA96E79342}"/>
    <cellStyle name="百分比 6 6 2 3" xfId="8114" xr:uid="{925B93DA-A53D-435F-89E2-657255CCB6AA}"/>
    <cellStyle name="百分比 6 6 2 4" xfId="8115" xr:uid="{87E81C5A-61E3-48C1-A030-CB29966F9FA3}"/>
    <cellStyle name="百分比 6 6 2 4 2" xfId="33279" xr:uid="{7F283261-B033-48B2-B073-8ADD6B62EB53}"/>
    <cellStyle name="百分比 6 6 3" xfId="8116" xr:uid="{A3017E81-D189-4503-95DF-46BD0DB0E565}"/>
    <cellStyle name="百分比 6 6 3 2" xfId="8117" xr:uid="{F400663D-F94E-4DC8-8B22-8A0D36552FFD}"/>
    <cellStyle name="百分比 6 6 4" xfId="8118" xr:uid="{0895D481-D6C7-455C-9522-CFEB5916D7BF}"/>
    <cellStyle name="百分比 6 6 5" xfId="8119" xr:uid="{9300E397-410B-41D0-8533-4A20D637D7E8}"/>
    <cellStyle name="百分比 6 6 5 2" xfId="33280" xr:uid="{89E13E79-6100-4CE4-AFB6-8BEC9B2C32E6}"/>
    <cellStyle name="百分比 6 6 6" xfId="8120" xr:uid="{57E7DEDC-8B9E-4709-9B59-7692D3BE95E1}"/>
    <cellStyle name="百分比 6 7" xfId="8121" xr:uid="{9E930022-ED95-4DF8-AD6A-585C29D8A14D}"/>
    <cellStyle name="百分比 6 7 2" xfId="8122" xr:uid="{C1DCE661-AD3C-4C86-8D49-BAB9F1D3F2C2}"/>
    <cellStyle name="百分比 6 7 2 2" xfId="8123" xr:uid="{76272001-76BE-4DFF-AC7A-A9BA6F83E1EE}"/>
    <cellStyle name="百分比 6 7 3" xfId="8124" xr:uid="{3B79537C-C54F-4173-B6EA-7371D96E8425}"/>
    <cellStyle name="百分比 6 7 3 2" xfId="8125" xr:uid="{11B351B2-4700-42B7-922A-54E5C6882E4F}"/>
    <cellStyle name="百分比 6 7 4" xfId="8126" xr:uid="{FFB93179-9AB1-4591-9168-B9AF0A6D70E7}"/>
    <cellStyle name="百分比 6 7 4 2" xfId="33281" xr:uid="{831416F4-C9B9-475B-B777-0E692EE1FC8E}"/>
    <cellStyle name="百分比 6 7 5" xfId="8127" xr:uid="{319DA548-3BCC-4F30-A527-6F7758694D01}"/>
    <cellStyle name="百分比 6 7 6" xfId="8128" xr:uid="{75FB84AC-DE7E-42FA-B3B4-C46FCD9A1004}"/>
    <cellStyle name="百分比 6 7 7" xfId="8129" xr:uid="{699A9C08-FEEE-4D8D-88AA-E2DFB185328B}"/>
    <cellStyle name="百分比 6 8" xfId="8130" xr:uid="{B26B5316-3D83-46BA-8F00-6BB1C16A3543}"/>
    <cellStyle name="百分比 6 8 2" xfId="8131" xr:uid="{3AE7AD67-9118-4A39-87EB-8C3C132F1F8E}"/>
    <cellStyle name="百分比 6 9" xfId="8132" xr:uid="{499C18FE-8564-4598-B88D-877BC8F75B85}"/>
    <cellStyle name="百分比 6 9 2" xfId="8133" xr:uid="{61892EF9-9C36-4773-A43D-1AB9EED017B4}"/>
    <cellStyle name="百分比 7" xfId="8134" xr:uid="{10D02486-47E1-44F3-8CB1-F99412380950}"/>
    <cellStyle name="百分比 7 10" xfId="8135" xr:uid="{9EF97F1E-36CC-4192-BA11-A629134202F3}"/>
    <cellStyle name="百分比 7 10 2" xfId="33282" xr:uid="{441F87EE-7C06-449A-BEF5-B8AA5FE66E59}"/>
    <cellStyle name="百分比 7 11" xfId="8136" xr:uid="{B45C46EE-290B-481F-8869-BD8EA52E3012}"/>
    <cellStyle name="百分比 7 11 2" xfId="8137" xr:uid="{96FF5BBC-8383-4D37-BF21-B1E96E17D07D}"/>
    <cellStyle name="百分比 7 2" xfId="8138" xr:uid="{76A03539-30F7-4A40-8557-A020370B1535}"/>
    <cellStyle name="百分比 7 2 10" xfId="8139" xr:uid="{6F088EAF-8E93-4B60-B183-90831B35059D}"/>
    <cellStyle name="百分比 7 2 2" xfId="8140" xr:uid="{1A89CF0D-D165-441F-8AE6-7C13089E0906}"/>
    <cellStyle name="百分比 7 2 2 2" xfId="8141" xr:uid="{EA3820D0-9798-4922-98B5-CB80968E014F}"/>
    <cellStyle name="百分比 7 2 2 2 2" xfId="8142" xr:uid="{463B9C07-ACF1-4001-BD1B-5C8F2ADF04F6}"/>
    <cellStyle name="百分比 7 2 2 2 2 2" xfId="8143" xr:uid="{3A1F6E80-ABD7-4527-B10B-9F68DDF4F0A1}"/>
    <cellStyle name="百分比 7 2 2 2 2 2 2" xfId="8144" xr:uid="{110B4E4A-A063-46EE-B393-A12F8098FDFC}"/>
    <cellStyle name="百分比 7 2 2 2 2 3" xfId="8145" xr:uid="{40705E27-58BF-4DFE-8B8F-07567A817F02}"/>
    <cellStyle name="百分比 7 2 2 2 2 4" xfId="8146" xr:uid="{56550C34-F07A-482A-AFF4-94BF2840EFFE}"/>
    <cellStyle name="百分比 7 2 2 2 2 4 2" xfId="33283" xr:uid="{6C410886-B610-4C84-BCDA-FDA3A89F716A}"/>
    <cellStyle name="百分比 7 2 2 2 2 5" xfId="8147" xr:uid="{67A3FDE0-CF92-46AF-8DCA-17A8A4B51585}"/>
    <cellStyle name="百分比 7 2 2 2 3" xfId="8148" xr:uid="{88D657CC-4520-471F-BE5D-AFD321DE6EAC}"/>
    <cellStyle name="百分比 7 2 2 2 3 2" xfId="8149" xr:uid="{49734E34-96CD-4CB4-A0D3-7A250600C803}"/>
    <cellStyle name="百分比 7 2 2 2 3 2 2" xfId="8150" xr:uid="{2D8C99FA-E3F7-412F-B9F7-5BD18E796638}"/>
    <cellStyle name="百分比 7 2 2 2 3 3" xfId="8151" xr:uid="{66A731BC-5245-42F3-9462-529A38801299}"/>
    <cellStyle name="百分比 7 2 2 2 3 4" xfId="8152" xr:uid="{B254D552-EF8F-4B41-8B4F-0BF4CAC9C908}"/>
    <cellStyle name="百分比 7 2 2 2 3 4 2" xfId="33284" xr:uid="{4C1CCB1C-254B-4D41-8749-4DA96A7E0E24}"/>
    <cellStyle name="百分比 7 2 2 2 3 5" xfId="8153" xr:uid="{92BBB674-615F-41F3-BECF-22B160740C9E}"/>
    <cellStyle name="百分比 7 2 2 2 4" xfId="8154" xr:uid="{5EA56036-218D-43F2-ACB2-6698671A4E55}"/>
    <cellStyle name="百分比 7 2 2 2 4 2" xfId="8155" xr:uid="{795E97DC-9723-4183-B2BD-3BCC151D89CE}"/>
    <cellStyle name="百分比 7 2 2 2 5" xfId="8156" xr:uid="{717B7B23-5D05-4244-9833-40AAEF8C601C}"/>
    <cellStyle name="百分比 7 2 2 2 5 2" xfId="8157" xr:uid="{7EDBA0C3-C434-4F2B-8AFF-737196E53004}"/>
    <cellStyle name="百分比 7 2 2 2 6" xfId="8158" xr:uid="{4001FD56-18D6-4465-80B5-B005A591BB31}"/>
    <cellStyle name="百分比 7 2 2 2 6 2" xfId="33285" xr:uid="{ACB50181-F7E8-41D0-B9BB-2466F5B4AE74}"/>
    <cellStyle name="百分比 7 2 2 2 7" xfId="8159" xr:uid="{A291DA69-9E74-4793-BE9A-D1454F466915}"/>
    <cellStyle name="百分比 7 2 2 3" xfId="8160" xr:uid="{87D4D8C0-2ABD-479C-9338-9013F84098B5}"/>
    <cellStyle name="百分比 7 2 2 3 2" xfId="8161" xr:uid="{3D9B16E0-9753-4122-8D2D-E64965D05CA1}"/>
    <cellStyle name="百分比 7 2 2 3 2 2" xfId="8162" xr:uid="{CC5ACC18-FFB3-447D-A2D4-88C86A4180BB}"/>
    <cellStyle name="百分比 7 2 2 3 3" xfId="8163" xr:uid="{033F3794-C06D-4D27-BBC1-F6B8893D361F}"/>
    <cellStyle name="百分比 7 2 2 3 4" xfId="8164" xr:uid="{C3CC9DCE-DE6B-4DBD-9DF0-5D5670B44D90}"/>
    <cellStyle name="百分比 7 2 2 3 4 2" xfId="33286" xr:uid="{44504842-12C2-4E2C-8CCE-30575A724022}"/>
    <cellStyle name="百分比 7 2 2 3 5" xfId="8165" xr:uid="{CB7E86FC-07DD-4DDF-82F8-BF374E48FA7B}"/>
    <cellStyle name="百分比 7 2 2 4" xfId="8166" xr:uid="{05C97ED3-E986-48B2-8067-554173CA239E}"/>
    <cellStyle name="百分比 7 2 2 4 2" xfId="8167" xr:uid="{5C1A21C1-4912-4665-A89C-6DCFD2B830BD}"/>
    <cellStyle name="百分比 7 2 2 4 2 2" xfId="8168" xr:uid="{A32F0B66-2637-40D7-A19B-81AF850985B5}"/>
    <cellStyle name="百分比 7 2 2 4 3" xfId="8169" xr:uid="{442A1B98-83D1-4699-89F5-68C589CCB513}"/>
    <cellStyle name="百分比 7 2 2 4 4" xfId="8170" xr:uid="{75DA0C50-4757-4A08-854C-18672DF423C5}"/>
    <cellStyle name="百分比 7 2 2 4 4 2" xfId="33287" xr:uid="{10EBCDB7-3E09-4017-BEBB-55D116945B2E}"/>
    <cellStyle name="百分比 7 2 2 4 5" xfId="8171" xr:uid="{5CADC17F-4119-4E40-BBCA-5A463B0E1552}"/>
    <cellStyle name="百分比 7 2 2 5" xfId="8172" xr:uid="{30808D5C-A408-46CD-9AAF-CF888E0E3D43}"/>
    <cellStyle name="百分比 7 2 2 5 2" xfId="8173" xr:uid="{17584D0B-6A00-41E0-BE3C-F50C9A1A1993}"/>
    <cellStyle name="百分比 7 2 2 6" xfId="8174" xr:uid="{568B2B37-BCED-4ED5-9D56-FBF1E3CDF426}"/>
    <cellStyle name="百分比 7 2 2 6 2" xfId="8175" xr:uid="{419E53A3-92EF-4D20-ABEE-E3609701AC6D}"/>
    <cellStyle name="百分比 7 2 2 7" xfId="8176" xr:uid="{9CBD3DE2-2761-46A7-8269-5C87BE4D6133}"/>
    <cellStyle name="百分比 7 2 2 7 2" xfId="33288" xr:uid="{DD0C7E74-454E-42E2-9F9D-080FF5AB720F}"/>
    <cellStyle name="百分比 7 2 2 8" xfId="8177" xr:uid="{6626D155-5821-4A7B-AA86-09AA46334D7E}"/>
    <cellStyle name="百分比 7 2 3" xfId="8178" xr:uid="{3A49C000-848E-40E8-9364-8B57D9720D0E}"/>
    <cellStyle name="百分比 7 2 3 2" xfId="8179" xr:uid="{B9EA4CFB-6335-481F-8619-79D8A4CD7D46}"/>
    <cellStyle name="百分比 7 2 3 2 2" xfId="8180" xr:uid="{DF9927ED-F1EF-4175-95B4-40DC42B56ED5}"/>
    <cellStyle name="百分比 7 2 3 2 2 2" xfId="8181" xr:uid="{8CCE7481-C512-4C28-A277-27D14C1E5875}"/>
    <cellStyle name="百分比 7 2 3 2 3" xfId="8182" xr:uid="{154A91AE-671B-49BC-8CB9-4A01B6BCAF70}"/>
    <cellStyle name="百分比 7 2 3 2 3 2" xfId="8183" xr:uid="{850EEE35-2AFF-4D11-8639-AF4AE59882D8}"/>
    <cellStyle name="百分比 7 2 3 2 4" xfId="8184" xr:uid="{51D8C622-2FCB-42E4-8B27-303AE1E5CC64}"/>
    <cellStyle name="百分比 7 2 3 2 4 2" xfId="33289" xr:uid="{49ACCE10-4053-48F8-A594-86B750B91BFA}"/>
    <cellStyle name="百分比 7 2 3 2 5" xfId="8185" xr:uid="{3412618D-1733-4926-9073-798802668794}"/>
    <cellStyle name="百分比 7 2 3 2 6" xfId="8186" xr:uid="{BECDC6C7-515B-40C7-A879-1150274ED5AB}"/>
    <cellStyle name="百分比 7 2 3 2 7" xfId="8187" xr:uid="{93DAF435-EC95-4CBF-9F02-6500AA325B08}"/>
    <cellStyle name="百分比 7 2 3 3" xfId="8188" xr:uid="{EFBF76E7-9C5B-439A-BF2D-A7A19D9B18E9}"/>
    <cellStyle name="百分比 7 2 3 3 2" xfId="8189" xr:uid="{9F75787B-362D-4D6A-978C-B7A594506CC2}"/>
    <cellStyle name="百分比 7 2 3 3 2 2" xfId="8190" xr:uid="{12B5B9B7-6569-405D-AF13-C5057E4D191F}"/>
    <cellStyle name="百分比 7 2 3 3 3" xfId="8191" xr:uid="{ABAA1AE7-1536-4345-97A6-27250372C42B}"/>
    <cellStyle name="百分比 7 2 3 3 4" xfId="8192" xr:uid="{740B3824-231E-4D49-8289-9F3D198C9B4B}"/>
    <cellStyle name="百分比 7 2 3 3 4 2" xfId="33290" xr:uid="{FF55C2F3-8FFD-4800-9921-54AAC6666764}"/>
    <cellStyle name="百分比 7 2 3 3 5" xfId="8193" xr:uid="{7639CC55-60A4-4522-89AA-33520586D610}"/>
    <cellStyle name="百分比 7 2 3 4" xfId="8194" xr:uid="{5E09F00B-8644-4EAB-B318-E6F3FEADD4B7}"/>
    <cellStyle name="百分比 7 2 3 4 2" xfId="8195" xr:uid="{D4BD9DEE-4A18-46D2-8CF8-2A75971EDF89}"/>
    <cellStyle name="百分比 7 2 3 5" xfId="8196" xr:uid="{21D78EBE-792D-4B78-B5D1-6421591CA33D}"/>
    <cellStyle name="百分比 7 2 3 5 2" xfId="8197" xr:uid="{0B2C6F94-C279-4C70-B1B4-382C82C9E0E7}"/>
    <cellStyle name="百分比 7 2 3 6" xfId="8198" xr:uid="{337738F9-3494-447F-823B-205DA41E4D04}"/>
    <cellStyle name="百分比 7 2 3 6 2" xfId="33291" xr:uid="{4563A1F3-7F7D-4942-A78E-348ACAB6BA2F}"/>
    <cellStyle name="百分比 7 2 3 7" xfId="8199" xr:uid="{53277285-C411-43E7-BEAA-9DE23FD65222}"/>
    <cellStyle name="百分比 7 2 3 8" xfId="8200" xr:uid="{A72F92D2-A963-4A3E-A5C1-F03B40FB6294}"/>
    <cellStyle name="百分比 7 2 4" xfId="8201" xr:uid="{F449D9E2-548B-4708-9C8D-73362729E33E}"/>
    <cellStyle name="百分比 7 2 4 2" xfId="8202" xr:uid="{65AFA2D8-24AC-451C-9407-4A8CBE4E219C}"/>
    <cellStyle name="百分比 7 2 4 2 2" xfId="8203" xr:uid="{9D1E253F-7F5A-4F77-BC16-272C53C6C79B}"/>
    <cellStyle name="百分比 7 2 4 3" xfId="8204" xr:uid="{92675C17-35FD-4135-A4E6-4A49318242D5}"/>
    <cellStyle name="百分比 7 2 4 3 2" xfId="8205" xr:uid="{74590971-2326-4451-BDA7-C383C121A4CD}"/>
    <cellStyle name="百分比 7 2 4 4" xfId="8206" xr:uid="{1B4AB07A-89B5-40FB-9F5E-87DF663A2442}"/>
    <cellStyle name="百分比 7 2 4 4 2" xfId="33292" xr:uid="{4E8B63EB-05B1-42CB-BF34-3A3C8DAA457C}"/>
    <cellStyle name="百分比 7 2 4 5" xfId="8207" xr:uid="{F2FFBF3F-8863-4AA1-B05E-49F014B173C1}"/>
    <cellStyle name="百分比 7 2 4 6" xfId="8208" xr:uid="{4240A3E9-17DD-4FE2-818E-8B75F5A2B6A7}"/>
    <cellStyle name="百分比 7 2 4 7" xfId="8209" xr:uid="{32ECD469-08C0-4E1D-BC18-94BD476D7F2B}"/>
    <cellStyle name="百分比 7 2 5" xfId="8210" xr:uid="{3DA857D2-2D7F-413A-96A0-CEF32FE3F0A3}"/>
    <cellStyle name="百分比 7 2 5 2" xfId="8211" xr:uid="{F7EB035A-EC7B-45D2-ACFB-8DC4ED330431}"/>
    <cellStyle name="百分比 7 2 5 2 2" xfId="8212" xr:uid="{84AE3529-0821-4092-A063-91EA68C04FD4}"/>
    <cellStyle name="百分比 7 2 5 3" xfId="8213" xr:uid="{E8293A10-DF99-4CF4-9AC1-5C905B71D6D1}"/>
    <cellStyle name="百分比 7 2 5 4" xfId="8214" xr:uid="{811B1F39-3D20-4B93-9BA6-08D87FCC3055}"/>
    <cellStyle name="百分比 7 2 5 4 2" xfId="33293" xr:uid="{13136C1F-7799-4A1D-8ED6-D639E14DA70E}"/>
    <cellStyle name="百分比 7 2 5 5" xfId="8215" xr:uid="{2C8BB3B0-63E8-47F3-B62D-4DEDA7243742}"/>
    <cellStyle name="百分比 7 2 6" xfId="8216" xr:uid="{D935C216-F458-4517-B94E-DF26DB858CA8}"/>
    <cellStyle name="百分比 7 2 6 2" xfId="8217" xr:uid="{AE08D0F8-1E2A-45C5-A112-C9DD2A1CA368}"/>
    <cellStyle name="百分比 7 2 7" xfId="8218" xr:uid="{F50DB760-CCAF-4C6D-B255-20AECC6D8D57}"/>
    <cellStyle name="百分比 7 2 7 2" xfId="8219" xr:uid="{F70CF1DD-48C4-4EB4-9D2C-941DF9017C64}"/>
    <cellStyle name="百分比 7 2 8" xfId="8220" xr:uid="{9B9DC6EB-0D15-4539-8934-AA91D509277C}"/>
    <cellStyle name="百分比 7 2 8 2" xfId="33294" xr:uid="{12E6C19B-931E-4DD8-8127-B3C8FE2B4636}"/>
    <cellStyle name="百分比 7 2 9" xfId="8221" xr:uid="{8E74A9BE-A4F5-4939-9156-398CA14930F0}"/>
    <cellStyle name="百分比 7 2 9 2" xfId="8222" xr:uid="{94312609-D90C-47DA-A028-D5CC38F44F38}"/>
    <cellStyle name="百分比 7 3" xfId="8223" xr:uid="{52BC64AC-1918-409D-B250-EA52D609243E}"/>
    <cellStyle name="百分比 7 3 2" xfId="8224" xr:uid="{1B945388-2404-4D95-AED7-2915FFE54040}"/>
    <cellStyle name="百分比 7 3 2 2" xfId="8225" xr:uid="{38B4C419-1DF5-4DB7-9E88-BBC1A329776D}"/>
    <cellStyle name="百分比 7 3 2 2 2" xfId="8226" xr:uid="{2DBD14D7-0ACA-43CF-A15D-2205013EA8BC}"/>
    <cellStyle name="百分比 7 3 2 2 2 2" xfId="8227" xr:uid="{0ACFA38F-2D16-479C-9D4A-81365BD2CD07}"/>
    <cellStyle name="百分比 7 3 2 2 2 2 2" xfId="8228" xr:uid="{B8A3BD28-01BF-47D9-A5E3-3694C7BF1059}"/>
    <cellStyle name="百分比 7 3 2 2 2 3" xfId="8229" xr:uid="{ED69D7BF-EC7B-4CCB-B566-2809F432D2F1}"/>
    <cellStyle name="百分比 7 3 2 2 2 4" xfId="8230" xr:uid="{9A2FE418-33D5-4364-B4B6-D7F0AB3D8C4D}"/>
    <cellStyle name="百分比 7 3 2 2 2 4 2" xfId="33295" xr:uid="{F2216AED-BE6A-4379-A4C0-B01C8C60AD2A}"/>
    <cellStyle name="百分比 7 3 2 2 3" xfId="8231" xr:uid="{2494A994-57B4-4D02-9CB6-8E3996C4DF80}"/>
    <cellStyle name="百分比 7 3 2 2 3 2" xfId="8232" xr:uid="{0129EB94-0019-423F-B230-E7937902118F}"/>
    <cellStyle name="百分比 7 3 2 2 4" xfId="8233" xr:uid="{694468C8-100A-43A1-8A6B-F43668029A82}"/>
    <cellStyle name="百分比 7 3 2 2 5" xfId="8234" xr:uid="{330E16BE-DCC6-4AD5-AC84-45243F260036}"/>
    <cellStyle name="百分比 7 3 2 2 5 2" xfId="33296" xr:uid="{F7DB0A87-7312-4603-953D-467BE3F98DD8}"/>
    <cellStyle name="百分比 7 3 2 3" xfId="8235" xr:uid="{6055533D-A441-4945-9850-F16270FAE41F}"/>
    <cellStyle name="百分比 7 3 2 3 2" xfId="8236" xr:uid="{8E602917-4404-4137-924F-CE465BA181C0}"/>
    <cellStyle name="百分比 7 3 2 3 2 2" xfId="8237" xr:uid="{A869CC82-6710-4AE2-B4E7-4AD381C4D68D}"/>
    <cellStyle name="百分比 7 3 2 3 3" xfId="8238" xr:uid="{23A4CE5F-E6CC-4C03-AF07-85B85C0E8504}"/>
    <cellStyle name="百分比 7 3 2 3 4" xfId="8239" xr:uid="{956EA9A6-129E-487D-B8B2-5E3DE7FC48C8}"/>
    <cellStyle name="百分比 7 3 2 3 4 2" xfId="33297" xr:uid="{83C398D5-5076-4706-994D-E209C789BC46}"/>
    <cellStyle name="百分比 7 3 2 4" xfId="8240" xr:uid="{CEEACA37-AF62-4E60-9FDF-006AE94FE8E6}"/>
    <cellStyle name="百分比 7 3 2 4 2" xfId="8241" xr:uid="{F591D110-0E60-436F-BEB1-6A6EC1E78E7C}"/>
    <cellStyle name="百分比 7 3 2 5" xfId="8242" xr:uid="{9BDABEE1-AD1D-42AC-A04F-935A4280A573}"/>
    <cellStyle name="百分比 7 3 2 6" xfId="8243" xr:uid="{DFBAD143-CE1D-4CF3-BF54-048FB3B76C4E}"/>
    <cellStyle name="百分比 7 3 2 6 2" xfId="33298" xr:uid="{21E475DE-A632-4C5B-9327-64A61F529E76}"/>
    <cellStyle name="百分比 7 3 3" xfId="8244" xr:uid="{A7D7A6DB-A3BF-4B80-8FE2-B276FF17474A}"/>
    <cellStyle name="百分比 7 3 3 2" xfId="8245" xr:uid="{B7645D76-70F7-451B-8F22-8AA609626819}"/>
    <cellStyle name="百分比 7 3 3 2 2" xfId="8246" xr:uid="{3FEF9696-38A5-45EA-859F-B1879DD7DE49}"/>
    <cellStyle name="百分比 7 3 3 2 2 2" xfId="8247" xr:uid="{837D542A-B5C3-404F-A9E1-07841E70EB11}"/>
    <cellStyle name="百分比 7 3 3 2 3" xfId="8248" xr:uid="{C87E94F8-EBA7-4BC0-90B3-E821D8DCF274}"/>
    <cellStyle name="百分比 7 3 3 2 4" xfId="8249" xr:uid="{0891E11A-6EAF-4958-A695-43D1A12B117C}"/>
    <cellStyle name="百分比 7 3 3 2 4 2" xfId="33299" xr:uid="{763234BC-F2D6-4D63-858E-41E5F67EAC86}"/>
    <cellStyle name="百分比 7 3 3 2 5" xfId="8250" xr:uid="{978B03D7-71B8-4C89-AD72-8E98D09E76F0}"/>
    <cellStyle name="百分比 7 3 3 3" xfId="8251" xr:uid="{B69C9F51-0FAF-4785-AFE9-AA5692E704AF}"/>
    <cellStyle name="百分比 7 3 3 3 2" xfId="8252" xr:uid="{91F4FA17-9217-4B15-8638-7C51A283D1A3}"/>
    <cellStyle name="百分比 7 3 3 3 2 2" xfId="8253" xr:uid="{F2C52598-CF07-4E2E-853F-D9DB81736602}"/>
    <cellStyle name="百分比 7 3 3 3 3" xfId="8254" xr:uid="{508D3373-617E-4845-8438-46BED958F838}"/>
    <cellStyle name="百分比 7 3 3 3 4" xfId="8255" xr:uid="{9AFA9EDA-02F8-41E3-86F7-D8EFC1EC0860}"/>
    <cellStyle name="百分比 7 3 3 3 4 2" xfId="33300" xr:uid="{5E383C6B-C689-4ED5-8DE4-E83D972B6F0B}"/>
    <cellStyle name="百分比 7 3 3 3 5" xfId="8256" xr:uid="{B581BDDA-249D-4E48-BD02-E4890E8F0FF2}"/>
    <cellStyle name="百分比 7 3 3 4" xfId="8257" xr:uid="{76E2422C-D3B4-4121-9777-A1C035153087}"/>
    <cellStyle name="百分比 7 3 3 4 2" xfId="8258" xr:uid="{66E4F1CA-BFB5-440C-9D5E-C8F14B96920C}"/>
    <cellStyle name="百分比 7 3 3 5" xfId="8259" xr:uid="{7CB0A8F2-8A98-473B-A6E7-EEBA8633BD22}"/>
    <cellStyle name="百分比 7 3 3 5 2" xfId="8260" xr:uid="{BE45ABB4-BFD7-4CD5-B266-B0031C27DCC2}"/>
    <cellStyle name="百分比 7 3 3 6" xfId="8261" xr:uid="{61E3BCF1-15C9-4670-85D9-00B65A57E649}"/>
    <cellStyle name="百分比 7 3 3 6 2" xfId="33301" xr:uid="{AC339B36-1F26-4AD7-BCEB-B4D5B93F8F08}"/>
    <cellStyle name="百分比 7 3 3 7" xfId="8262" xr:uid="{8B5CED72-B87D-4CEA-A5CE-E8E18F359FE0}"/>
    <cellStyle name="百分比 7 3 4" xfId="8263" xr:uid="{41CFC8D6-4671-42EC-BF4E-9EF6491216BE}"/>
    <cellStyle name="百分比 7 3 4 2" xfId="8264" xr:uid="{01127C7E-B1BE-4118-BDFD-BD94573C7160}"/>
    <cellStyle name="百分比 7 3 4 2 2" xfId="8265" xr:uid="{A1B256FE-9A2C-49B3-8CA5-1D773E706DFD}"/>
    <cellStyle name="百分比 7 3 4 3" xfId="8266" xr:uid="{0A6B8F8E-FF91-4A1C-B8D2-A2E4D391E297}"/>
    <cellStyle name="百分比 7 3 4 4" xfId="8267" xr:uid="{1972AA28-FF94-4414-B31E-EC401691E143}"/>
    <cellStyle name="百分比 7 3 4 4 2" xfId="33302" xr:uid="{EA7A5FB7-2BC2-41E6-A34A-5A000A5E9F69}"/>
    <cellStyle name="百分比 7 3 4 5" xfId="8268" xr:uid="{69C468C0-7E77-4FC3-B5D4-1C275123E963}"/>
    <cellStyle name="百分比 7 3 5" xfId="8269" xr:uid="{77D5C0B4-8AB0-4350-A11E-49377E38C7EB}"/>
    <cellStyle name="百分比 7 3 5 2" xfId="8270" xr:uid="{3F846E7F-B478-4E45-9872-C9949E24AA72}"/>
    <cellStyle name="百分比 7 3 5 2 2" xfId="8271" xr:uid="{2271AB0A-2BB0-4144-BA80-7E604059A55F}"/>
    <cellStyle name="百分比 7 3 5 3" xfId="8272" xr:uid="{E7930553-E6C8-4C74-B7FC-09B21F74D923}"/>
    <cellStyle name="百分比 7 3 5 4" xfId="8273" xr:uid="{06761432-1EF7-40D7-929F-E88C009483CA}"/>
    <cellStyle name="百分比 7 3 5 4 2" xfId="33303" xr:uid="{C2EDF5AA-763A-49C6-A100-63AF37FC627D}"/>
    <cellStyle name="百分比 7 3 5 5" xfId="8274" xr:uid="{B5E5C25E-01B0-480E-B98C-6021516D1649}"/>
    <cellStyle name="百分比 7 3 6" xfId="8275" xr:uid="{00D8AC6D-6DC2-4C70-B524-83D5E9214C1B}"/>
    <cellStyle name="百分比 7 3 6 2" xfId="8276" xr:uid="{0507078A-5D43-4BA4-8AC8-8EE669B1EBA7}"/>
    <cellStyle name="百分比 7 3 7" xfId="8277" xr:uid="{997436CD-CEBF-492B-B70A-1F86D3D3B3C2}"/>
    <cellStyle name="百分比 7 3 7 2" xfId="8278" xr:uid="{2D0F13BF-9DCA-436D-87B8-7FBABBF92665}"/>
    <cellStyle name="百分比 7 3 8" xfId="8279" xr:uid="{172A6300-7EAE-4FA1-943B-6A5E5363A0A5}"/>
    <cellStyle name="百分比 7 3 8 2" xfId="33304" xr:uid="{E7F37080-FDDE-4495-8CA4-CD06B52AD179}"/>
    <cellStyle name="百分比 7 3 9" xfId="8280" xr:uid="{FBBD29EE-A6F7-4F93-8A63-27954D87FC82}"/>
    <cellStyle name="百分比 7 4" xfId="8281" xr:uid="{7B099ACF-EDF0-436A-93A1-EA2C1A7016FE}"/>
    <cellStyle name="百分比 7 4 2" xfId="8282" xr:uid="{B377EB8B-EC2F-4776-B148-F73ACCAB9EF0}"/>
    <cellStyle name="百分比 7 4 2 2" xfId="8283" xr:uid="{B3744474-C040-452C-96D3-D430C93A8F93}"/>
    <cellStyle name="百分比 7 4 2 2 2" xfId="8284" xr:uid="{C96672F6-D703-4684-BD18-0309C6FD8EB8}"/>
    <cellStyle name="百分比 7 4 2 2 2 2" xfId="8285" xr:uid="{AF201DD2-3372-4AC1-A00C-DAE20E216C05}"/>
    <cellStyle name="百分比 7 4 2 2 3" xfId="8286" xr:uid="{74AF27D8-89C2-44A0-B353-53079899C135}"/>
    <cellStyle name="百分比 7 4 2 2 4" xfId="8287" xr:uid="{805933D7-56F5-4B0C-AFC2-32A4490C5FA6}"/>
    <cellStyle name="百分比 7 4 2 2 4 2" xfId="33305" xr:uid="{6A9F43D6-54B3-4A78-B161-BF14BF361AE3}"/>
    <cellStyle name="百分比 7 4 2 3" xfId="8288" xr:uid="{D1117950-851D-46BA-83D8-1AA915CCE04D}"/>
    <cellStyle name="百分比 7 4 2 3 2" xfId="8289" xr:uid="{E406A70F-7385-4E16-A5DD-93C45840C8D0}"/>
    <cellStyle name="百分比 7 4 2 3 2 2" xfId="8290" xr:uid="{A3FDCA00-5DEF-4784-A0CA-C36745DFB416}"/>
    <cellStyle name="百分比 7 4 2 3 3" xfId="8291" xr:uid="{6BBB15C1-447C-4B0F-8BF7-24749BEBDA38}"/>
    <cellStyle name="百分比 7 4 2 3 4" xfId="8292" xr:uid="{7D44BDC2-7236-4DB4-9911-5E2FC801CF94}"/>
    <cellStyle name="百分比 7 4 2 3 4 2" xfId="33306" xr:uid="{428F9752-098D-4BA3-BCA1-6A65E1D2B2AC}"/>
    <cellStyle name="百分比 7 4 2 4" xfId="8293" xr:uid="{FA7E0B50-640E-4BCE-A7C9-6AFB8222A2DD}"/>
    <cellStyle name="百分比 7 4 2 4 2" xfId="8294" xr:uid="{A99CA193-BFE1-4C3A-8597-DC9290BCDA3E}"/>
    <cellStyle name="百分比 7 4 2 5" xfId="8295" xr:uid="{6BAD3BCF-CFD2-48CC-B5A2-A18A9250FBAE}"/>
    <cellStyle name="百分比 7 4 2 6" xfId="8296" xr:uid="{C8B7203C-B51D-427F-8A7D-5A3670ECD41E}"/>
    <cellStyle name="百分比 7 4 2 6 2" xfId="33307" xr:uid="{94B7A6C1-2213-4E1E-9107-9F213615C32E}"/>
    <cellStyle name="百分比 7 4 3" xfId="8297" xr:uid="{9B1B89A8-7313-4D42-B83F-3017639C9A71}"/>
    <cellStyle name="百分比 7 4 3 2" xfId="8298" xr:uid="{61154A07-5E72-4C8D-81D7-C2286FEAC740}"/>
    <cellStyle name="百分比 7 4 3 2 2" xfId="8299" xr:uid="{EBD343F6-69DE-407D-A66B-E333C698D142}"/>
    <cellStyle name="百分比 7 4 3 3" xfId="8300" xr:uid="{84C3D8C5-534F-48E3-8F9A-105663A61138}"/>
    <cellStyle name="百分比 7 4 3 4" xfId="8301" xr:uid="{C3A4DCFB-7943-4F89-9680-2FA0C08E7EFB}"/>
    <cellStyle name="百分比 7 4 3 4 2" xfId="33308" xr:uid="{AF75280D-25FA-4E8C-86D7-995E160AFDC1}"/>
    <cellStyle name="百分比 7 4 4" xfId="8302" xr:uid="{C1447B76-6810-4C99-B5BE-95CCED31CAAE}"/>
    <cellStyle name="百分比 7 4 4 2" xfId="8303" xr:uid="{ED43B481-7E1C-48E4-BCDF-0676B38BC79C}"/>
    <cellStyle name="百分比 7 4 4 2 2" xfId="8304" xr:uid="{9A7F96FB-7223-4659-A94F-1FC267D1BD50}"/>
    <cellStyle name="百分比 7 4 4 3" xfId="8305" xr:uid="{CF1402E8-5F7E-4C9C-8F91-89A0D94466EB}"/>
    <cellStyle name="百分比 7 4 4 4" xfId="8306" xr:uid="{1578C930-4E3B-46C8-BC4C-E2AB5918DF21}"/>
    <cellStyle name="百分比 7 4 4 4 2" xfId="33309" xr:uid="{0D9C0C7C-43CF-4BD9-9E66-8279E837716B}"/>
    <cellStyle name="百分比 7 4 5" xfId="8307" xr:uid="{A1CC0BB8-C758-4394-AFBB-C8A8F6F55E40}"/>
    <cellStyle name="百分比 7 4 5 2" xfId="8308" xr:uid="{E1A2CBD6-632E-434B-A069-6E124672DF49}"/>
    <cellStyle name="百分比 7 4 6" xfId="8309" xr:uid="{096219C6-B25D-40C2-B04B-4230EE00DD25}"/>
    <cellStyle name="百分比 7 4 7" xfId="8310" xr:uid="{59805488-7938-4995-BEB0-AB2477A9FAA2}"/>
    <cellStyle name="百分比 7 4 7 2" xfId="33310" xr:uid="{017209E7-A831-452E-9084-1F4F41C6B002}"/>
    <cellStyle name="百分比 7 4 8" xfId="8311" xr:uid="{EE496BE2-6385-48DC-B3C2-5EA76EDB429A}"/>
    <cellStyle name="百分比 7 5" xfId="8312" xr:uid="{608D4384-2EB1-4935-8640-EDDFBCA50C71}"/>
    <cellStyle name="百分比 7 5 2" xfId="8313" xr:uid="{DC1955DF-713C-42B9-B6B2-BB43DBCE9826}"/>
    <cellStyle name="百分比 7 5 2 2" xfId="8314" xr:uid="{1E644109-CAFB-4662-B965-DFB70CF1AE75}"/>
    <cellStyle name="百分比 7 5 2 2 2" xfId="8315" xr:uid="{B886D589-063E-457B-8F80-436D41E77A88}"/>
    <cellStyle name="百分比 7 5 2 3" xfId="8316" xr:uid="{A5BC5C1A-E3D5-4998-8575-746A50AB0495}"/>
    <cellStyle name="百分比 7 5 2 4" xfId="8317" xr:uid="{E00762D4-827E-4D18-8E59-BF330687C72B}"/>
    <cellStyle name="百分比 7 5 2 4 2" xfId="33311" xr:uid="{2023599D-DD81-4FAC-B74A-A4C1043F294D}"/>
    <cellStyle name="百分比 7 5 3" xfId="8318" xr:uid="{F5824EC5-29DE-4B8E-B594-190BC77B4ECF}"/>
    <cellStyle name="百分比 7 5 4" xfId="8319" xr:uid="{A1B17709-1C60-411C-9D59-28EA137FA3F9}"/>
    <cellStyle name="百分比 7 5 4 2" xfId="8320" xr:uid="{14E28FF8-08CF-4C39-85EF-52FC305F3698}"/>
    <cellStyle name="百分比 7 5 5" xfId="8321" xr:uid="{EC36B5FB-1DDB-42D7-A001-DD963DAA116B}"/>
    <cellStyle name="百分比 7 5 6" xfId="8322" xr:uid="{A843DF13-1C24-4D5C-9B8C-2803D4BE3C89}"/>
    <cellStyle name="百分比 7 5 6 2" xfId="33312" xr:uid="{822E4657-4C5A-44E9-BF7D-48DF03E32F61}"/>
    <cellStyle name="百分比 7 6" xfId="8323" xr:uid="{E3E28044-1A99-48FB-8A74-3008F98B58BD}"/>
    <cellStyle name="百分比 7 6 2" xfId="8324" xr:uid="{3BB992B7-7032-48C2-BE5C-63F271C576F4}"/>
    <cellStyle name="百分比 7 6 2 2" xfId="8325" xr:uid="{E00F150B-3C13-4544-A91B-3E5171657734}"/>
    <cellStyle name="百分比 7 6 2 2 2" xfId="8326" xr:uid="{A48809D7-2F9F-46CD-A679-16BB1931FF75}"/>
    <cellStyle name="百分比 7 6 2 3" xfId="8327" xr:uid="{19A878F4-EF6F-473D-8067-B93082EEEF07}"/>
    <cellStyle name="百分比 7 6 2 4" xfId="8328" xr:uid="{D29BD3D1-5216-435E-BC67-3AA17A99D0B7}"/>
    <cellStyle name="百分比 7 6 2 4 2" xfId="33313" xr:uid="{D0872564-172E-4EAD-994D-A877B3B9B176}"/>
    <cellStyle name="百分比 7 6 2 5" xfId="8329" xr:uid="{9ADF07B9-6ECB-4A3C-A3CD-E4C6FEE2A94B}"/>
    <cellStyle name="百分比 7 6 3" xfId="8330" xr:uid="{8D44940A-4C5A-483D-A7C3-329AF0C83BCC}"/>
    <cellStyle name="百分比 7 6 3 2" xfId="8331" xr:uid="{E597FE96-72E5-4EEC-9BD9-5AAA27F9913F}"/>
    <cellStyle name="百分比 7 6 4" xfId="8332" xr:uid="{0903A453-BF31-4845-A33E-E8875FC0F631}"/>
    <cellStyle name="百分比 7 6 4 2" xfId="8333" xr:uid="{D50F30A9-450A-494B-B18E-37707A7E4985}"/>
    <cellStyle name="百分比 7 6 5" xfId="8334" xr:uid="{E9D477BE-B231-4348-824D-E3A4AA3F1DAE}"/>
    <cellStyle name="百分比 7 6 5 2" xfId="33314" xr:uid="{FD715091-1D94-407A-8E6B-4BDCFE48ED57}"/>
    <cellStyle name="百分比 7 6 6" xfId="8335" xr:uid="{35358268-34DC-438E-929F-25339D68DB15}"/>
    <cellStyle name="百分比 7 6 7" xfId="8336" xr:uid="{00EE293A-FD04-4A40-8514-A69450572404}"/>
    <cellStyle name="百分比 7 7" xfId="8337" xr:uid="{6D29E8D9-C53E-4127-B1D0-2B1ECEC956F2}"/>
    <cellStyle name="百分比 7 7 2" xfId="8338" xr:uid="{E5C7988A-D9DB-49B2-A28C-D35BBF2105E2}"/>
    <cellStyle name="百分比 7 7 2 2" xfId="8339" xr:uid="{87D20580-1546-46D3-9334-698FD98B952B}"/>
    <cellStyle name="百分比 7 7 3" xfId="8340" xr:uid="{80C11171-FC8C-4414-8CBA-60D709E3BF9E}"/>
    <cellStyle name="百分比 7 7 4" xfId="8341" xr:uid="{5C02C9C2-18B3-4490-9477-C35C66EDCEC1}"/>
    <cellStyle name="百分比 7 7 4 2" xfId="33315" xr:uid="{D7BAB8CF-B9BD-4FE9-A71B-44ABA6F64939}"/>
    <cellStyle name="百分比 7 7 5" xfId="8342" xr:uid="{6B5AC6BA-E6C4-49E7-900C-236C59F1D8BD}"/>
    <cellStyle name="百分比 7 8" xfId="8343" xr:uid="{9EFF9AD0-47C4-4018-9A93-B50337C50FC1}"/>
    <cellStyle name="百分比 7 8 2" xfId="8344" xr:uid="{2712371A-6BF6-4241-9D6A-FB646BD2B6CA}"/>
    <cellStyle name="百分比 7 9" xfId="8345" xr:uid="{1DF39749-3E7B-4149-B4DC-A2F3AA0CD07B}"/>
    <cellStyle name="百分比 7 9 2" xfId="8346" xr:uid="{19B2AAA3-D72F-4A3C-A04F-3D070DC2A4EB}"/>
    <cellStyle name="百分比 8" xfId="8347" xr:uid="{25BB2A76-0479-44E5-BB0E-53A863D746D3}"/>
    <cellStyle name="百分比 8 10" xfId="8348" xr:uid="{EE8C4569-CA27-4F7B-8551-DF51A438B00F}"/>
    <cellStyle name="百分比 8 10 2" xfId="8349" xr:uid="{8CDEF81F-04CE-4FD9-BA6E-10D35C934179}"/>
    <cellStyle name="百分比 8 11" xfId="8350" xr:uid="{A576650A-C638-4224-B4B1-809AB803DD67}"/>
    <cellStyle name="百分比 8 2" xfId="8351" xr:uid="{D1E9FE08-5B8F-4F02-A455-B71D423B30F2}"/>
    <cellStyle name="百分比 8 2 10" xfId="8352" xr:uid="{C99DEC93-5CB0-42BB-A334-4D417016F620}"/>
    <cellStyle name="百分比 8 2 2" xfId="8353" xr:uid="{AB4A9DDB-5782-4E31-9F3D-6068CEA125F1}"/>
    <cellStyle name="百分比 8 2 2 2" xfId="8354" xr:uid="{6A1FDF69-7478-442A-900A-D6B620CC1B9E}"/>
    <cellStyle name="百分比 8 2 2 2 2" xfId="8355" xr:uid="{3A4EB6FC-0A48-4C27-96E9-8EA1238BFA4D}"/>
    <cellStyle name="百分比 8 2 2 2 2 2" xfId="8356" xr:uid="{C88382BE-9DA1-49B6-B9F2-CEAF08C9790C}"/>
    <cellStyle name="百分比 8 2 2 2 2 2 2" xfId="8357" xr:uid="{C6CA1FEA-701B-4F1B-9DEF-1D4EE98F875F}"/>
    <cellStyle name="百分比 8 2 2 2 2 3" xfId="8358" xr:uid="{1E0835CC-EF26-4C6D-8C35-641392485A70}"/>
    <cellStyle name="百分比 8 2 2 2 2 4" xfId="8359" xr:uid="{881920F6-5B4D-4B91-9D8E-48B042BBA99B}"/>
    <cellStyle name="百分比 8 2 2 2 2 4 2" xfId="33316" xr:uid="{6FC03CCC-821F-4073-B6DD-F095DA63B4CC}"/>
    <cellStyle name="百分比 8 2 2 2 2 5" xfId="8360" xr:uid="{E2FBBA40-9E17-439A-AB3A-CA9FF91EAB3D}"/>
    <cellStyle name="百分比 8 2 2 2 3" xfId="8361" xr:uid="{7E4F5BA7-D53F-4A0E-BFAB-6101D7ECD396}"/>
    <cellStyle name="百分比 8 2 2 2 3 2" xfId="8362" xr:uid="{CFF4AB19-C42C-48A8-82D1-6B88B2EAB076}"/>
    <cellStyle name="百分比 8 2 2 2 4" xfId="8363" xr:uid="{5AACE583-071C-4945-8A9F-CCF55BBE2AC4}"/>
    <cellStyle name="百分比 8 2 2 2 4 2" xfId="8364" xr:uid="{0AE7115A-36CA-405C-8153-0B77197D5B17}"/>
    <cellStyle name="百分比 8 2 2 2 5" xfId="8365" xr:uid="{4B03F71A-6BD8-48CE-975A-ADBCAB4673AE}"/>
    <cellStyle name="百分比 8 2 2 2 5 2" xfId="33317" xr:uid="{F406CE9A-1B54-434A-9A3B-3BBFDF2FE929}"/>
    <cellStyle name="百分比 8 2 2 2 6" xfId="8366" xr:uid="{B0C6F7B0-4CBC-46D4-AA76-6D331124372D}"/>
    <cellStyle name="百分比 8 2 2 2 7" xfId="8367" xr:uid="{037E5795-7770-46A9-9DE0-5F2731B300D9}"/>
    <cellStyle name="百分比 8 2 2 3" xfId="8368" xr:uid="{CE658803-681F-40E9-8927-271D3CF18D97}"/>
    <cellStyle name="百分比 8 2 2 3 2" xfId="8369" xr:uid="{A75F4AAA-58FA-4198-AF47-4DD68860A0BD}"/>
    <cellStyle name="百分比 8 2 2 3 2 2" xfId="8370" xr:uid="{3787451D-8B9D-48FD-A57E-C739B65CD79B}"/>
    <cellStyle name="百分比 8 2 2 3 3" xfId="8371" xr:uid="{2C5ECB50-BB6A-486F-8F1C-EBD157CFA9B5}"/>
    <cellStyle name="百分比 8 2 2 3 4" xfId="8372" xr:uid="{037A64BC-E740-4814-BFC4-8C2A50E88496}"/>
    <cellStyle name="百分比 8 2 2 3 4 2" xfId="33318" xr:uid="{3A8BA010-7C5D-47B3-94E1-2A3ED1CD30E8}"/>
    <cellStyle name="百分比 8 2 2 3 5" xfId="8373" xr:uid="{14420E77-CAE2-4F12-BC2C-1260A81D4E97}"/>
    <cellStyle name="百分比 8 2 2 4" xfId="8374" xr:uid="{2C9EA4FC-C0F8-40ED-BA81-C9E868E404E8}"/>
    <cellStyle name="百分比 8 2 2 4 2" xfId="8375" xr:uid="{01D56266-035D-4D87-82FA-50D0A53B8437}"/>
    <cellStyle name="百分比 8 2 2 5" xfId="8376" xr:uid="{D8001CAF-7A87-4DE4-825A-7052B4CF7174}"/>
    <cellStyle name="百分比 8 2 2 5 2" xfId="8377" xr:uid="{6EF16F45-6A95-40DF-8666-10407BFE045E}"/>
    <cellStyle name="百分比 8 2 2 6" xfId="8378" xr:uid="{1D6E304E-6E45-436E-BF34-3F7FAA35995D}"/>
    <cellStyle name="百分比 8 2 2 6 2" xfId="33319" xr:uid="{ED64F43A-5D19-4DF2-A72B-4E8E03EECCB7}"/>
    <cellStyle name="百分比 8 2 2 7" xfId="8379" xr:uid="{A975E309-456E-4D6E-BAFD-1F8D77597C12}"/>
    <cellStyle name="百分比 8 2 2 8" xfId="8380" xr:uid="{AF77AFC8-11A7-4AD2-83B9-5D0527D10C3F}"/>
    <cellStyle name="百分比 8 2 3" xfId="8381" xr:uid="{17E1D606-39B1-4EEC-A7DF-1309BD30D76F}"/>
    <cellStyle name="百分比 8 2 3 2" xfId="8382" xr:uid="{0094E701-747A-4FAC-ABC5-64693D600109}"/>
    <cellStyle name="百分比 8 2 3 2 2" xfId="8383" xr:uid="{77430AAE-4B5F-4126-A759-4711C125F65E}"/>
    <cellStyle name="百分比 8 2 3 2 2 2" xfId="8384" xr:uid="{1B0E8B7F-6462-4090-B2C4-0FF5B754986A}"/>
    <cellStyle name="百分比 8 2 3 2 3" xfId="8385" xr:uid="{C6D76681-D4D4-4B39-A32A-76CDE98529D0}"/>
    <cellStyle name="百分比 8 2 3 2 3 2" xfId="8386" xr:uid="{B687AB4D-89A7-4EEA-A5EB-6CBB3F9DF29F}"/>
    <cellStyle name="百分比 8 2 3 2 4" xfId="8387" xr:uid="{837FDC37-E84C-46F8-A5DC-9A2DC6ABA85A}"/>
    <cellStyle name="百分比 8 2 3 2 4 2" xfId="33320" xr:uid="{8EBF69C7-4BE2-4894-B5A2-1D52AB204EC0}"/>
    <cellStyle name="百分比 8 2 3 2 5" xfId="8388" xr:uid="{A53C3C35-694D-4339-8A5A-616CC055912E}"/>
    <cellStyle name="百分比 8 2 3 2 6" xfId="8389" xr:uid="{BA2B8BCD-DD9A-4CC7-BC92-5BF76AE15C6D}"/>
    <cellStyle name="百分比 8 2 3 2 7" xfId="8390" xr:uid="{FC55E8EC-8260-41BC-8394-D34100FE967D}"/>
    <cellStyle name="百分比 8 2 3 3" xfId="8391" xr:uid="{67FBD8C2-0A7C-460F-BBFA-11C46D7E51C8}"/>
    <cellStyle name="百分比 8 2 3 3 2" xfId="8392" xr:uid="{69B323D3-9A36-4BA8-B929-D9FE22123821}"/>
    <cellStyle name="百分比 8 2 3 3 2 2" xfId="8393" xr:uid="{5F566376-D867-4B20-B920-14B18B05ED4C}"/>
    <cellStyle name="百分比 8 2 3 3 3" xfId="8394" xr:uid="{4679D670-C235-4446-8FF5-0F4726C86690}"/>
    <cellStyle name="百分比 8 2 3 3 4" xfId="8395" xr:uid="{AC39F328-0108-44D2-9804-914DDF74F2C3}"/>
    <cellStyle name="百分比 8 2 3 3 4 2" xfId="33321" xr:uid="{C8EAFF3B-30BB-4163-8A29-DF8FBE129EC5}"/>
    <cellStyle name="百分比 8 2 3 3 5" xfId="8396" xr:uid="{FEB653C3-6EDD-49AA-ACDA-70BEC36AB5D1}"/>
    <cellStyle name="百分比 8 2 3 4" xfId="8397" xr:uid="{8D349646-49E2-45BD-A97E-02945084541F}"/>
    <cellStyle name="百分比 8 2 3 4 2" xfId="8398" xr:uid="{1D23C642-5B26-4406-9415-917358BA25D2}"/>
    <cellStyle name="百分比 8 2 3 5" xfId="8399" xr:uid="{4FB1C86A-09EC-47C9-959D-638CC67BF67A}"/>
    <cellStyle name="百分比 8 2 3 5 2" xfId="8400" xr:uid="{318B4438-39CB-43C3-B8B4-976C1A4436BC}"/>
    <cellStyle name="百分比 8 2 3 6" xfId="8401" xr:uid="{2AC26214-FB76-4C8D-9CC8-5FBF30038F90}"/>
    <cellStyle name="百分比 8 2 3 6 2" xfId="33322" xr:uid="{D27F42D1-6B53-4332-A860-94A8F3DC1A1F}"/>
    <cellStyle name="百分比 8 2 3 7" xfId="8402" xr:uid="{5D44F161-A928-422D-A4E1-3DDDC31E348D}"/>
    <cellStyle name="百分比 8 2 3 8" xfId="8403" xr:uid="{5F05D1C6-A3F8-4518-BC9D-245C65955333}"/>
    <cellStyle name="百分比 8 2 4" xfId="8404" xr:uid="{7B1FEEBE-269C-46EF-AB25-E1C086F60015}"/>
    <cellStyle name="百分比 8 2 4 2" xfId="8405" xr:uid="{C6F5CAB3-4257-494C-AE52-F6448984B27E}"/>
    <cellStyle name="百分比 8 2 4 2 2" xfId="8406" xr:uid="{B01F8F6B-4B1A-4924-B424-7EAC7643C665}"/>
    <cellStyle name="百分比 8 2 4 3" xfId="8407" xr:uid="{7D3912CF-13B4-4E79-9F1A-8B5588B158C5}"/>
    <cellStyle name="百分比 8 2 4 3 2" xfId="8408" xr:uid="{1B4ABF0F-1F45-4E10-95C4-B050FB1F35DE}"/>
    <cellStyle name="百分比 8 2 4 4" xfId="8409" xr:uid="{1EA780E1-6BEA-4237-94E6-9435C4F32BE8}"/>
    <cellStyle name="百分比 8 2 4 4 2" xfId="33323" xr:uid="{FC92D6CE-9F61-463D-B873-533054B7EFD8}"/>
    <cellStyle name="百分比 8 2 4 5" xfId="8410" xr:uid="{7484CB58-FE07-4BF1-9E9B-4000AE7BFE33}"/>
    <cellStyle name="百分比 8 2 4 6" xfId="8411" xr:uid="{509096EF-647E-46E5-B7ED-B5373E2ACE54}"/>
    <cellStyle name="百分比 8 2 4 7" xfId="8412" xr:uid="{17CA6666-02D9-4B4D-8E41-7A80DA77827B}"/>
    <cellStyle name="百分比 8 2 5" xfId="8413" xr:uid="{8B8B487E-64A8-4094-BADB-3ED2D7364A23}"/>
    <cellStyle name="百分比 8 2 5 2" xfId="8414" xr:uid="{9D381B9A-AA93-4383-914D-256A80D9EC7B}"/>
    <cellStyle name="百分比 8 2 5 2 2" xfId="8415" xr:uid="{6B239696-7945-453E-A982-027D6A5608AD}"/>
    <cellStyle name="百分比 8 2 5 3" xfId="8416" xr:uid="{DC3EFA92-9229-4101-B110-5EC722525D88}"/>
    <cellStyle name="百分比 8 2 5 4" xfId="8417" xr:uid="{9501AE01-48C7-4474-9444-7B15A2E6FFB7}"/>
    <cellStyle name="百分比 8 2 5 4 2" xfId="33324" xr:uid="{F7844D4A-C3F2-46AD-9206-37A40A2ED2AB}"/>
    <cellStyle name="百分比 8 2 5 5" xfId="8418" xr:uid="{A6B8EBB9-31E6-4215-A983-40BE57AFA458}"/>
    <cellStyle name="百分比 8 2 6" xfId="8419" xr:uid="{294EEC0C-D83E-45A1-AC72-CBFE3E917A31}"/>
    <cellStyle name="百分比 8 2 6 2" xfId="8420" xr:uid="{9A985D7E-ECAE-414E-B4C8-2A08B59F1D0E}"/>
    <cellStyle name="百分比 8 2 7" xfId="8421" xr:uid="{7C6967C2-1326-458A-8CCB-83DC5606D39F}"/>
    <cellStyle name="百分比 8 2 7 2" xfId="8422" xr:uid="{EDFCAC1F-4AF8-4928-A46F-F6A059927E6D}"/>
    <cellStyle name="百分比 8 2 8" xfId="8423" xr:uid="{BA6DC31F-F66A-426F-8DC4-A5BD359ED793}"/>
    <cellStyle name="百分比 8 2 8 2" xfId="33325" xr:uid="{64C9C6A5-12F3-4B30-AC13-1432C3800FA7}"/>
    <cellStyle name="百分比 8 2 9" xfId="8424" xr:uid="{EEBF6FC1-EC55-48D1-BF8B-73EF7E6B9CF6}"/>
    <cellStyle name="百分比 8 2 9 2" xfId="8425" xr:uid="{AD4CB71D-B548-4C14-99C2-C1C366756A88}"/>
    <cellStyle name="百分比 8 3" xfId="8426" xr:uid="{1BFF43B6-F421-4134-A443-C8547E5C070A}"/>
    <cellStyle name="百分比 8 3 2" xfId="8427" xr:uid="{CF484027-566F-4A3C-A310-EB3B988C1990}"/>
    <cellStyle name="百分比 8 3 2 2" xfId="8428" xr:uid="{6C0A236C-466B-4B36-AA62-01CBF2AEA232}"/>
    <cellStyle name="百分比 8 3 2 2 2" xfId="8429" xr:uid="{FDA9AD45-7672-487B-9FAB-6DBB468FD260}"/>
    <cellStyle name="百分比 8 3 2 2 2 2" xfId="8430" xr:uid="{647F000F-EC68-486C-8009-C0F1D4DC2F3D}"/>
    <cellStyle name="百分比 8 3 2 2 3" xfId="8431" xr:uid="{317D083B-5D3B-4A47-A233-6216D0BFC9A7}"/>
    <cellStyle name="百分比 8 3 2 2 4" xfId="8432" xr:uid="{DF6ECDAC-2321-4F60-9889-60DD035D49B8}"/>
    <cellStyle name="百分比 8 3 2 2 4 2" xfId="33326" xr:uid="{58FB70A0-D57B-4C64-A2B4-A8949654FEDD}"/>
    <cellStyle name="百分比 8 3 2 3" xfId="8433" xr:uid="{388D8737-D220-4E4C-A01A-0207FB8176D7}"/>
    <cellStyle name="百分比 8 3 2 3 2" xfId="8434" xr:uid="{D7B0D5FD-A649-45B2-B6F2-39EAF9C2AC18}"/>
    <cellStyle name="百分比 8 3 2 3 2 2" xfId="8435" xr:uid="{F5CA1565-1468-4328-B40F-D381C3C24CCD}"/>
    <cellStyle name="百分比 8 3 2 3 3" xfId="8436" xr:uid="{A170A5A1-C34F-4B46-AC18-F7F4DFED6D56}"/>
    <cellStyle name="百分比 8 3 2 3 4" xfId="8437" xr:uid="{B55B6F27-AFE4-48E6-BE25-40ACEF8E21BD}"/>
    <cellStyle name="百分比 8 3 2 3 4 2" xfId="33327" xr:uid="{DAD4271B-32A6-4688-BB99-D06FFEB67B93}"/>
    <cellStyle name="百分比 8 3 2 4" xfId="8438" xr:uid="{0ED5FC18-7936-4877-B2B0-01F3A553BD60}"/>
    <cellStyle name="百分比 8 3 2 4 2" xfId="8439" xr:uid="{97F74B0D-F013-4388-BFD3-CABF44A00F50}"/>
    <cellStyle name="百分比 8 3 2 5" xfId="8440" xr:uid="{DD4C2FAB-2DDD-4129-A1A9-694ACFCFA5E4}"/>
    <cellStyle name="百分比 8 3 2 6" xfId="8441" xr:uid="{0F04360A-D923-4D6D-BDCF-E06B97D89643}"/>
    <cellStyle name="百分比 8 3 2 6 2" xfId="33328" xr:uid="{1798FA4B-6326-40B3-87C1-AE3A71BBAF0C}"/>
    <cellStyle name="百分比 8 3 3" xfId="8442" xr:uid="{90CA9916-43A6-4A60-AE66-EC5F7C49DBAC}"/>
    <cellStyle name="百分比 8 3 3 2" xfId="8443" xr:uid="{ECC6F5E6-13D7-45A1-9DAD-339987695E04}"/>
    <cellStyle name="百分比 8 3 3 2 2" xfId="8444" xr:uid="{7C619F8C-A400-4377-9EAD-9219E87B2BA7}"/>
    <cellStyle name="百分比 8 3 3 3" xfId="8445" xr:uid="{5E077C76-DC2F-4CD4-866D-B41AEF561710}"/>
    <cellStyle name="百分比 8 3 3 3 2" xfId="8446" xr:uid="{49E3252B-28B4-4F5E-8A8E-43E253BBDA03}"/>
    <cellStyle name="百分比 8 3 3 4" xfId="8447" xr:uid="{5C747500-8A5E-454D-A3A1-0468828C8A43}"/>
    <cellStyle name="百分比 8 3 3 4 2" xfId="33329" xr:uid="{0A393994-1746-436D-A0B0-BFEFA222A0F2}"/>
    <cellStyle name="百分比 8 3 3 5" xfId="8448" xr:uid="{33E9981F-0B04-4404-9B52-8C0EADB88592}"/>
    <cellStyle name="百分比 8 3 3 6" xfId="8449" xr:uid="{6E998979-8EF6-4D09-B978-D89B8A0FB3DA}"/>
    <cellStyle name="百分比 8 3 3 7" xfId="8450" xr:uid="{83258FAB-0D9E-43BE-95A3-969E44295A6E}"/>
    <cellStyle name="百分比 8 3 4" xfId="8451" xr:uid="{63EA86D0-FB1C-4E77-849C-7DE162C60962}"/>
    <cellStyle name="百分比 8 3 4 2" xfId="8452" xr:uid="{CFED9C01-7AB1-4398-B47C-067FDD2A5E8B}"/>
    <cellStyle name="百分比 8 3 4 2 2" xfId="8453" xr:uid="{AF062C97-698A-4417-A313-D37C78842606}"/>
    <cellStyle name="百分比 8 3 4 3" xfId="8454" xr:uid="{A322F037-2997-491A-A532-321084DC022B}"/>
    <cellStyle name="百分比 8 3 4 4" xfId="8455" xr:uid="{C69DC11D-E975-40FD-9013-B74EC495E34B}"/>
    <cellStyle name="百分比 8 3 4 4 2" xfId="33330" xr:uid="{2EA62258-D056-4B35-A024-D10A3687C62D}"/>
    <cellStyle name="百分比 8 3 4 5" xfId="8456" xr:uid="{6A3D542A-EE10-47E4-B660-8C913EA719A7}"/>
    <cellStyle name="百分比 8 3 5" xfId="8457" xr:uid="{676D9789-1882-450B-9FAB-096499B9AFC0}"/>
    <cellStyle name="百分比 8 3 5 2" xfId="8458" xr:uid="{D60A3285-481D-4F89-95DC-69759E17ECA7}"/>
    <cellStyle name="百分比 8 3 6" xfId="8459" xr:uid="{E8A06F98-6887-4524-888E-1670B2BA658F}"/>
    <cellStyle name="百分比 8 3 6 2" xfId="8460" xr:uid="{DF38CD53-BA26-4E4E-B8FB-46542E3CF217}"/>
    <cellStyle name="百分比 8 3 7" xfId="8461" xr:uid="{6F605B64-31ED-4FAA-9C52-97CB6FC2BABD}"/>
    <cellStyle name="百分比 8 3 7 2" xfId="33331" xr:uid="{DD789777-27A7-486B-A3C4-9FB0D27D79F5}"/>
    <cellStyle name="百分比 8 3 8" xfId="8462" xr:uid="{82CD4160-E855-40FC-ADFA-515582AB86C8}"/>
    <cellStyle name="百分比 8 3 8 2" xfId="8463" xr:uid="{57D05636-1006-470E-8E63-E10CFF05DC82}"/>
    <cellStyle name="百分比 8 4" xfId="8464" xr:uid="{7B1D3A1A-A9D3-4CF4-AEB7-AA49EC2F6AE0}"/>
    <cellStyle name="百分比 8 4 2" xfId="8465" xr:uid="{9C3D091C-E6FA-4530-BC69-D75A7F7935F9}"/>
    <cellStyle name="百分比 8 4 2 2" xfId="8466" xr:uid="{4ED6DB3A-2724-4B04-9A62-6C978E7CC6FC}"/>
    <cellStyle name="百分比 8 4 2 2 2" xfId="8467" xr:uid="{0F020DB0-C3CB-4CF6-8F4E-FB0085B8571D}"/>
    <cellStyle name="百分比 8 4 2 3" xfId="8468" xr:uid="{46DA57C2-3F9A-4FB7-B2FD-9439D4170B2A}"/>
    <cellStyle name="百分比 8 4 2 4" xfId="8469" xr:uid="{6FB37E07-4462-46B0-B762-99D07C3EA478}"/>
    <cellStyle name="百分比 8 4 2 4 2" xfId="33332" xr:uid="{7A3B574D-9395-4487-B35F-08D2173AD60B}"/>
    <cellStyle name="百分比 8 4 3" xfId="8470" xr:uid="{36B0E4A9-4786-40DD-88B4-A41DA6485924}"/>
    <cellStyle name="百分比 8 4 3 2" xfId="8471" xr:uid="{798906F5-EF8B-478D-A937-F2416C1A7350}"/>
    <cellStyle name="百分比 8 4 3 2 2" xfId="8472" xr:uid="{E1D5859F-1716-45F6-8710-2DD521F03333}"/>
    <cellStyle name="百分比 8 4 3 3" xfId="8473" xr:uid="{677F44CC-615D-4993-9A5C-7A74B84F6633}"/>
    <cellStyle name="百分比 8 4 3 4" xfId="8474" xr:uid="{36353F9C-0D28-452B-876F-20CDFAA793CC}"/>
    <cellStyle name="百分比 8 4 3 4 2" xfId="33333" xr:uid="{01FC6B39-5DA3-4A5F-8A67-A95F767CBE38}"/>
    <cellStyle name="百分比 8 4 4" xfId="8475" xr:uid="{F90BF828-E652-47AC-9763-64A364EC2B4D}"/>
    <cellStyle name="百分比 8 4 4 2" xfId="8476" xr:uid="{F9388983-6862-47A0-A681-07E7162E7B78}"/>
    <cellStyle name="百分比 8 4 5" xfId="8477" xr:uid="{CB0FE5A8-ECA9-45BB-A9BB-0AB6D3BD3AC4}"/>
    <cellStyle name="百分比 8 4 6" xfId="8478" xr:uid="{4CD16565-1F19-4E00-9380-57E611F0AFBD}"/>
    <cellStyle name="百分比 8 4 6 2" xfId="33334" xr:uid="{5820D8CF-1474-46FF-9977-FDCFB4BBBFBA}"/>
    <cellStyle name="百分比 8 4 7" xfId="8479" xr:uid="{DE55BDEB-3469-410F-845D-95CACC294042}"/>
    <cellStyle name="百分比 8 5" xfId="8480" xr:uid="{5435CF8B-79A9-4D29-9CB5-CB6B8839054B}"/>
    <cellStyle name="百分比 8 5 2" xfId="8481" xr:uid="{AB70E98E-E3CE-4BB2-AB3A-4F396C3AEEF2}"/>
    <cellStyle name="百分比 8 5 2 2" xfId="8482" xr:uid="{F6645D9A-FBCC-4549-B24B-D32AA5F5623E}"/>
    <cellStyle name="百分比 8 5 3" xfId="8483" xr:uid="{00934129-8306-41D7-B875-57C9C946294E}"/>
    <cellStyle name="百分比 8 5 4" xfId="8484" xr:uid="{EACD7ADD-B5FF-43C7-B39C-43C391A9AD8D}"/>
    <cellStyle name="百分比 8 5 4 2" xfId="33335" xr:uid="{34785249-B842-4451-BCE2-B69681254739}"/>
    <cellStyle name="百分比 8 6" xfId="8485" xr:uid="{818F609F-27BB-40AE-B23C-3CF39FB5C200}"/>
    <cellStyle name="百分比 8 6 2" xfId="8486" xr:uid="{08472505-0638-4E4B-8255-FFCDE60B9EE4}"/>
    <cellStyle name="百分比 8 6 2 2" xfId="8487" xr:uid="{D8D8BE40-38BB-407B-A781-FC5892428DE3}"/>
    <cellStyle name="百分比 8 6 3" xfId="8488" xr:uid="{6654392D-D5BC-4ECB-BD78-56B3309FE750}"/>
    <cellStyle name="百分比 8 6 3 2" xfId="8489" xr:uid="{A6ECED97-CDCE-4051-9158-8152C4928F8E}"/>
    <cellStyle name="百分比 8 6 4" xfId="8490" xr:uid="{6DD1E05C-23BC-47EA-9DF1-F0E55997AB51}"/>
    <cellStyle name="百分比 8 6 4 2" xfId="33336" xr:uid="{0E478F8F-B9DB-4572-82DF-239DBAA942D5}"/>
    <cellStyle name="百分比 8 6 5" xfId="8491" xr:uid="{C8F855B3-A82C-4257-9C4B-6AB4214CFF45}"/>
    <cellStyle name="百分比 8 6 6" xfId="8492" xr:uid="{E9D9B818-4EEA-4C1C-AAA0-A68C9CB4F34A}"/>
    <cellStyle name="百分比 8 6 7" xfId="8493" xr:uid="{507436D2-DA06-4AD5-A99C-74F2C044CD3B}"/>
    <cellStyle name="百分比 8 7" xfId="8494" xr:uid="{D69DBFB4-483F-4163-888A-02DD44EDD905}"/>
    <cellStyle name="百分比 8 7 2" xfId="8495" xr:uid="{5036489E-FFD1-49AB-B180-E5D4592EB24E}"/>
    <cellStyle name="百分比 8 8" xfId="8496" xr:uid="{ACD8547E-8D4D-4EA6-9908-91DF44357916}"/>
    <cellStyle name="百分比 8 8 2" xfId="8497" xr:uid="{F28E9E51-F939-44E5-9A7C-C6AD5E2D2BF6}"/>
    <cellStyle name="百分比 8 9" xfId="8498" xr:uid="{AB0D323E-7AA4-4EE7-937B-9316841691D3}"/>
    <cellStyle name="百分比 8 9 2" xfId="33337" xr:uid="{35B1AD9C-3737-4509-8A56-8C6F5F0B9BF4}"/>
    <cellStyle name="百分比 9" xfId="8499" xr:uid="{F1636ED3-DA1D-405F-8BE1-08C5A5346FBD}"/>
    <cellStyle name="百分比 9 2" xfId="8500" xr:uid="{F0B90C57-4CDC-4BF8-85DB-953AAD47F724}"/>
    <cellStyle name="百分比 9 2 2" xfId="8501" xr:uid="{B2114A80-F206-46B1-9098-008C3311C57D}"/>
    <cellStyle name="百分比 9 3" xfId="8502" xr:uid="{C7A124FF-181C-4F2B-BA16-5462BEAD96AD}"/>
    <cellStyle name="百分比 9 3 2" xfId="8503" xr:uid="{E07CDB81-7205-4E64-9EA7-1DA02A3F3408}"/>
    <cellStyle name="百分比 9 4" xfId="8504" xr:uid="{500618C0-D25C-4C08-9A7F-49E972888FDF}"/>
    <cellStyle name="百分比 9 5" xfId="8505" xr:uid="{2AF8CD18-5580-44DC-AA70-8DB0AA91B98C}"/>
    <cellStyle name="标题 1 2" xfId="8506" xr:uid="{148300A7-0313-45EA-81C5-617E8355288A}"/>
    <cellStyle name="标题 1 2 2" xfId="8507" xr:uid="{1531BB06-2552-4AB4-88E2-F780510D0379}"/>
    <cellStyle name="标题 1 3" xfId="8508" xr:uid="{AC554E9D-3F97-4E51-92FE-EEA3CB3B12D1}"/>
    <cellStyle name="标题 1 4" xfId="33338" xr:uid="{FD3279BC-833E-410D-86E0-9CA2FD98FE6E}"/>
    <cellStyle name="标题 2 2" xfId="8509" xr:uid="{9440C18B-0216-4F99-AD57-58FEE1AF0CE2}"/>
    <cellStyle name="标题 2 2 2" xfId="8510" xr:uid="{71EDF1D6-5472-44E4-AF4E-440205401EC8}"/>
    <cellStyle name="标题 2 3" xfId="8511" xr:uid="{1FBF70BB-B7D3-4A82-B9E3-91D6665A2E4C}"/>
    <cellStyle name="标题 2 4" xfId="33339" xr:uid="{81E640B8-B605-4E6D-A757-B0906B68C0E4}"/>
    <cellStyle name="标题 3 2" xfId="8512" xr:uid="{20BBC920-93E8-4E39-9568-29F7F25CDAF1}"/>
    <cellStyle name="标题 3 2 2" xfId="8513" xr:uid="{BE32BB16-B152-46E3-8665-C4773345365D}"/>
    <cellStyle name="标题 3 3" xfId="8514" xr:uid="{9C6BB81F-00EB-44A3-9AF7-6FDE038CF6ED}"/>
    <cellStyle name="标题 3 4" xfId="33340" xr:uid="{8C714E0D-0CF9-44A0-AC42-00549D96A5D1}"/>
    <cellStyle name="标题 4 2" xfId="8515" xr:uid="{1A8434CA-74B2-4578-8766-BAC5F923AE92}"/>
    <cellStyle name="标题 4 2 2" xfId="8516" xr:uid="{4093B5DF-7592-402D-BEBB-1CD0F0E0F6CE}"/>
    <cellStyle name="标题 4 3" xfId="8517" xr:uid="{1493DFEB-F21B-4FFB-A376-AC720BFF8C80}"/>
    <cellStyle name="标题 4 4" xfId="8518" xr:uid="{DAF6B47A-0EE8-44FA-82B0-F670E979CDCF}"/>
    <cellStyle name="标题 4 5" xfId="33341" xr:uid="{E6E7C0E8-C668-49CA-A84B-4FC0B3030872}"/>
    <cellStyle name="标题 5" xfId="8519" xr:uid="{BAD58DD7-A13C-4866-BA97-0EF404A33109}"/>
    <cellStyle name="标题 5 2" xfId="8520" xr:uid="{321ABCA3-F7A7-4F2F-9A6B-96AFC469E9AB}"/>
    <cellStyle name="标题 5 3" xfId="8521" xr:uid="{4F58FEB4-786E-483C-BDB7-C1695366B92C}"/>
    <cellStyle name="标题 6" xfId="8522" xr:uid="{1A626B56-54B0-48FA-B80E-1F8F04B793DE}"/>
    <cellStyle name="标题 7" xfId="33342" xr:uid="{E2CCCB00-2631-4B01-B070-50B17C8B00E2}"/>
    <cellStyle name="差 2" xfId="8523" xr:uid="{E7B06E58-048F-4E92-824B-B725907E6D88}"/>
    <cellStyle name="差 2 2" xfId="8524" xr:uid="{3929E1E5-9E81-4FE2-AF2A-5626E4B16B1F}"/>
    <cellStyle name="差 3" xfId="8525" xr:uid="{E2681B1C-68D0-4E6F-9C4B-7AFEBED33D51}"/>
    <cellStyle name="差 4" xfId="33343" xr:uid="{263DC9FB-B615-41E8-8A46-AD767ADF1098}"/>
    <cellStyle name="常规" xfId="0" builtinId="0"/>
    <cellStyle name="常规 10" xfId="8526" xr:uid="{FD0D9A83-514D-43F3-A7AC-D00143C6559F}"/>
    <cellStyle name="常规 10 10" xfId="8527" xr:uid="{5E4C03C5-6E3B-49E3-9918-344B080A5B14}"/>
    <cellStyle name="常规 10 10 2" xfId="8528" xr:uid="{33F8C634-DD94-4E20-A3D1-078E84490DDD}"/>
    <cellStyle name="常规 10 10 2 2" xfId="8529" xr:uid="{B65BF233-157E-42DE-8D33-3535CEE98482}"/>
    <cellStyle name="常规 10 10 2 2 2" xfId="8530" xr:uid="{77503096-F43A-4C58-9DFF-F6B5F6D90EB5}"/>
    <cellStyle name="常规 10 10 2 3" xfId="8531" xr:uid="{3552F6CF-B7C0-4398-A710-EC5F353FE703}"/>
    <cellStyle name="常规 10 10 2 4" xfId="8532" xr:uid="{6D022FA5-DAB0-4AA4-879C-B1DDB8926830}"/>
    <cellStyle name="常规 10 10 2 4 2" xfId="33344" xr:uid="{8AFEEE4F-3B40-4071-BB76-5B79026FCF5A}"/>
    <cellStyle name="常规 10 10 3" xfId="8533" xr:uid="{FDB21F19-2115-47CE-9030-8D212A3C1533}"/>
    <cellStyle name="常规 10 10 3 2" xfId="8534" xr:uid="{82A3B99F-062A-4EC3-9B7F-467B70C6CEF7}"/>
    <cellStyle name="常规 10 10 4" xfId="8535" xr:uid="{52FCA632-EE3C-4F73-9C55-F93463DFBBFE}"/>
    <cellStyle name="常规 10 10 5" xfId="8536" xr:uid="{9CA3F8A0-59F4-431F-AC03-85C27A40AF90}"/>
    <cellStyle name="常规 10 10 5 2" xfId="33345" xr:uid="{3BA67695-AB52-4C5E-BDAF-5B3993DD987F}"/>
    <cellStyle name="常规 10 11" xfId="8537" xr:uid="{E88613A5-BA79-49A6-8597-0953EFF72547}"/>
    <cellStyle name="常规 10 11 2" xfId="8538" xr:uid="{2C72FDC0-4EE6-454A-A504-A914C1C5014C}"/>
    <cellStyle name="常规 10 11 2 2" xfId="8539" xr:uid="{4C3B52C6-7A0F-4F2D-9FE1-AC61FA928C89}"/>
    <cellStyle name="常规 10 11 2 2 2" xfId="8540" xr:uid="{E4BBFC7B-6515-453F-8AB7-826874494D9D}"/>
    <cellStyle name="常规 10 11 2 3" xfId="8541" xr:uid="{F43AD097-BFCF-4F5F-B05C-1711327E7DC8}"/>
    <cellStyle name="常规 10 11 2 4" xfId="8542" xr:uid="{E5B5421B-050F-466F-A83C-388CB75426CF}"/>
    <cellStyle name="常规 10 11 2 4 2" xfId="33346" xr:uid="{4B4FB53B-FAA2-4238-AC04-1B7B5594EC25}"/>
    <cellStyle name="常规 10 11 3" xfId="8543" xr:uid="{FD075294-F4FD-4274-99C9-2F55165BECF5}"/>
    <cellStyle name="常规 10 11 3 2" xfId="8544" xr:uid="{7E621945-65A3-4124-96E4-C92DA1757A21}"/>
    <cellStyle name="常规 10 11 4" xfId="8545" xr:uid="{0725C8FB-A937-4758-89E7-780CF4FD6E00}"/>
    <cellStyle name="常规 10 11 5" xfId="8546" xr:uid="{1B236348-426C-4FCC-A850-5B747809DD6B}"/>
    <cellStyle name="常规 10 11 5 2" xfId="33347" xr:uid="{8CE43E8B-EBD0-41DA-82D5-B8D428D62EDF}"/>
    <cellStyle name="常规 10 12" xfId="8547" xr:uid="{726C1B3C-1DE2-49A8-AD9B-6912AC847D34}"/>
    <cellStyle name="常规 10 12 2" xfId="8548" xr:uid="{C3B5AD43-6D06-4A46-840D-BE93EFDBFF6E}"/>
    <cellStyle name="常规 10 12 2 2" xfId="8549" xr:uid="{BCF9B67A-BC35-463E-82A4-8C4B6CFEEBE8}"/>
    <cellStyle name="常规 10 12 3" xfId="8550" xr:uid="{45ABD367-00A9-45A7-804D-C4EA6E29F030}"/>
    <cellStyle name="常规 10 12 4" xfId="8551" xr:uid="{B7CC3755-2B9D-4F51-A26B-EB6B9C689915}"/>
    <cellStyle name="常规 10 12 4 2" xfId="33348" xr:uid="{4B2E6799-E632-4CCF-B067-C85645B9EA01}"/>
    <cellStyle name="常规 10 13" xfId="8552" xr:uid="{BFD3A87D-294A-4C45-9BEC-4E1D929E9754}"/>
    <cellStyle name="常规 10 13 2" xfId="8553" xr:uid="{296A231D-3C60-4006-9B24-AABDC990D0D7}"/>
    <cellStyle name="常规 10 13 2 2" xfId="8554" xr:uid="{0C4773F5-F10C-4A76-A884-9604B909EFC5}"/>
    <cellStyle name="常规 10 13 3" xfId="8555" xr:uid="{3B332049-9715-48C1-9FAE-2E902A320A4B}"/>
    <cellStyle name="常规 10 13 4" xfId="8556" xr:uid="{45C15469-8225-4CBC-BD24-FA863A9510AD}"/>
    <cellStyle name="常规 10 13 4 2" xfId="33349" xr:uid="{1F192051-9807-4424-83A2-D68DF646669C}"/>
    <cellStyle name="常规 10 14" xfId="8557" xr:uid="{F194FC73-AAC1-44D7-99F0-9E0AE1CE21D0}"/>
    <cellStyle name="常规 10 15" xfId="33350" xr:uid="{A4A340FC-E8BC-423B-AF3A-D2E2DEE21827}"/>
    <cellStyle name="常规 10 2" xfId="8" xr:uid="{D406B4DB-42E3-4CAD-A0AC-BF10933FDEAA}"/>
    <cellStyle name="常规 10 2 10" xfId="8559" xr:uid="{CEAF22E0-6E9F-4C26-8CD4-D68F5610DEA7}"/>
    <cellStyle name="常规 10 2 10 2" xfId="8560" xr:uid="{DEAC0BA0-423B-4715-B83B-D23D1BB10423}"/>
    <cellStyle name="常规 10 2 10 2 2" xfId="8561" xr:uid="{80BEB309-A853-4449-BCB1-EE19975AC527}"/>
    <cellStyle name="常规 10 2 10 2 2 2" xfId="8562" xr:uid="{00247D43-BA2D-4E82-84BC-BDCF696AB348}"/>
    <cellStyle name="常规 10 2 10 2 3" xfId="8563" xr:uid="{C8D886B6-BFD9-4C20-84E9-D2DD7B3991AD}"/>
    <cellStyle name="常规 10 2 10 2 4" xfId="8564" xr:uid="{0C9E39D5-304C-4E76-BAA4-863A4E96D64A}"/>
    <cellStyle name="常规 10 2 10 2 4 2" xfId="33351" xr:uid="{89304253-1D59-4FF2-9A96-3C94933B4A43}"/>
    <cellStyle name="常规 10 2 10 3" xfId="8565" xr:uid="{2537CA75-C9D1-42FA-AB2C-9AA6E18B72B0}"/>
    <cellStyle name="常规 10 2 10 3 2" xfId="8566" xr:uid="{9E102553-B9F0-4C74-A4F7-7101BA810B19}"/>
    <cellStyle name="常规 10 2 10 4" xfId="8567" xr:uid="{8D530647-F14E-4B60-A957-00CD5CA296BC}"/>
    <cellStyle name="常规 10 2 10 5" xfId="8568" xr:uid="{3E3E1E0E-3F9E-4D7F-9D2E-9A7938DAFB46}"/>
    <cellStyle name="常规 10 2 10 5 2" xfId="33352" xr:uid="{B4C46D5F-9CAA-4B99-84E6-CCCC0E44688B}"/>
    <cellStyle name="常规 10 2 10 6" xfId="8569" xr:uid="{C19F5999-DF82-4952-9F62-6862828F28E5}"/>
    <cellStyle name="常规 10 2 11" xfId="12" xr:uid="{D9D31EAC-0E55-4E25-843A-451ADCEDB9F2}"/>
    <cellStyle name="常规 10 2 11 2" xfId="8570" xr:uid="{60D4596A-A1E4-4307-BCEC-77CF4717CFE9}"/>
    <cellStyle name="常规 10 2 11 3" xfId="8571" xr:uid="{23A65243-22AE-4575-93F4-5D9EA3B7CABC}"/>
    <cellStyle name="常规 10 2 11 4" xfId="8572" xr:uid="{5816FFBD-CCE0-4581-8809-12EB28938AB4}"/>
    <cellStyle name="常规 10 2 12" xfId="8573" xr:uid="{9A932378-5ECE-4489-9547-ECB3DE4D38A4}"/>
    <cellStyle name="常规 10 2 12 2" xfId="8574" xr:uid="{62C8935C-AB8B-4DBF-A9E5-BEF1D4F301CA}"/>
    <cellStyle name="常规 10 2 12 3" xfId="8575" xr:uid="{C5910992-3F6F-45B4-9782-967DFF5892BA}"/>
    <cellStyle name="常规 10 2 12 4" xfId="8576" xr:uid="{924C8E8E-4E52-4BD7-AB8A-D82B46F57F38}"/>
    <cellStyle name="常规 10 2 12 5" xfId="8577" xr:uid="{25D099F6-1913-4605-86FE-719BF82EFC95}"/>
    <cellStyle name="常规 10 2 12 6" xfId="8578" xr:uid="{4C597E35-2BC1-4861-A6DE-1923F8BAFD4E}"/>
    <cellStyle name="常规 10 2 12 7" xfId="8579" xr:uid="{188095C1-4503-4E15-9824-810C9F62B9D1}"/>
    <cellStyle name="常规 10 2 13" xfId="8580" xr:uid="{056A12E0-C1DD-4C3F-98E9-1362030C3886}"/>
    <cellStyle name="常规 10 2 13 2" xfId="8581" xr:uid="{9D23BB82-0859-4639-9BCC-5479FE0E7E4D}"/>
    <cellStyle name="常规 10 2 13 3" xfId="33353" xr:uid="{C5536567-5FFC-4EB4-8E6D-A9ED1E93601C}"/>
    <cellStyle name="常规 10 2 14" xfId="8582" xr:uid="{26683B03-08D8-4E03-8CCE-FA219BB7F7EC}"/>
    <cellStyle name="常规 10 2 14 2" xfId="8583" xr:uid="{D6233BCD-38CF-4D73-AE50-F2D219B64B40}"/>
    <cellStyle name="常规 10 2 15" xfId="8584" xr:uid="{39EA0024-4E06-4D0A-A2D4-12BCCC09B041}"/>
    <cellStyle name="常规 10 2 16" xfId="8585" xr:uid="{4930AF61-7A59-41B3-834E-316B78F3DDDA}"/>
    <cellStyle name="常规 10 2 17" xfId="8586" xr:uid="{54B8A95C-85C0-43BD-9250-BAC61BE419AD}"/>
    <cellStyle name="常规 10 2 18" xfId="8587" xr:uid="{8AB64AD9-C202-4FB0-B503-8044F1284574}"/>
    <cellStyle name="常规 10 2 19" xfId="8588" xr:uid="{DE6D8082-E826-40D8-8C53-97597A64338F}"/>
    <cellStyle name="常规 10 2 2" xfId="8589" xr:uid="{DE8A02A3-CFA4-41F5-A58C-A03045A358F2}"/>
    <cellStyle name="常规 10 2 2 10" xfId="8590" xr:uid="{63F1FED7-C88D-43A5-AD1F-2E8C98DC40CA}"/>
    <cellStyle name="常规 10 2 2 10 2" xfId="8591" xr:uid="{BC1ECF82-953B-48AD-8995-D1CC1517F5C4}"/>
    <cellStyle name="常规 10 2 2 10 2 2" xfId="8592" xr:uid="{CE7A8B71-E0A4-432C-A271-3A3DF9AC596A}"/>
    <cellStyle name="常规 10 2 2 10 3" xfId="8593" xr:uid="{53B33362-116D-48F4-A9D9-8570696630B5}"/>
    <cellStyle name="常规 10 2 2 10 4" xfId="8594" xr:uid="{402C1C56-AA91-4F05-8C46-C833FF6D02D6}"/>
    <cellStyle name="常规 10 2 2 10 4 2" xfId="33354" xr:uid="{874B3136-1BF4-453C-BDB3-F0A26DB97A38}"/>
    <cellStyle name="常规 10 2 2 10 5" xfId="8595" xr:uid="{B37952B0-47A2-48E2-9016-E26DE373906A}"/>
    <cellStyle name="常规 10 2 2 11" xfId="8596" xr:uid="{DC93C041-441E-4A66-A299-0D27AD79EC92}"/>
    <cellStyle name="常规 10 2 2 11 2" xfId="8597" xr:uid="{666D40A1-C9CC-4D21-8838-AB336C8A3B60}"/>
    <cellStyle name="常规 10 2 2 11 2 2" xfId="8598" xr:uid="{DDE19A46-A5CA-47C6-8664-FC2B39B03ADE}"/>
    <cellStyle name="常规 10 2 2 11 3" xfId="8599" xr:uid="{4221AD26-B4D8-48A8-A233-61E1ADD7654A}"/>
    <cellStyle name="常规 10 2 2 11 4" xfId="8600" xr:uid="{96A80453-22AA-4DFE-91A8-05556858B8C7}"/>
    <cellStyle name="常规 10 2 2 11 4 2" xfId="33355" xr:uid="{392E8E4B-A6D2-4DC3-8FEA-9681D63CB973}"/>
    <cellStyle name="常规 10 2 2 11 5" xfId="8601" xr:uid="{14B1F764-7C75-40BE-832E-AFADD42C1FFE}"/>
    <cellStyle name="常规 10 2 2 12" xfId="8602" xr:uid="{EF8E66E3-C953-476B-B667-A7B4B08CB97A}"/>
    <cellStyle name="常规 10 2 2 12 2" xfId="8603" xr:uid="{6D5E9C00-C0C4-466F-A249-7F5405AA0125}"/>
    <cellStyle name="常规 10 2 2 12 3" xfId="8604" xr:uid="{FE8AC6DE-0BFB-4DFD-A8D6-4D5B560110EF}"/>
    <cellStyle name="常规 10 2 2 13" xfId="8605" xr:uid="{CE687898-7197-4293-B82A-4808E6D0CF42}"/>
    <cellStyle name="常规 10 2 2 13 2" xfId="8606" xr:uid="{0BB99BB8-C7E9-4F87-ACC5-400E31D7C0DD}"/>
    <cellStyle name="常规 10 2 2 14" xfId="8607" xr:uid="{4BEAE06E-8304-4262-AA19-A10AEFEA8253}"/>
    <cellStyle name="常规 10 2 2 14 2" xfId="8608" xr:uid="{E98CAD3B-4C73-44C5-84C3-0D108681525D}"/>
    <cellStyle name="常规 10 2 2 14 3" xfId="33356" xr:uid="{500D192F-BEDA-4967-A23A-047127A1D7FF}"/>
    <cellStyle name="常规 10 2 2 15" xfId="8609" xr:uid="{515AF005-3C09-4D8F-978A-90D9E6A4FA17}"/>
    <cellStyle name="常规 10 2 2 2" xfId="8610" xr:uid="{65DD6C6E-BBA0-4371-81B4-99726C83DC5D}"/>
    <cellStyle name="常规 10 2 2 2 10" xfId="8611" xr:uid="{172FA958-8F6C-400B-A9F6-FD824B256FF7}"/>
    <cellStyle name="常规 10 2 2 2 10 2" xfId="8612" xr:uid="{62E20536-9F2D-4126-9B3F-0BF7D7B2CC97}"/>
    <cellStyle name="常规 10 2 2 2 10 2 2" xfId="8613" xr:uid="{AD16F098-AE3D-40EA-89C6-A74136AB8080}"/>
    <cellStyle name="常规 10 2 2 2 10 3" xfId="8614" xr:uid="{5C2F35FE-82F2-4231-A346-9BF19B5AD189}"/>
    <cellStyle name="常规 10 2 2 2 10 4" xfId="8615" xr:uid="{C190B014-5927-4E00-8F08-0DEDCE8D4622}"/>
    <cellStyle name="常规 10 2 2 2 10 4 2" xfId="33357" xr:uid="{FBBBCD4C-08C6-4258-8DD6-61B85D8C8369}"/>
    <cellStyle name="常规 10 2 2 2 10 5" xfId="8616" xr:uid="{6FD83DEE-9BE3-46E8-83EA-6920F1FF6823}"/>
    <cellStyle name="常规 10 2 2 2 11" xfId="8617" xr:uid="{720B9B80-1F99-42AE-AF47-9675B13D5EB6}"/>
    <cellStyle name="常规 10 2 2 2 11 2" xfId="8618" xr:uid="{87D55FF0-D2E3-4E8E-8C06-E426332B6987}"/>
    <cellStyle name="常规 10 2 2 2 11 3" xfId="8619" xr:uid="{8D177081-1598-4353-BC6F-A544F6C89A3A}"/>
    <cellStyle name="常规 10 2 2 2 12" xfId="8620" xr:uid="{4F05BE38-2925-42C8-A444-9949BBD73D7C}"/>
    <cellStyle name="常规 10 2 2 2 13" xfId="8621" xr:uid="{5DA6FD0B-D1D6-401B-89D2-A1E9BEC5CD38}"/>
    <cellStyle name="常规 10 2 2 2 13 2" xfId="33358" xr:uid="{3F98D8C0-AF3C-4797-83F9-6D0A52242DA3}"/>
    <cellStyle name="常规 10 2 2 2 14" xfId="8622" xr:uid="{A7E25044-A2DB-4990-89F7-B27A4C95F14F}"/>
    <cellStyle name="常规 10 2 2 2 2" xfId="8623" xr:uid="{4232F915-070D-4627-9154-438A04E280C5}"/>
    <cellStyle name="常规 10 2 2 2 2 10" xfId="8624" xr:uid="{62AD8050-50F9-4666-8E5D-94C9C1C2D489}"/>
    <cellStyle name="常规 10 2 2 2 2 2" xfId="8625" xr:uid="{E0CDBFB2-051E-49EB-882D-5020CD792009}"/>
    <cellStyle name="常规 10 2 2 2 2 2 2" xfId="8626" xr:uid="{D7B0408E-930A-4412-B413-A1FBD554421E}"/>
    <cellStyle name="常规 10 2 2 2 2 2 2 2" xfId="8627" xr:uid="{90F99246-A4D7-494F-B409-F71C5752E796}"/>
    <cellStyle name="常规 10 2 2 2 2 2 2 2 2" xfId="8628" xr:uid="{16C42F3F-5B2F-4637-94B4-9C71CC3547D5}"/>
    <cellStyle name="常规 10 2 2 2 2 2 2 2 2 2" xfId="8629" xr:uid="{6C1E5709-7FF8-43B4-8621-ECE43D943DF3}"/>
    <cellStyle name="常规 10 2 2 2 2 2 2 2 2 2 2" xfId="8630" xr:uid="{05399980-482D-4D64-8442-B8A1CC23D1B4}"/>
    <cellStyle name="常规 10 2 2 2 2 2 2 2 2 3" xfId="8631" xr:uid="{05066117-C2D7-4A1D-9781-0A36D8AB076F}"/>
    <cellStyle name="常规 10 2 2 2 2 2 2 2 2 4" xfId="8632" xr:uid="{72A02008-B839-4FB9-99C1-5D20209A9A23}"/>
    <cellStyle name="常规 10 2 2 2 2 2 2 2 2 4 2" xfId="33359" xr:uid="{9DC5D348-2B34-44CF-9794-46DDFA65BDDE}"/>
    <cellStyle name="常规 10 2 2 2 2 2 2 2 2 5" xfId="8633" xr:uid="{A28F28BB-C6F9-48A6-AC8E-C1DC2979AE48}"/>
    <cellStyle name="常规 10 2 2 2 2 2 2 2 3" xfId="8634" xr:uid="{E2E912B4-343B-4E38-B95D-1B9EA83CB098}"/>
    <cellStyle name="常规 10 2 2 2 2 2 2 2 3 2" xfId="8635" xr:uid="{7CBB5EB5-CAB5-40A6-B559-F2270936EF65}"/>
    <cellStyle name="常规 10 2 2 2 2 2 2 2 3 3" xfId="8636" xr:uid="{34915A6F-0A24-4F7A-BEFC-F64A4D2CFD22}"/>
    <cellStyle name="常规 10 2 2 2 2 2 2 2 4" xfId="8637" xr:uid="{B1FA3481-0EBE-4DC6-AE5D-12A7D79F08BF}"/>
    <cellStyle name="常规 10 2 2 2 2 2 2 2 4 2" xfId="8638" xr:uid="{B47BB7E1-1260-4E48-8C92-C5D569B2D20A}"/>
    <cellStyle name="常规 10 2 2 2 2 2 2 2 5" xfId="8639" xr:uid="{B4C07E59-97D3-4C32-AE89-EFB33B610726}"/>
    <cellStyle name="常规 10 2 2 2 2 2 2 2 5 2" xfId="8640" xr:uid="{BD7D04E2-BDF1-47D2-80E0-77B509FDA351}"/>
    <cellStyle name="常规 10 2 2 2 2 2 2 2 5 3" xfId="33360" xr:uid="{FE61E8CF-E9B2-4CBA-A80C-288585972D6D}"/>
    <cellStyle name="常规 10 2 2 2 2 2 2 2 6" xfId="8641" xr:uid="{F8BD43D5-5D77-4E0E-ABB8-9734A5142A2B}"/>
    <cellStyle name="常规 10 2 2 2 2 2 2 2 7" xfId="8642" xr:uid="{5AA6D573-E624-420B-869F-921449ECE0AE}"/>
    <cellStyle name="常规 10 2 2 2 2 2 2 3" xfId="8643" xr:uid="{83F8F847-85F0-444F-9B32-22B4A921D366}"/>
    <cellStyle name="常规 10 2 2 2 2 2 2 3 2" xfId="8644" xr:uid="{1F47E81B-816A-4714-9080-5D22F1858639}"/>
    <cellStyle name="常规 10 2 2 2 2 2 2 3 2 2" xfId="8645" xr:uid="{690A89ED-8985-4E00-879C-6B7759FE5B3C}"/>
    <cellStyle name="常规 10 2 2 2 2 2 2 3 3" xfId="8646" xr:uid="{CA879721-6CC2-4697-BBE1-E73C3C124820}"/>
    <cellStyle name="常规 10 2 2 2 2 2 2 3 4" xfId="8647" xr:uid="{AB3EA030-A3D7-4B17-AD7D-4D2B5AEA6A52}"/>
    <cellStyle name="常规 10 2 2 2 2 2 2 3 4 2" xfId="33361" xr:uid="{B37E0D23-12D5-45A4-9662-E1B06E767DF8}"/>
    <cellStyle name="常规 10 2 2 2 2 2 2 3 5" xfId="8648" xr:uid="{3D17465F-109B-4AE4-AFFB-7943CAD8DAE8}"/>
    <cellStyle name="常规 10 2 2 2 2 2 2 4" xfId="8649" xr:uid="{F951A022-8594-46A4-9C32-D653C151D503}"/>
    <cellStyle name="常规 10 2 2 2 2 2 2 4 2" xfId="8650" xr:uid="{A3FA120F-F6CE-4316-824C-2918A4876837}"/>
    <cellStyle name="常规 10 2 2 2 2 2 2 4 3" xfId="8651" xr:uid="{44102C38-E4B3-483D-960C-51A78CC73FD1}"/>
    <cellStyle name="常规 10 2 2 2 2 2 2 5" xfId="8652" xr:uid="{A2DB033D-8D98-4D90-812E-F42477968E1A}"/>
    <cellStyle name="常规 10 2 2 2 2 2 2 5 2" xfId="8653" xr:uid="{C1762399-22E2-4BBC-89BE-DF525EA4E425}"/>
    <cellStyle name="常规 10 2 2 2 2 2 2 6" xfId="8654" xr:uid="{94B080CC-600C-4651-B8E6-E6A1B1580B14}"/>
    <cellStyle name="常规 10 2 2 2 2 2 2 6 2" xfId="8655" xr:uid="{B474606C-AF00-4691-B4D3-F58DE80438BE}"/>
    <cellStyle name="常规 10 2 2 2 2 2 2 6 3" xfId="33362" xr:uid="{43B39E94-CD44-4E27-B3DC-F483DFD8A0D4}"/>
    <cellStyle name="常规 10 2 2 2 2 2 2 7" xfId="8656" xr:uid="{375F202E-3E0C-42C6-94C0-53EA90451184}"/>
    <cellStyle name="常规 10 2 2 2 2 2 2 8" xfId="8657" xr:uid="{71780D3E-1806-469C-90E9-E05C0AE59062}"/>
    <cellStyle name="常规 10 2 2 2 2 2 3" xfId="8658" xr:uid="{3897D0C5-5BEB-49A4-A4A7-97386E3140D1}"/>
    <cellStyle name="常规 10 2 2 2 2 2 3 2" xfId="8659" xr:uid="{952DD4C4-723C-40EF-8CAA-F27BE6FDF5EE}"/>
    <cellStyle name="常规 10 2 2 2 2 2 3 2 2" xfId="8660" xr:uid="{72B41C61-5FC0-4C04-8111-EACD00F983E9}"/>
    <cellStyle name="常规 10 2 2 2 2 2 3 2 2 2" xfId="8661" xr:uid="{3279EFDE-E3A9-4669-8C75-280BC514AE2B}"/>
    <cellStyle name="常规 10 2 2 2 2 2 3 2 3" xfId="8662" xr:uid="{990DF269-60EA-4163-856F-8CD1791138FA}"/>
    <cellStyle name="常规 10 2 2 2 2 2 3 2 4" xfId="8663" xr:uid="{4531FE77-47DD-417D-8D7D-1EDAB61CC94F}"/>
    <cellStyle name="常规 10 2 2 2 2 2 3 2 4 2" xfId="33363" xr:uid="{BDF00558-5917-49D8-9734-D81DBE7D907C}"/>
    <cellStyle name="常规 10 2 2 2 2 2 3 2 5" xfId="8664" xr:uid="{A92E3BD8-0F1B-4310-A3AC-E180FAE130CF}"/>
    <cellStyle name="常规 10 2 2 2 2 2 3 3" xfId="8665" xr:uid="{6D662FBA-67AF-4D19-8945-D797924B38C0}"/>
    <cellStyle name="常规 10 2 2 2 2 2 3 3 2" xfId="8666" xr:uid="{4A9C20D1-50B9-402D-958C-1D408C458897}"/>
    <cellStyle name="常规 10 2 2 2 2 2 3 3 3" xfId="8667" xr:uid="{12757BD9-9DE5-43A6-9266-DAA873108916}"/>
    <cellStyle name="常规 10 2 2 2 2 2 3 4" xfId="8668" xr:uid="{CBB5AA81-43AD-4F19-BC38-DC69A479F6B2}"/>
    <cellStyle name="常规 10 2 2 2 2 2 3 4 2" xfId="8669" xr:uid="{05A6AB9F-0D77-4E60-837C-AAD5171722C4}"/>
    <cellStyle name="常规 10 2 2 2 2 2 3 5" xfId="8670" xr:uid="{595AB90C-7ABA-436A-9B3F-C9A9CDBC8D4F}"/>
    <cellStyle name="常规 10 2 2 2 2 2 3 5 2" xfId="8671" xr:uid="{136BCA23-5690-4AC2-8772-48BB431C617B}"/>
    <cellStyle name="常规 10 2 2 2 2 2 3 5 3" xfId="33364" xr:uid="{34B2004B-FA57-48C3-9D29-2147EFC664E2}"/>
    <cellStyle name="常规 10 2 2 2 2 2 3 6" xfId="8672" xr:uid="{D416070F-15D2-4AAF-87F0-8D328E557D67}"/>
    <cellStyle name="常规 10 2 2 2 2 2 3 7" xfId="8673" xr:uid="{D250AAEF-A225-44BE-BF1C-20100A91494E}"/>
    <cellStyle name="常规 10 2 2 2 2 2 4" xfId="8674" xr:uid="{AE089029-4854-4A8E-929D-52141BB7D395}"/>
    <cellStyle name="常规 10 2 2 2 2 2 4 2" xfId="8675" xr:uid="{D20203BC-2D30-44EC-BEB8-9AF158C89167}"/>
    <cellStyle name="常规 10 2 2 2 2 2 4 2 2" xfId="8676" xr:uid="{844009C2-8DAD-4334-B154-9083736B1B07}"/>
    <cellStyle name="常规 10 2 2 2 2 2 4 3" xfId="8677" xr:uid="{AEF01AE9-BAA3-41A1-BC66-ED1BEA6E0E33}"/>
    <cellStyle name="常规 10 2 2 2 2 2 4 4" xfId="8678" xr:uid="{3511A5C4-D86B-4B18-B47B-CD78A048B0D7}"/>
    <cellStyle name="常规 10 2 2 2 2 2 4 4 2" xfId="33365" xr:uid="{FC928BC3-F943-42FF-807B-7983729E8239}"/>
    <cellStyle name="常规 10 2 2 2 2 2 4 5" xfId="8679" xr:uid="{7F80151F-65B5-472A-BA10-74BE02438946}"/>
    <cellStyle name="常规 10 2 2 2 2 2 5" xfId="8680" xr:uid="{F2E41A3A-210E-4E46-918D-30A23456A547}"/>
    <cellStyle name="常规 10 2 2 2 2 2 5 2" xfId="8681" xr:uid="{580FF10E-CF5A-4AF1-92C9-DC1888D264FA}"/>
    <cellStyle name="常规 10 2 2 2 2 2 5 3" xfId="8682" xr:uid="{B3231E75-8E0C-4F98-AD6B-05EDAF16BDEA}"/>
    <cellStyle name="常规 10 2 2 2 2 2 6" xfId="8683" xr:uid="{0749D34C-C8ED-4696-8BE2-6C6689DC4D1C}"/>
    <cellStyle name="常规 10 2 2 2 2 2 6 2" xfId="8684" xr:uid="{584A14FA-CF12-4170-B2C4-BD2924717F07}"/>
    <cellStyle name="常规 10 2 2 2 2 2 7" xfId="8685" xr:uid="{AAC36690-5BEB-404D-A0CF-A1C1E0AA3337}"/>
    <cellStyle name="常规 10 2 2 2 2 2 7 2" xfId="8686" xr:uid="{6B3E0582-5FB1-48A2-81A6-6C0F2B9A7AD8}"/>
    <cellStyle name="常规 10 2 2 2 2 2 7 3" xfId="33366" xr:uid="{DEA53DAD-0B50-4170-9FA6-DCE285C3C3CD}"/>
    <cellStyle name="常规 10 2 2 2 2 2 8" xfId="8687" xr:uid="{15B21053-5618-4003-BB19-AA7A1E00BCC3}"/>
    <cellStyle name="常规 10 2 2 2 2 2 9" xfId="8688" xr:uid="{66008492-C937-4D01-8339-856FFF4C5538}"/>
    <cellStyle name="常规 10 2 2 2 2 3" xfId="8689" xr:uid="{1C22DA72-D78F-4589-A214-BE9EB49BE8E9}"/>
    <cellStyle name="常规 10 2 2 2 2 3 2" xfId="8690" xr:uid="{B40C1D29-FDFB-44C9-9ABC-387E777731FA}"/>
    <cellStyle name="常规 10 2 2 2 2 3 2 2" xfId="8691" xr:uid="{6A0F1BA1-C2C2-4A09-82CB-BB120455AE2C}"/>
    <cellStyle name="常规 10 2 2 2 2 3 2 2 2" xfId="8692" xr:uid="{A1FD682B-997B-4965-BCD5-DBC018BD6366}"/>
    <cellStyle name="常规 10 2 2 2 2 3 2 2 2 2" xfId="8693" xr:uid="{37C8AF74-2EF3-4DE3-BA53-454CDE38653F}"/>
    <cellStyle name="常规 10 2 2 2 2 3 2 2 3" xfId="8694" xr:uid="{D9563759-1DDC-4677-8EC3-F80A3C3AD8AA}"/>
    <cellStyle name="常规 10 2 2 2 2 3 2 2 4" xfId="8695" xr:uid="{CA4144D9-4B11-4AF4-B3D6-2F5508171138}"/>
    <cellStyle name="常规 10 2 2 2 2 3 2 2 4 2" xfId="33367" xr:uid="{D9797B69-CBAC-4168-A204-06CCFB5A91B5}"/>
    <cellStyle name="常规 10 2 2 2 2 3 2 2 5" xfId="8696" xr:uid="{34FBF0AF-C17C-468A-818C-516200A8D415}"/>
    <cellStyle name="常规 10 2 2 2 2 3 2 3" xfId="8697" xr:uid="{E895763D-8040-4F72-AF5C-20644A6C040E}"/>
    <cellStyle name="常规 10 2 2 2 2 3 2 3 2" xfId="8698" xr:uid="{C762B6CB-4432-4376-BFD2-3882DD1104EC}"/>
    <cellStyle name="常规 10 2 2 2 2 3 2 3 3" xfId="8699" xr:uid="{06C3B8EB-ABFF-427F-AC8A-66F7204A873D}"/>
    <cellStyle name="常规 10 2 2 2 2 3 2 4" xfId="8700" xr:uid="{87FAE7F3-2E6E-4EDC-BDBC-6A4092184561}"/>
    <cellStyle name="常规 10 2 2 2 2 3 2 4 2" xfId="8701" xr:uid="{33E3CDFE-7B62-4420-8552-C6A1832E5D37}"/>
    <cellStyle name="常规 10 2 2 2 2 3 2 5" xfId="8702" xr:uid="{7DB38E90-7233-48AF-B871-9D71F2FB46A5}"/>
    <cellStyle name="常规 10 2 2 2 2 3 2 5 2" xfId="8703" xr:uid="{C8EB8652-9896-4531-8B3B-501CCFEAACC0}"/>
    <cellStyle name="常规 10 2 2 2 2 3 2 5 3" xfId="33368" xr:uid="{5EA83A07-EC14-4074-B29F-80EB66A42891}"/>
    <cellStyle name="常规 10 2 2 2 2 3 2 6" xfId="8704" xr:uid="{6D127CD9-99A8-4250-8F1B-9C644D21E15D}"/>
    <cellStyle name="常规 10 2 2 2 2 3 2 7" xfId="8705" xr:uid="{B11AF495-4A73-42E2-880E-2A5D8E597DE8}"/>
    <cellStyle name="常规 10 2 2 2 2 3 3" xfId="8706" xr:uid="{BEC3BC16-7228-4C3A-9A4D-0B40518EFC05}"/>
    <cellStyle name="常规 10 2 2 2 2 3 3 2" xfId="8707" xr:uid="{AB4BA7B0-5928-413F-8AE8-B051B0A7C1C7}"/>
    <cellStyle name="常规 10 2 2 2 2 3 3 2 2" xfId="8708" xr:uid="{A2F24B87-15D1-4EBA-BCC0-E752958EF8B6}"/>
    <cellStyle name="常规 10 2 2 2 2 3 3 3" xfId="8709" xr:uid="{88BCFA7A-4837-47FE-91AF-7FE4BF3EFA33}"/>
    <cellStyle name="常规 10 2 2 2 2 3 3 4" xfId="8710" xr:uid="{033567B8-5AC6-437E-97FC-D93667F9C601}"/>
    <cellStyle name="常规 10 2 2 2 2 3 3 4 2" xfId="33369" xr:uid="{1ABF8F68-80CA-4EAC-801A-E6F7B8BA8E42}"/>
    <cellStyle name="常规 10 2 2 2 2 3 3 5" xfId="8711" xr:uid="{CE3AF7DC-98A5-41C1-8589-397F387868FA}"/>
    <cellStyle name="常规 10 2 2 2 2 3 4" xfId="8712" xr:uid="{350E9CAB-B3F4-438B-97E0-82B495B99D61}"/>
    <cellStyle name="常规 10 2 2 2 2 3 4 2" xfId="8713" xr:uid="{682AFB95-0B1B-45D5-AC91-4F589CFB931F}"/>
    <cellStyle name="常规 10 2 2 2 2 3 4 3" xfId="8714" xr:uid="{F11F677E-E7DF-42D5-B5D2-C8CF5D4545C2}"/>
    <cellStyle name="常规 10 2 2 2 2 3 5" xfId="8715" xr:uid="{20492B4D-0BB2-4785-B106-AD76D0CBE2FC}"/>
    <cellStyle name="常规 10 2 2 2 2 3 5 2" xfId="8716" xr:uid="{A3F9920B-5D7C-46D2-B236-E2B23CF57ED5}"/>
    <cellStyle name="常规 10 2 2 2 2 3 6" xfId="8717" xr:uid="{6E9C8DC1-7899-47BF-B96A-8FEC2DD54B92}"/>
    <cellStyle name="常规 10 2 2 2 2 3 6 2" xfId="8718" xr:uid="{753C5216-D5E9-4D85-A239-E7E70875F6EE}"/>
    <cellStyle name="常规 10 2 2 2 2 3 6 3" xfId="33370" xr:uid="{EE813AF4-7D0E-4916-8C55-C964530C7C98}"/>
    <cellStyle name="常规 10 2 2 2 2 3 7" xfId="8719" xr:uid="{222017D5-F318-41AC-855D-4A30E9758231}"/>
    <cellStyle name="常规 10 2 2 2 2 3 8" xfId="8720" xr:uid="{6FCC5A11-3589-4D32-B530-7974CF6CA08B}"/>
    <cellStyle name="常规 10 2 2 2 2 4" xfId="8721" xr:uid="{92E3A0F8-C409-4DB2-90F2-D29EB1B53E04}"/>
    <cellStyle name="常规 10 2 2 2 2 4 2" xfId="8722" xr:uid="{C7194339-BBC4-42AE-8D87-C9433B6D9DC7}"/>
    <cellStyle name="常规 10 2 2 2 2 4 2 2" xfId="8723" xr:uid="{52D2B140-681E-4104-B28B-0D799F174B54}"/>
    <cellStyle name="常规 10 2 2 2 2 4 2 2 2" xfId="8724" xr:uid="{6004C235-4F12-44C0-9B5B-A61A2526B76A}"/>
    <cellStyle name="常规 10 2 2 2 2 4 2 3" xfId="8725" xr:uid="{530E2EC1-DCD8-45A1-803C-B052D7C820E6}"/>
    <cellStyle name="常规 10 2 2 2 2 4 2 4" xfId="8726" xr:uid="{07914D27-4E1C-478D-9830-DE6167ACC594}"/>
    <cellStyle name="常规 10 2 2 2 2 4 2 4 2" xfId="33371" xr:uid="{8814DE0D-4E4A-4717-870E-9F15F638AD8E}"/>
    <cellStyle name="常规 10 2 2 2 2 4 2 5" xfId="8727" xr:uid="{872AE4E4-FEE9-45D2-8607-07A301BF1F80}"/>
    <cellStyle name="常规 10 2 2 2 2 4 3" xfId="8728" xr:uid="{C2C67286-FD1B-4DEA-9AA3-F765CF971139}"/>
    <cellStyle name="常规 10 2 2 2 2 4 3 2" xfId="8729" xr:uid="{6599C574-B865-4BCE-A33C-A7DFFD43695A}"/>
    <cellStyle name="常规 10 2 2 2 2 4 3 3" xfId="8730" xr:uid="{4AA6BFCB-1D9E-4182-B73A-EE8A3B241204}"/>
    <cellStyle name="常规 10 2 2 2 2 4 4" xfId="8731" xr:uid="{F3F0AD32-037F-4222-9FA3-65D620B7EE36}"/>
    <cellStyle name="常规 10 2 2 2 2 4 4 2" xfId="8732" xr:uid="{99E9B327-A125-4F54-B940-C7243263CD72}"/>
    <cellStyle name="常规 10 2 2 2 2 4 5" xfId="8733" xr:uid="{D44199C1-F077-47B0-8BA6-3A9E8D181E25}"/>
    <cellStyle name="常规 10 2 2 2 2 4 5 2" xfId="8734" xr:uid="{85C5A4AB-5EFB-4B12-842D-E568A8CA4117}"/>
    <cellStyle name="常规 10 2 2 2 2 4 5 3" xfId="33372" xr:uid="{5772CBC9-DF48-4782-9015-12477F4C1D7B}"/>
    <cellStyle name="常规 10 2 2 2 2 4 6" xfId="8735" xr:uid="{DBFDC73A-D96C-46EF-B157-F19C9C29F44D}"/>
    <cellStyle name="常规 10 2 2 2 2 4 7" xfId="8736" xr:uid="{EAA427D1-7442-43CB-9052-00645CA0212C}"/>
    <cellStyle name="常规 10 2 2 2 2 5" xfId="8737" xr:uid="{201FB668-8AF3-405B-8DB0-FD0DEF86EB2A}"/>
    <cellStyle name="常规 10 2 2 2 2 5 2" xfId="8738" xr:uid="{D3F84619-E943-4E01-85FF-888409C8F7FE}"/>
    <cellStyle name="常规 10 2 2 2 2 5 2 2" xfId="8739" xr:uid="{2D8C8F58-A556-4A78-8D9A-B1B6D344AB94}"/>
    <cellStyle name="常规 10 2 2 2 2 5 3" xfId="8740" xr:uid="{AF25632A-E18A-4904-994D-9B63BA853068}"/>
    <cellStyle name="常规 10 2 2 2 2 5 4" xfId="8741" xr:uid="{0ADE2A9B-DDAB-498D-95C2-93231127913C}"/>
    <cellStyle name="常规 10 2 2 2 2 5 4 2" xfId="33373" xr:uid="{D6D3CBE5-5457-4FE9-AFF6-2C08981A1802}"/>
    <cellStyle name="常规 10 2 2 2 2 5 5" xfId="8742" xr:uid="{15C84BCD-85AC-4C03-BF87-E1C687D4D5A6}"/>
    <cellStyle name="常规 10 2 2 2 2 6" xfId="8743" xr:uid="{BF1B65E7-3E9A-4EB1-ADC7-8D891C3CB9B6}"/>
    <cellStyle name="常规 10 2 2 2 2 6 2" xfId="8744" xr:uid="{53F1B694-6F1D-4968-A254-7EFFEAFF9EEB}"/>
    <cellStyle name="常规 10 2 2 2 2 6 2 2" xfId="8745" xr:uid="{EF2A95A7-050F-401E-80EC-251491BA7D91}"/>
    <cellStyle name="常规 10 2 2 2 2 6 3" xfId="8746" xr:uid="{F12C7E6F-307D-4AAD-83EE-D50C6B1B37DD}"/>
    <cellStyle name="常规 10 2 2 2 2 6 4" xfId="8747" xr:uid="{693D1E27-2096-4476-934C-FC446D4DABC9}"/>
    <cellStyle name="常规 10 2 2 2 2 6 4 2" xfId="33374" xr:uid="{6731A2DF-334F-4FD3-864E-B87729316D2E}"/>
    <cellStyle name="常规 10 2 2 2 2 6 5" xfId="8748" xr:uid="{261CFCAA-C4AE-4E65-9F68-8062A145D136}"/>
    <cellStyle name="常规 10 2 2 2 2 7" xfId="8749" xr:uid="{6BFBE331-A2AC-4BA4-AC4F-CEDEB03060C5}"/>
    <cellStyle name="常规 10 2 2 2 2 7 2" xfId="8750" xr:uid="{794FE411-A9AB-4629-8ECD-A4D6D59A71BF}"/>
    <cellStyle name="常规 10 2 2 2 2 7 3" xfId="8751" xr:uid="{99BBA8D1-E641-4F01-91A9-3B7ADFA8A776}"/>
    <cellStyle name="常规 10 2 2 2 2 8" xfId="8752" xr:uid="{A5BAEEC5-7F4D-4AB3-9892-96DE7B61A996}"/>
    <cellStyle name="常规 10 2 2 2 2 8 2" xfId="8753" xr:uid="{234D0C8B-5AE9-46C1-AA04-BA98E5207686}"/>
    <cellStyle name="常规 10 2 2 2 2 9" xfId="8754" xr:uid="{651E8B68-B462-46D3-9B7C-95DE3789E379}"/>
    <cellStyle name="常规 10 2 2 2 2 9 2" xfId="8755" xr:uid="{623B5DBB-896E-47DB-A77E-C35CE23C54F7}"/>
    <cellStyle name="常规 10 2 2 2 2 9 3" xfId="33375" xr:uid="{70F059D0-64CB-46D5-93F8-F44E20336543}"/>
    <cellStyle name="常规 10 2 2 2 3" xfId="8756" xr:uid="{3F43D4F2-1057-4B65-9CDD-7AC4239F94FA}"/>
    <cellStyle name="常规 10 2 2 2 3 2" xfId="8757" xr:uid="{E13E62C7-5863-4B93-B45A-A7E959669109}"/>
    <cellStyle name="常规 10 2 2 2 3 2 2" xfId="8758" xr:uid="{653C444A-B7A0-4DBE-BA64-B40DB3F5DA9D}"/>
    <cellStyle name="常规 10 2 2 2 3 2 2 2" xfId="8759" xr:uid="{2B264275-29C8-457A-BEA3-2DC4D25A306B}"/>
    <cellStyle name="常规 10 2 2 2 3 2 2 2 2" xfId="8760" xr:uid="{9AFF2781-51A4-46A3-A6A7-F2B244337185}"/>
    <cellStyle name="常规 10 2 2 2 3 2 2 2 2 2" xfId="8761" xr:uid="{EFFF561E-1C74-4FCB-A1B3-3034ECC1DA28}"/>
    <cellStyle name="常规 10 2 2 2 3 2 2 2 3" xfId="8762" xr:uid="{3EED1653-79B0-405C-95DE-9B8B22CD2176}"/>
    <cellStyle name="常规 10 2 2 2 3 2 2 2 4" xfId="8763" xr:uid="{95C1E167-CE37-4398-A79D-5FF8AA146D73}"/>
    <cellStyle name="常规 10 2 2 2 3 2 2 2 4 2" xfId="33376" xr:uid="{6E0D76C0-CDE3-4D01-AC64-AD824562ACC7}"/>
    <cellStyle name="常规 10 2 2 2 3 2 2 2 5" xfId="8764" xr:uid="{56253CF5-9EF7-410E-B9B0-D42E2E9301D6}"/>
    <cellStyle name="常规 10 2 2 2 3 2 2 3" xfId="8765" xr:uid="{065701DA-4EBC-4196-ADB2-B41706092626}"/>
    <cellStyle name="常规 10 2 2 2 3 2 2 3 2" xfId="8766" xr:uid="{CCC1B63B-D985-4398-BCB7-796BC2B9F8E9}"/>
    <cellStyle name="常规 10 2 2 2 3 2 2 3 3" xfId="8767" xr:uid="{BEA5DF67-7A92-41C8-BDEA-C8AFA24BE5A5}"/>
    <cellStyle name="常规 10 2 2 2 3 2 2 4" xfId="8768" xr:uid="{4A3923B5-6579-40F7-8ECA-44E98581DC2A}"/>
    <cellStyle name="常规 10 2 2 2 3 2 2 4 2" xfId="8769" xr:uid="{63FC4248-501F-471E-8AAB-E4BE7F6ED7F8}"/>
    <cellStyle name="常规 10 2 2 2 3 2 2 5" xfId="8770" xr:uid="{FC280E12-7D7F-4A0C-AFA4-C5AFAD8C9495}"/>
    <cellStyle name="常规 10 2 2 2 3 2 2 5 2" xfId="8771" xr:uid="{D071B3C0-861D-49B2-B419-A0B1057AED8F}"/>
    <cellStyle name="常规 10 2 2 2 3 2 2 5 3" xfId="33377" xr:uid="{3A547D77-EE35-4630-A3E2-F17E32EEC44D}"/>
    <cellStyle name="常规 10 2 2 2 3 2 2 6" xfId="8772" xr:uid="{0CE63BA1-E4EC-4FBC-B95B-4F134C86B27F}"/>
    <cellStyle name="常规 10 2 2 2 3 2 2 7" xfId="8773" xr:uid="{9384365E-3676-4727-9C2A-633F608FB7CD}"/>
    <cellStyle name="常规 10 2 2 2 3 2 3" xfId="8774" xr:uid="{B08AC357-64F8-4482-95F8-E5123AD28F26}"/>
    <cellStyle name="常规 10 2 2 2 3 2 3 2" xfId="8775" xr:uid="{34F22774-DD42-4916-8077-1FAFE3C548AB}"/>
    <cellStyle name="常规 10 2 2 2 3 2 3 2 2" xfId="8776" xr:uid="{A5084A7E-4FDE-4D99-AB9E-E9F2294E18FC}"/>
    <cellStyle name="常规 10 2 2 2 3 2 3 3" xfId="8777" xr:uid="{C221972B-D0A1-4ACB-A53E-2791EEE411AC}"/>
    <cellStyle name="常规 10 2 2 2 3 2 3 4" xfId="8778" xr:uid="{585CF7C8-7F79-4AED-A4A4-3C18ED37515A}"/>
    <cellStyle name="常规 10 2 2 2 3 2 3 4 2" xfId="33378" xr:uid="{34B7F7CE-3019-4CA6-868C-EF7CF756DB4D}"/>
    <cellStyle name="常规 10 2 2 2 3 2 3 5" xfId="8779" xr:uid="{9BE9F0CA-82B2-4CBE-926A-6B1579E77F75}"/>
    <cellStyle name="常规 10 2 2 2 3 2 4" xfId="8780" xr:uid="{AB378AD6-35F8-4EE4-B022-C583E7DB72BA}"/>
    <cellStyle name="常规 10 2 2 2 3 2 4 2" xfId="8781" xr:uid="{CCC6DDBE-A71A-46E6-B5DB-66CAAA538C62}"/>
    <cellStyle name="常规 10 2 2 2 3 2 4 3" xfId="8782" xr:uid="{A812E324-B6CD-45A0-AEB5-BF144B1F4B30}"/>
    <cellStyle name="常规 10 2 2 2 3 2 5" xfId="8783" xr:uid="{AC33D844-1D8D-49CC-96E5-E3F6A35A07C0}"/>
    <cellStyle name="常规 10 2 2 2 3 2 5 2" xfId="8784" xr:uid="{13933129-E9D1-428A-85DA-FD49B4BC61AC}"/>
    <cellStyle name="常规 10 2 2 2 3 2 6" xfId="8785" xr:uid="{8F27E820-9C2A-490E-B649-F1BB945B414A}"/>
    <cellStyle name="常规 10 2 2 2 3 2 6 2" xfId="8786" xr:uid="{C699E372-366E-4078-9CEF-855CB9D04973}"/>
    <cellStyle name="常规 10 2 2 2 3 2 6 3" xfId="33379" xr:uid="{66FEF7E0-3C88-4A27-9AAA-D2677F807197}"/>
    <cellStyle name="常规 10 2 2 2 3 2 7" xfId="8787" xr:uid="{85C8D518-2461-466D-98DD-8B26D580EE2E}"/>
    <cellStyle name="常规 10 2 2 2 3 2 8" xfId="8788" xr:uid="{8EBA241A-AFB7-4E61-A7C1-9C0CC8856E84}"/>
    <cellStyle name="常规 10 2 2 2 3 3" xfId="8789" xr:uid="{F2001861-481D-4F7A-9299-0E37EE5D273E}"/>
    <cellStyle name="常规 10 2 2 2 3 3 2" xfId="8790" xr:uid="{B2B085DD-E93B-41CC-9D56-8EF6424424F1}"/>
    <cellStyle name="常规 10 2 2 2 3 3 2 2" xfId="8791" xr:uid="{22495A50-B691-427D-8E1E-FC94D1F41FED}"/>
    <cellStyle name="常规 10 2 2 2 3 3 2 2 2" xfId="8792" xr:uid="{98EBB0C8-2C2C-4E65-A02A-B5DA2702C3F1}"/>
    <cellStyle name="常规 10 2 2 2 3 3 2 3" xfId="8793" xr:uid="{7ACCABCD-0A81-4C24-8206-FCCEC1B1D805}"/>
    <cellStyle name="常规 10 2 2 2 3 3 2 4" xfId="8794" xr:uid="{7642E41C-AF1F-40A3-90F4-1D0B56D2AA9E}"/>
    <cellStyle name="常规 10 2 2 2 3 3 2 4 2" xfId="33380" xr:uid="{C1D682C5-ED17-4576-A66C-7D70F482E9DD}"/>
    <cellStyle name="常规 10 2 2 2 3 3 2 5" xfId="8795" xr:uid="{7FE04AFA-7B33-4A6D-88BF-89151F51B05B}"/>
    <cellStyle name="常规 10 2 2 2 3 3 3" xfId="8796" xr:uid="{E40BABBB-5667-4AFC-85BD-EFBA5E368A71}"/>
    <cellStyle name="常规 10 2 2 2 3 3 3 2" xfId="8797" xr:uid="{B8E38092-FD52-4878-B2E8-B828C7E5660D}"/>
    <cellStyle name="常规 10 2 2 2 3 3 3 3" xfId="8798" xr:uid="{71353EEE-ECA4-4416-B5F8-BF93FCEEC0B5}"/>
    <cellStyle name="常规 10 2 2 2 3 3 4" xfId="8799" xr:uid="{EA73AC1B-0B87-45EC-96E7-DAD412B4A1E4}"/>
    <cellStyle name="常规 10 2 2 2 3 3 4 2" xfId="8800" xr:uid="{DB55C946-75F1-46B8-BCCE-D0D3412B7C9E}"/>
    <cellStyle name="常规 10 2 2 2 3 3 5" xfId="8801" xr:uid="{730FA18D-CF2C-49E5-AD5B-B61E6AF84832}"/>
    <cellStyle name="常规 10 2 2 2 3 3 5 2" xfId="8802" xr:uid="{1B2E1B6B-13C9-4578-BEB6-F27DB4567AF5}"/>
    <cellStyle name="常规 10 2 2 2 3 3 5 3" xfId="33381" xr:uid="{BF67248E-16A2-46B7-A72A-AC0245F73AC1}"/>
    <cellStyle name="常规 10 2 2 2 3 3 6" xfId="8803" xr:uid="{29975190-57D7-48D0-82EA-E1425F6B4090}"/>
    <cellStyle name="常规 10 2 2 2 3 3 7" xfId="8804" xr:uid="{1F8A5284-9332-4FD8-B792-36F4BBE2303B}"/>
    <cellStyle name="常规 10 2 2 2 3 4" xfId="8805" xr:uid="{2C1FA9DE-6A70-4024-88EE-10BD50C112C7}"/>
    <cellStyle name="常规 10 2 2 2 3 4 2" xfId="8806" xr:uid="{DA7C672A-FD8E-4875-8060-92E3E43BF6A0}"/>
    <cellStyle name="常规 10 2 2 2 3 4 2 2" xfId="8807" xr:uid="{6B60C59F-2E66-4C39-958B-E9DE50A5DB9F}"/>
    <cellStyle name="常规 10 2 2 2 3 4 3" xfId="8808" xr:uid="{CA409E12-B7F0-4F5A-A4CF-4EB8BF239083}"/>
    <cellStyle name="常规 10 2 2 2 3 4 4" xfId="8809" xr:uid="{CE865874-B3FE-4E6A-843C-2C12DD253F9A}"/>
    <cellStyle name="常规 10 2 2 2 3 4 4 2" xfId="33382" xr:uid="{10AA8F5D-9578-4421-A667-58E0DCB452EA}"/>
    <cellStyle name="常规 10 2 2 2 3 4 5" xfId="8810" xr:uid="{278BEDBB-FDCA-4226-A8FF-A2C53E5DB240}"/>
    <cellStyle name="常规 10 2 2 2 3 5" xfId="8811" xr:uid="{5904A3E2-D366-44B5-AD5D-8C53331463F0}"/>
    <cellStyle name="常规 10 2 2 2 3 5 2" xfId="8812" xr:uid="{66FC0B39-31FA-4531-87CD-6A6673E6F63E}"/>
    <cellStyle name="常规 10 2 2 2 3 5 3" xfId="8813" xr:uid="{463FBB83-B5A7-459F-9870-24E0F898359D}"/>
    <cellStyle name="常规 10 2 2 2 3 6" xfId="8814" xr:uid="{008BA796-FCA4-44E0-A88A-07B5163F799E}"/>
    <cellStyle name="常规 10 2 2 2 3 6 2" xfId="8815" xr:uid="{370FE079-03B2-4CD6-B1F6-C4799E42B8AF}"/>
    <cellStyle name="常规 10 2 2 2 3 7" xfId="8816" xr:uid="{93F65A2F-1941-4923-9655-2D966F52B863}"/>
    <cellStyle name="常规 10 2 2 2 3 7 2" xfId="8817" xr:uid="{94AB4DF0-C893-4AAF-A1E3-D38B9871AE90}"/>
    <cellStyle name="常规 10 2 2 2 3 7 3" xfId="33383" xr:uid="{95504790-57A2-4DAF-AAB6-FA736C79A22A}"/>
    <cellStyle name="常规 10 2 2 2 3 8" xfId="8818" xr:uid="{9E85572B-FD33-489F-A526-D30D31334FEF}"/>
    <cellStyle name="常规 10 2 2 2 3 9" xfId="8819" xr:uid="{5E4C2D7E-D47F-4106-9632-F7B6CA642819}"/>
    <cellStyle name="常规 10 2 2 2 4" xfId="8820" xr:uid="{BB8525B7-06B8-4B22-8232-0328E11A9330}"/>
    <cellStyle name="常规 10 2 2 2 4 2" xfId="8821" xr:uid="{63A83C13-F0F9-4A08-9FB1-02DE60497F56}"/>
    <cellStyle name="常规 10 2 2 2 4 2 2" xfId="8822" xr:uid="{4BA63E0B-92C1-44BF-A9CA-F5BFC9D9B9ED}"/>
    <cellStyle name="常规 10 2 2 2 4 2 2 2" xfId="8823" xr:uid="{F848C155-EC22-437C-8815-4CD6D7927CEE}"/>
    <cellStyle name="常规 10 2 2 2 4 2 2 2 2" xfId="8824" xr:uid="{960D04DC-94D3-4BC3-BEBF-7A93C0B1BED5}"/>
    <cellStyle name="常规 10 2 2 2 4 2 2 2 2 2" xfId="8825" xr:uid="{FFFEC150-363A-4987-8ECE-2E40BD88D034}"/>
    <cellStyle name="常规 10 2 2 2 4 2 2 2 3" xfId="8826" xr:uid="{C28917D4-6136-4071-A979-8BFA4A1200BE}"/>
    <cellStyle name="常规 10 2 2 2 4 2 2 2 4" xfId="8827" xr:uid="{B3DDF922-B141-4E38-A817-6FE7366127F0}"/>
    <cellStyle name="常规 10 2 2 2 4 2 2 2 4 2" xfId="33384" xr:uid="{4B185DB4-255D-464E-9DD9-33DF847E0FE0}"/>
    <cellStyle name="常规 10 2 2 2 4 2 2 3" xfId="8828" xr:uid="{45730A5C-7A32-4B54-BF75-8938250FC9D9}"/>
    <cellStyle name="常规 10 2 2 2 4 2 2 3 2" xfId="8829" xr:uid="{2BEDE2AC-331F-4EC3-B8B4-66AFDE65BFC1}"/>
    <cellStyle name="常规 10 2 2 2 4 2 2 4" xfId="8830" xr:uid="{9B830C23-65B9-4FED-A6B8-AF773412074B}"/>
    <cellStyle name="常规 10 2 2 2 4 2 2 5" xfId="8831" xr:uid="{25BF1DE5-5128-4FCC-9E9C-95D76A2962DC}"/>
    <cellStyle name="常规 10 2 2 2 4 2 2 5 2" xfId="33385" xr:uid="{76E3C535-A34D-42E9-B251-E729E0A61F39}"/>
    <cellStyle name="常规 10 2 2 2 4 2 2 6" xfId="8832" xr:uid="{0E83F06F-4EE2-4361-99BF-A1D77B96B308}"/>
    <cellStyle name="常规 10 2 2 2 4 2 3" xfId="8833" xr:uid="{9829703C-44F4-4411-B76F-4A4EA53E32C0}"/>
    <cellStyle name="常规 10 2 2 2 4 2 3 2" xfId="8834" xr:uid="{364FC3B5-C0D7-4351-BC12-C9610A0CE13D}"/>
    <cellStyle name="常规 10 2 2 2 4 2 3 2 2" xfId="8835" xr:uid="{4EB08437-C3D6-4B00-9242-10BCD65A6C11}"/>
    <cellStyle name="常规 10 2 2 2 4 2 3 3" xfId="8836" xr:uid="{C99B6432-63D6-4FE8-BC00-207714636485}"/>
    <cellStyle name="常规 10 2 2 2 4 2 3 4" xfId="8837" xr:uid="{3E19B6FA-D852-4AB4-9819-2CCDFD594BFD}"/>
    <cellStyle name="常规 10 2 2 2 4 2 3 4 2" xfId="33386" xr:uid="{321DB4E4-7285-420F-978E-67C8C7FCA609}"/>
    <cellStyle name="常规 10 2 2 2 4 2 3 5" xfId="8838" xr:uid="{F61200FB-E63F-4984-827C-7DAA088E0DD8}"/>
    <cellStyle name="常规 10 2 2 2 4 2 4" xfId="8839" xr:uid="{84B2E4AC-5C36-4313-8300-DE3D1171A35B}"/>
    <cellStyle name="常规 10 2 2 2 4 2 4 2" xfId="8840" xr:uid="{51EAECC2-D133-4D89-A645-9DC279F7E6E8}"/>
    <cellStyle name="常规 10 2 2 2 4 2 4 3" xfId="8841" xr:uid="{00869566-0A98-4819-BC27-B460330EB96A}"/>
    <cellStyle name="常规 10 2 2 2 4 2 5" xfId="8842" xr:uid="{12F37930-449C-4C29-9E07-3D59ED773FAF}"/>
    <cellStyle name="常规 10 2 2 2 4 2 5 2" xfId="8843" xr:uid="{2D171C14-3D42-4657-9B98-D3467D82AC9F}"/>
    <cellStyle name="常规 10 2 2 2 4 2 6" xfId="8844" xr:uid="{3C1C8AC5-5FC9-44E4-98B9-FC22CBA76316}"/>
    <cellStyle name="常规 10 2 2 2 4 2 6 2" xfId="8845" xr:uid="{A5BEC706-3920-4227-B21B-AA05CC9D8E44}"/>
    <cellStyle name="常规 10 2 2 2 4 2 6 3" xfId="33387" xr:uid="{206CDA1E-DB3C-4877-9A5A-EFAFD8D8148C}"/>
    <cellStyle name="常规 10 2 2 2 4 2 7" xfId="8846" xr:uid="{71F249D5-B5AA-4B72-8D5C-594381C425A0}"/>
    <cellStyle name="常规 10 2 2 2 4 3" xfId="8847" xr:uid="{1D153BC8-3351-40A1-B505-2FB1318645AE}"/>
    <cellStyle name="常规 10 2 2 2 4 3 2" xfId="8848" xr:uid="{7B846290-122A-4484-AC94-F0CC9EFBB513}"/>
    <cellStyle name="常规 10 2 2 2 4 3 2 2" xfId="8849" xr:uid="{294B843B-9719-478D-849B-055311D493BD}"/>
    <cellStyle name="常规 10 2 2 2 4 3 2 2 2" xfId="8850" xr:uid="{9F40AFD7-CBEE-4F00-A987-114EA876AF80}"/>
    <cellStyle name="常规 10 2 2 2 4 3 2 3" xfId="8851" xr:uid="{E587F204-7C78-4E1D-970F-75907BE847ED}"/>
    <cellStyle name="常规 10 2 2 2 4 3 2 4" xfId="8852" xr:uid="{6CFC3D8B-9BED-4C33-AA46-8B4197AD8EE8}"/>
    <cellStyle name="常规 10 2 2 2 4 3 2 4 2" xfId="33388" xr:uid="{2A6FEE62-ACEE-4721-BE9E-6B25B7257C72}"/>
    <cellStyle name="常规 10 2 2 2 4 3 3" xfId="8853" xr:uid="{11E089CE-FEF4-4E0E-A230-29CAF4762123}"/>
    <cellStyle name="常规 10 2 2 2 4 3 3 2" xfId="8854" xr:uid="{18693E2F-5955-4F2A-B428-7AAC1E899FB1}"/>
    <cellStyle name="常规 10 2 2 2 4 3 4" xfId="8855" xr:uid="{81DBA173-8747-4C8C-97A1-7406720CBD85}"/>
    <cellStyle name="常规 10 2 2 2 4 3 5" xfId="8856" xr:uid="{86676D3F-F5D8-45B1-876F-20E7CA251FBC}"/>
    <cellStyle name="常规 10 2 2 2 4 3 5 2" xfId="33389" xr:uid="{48B50F75-D03C-4321-9155-A67ACE5B3181}"/>
    <cellStyle name="常规 10 2 2 2 4 3 6" xfId="8857" xr:uid="{9A4D3C2E-D92F-4595-BB78-A471B9AE3DD7}"/>
    <cellStyle name="常规 10 2 2 2 4 4" xfId="8858" xr:uid="{2916FCB9-D038-4305-997A-E5E5D490C0A6}"/>
    <cellStyle name="常规 10 2 2 2 4 4 2" xfId="8859" xr:uid="{6B20A487-6808-4A5E-88B7-D5B9B13DF2FB}"/>
    <cellStyle name="常规 10 2 2 2 4 4 2 2" xfId="8860" xr:uid="{EEC058A2-94F2-41A4-B07E-141E1A4A9C49}"/>
    <cellStyle name="常规 10 2 2 2 4 4 3" xfId="8861" xr:uid="{63E38A3A-F78C-4AA8-8303-5809F0B62C24}"/>
    <cellStyle name="常规 10 2 2 2 4 4 4" xfId="8862" xr:uid="{6FCBF4FB-A2F2-4F2B-838B-C419F7FE4947}"/>
    <cellStyle name="常规 10 2 2 2 4 4 4 2" xfId="33390" xr:uid="{4C13745A-C4B4-48C9-B3C6-A7B38EDABABF}"/>
    <cellStyle name="常规 10 2 2 2 4 4 5" xfId="8863" xr:uid="{84E4BD15-11B9-41AB-BB9E-577887BC8701}"/>
    <cellStyle name="常规 10 2 2 2 4 5" xfId="8864" xr:uid="{FD7A5DEF-6D95-4414-BF3A-1ACB00F8254A}"/>
    <cellStyle name="常规 10 2 2 2 4 5 2" xfId="8865" xr:uid="{0791DB5F-C568-4454-9E4E-06360437CEF3}"/>
    <cellStyle name="常规 10 2 2 2 4 5 3" xfId="8866" xr:uid="{CD6703FF-4B9C-4CD3-836A-B60EF16B2675}"/>
    <cellStyle name="常规 10 2 2 2 4 6" xfId="8867" xr:uid="{A7E0F5D1-1303-4A72-B2C9-85FC98F307AE}"/>
    <cellStyle name="常规 10 2 2 2 4 6 2" xfId="8868" xr:uid="{BFDD79FE-34D4-4579-A878-6CCAAA52ADCA}"/>
    <cellStyle name="常规 10 2 2 2 4 7" xfId="8869" xr:uid="{1BAD2BA1-9D0F-44CC-B514-FB2008C8C60C}"/>
    <cellStyle name="常规 10 2 2 2 4 7 2" xfId="8870" xr:uid="{1912AA8E-F339-48FB-819A-C22F772D6414}"/>
    <cellStyle name="常规 10 2 2 2 4 7 3" xfId="33391" xr:uid="{FC712F35-F4FE-4420-8373-7055BCF36E2E}"/>
    <cellStyle name="常规 10 2 2 2 4 8" xfId="8871" xr:uid="{A4E87290-C7DC-4457-A7A5-2E8520D2FCA6}"/>
    <cellStyle name="常规 10 2 2 2 5" xfId="8872" xr:uid="{8BF16904-55EE-4BBA-B459-56BBBAE47E53}"/>
    <cellStyle name="常规 10 2 2 2 5 2" xfId="8873" xr:uid="{ECC3287F-9489-4B2B-9B71-6F7C37464898}"/>
    <cellStyle name="常规 10 2 2 2 5 2 2" xfId="8874" xr:uid="{E4EC18A7-D917-41E5-8841-D4E9DCB91015}"/>
    <cellStyle name="常规 10 2 2 2 5 2 2 2" xfId="8875" xr:uid="{B94B383B-8E75-4035-851A-5DB8C73E8E06}"/>
    <cellStyle name="常规 10 2 2 2 5 2 2 2 2" xfId="8876" xr:uid="{F18004BB-B86F-446B-9693-216104D26EEB}"/>
    <cellStyle name="常规 10 2 2 2 5 2 2 2 2 2" xfId="8877" xr:uid="{002C1D44-4F5C-46F6-AD76-8FC27C3C7C52}"/>
    <cellStyle name="常规 10 2 2 2 5 2 2 2 3" xfId="8878" xr:uid="{FF50796F-60C7-4FA0-802F-055ECBAF0F19}"/>
    <cellStyle name="常规 10 2 2 2 5 2 2 2 4" xfId="8879" xr:uid="{75587776-CAF5-41A7-B3C4-69C58AEE7D26}"/>
    <cellStyle name="常规 10 2 2 2 5 2 2 2 4 2" xfId="33392" xr:uid="{847711AB-ACA1-437A-97CF-6183BA6FE333}"/>
    <cellStyle name="常规 10 2 2 2 5 2 2 3" xfId="8880" xr:uid="{2431E202-2620-4C1D-B694-2D0911FB5C83}"/>
    <cellStyle name="常规 10 2 2 2 5 2 2 3 2" xfId="8881" xr:uid="{1592D82A-4DA3-41EE-8212-846F28DAD10F}"/>
    <cellStyle name="常规 10 2 2 2 5 2 2 4" xfId="8882" xr:uid="{B31483B2-91CA-4765-99FD-CEDAC231159C}"/>
    <cellStyle name="常规 10 2 2 2 5 2 2 5" xfId="8883" xr:uid="{A86920CE-FA8C-4102-9DA4-096F0E918469}"/>
    <cellStyle name="常规 10 2 2 2 5 2 2 5 2" xfId="33393" xr:uid="{694D84AA-78CD-4008-989D-A6F8B564987F}"/>
    <cellStyle name="常规 10 2 2 2 5 2 2 6" xfId="8884" xr:uid="{A38443BC-C30C-46A4-87A0-37DDE38A7D76}"/>
    <cellStyle name="常规 10 2 2 2 5 2 3" xfId="8885" xr:uid="{EE888F0F-7AAE-4FC7-8BD4-F9A6AFC4D69C}"/>
    <cellStyle name="常规 10 2 2 2 5 2 3 2" xfId="8886" xr:uid="{B249685A-9657-4596-B0DD-727CDE24A7C2}"/>
    <cellStyle name="常规 10 2 2 2 5 2 3 2 2" xfId="8887" xr:uid="{E7A0513F-9140-4297-B5FB-464E5E078263}"/>
    <cellStyle name="常规 10 2 2 2 5 2 3 3" xfId="8888" xr:uid="{CC875A83-B82C-4A24-81ED-A01A4CDB75A9}"/>
    <cellStyle name="常规 10 2 2 2 5 2 3 4" xfId="8889" xr:uid="{9090770E-52BD-4931-A926-8AA979BE9483}"/>
    <cellStyle name="常规 10 2 2 2 5 2 3 4 2" xfId="33394" xr:uid="{43C48F63-48CD-4864-8793-CB54E8A06E67}"/>
    <cellStyle name="常规 10 2 2 2 5 2 3 5" xfId="8890" xr:uid="{D09754E9-2E41-4BD1-9856-06F0C1A8F07A}"/>
    <cellStyle name="常规 10 2 2 2 5 2 4" xfId="8891" xr:uid="{8E9B9E09-202B-468C-B4CB-8741262074A3}"/>
    <cellStyle name="常规 10 2 2 2 5 2 4 2" xfId="8892" xr:uid="{24AC15B1-5E71-4CDD-8A98-7039A1556C0A}"/>
    <cellStyle name="常规 10 2 2 2 5 2 4 3" xfId="8893" xr:uid="{F2A24CEC-C050-42D1-812F-247EE9F4D96C}"/>
    <cellStyle name="常规 10 2 2 2 5 2 5" xfId="8894" xr:uid="{FE6A5D0F-EEE6-4047-837A-315FCF4D6017}"/>
    <cellStyle name="常规 10 2 2 2 5 2 5 2" xfId="8895" xr:uid="{456348AB-FEA2-4740-8305-04FBB92A90A3}"/>
    <cellStyle name="常规 10 2 2 2 5 2 6" xfId="8896" xr:uid="{FCAB8E43-FBFA-4781-837E-A731D39FD636}"/>
    <cellStyle name="常规 10 2 2 2 5 2 6 2" xfId="8897" xr:uid="{53A9D435-2E0D-4068-9C19-5CF2274D23ED}"/>
    <cellStyle name="常规 10 2 2 2 5 2 6 3" xfId="33395" xr:uid="{1EBA56D7-BF99-4EB3-9380-F6CD1DFC3432}"/>
    <cellStyle name="常规 10 2 2 2 5 2 7" xfId="8898" xr:uid="{BA3D89C6-7AA5-4830-B805-304735A02267}"/>
    <cellStyle name="常规 10 2 2 2 5 3" xfId="8899" xr:uid="{8FFC0570-2995-4887-9A56-35474B688417}"/>
    <cellStyle name="常规 10 2 2 2 5 3 2" xfId="8900" xr:uid="{AD6EF1A4-957F-4105-B5EC-6D577AD900B4}"/>
    <cellStyle name="常规 10 2 2 2 5 3 2 2" xfId="8901" xr:uid="{FD6A90F9-F52D-4FB9-8C9D-D306463603E2}"/>
    <cellStyle name="常规 10 2 2 2 5 3 2 2 2" xfId="8902" xr:uid="{C93544B0-2F01-4976-ABFC-166148F1FCD1}"/>
    <cellStyle name="常规 10 2 2 2 5 3 2 3" xfId="8903" xr:uid="{245B5D38-E6E5-40C8-82D6-013A325BA59C}"/>
    <cellStyle name="常规 10 2 2 2 5 3 2 4" xfId="8904" xr:uid="{249E9524-37FC-4177-8666-C9518B197E06}"/>
    <cellStyle name="常规 10 2 2 2 5 3 2 4 2" xfId="33396" xr:uid="{28EC29D9-DFF6-4E03-9E22-D54D2DEC23B7}"/>
    <cellStyle name="常规 10 2 2 2 5 3 3" xfId="8905" xr:uid="{245F5787-8DD3-411E-AC85-8E531D196665}"/>
    <cellStyle name="常规 10 2 2 2 5 3 3 2" xfId="8906" xr:uid="{AF5B7326-D98B-4F2C-807E-A0984A10F973}"/>
    <cellStyle name="常规 10 2 2 2 5 3 4" xfId="8907" xr:uid="{25D313C1-FD32-4167-843A-8537964DABB4}"/>
    <cellStyle name="常规 10 2 2 2 5 3 5" xfId="8908" xr:uid="{9BAE49ED-7E54-42D4-B12B-30AFFBFCB0A8}"/>
    <cellStyle name="常规 10 2 2 2 5 3 5 2" xfId="33397" xr:uid="{B2C0624A-8104-4C8D-95D7-36B20765D58C}"/>
    <cellStyle name="常规 10 2 2 2 5 3 6" xfId="8909" xr:uid="{F6C87BE9-1991-4CD5-882E-347FFA73E0C8}"/>
    <cellStyle name="常规 10 2 2 2 5 4" xfId="8910" xr:uid="{FADA7148-D704-4334-BEB8-C4431F9BD229}"/>
    <cellStyle name="常规 10 2 2 2 5 4 2" xfId="8911" xr:uid="{058AAA18-2854-4986-B876-E98A36D1F9B2}"/>
    <cellStyle name="常规 10 2 2 2 5 4 2 2" xfId="8912" xr:uid="{87F4BF19-5544-4F4A-BCFA-345B12548530}"/>
    <cellStyle name="常规 10 2 2 2 5 4 3" xfId="8913" xr:uid="{44A35E03-F3FA-4CAE-A9E9-C6DE8A63366D}"/>
    <cellStyle name="常规 10 2 2 2 5 4 4" xfId="8914" xr:uid="{B45B9408-9BC8-4640-99B1-18F2035B9BE3}"/>
    <cellStyle name="常规 10 2 2 2 5 4 4 2" xfId="33398" xr:uid="{7AF51DD2-5134-47D7-84BD-6CAABD8A40FA}"/>
    <cellStyle name="常规 10 2 2 2 5 4 5" xfId="8915" xr:uid="{2084B2A4-099A-429B-A19F-F7A37342461F}"/>
    <cellStyle name="常规 10 2 2 2 5 5" xfId="8916" xr:uid="{AF6AB272-6AE3-48CE-BF48-70118F8964D1}"/>
    <cellStyle name="常规 10 2 2 2 5 5 2" xfId="8917" xr:uid="{1BCC29B2-7CEA-4883-9545-9CE8D306619C}"/>
    <cellStyle name="常规 10 2 2 2 5 5 3" xfId="8918" xr:uid="{36CAD358-5D22-4F69-8760-B1AE0F9790A5}"/>
    <cellStyle name="常规 10 2 2 2 5 6" xfId="8919" xr:uid="{8D94BE5D-AE34-4A3B-A274-59A6FBAF5D55}"/>
    <cellStyle name="常规 10 2 2 2 5 6 2" xfId="8920" xr:uid="{B09E4535-05F6-4635-8179-FD8589596818}"/>
    <cellStyle name="常规 10 2 2 2 5 7" xfId="8921" xr:uid="{1CA520B1-EFC4-4878-B0F7-5C39AE859110}"/>
    <cellStyle name="常规 10 2 2 2 5 7 2" xfId="8922" xr:uid="{36E9105E-9534-4909-9959-93C7639B5EB0}"/>
    <cellStyle name="常规 10 2 2 2 5 7 3" xfId="33399" xr:uid="{57D118A6-61ED-449D-A2CD-8774AC08C580}"/>
    <cellStyle name="常规 10 2 2 2 5 8" xfId="8923" xr:uid="{65E175B8-2D88-40F0-A215-4E27FE4256C0}"/>
    <cellStyle name="常规 10 2 2 2 6" xfId="8924" xr:uid="{79123408-DEF7-4A72-B8A2-40E2EFB570F6}"/>
    <cellStyle name="常规 10 2 2 2 6 2" xfId="8925" xr:uid="{F3B64451-E591-4C18-A977-AB5CCAAA6EEF}"/>
    <cellStyle name="常规 10 2 2 2 6 2 2" xfId="8926" xr:uid="{F06727CA-0769-48C4-A93F-08BBF7EE8557}"/>
    <cellStyle name="常规 10 2 2 2 6 2 2 2" xfId="8927" xr:uid="{58F8A133-A110-4728-B523-B72981C77880}"/>
    <cellStyle name="常规 10 2 2 2 6 2 2 2 2" xfId="8928" xr:uid="{93935330-C071-4228-93B9-93A36665E6C7}"/>
    <cellStyle name="常规 10 2 2 2 6 2 2 3" xfId="8929" xr:uid="{52076CDE-DFE9-47CE-A3EF-8CDA7391D5BA}"/>
    <cellStyle name="常规 10 2 2 2 6 2 2 4" xfId="8930" xr:uid="{47B9A404-ACA6-4728-B2D5-2121B3336F04}"/>
    <cellStyle name="常规 10 2 2 2 6 2 2 4 2" xfId="33400" xr:uid="{15B90EA0-8AC1-46DF-832C-D8803BB7401A}"/>
    <cellStyle name="常规 10 2 2 2 6 2 3" xfId="8931" xr:uid="{46916589-48CC-4DA0-B3D5-1886BDF31CCD}"/>
    <cellStyle name="常规 10 2 2 2 6 2 3 2" xfId="8932" xr:uid="{84D77E90-BCDE-47F0-A852-52DE2205ED3D}"/>
    <cellStyle name="常规 10 2 2 2 6 2 4" xfId="8933" xr:uid="{CB33A92A-855D-4287-B9EA-26265D9783BF}"/>
    <cellStyle name="常规 10 2 2 2 6 2 5" xfId="8934" xr:uid="{F53A8755-B1A8-4FA9-843D-E93E81AA570F}"/>
    <cellStyle name="常规 10 2 2 2 6 2 5 2" xfId="33401" xr:uid="{BF7799E2-2C82-471B-9ACB-4B1799CD2769}"/>
    <cellStyle name="常规 10 2 2 2 6 2 6" xfId="8935" xr:uid="{31C97427-D7D5-459F-86D1-BDCBCB787D1B}"/>
    <cellStyle name="常规 10 2 2 2 6 3" xfId="8936" xr:uid="{93314CED-CC07-4A79-A647-2180E8AC304A}"/>
    <cellStyle name="常规 10 2 2 2 6 3 2" xfId="8937" xr:uid="{B8B9908A-057B-4D8F-A98C-23D6255DF3AB}"/>
    <cellStyle name="常规 10 2 2 2 6 3 2 2" xfId="8938" xr:uid="{6AD4DEB3-BCE0-4734-A59E-58C2D63144F0}"/>
    <cellStyle name="常规 10 2 2 2 6 3 3" xfId="8939" xr:uid="{E9DC1274-5A03-447D-895B-71C3F9EF7D7C}"/>
    <cellStyle name="常规 10 2 2 2 6 3 4" xfId="8940" xr:uid="{5B87AA00-86E2-4947-B56C-8F3BCC19F05A}"/>
    <cellStyle name="常规 10 2 2 2 6 3 4 2" xfId="33402" xr:uid="{3129F2C7-024B-41EC-B161-3185879F8E6A}"/>
    <cellStyle name="常规 10 2 2 2 6 3 5" xfId="8941" xr:uid="{010BACF6-24C8-4D12-B5F4-E0BDF60D19A7}"/>
    <cellStyle name="常规 10 2 2 2 6 4" xfId="8942" xr:uid="{93F99FB8-C86C-4D60-8D24-B99DC7B85C77}"/>
    <cellStyle name="常规 10 2 2 2 6 4 2" xfId="8943" xr:uid="{97202BB2-B4CF-4E5F-8412-EAE2903FB875}"/>
    <cellStyle name="常规 10 2 2 2 6 4 3" xfId="8944" xr:uid="{585193BC-C385-4843-9E7C-ADDFAB8FEB1E}"/>
    <cellStyle name="常规 10 2 2 2 6 5" xfId="8945" xr:uid="{67F31FA2-B48B-4021-AB7F-082BBC33F730}"/>
    <cellStyle name="常规 10 2 2 2 6 5 2" xfId="8946" xr:uid="{02396646-1566-43B6-BD18-D9D9E41A3AB6}"/>
    <cellStyle name="常规 10 2 2 2 6 6" xfId="8947" xr:uid="{1F9029A3-B6A8-4E0D-8AB1-0CCEF2004EF7}"/>
    <cellStyle name="常规 10 2 2 2 6 6 2" xfId="8948" xr:uid="{106DBB00-CF62-420F-B5D6-A0FE4122D102}"/>
    <cellStyle name="常规 10 2 2 2 6 6 3" xfId="33403" xr:uid="{DD2EBF0F-5798-4FA7-8D6E-5DF28CEC03B4}"/>
    <cellStyle name="常规 10 2 2 2 6 7" xfId="8949" xr:uid="{FBA9C765-B05D-40AD-BFBB-A02BDDCA8E6D}"/>
    <cellStyle name="常规 10 2 2 2 7" xfId="8950" xr:uid="{BE31994F-64E7-41D6-8DB4-6549E5CDE847}"/>
    <cellStyle name="常规 10 2 2 2 7 2" xfId="8951" xr:uid="{50CE210D-022E-45EC-992C-BCFCA62912B0}"/>
    <cellStyle name="常规 10 2 2 2 7 2 2" xfId="8952" xr:uid="{7BE6ED39-0643-4A70-A865-560D58C114D2}"/>
    <cellStyle name="常规 10 2 2 2 7 2 2 2" xfId="8953" xr:uid="{D701D8CE-2913-423B-8272-CF2C108E5576}"/>
    <cellStyle name="常规 10 2 2 2 7 2 3" xfId="8954" xr:uid="{80B74D23-B045-46C4-A57A-ED4527C1A36F}"/>
    <cellStyle name="常规 10 2 2 2 7 2 4" xfId="8955" xr:uid="{CDFC9666-7A91-4D69-9122-5F41DB134370}"/>
    <cellStyle name="常规 10 2 2 2 7 2 4 2" xfId="33404" xr:uid="{BC94B243-72CC-48D9-8870-FC91D0564AF2}"/>
    <cellStyle name="常规 10 2 2 2 7 3" xfId="8956" xr:uid="{9E6F6EF6-ECDB-4BA1-8A20-E797B3D81920}"/>
    <cellStyle name="常规 10 2 2 2 7 3 2" xfId="8957" xr:uid="{0AADC18B-610F-4D98-8D01-C198E9CF0383}"/>
    <cellStyle name="常规 10 2 2 2 7 4" xfId="8958" xr:uid="{3142568E-1224-4638-AD96-A70B4AA2A0E8}"/>
    <cellStyle name="常规 10 2 2 2 7 5" xfId="8959" xr:uid="{DF96192C-5A32-415E-A0EC-9AF566C07980}"/>
    <cellStyle name="常规 10 2 2 2 7 5 2" xfId="33405" xr:uid="{72C5833B-4F1B-457B-99A3-271109C43EFF}"/>
    <cellStyle name="常规 10 2 2 2 7 6" xfId="8960" xr:uid="{C1296CC3-F3BF-4839-A60C-22BB745AD81A}"/>
    <cellStyle name="常规 10 2 2 2 8" xfId="8961" xr:uid="{A6FA2BD1-0E4B-4443-9CDA-96C5828B6D14}"/>
    <cellStyle name="常规 10 2 2 2 8 2" xfId="8962" xr:uid="{77713A56-B951-4C12-8FA4-BDAB2C3B7AF1}"/>
    <cellStyle name="常规 10 2 2 2 8 2 2" xfId="8963" xr:uid="{F26C369D-CAC8-4E17-8F7E-C44C95B24DF6}"/>
    <cellStyle name="常规 10 2 2 2 8 2 2 2" xfId="8964" xr:uid="{5B0DA43F-7ED2-4481-AE02-40B5AD78A2C9}"/>
    <cellStyle name="常规 10 2 2 2 8 2 3" xfId="8965" xr:uid="{92FDE4F3-F216-4712-A397-599F55FA8B58}"/>
    <cellStyle name="常规 10 2 2 2 8 2 4" xfId="8966" xr:uid="{AB680035-F7C9-4138-B7B4-5C79459121E2}"/>
    <cellStyle name="常规 10 2 2 2 8 2 4 2" xfId="33406" xr:uid="{C107DFE7-D4CF-4C5B-A1BC-069141DA3A4D}"/>
    <cellStyle name="常规 10 2 2 2 8 3" xfId="8967" xr:uid="{1A089877-27A7-476E-9E9C-1C29B4540689}"/>
    <cellStyle name="常规 10 2 2 2 8 3 2" xfId="8968" xr:uid="{641BF902-9958-4903-A80A-C82BA92DB4D8}"/>
    <cellStyle name="常规 10 2 2 2 8 4" xfId="8969" xr:uid="{B747C244-FAD7-4F0A-BB25-A0B3C7B231BD}"/>
    <cellStyle name="常规 10 2 2 2 8 5" xfId="8970" xr:uid="{7FE8BA00-2F74-476E-962A-A5BC86BBD7F7}"/>
    <cellStyle name="常规 10 2 2 2 8 5 2" xfId="33407" xr:uid="{1D0BC112-EB23-4E10-A884-BF2377DCA055}"/>
    <cellStyle name="常规 10 2 2 2 8 6" xfId="8971" xr:uid="{B8D60AFF-35AB-41EE-BC63-5F207E8E1413}"/>
    <cellStyle name="常规 10 2 2 2 9" xfId="8972" xr:uid="{32B88372-970A-4C9A-8625-9930BF32AB07}"/>
    <cellStyle name="常规 10 2 2 2 9 2" xfId="8973" xr:uid="{67FFBFE2-43B5-48DB-BE24-D149B26BBCF8}"/>
    <cellStyle name="常规 10 2 2 2 9 2 2" xfId="8974" xr:uid="{6EECBEF7-8329-4342-8AB2-77D45833762E}"/>
    <cellStyle name="常规 10 2 2 2 9 3" xfId="8975" xr:uid="{C7D4501B-6076-458C-A718-1B0B92A1BBC2}"/>
    <cellStyle name="常规 10 2 2 2 9 4" xfId="8976" xr:uid="{59C514ED-4270-457D-9586-B21D8FD08C85}"/>
    <cellStyle name="常规 10 2 2 2 9 4 2" xfId="33408" xr:uid="{8DE07DC0-78A2-44AC-94AD-57F453CBB138}"/>
    <cellStyle name="常规 10 2 2 2 9 5" xfId="8977" xr:uid="{367F51F2-E836-492A-81C5-3AE4FCF66FCA}"/>
    <cellStyle name="常规 10 2 2 3" xfId="8978" xr:uid="{14964749-0077-4019-B18D-FA6A5FAFDEFB}"/>
    <cellStyle name="常规 10 2 2 3 10" xfId="8979" xr:uid="{9B7F8E15-B3E5-4003-B7AD-8551E153C6AD}"/>
    <cellStyle name="常规 10 2 2 3 2" xfId="8980" xr:uid="{70C6B251-E7D3-40B6-9F31-5857FB2B66D9}"/>
    <cellStyle name="常规 10 2 2 3 2 2" xfId="8981" xr:uid="{BF042D72-4F81-4F54-AB8A-8607A846E7D2}"/>
    <cellStyle name="常规 10 2 2 3 2 2 2" xfId="8982" xr:uid="{BD95F89C-E611-48A8-89D0-5AB9561AE0CD}"/>
    <cellStyle name="常规 10 2 2 3 2 2 2 2" xfId="8983" xr:uid="{CEF60569-3E72-4B7E-989F-3814AAE5F834}"/>
    <cellStyle name="常规 10 2 2 3 2 2 2 2 2" xfId="8984" xr:uid="{FCEA4220-498C-48B4-9D2D-088C2A77F686}"/>
    <cellStyle name="常规 10 2 2 3 2 2 2 2 2 2" xfId="8985" xr:uid="{EBC9514A-091A-49BE-B306-299DFBC6A542}"/>
    <cellStyle name="常规 10 2 2 3 2 2 2 2 3" xfId="8986" xr:uid="{564C44DE-952C-4562-BAA9-AD62959240BE}"/>
    <cellStyle name="常规 10 2 2 3 2 2 2 2 4" xfId="8987" xr:uid="{13DCDC20-CA20-4BD3-98CD-DA92F75D2744}"/>
    <cellStyle name="常规 10 2 2 3 2 2 2 2 4 2" xfId="33409" xr:uid="{6C5760CE-52AF-4B67-8C51-15ADFC90F07D}"/>
    <cellStyle name="常规 10 2 2 3 2 2 2 2 5" xfId="8988" xr:uid="{434D0E6E-F443-407C-8A73-BC7D118909C6}"/>
    <cellStyle name="常规 10 2 2 3 2 2 2 3" xfId="8989" xr:uid="{BB4B3990-C3E8-4460-B9BD-CEF67483817F}"/>
    <cellStyle name="常规 10 2 2 3 2 2 2 3 2" xfId="8990" xr:uid="{E374FD44-3992-4050-8CED-549B55026AC6}"/>
    <cellStyle name="常规 10 2 2 3 2 2 2 3 3" xfId="8991" xr:uid="{15BDBE55-0104-4BDA-A824-83EEF54A895D}"/>
    <cellStyle name="常规 10 2 2 3 2 2 2 4" xfId="8992" xr:uid="{3C3B35C4-3741-42AB-968C-FE70AAE195C9}"/>
    <cellStyle name="常规 10 2 2 3 2 2 2 4 2" xfId="8993" xr:uid="{62E290D4-F6E6-4E4E-B885-C8E1B2E5A2F6}"/>
    <cellStyle name="常规 10 2 2 3 2 2 2 5" xfId="8994" xr:uid="{DF818C7C-2AF0-4662-91DC-0BBEA88DAFAA}"/>
    <cellStyle name="常规 10 2 2 3 2 2 2 5 2" xfId="8995" xr:uid="{88B04C5F-801E-4E47-8590-7F520639E6D4}"/>
    <cellStyle name="常规 10 2 2 3 2 2 2 5 3" xfId="33410" xr:uid="{78A4F9C9-7344-4A6A-A2B4-6B723279D9DD}"/>
    <cellStyle name="常规 10 2 2 3 2 2 2 6" xfId="8996" xr:uid="{BAD9DFA9-D84B-4120-A3A6-A95190E9DFF5}"/>
    <cellStyle name="常规 10 2 2 3 2 2 2 7" xfId="8997" xr:uid="{2B090049-4886-47B3-9DF7-79806FB543A6}"/>
    <cellStyle name="常规 10 2 2 3 2 2 3" xfId="8998" xr:uid="{CC7E3C83-5EA3-4D9E-A7F0-1051CDC143F8}"/>
    <cellStyle name="常规 10 2 2 3 2 2 3 2" xfId="8999" xr:uid="{2CFE444F-3D73-45A0-A2B0-5BA612771516}"/>
    <cellStyle name="常规 10 2 2 3 2 2 3 2 2" xfId="9000" xr:uid="{6405F1E8-9E17-49C2-990A-869ABBEBA8C1}"/>
    <cellStyle name="常规 10 2 2 3 2 2 3 3" xfId="9001" xr:uid="{4D9EBB6B-661B-42EA-B704-B0C476A86FD5}"/>
    <cellStyle name="常规 10 2 2 3 2 2 3 4" xfId="9002" xr:uid="{8483187D-2067-43C8-8953-65E21A015BFD}"/>
    <cellStyle name="常规 10 2 2 3 2 2 3 4 2" xfId="33411" xr:uid="{1BFBADA8-2C53-479B-BC13-45DE93D38FFB}"/>
    <cellStyle name="常规 10 2 2 3 2 2 3 5" xfId="9003" xr:uid="{6EA508BD-3432-4356-9E68-7B8942A4555F}"/>
    <cellStyle name="常规 10 2 2 3 2 2 4" xfId="9004" xr:uid="{B1FC988A-55C8-482B-A5F1-26DA7AFEAE1A}"/>
    <cellStyle name="常规 10 2 2 3 2 2 4 2" xfId="9005" xr:uid="{45004EBE-46E0-4B27-814A-E60C21FDCC65}"/>
    <cellStyle name="常规 10 2 2 3 2 2 4 3" xfId="9006" xr:uid="{0DC0D0FB-BA99-4B4A-B854-8A80B042781D}"/>
    <cellStyle name="常规 10 2 2 3 2 2 5" xfId="9007" xr:uid="{573683B7-2D73-45D1-A86F-7D801EAEB2A5}"/>
    <cellStyle name="常规 10 2 2 3 2 2 5 2" xfId="9008" xr:uid="{1C190B3F-9ECB-4943-A7EC-DBEE011D2D40}"/>
    <cellStyle name="常规 10 2 2 3 2 2 6" xfId="9009" xr:uid="{460ADC6D-DC1A-47E9-99D9-5FD073B37526}"/>
    <cellStyle name="常规 10 2 2 3 2 2 6 2" xfId="9010" xr:uid="{44907F43-5965-4860-BB9C-B973005E8064}"/>
    <cellStyle name="常规 10 2 2 3 2 2 6 3" xfId="33412" xr:uid="{98F746F9-6766-41B9-9BA4-0B48C21ADF28}"/>
    <cellStyle name="常规 10 2 2 3 2 2 7" xfId="9011" xr:uid="{4F527F9B-6FFD-4A12-B687-80C5D8838AAB}"/>
    <cellStyle name="常规 10 2 2 3 2 2 8" xfId="9012" xr:uid="{CB1C6918-9F3C-46E6-B3F9-16808E60245B}"/>
    <cellStyle name="常规 10 2 2 3 2 3" xfId="9013" xr:uid="{CB7C0939-2B70-4980-AEB6-58C3F557F446}"/>
    <cellStyle name="常规 10 2 2 3 2 3 2" xfId="9014" xr:uid="{4165A89F-8FF9-4A93-9D1D-77DDBA8CAC21}"/>
    <cellStyle name="常规 10 2 2 3 2 3 2 2" xfId="9015" xr:uid="{7CE099F3-EB87-4AF8-8510-A4E2AD8D70EF}"/>
    <cellStyle name="常规 10 2 2 3 2 3 2 2 2" xfId="9016" xr:uid="{2714E2B3-58CB-4C74-9400-70BF86A1297C}"/>
    <cellStyle name="常规 10 2 2 3 2 3 2 3" xfId="9017" xr:uid="{B79BEE40-12CA-440C-B9C6-E020377F147E}"/>
    <cellStyle name="常规 10 2 2 3 2 3 2 4" xfId="9018" xr:uid="{B30C6361-B494-4D8F-A684-9B892A5D38A3}"/>
    <cellStyle name="常规 10 2 2 3 2 3 2 4 2" xfId="33413" xr:uid="{46E9E352-ED8A-423D-8CBE-39F933CE5A29}"/>
    <cellStyle name="常规 10 2 2 3 2 3 2 5" xfId="9019" xr:uid="{4726A854-A32C-4E35-94E8-91D9B9031590}"/>
    <cellStyle name="常规 10 2 2 3 2 3 3" xfId="9020" xr:uid="{A27D9AF7-5B6B-4AC6-84A0-1FE174625B79}"/>
    <cellStyle name="常规 10 2 2 3 2 3 3 2" xfId="9021" xr:uid="{F2812B65-E457-4548-A068-C6771136F507}"/>
    <cellStyle name="常规 10 2 2 3 2 3 3 3" xfId="9022" xr:uid="{D72C8191-9F84-47C7-B540-2C61E64B922A}"/>
    <cellStyle name="常规 10 2 2 3 2 3 4" xfId="9023" xr:uid="{E07D0643-0284-449A-ABC0-DCF65D02FE17}"/>
    <cellStyle name="常规 10 2 2 3 2 3 4 2" xfId="9024" xr:uid="{BD47C4F1-F060-4994-A416-61505BC1F22A}"/>
    <cellStyle name="常规 10 2 2 3 2 3 5" xfId="9025" xr:uid="{9562104C-3D90-4B0B-80F3-E17E964106EA}"/>
    <cellStyle name="常规 10 2 2 3 2 3 5 2" xfId="9026" xr:uid="{20673D4D-621B-45B8-B2C2-86E135BDB70B}"/>
    <cellStyle name="常规 10 2 2 3 2 3 5 3" xfId="33414" xr:uid="{65BAFB4C-461A-4776-A055-6B7C2CC19FA8}"/>
    <cellStyle name="常规 10 2 2 3 2 3 6" xfId="9027" xr:uid="{174775CD-8EFE-42D1-AAAE-0D4FD379E113}"/>
    <cellStyle name="常规 10 2 2 3 2 3 7" xfId="9028" xr:uid="{48F13BEE-8BCA-4820-9FD3-F2D742464904}"/>
    <cellStyle name="常规 10 2 2 3 2 4" xfId="9029" xr:uid="{30E2CF2B-8FC2-4AA8-B350-F334293DBB3B}"/>
    <cellStyle name="常规 10 2 2 3 2 4 2" xfId="9030" xr:uid="{B31AA94D-058E-4022-BAFC-548913BA977C}"/>
    <cellStyle name="常规 10 2 2 3 2 4 2 2" xfId="9031" xr:uid="{2550076C-DF14-49B8-9D77-7A3375C5C45A}"/>
    <cellStyle name="常规 10 2 2 3 2 4 3" xfId="9032" xr:uid="{CE390DF5-BDE4-47AB-82D7-C99322F3E0C9}"/>
    <cellStyle name="常规 10 2 2 3 2 4 4" xfId="9033" xr:uid="{F5AACE95-4A2D-48B8-88AB-EE3453B48B14}"/>
    <cellStyle name="常规 10 2 2 3 2 4 4 2" xfId="33415" xr:uid="{9658CF28-DE41-484F-8B95-5D00F7556F34}"/>
    <cellStyle name="常规 10 2 2 3 2 4 5" xfId="9034" xr:uid="{5BB76839-5E18-4742-8511-F191DFCEF4C2}"/>
    <cellStyle name="常规 10 2 2 3 2 5" xfId="9035" xr:uid="{B27B8F4B-78E7-4908-8CEB-5B330C3AFEC8}"/>
    <cellStyle name="常规 10 2 2 3 2 5 2" xfId="9036" xr:uid="{BC47DE9A-E8F3-413C-801E-93A8067B8C60}"/>
    <cellStyle name="常规 10 2 2 3 2 5 2 2" xfId="9037" xr:uid="{5AD18B20-2DB6-4D73-AF86-1AF4E187A5B2}"/>
    <cellStyle name="常规 10 2 2 3 2 5 3" xfId="9038" xr:uid="{BF40DB7A-599F-4358-802B-2FC4A18C9F18}"/>
    <cellStyle name="常规 10 2 2 3 2 5 4" xfId="9039" xr:uid="{4A8B15F8-C89C-4102-AFBC-95A02157553F}"/>
    <cellStyle name="常规 10 2 2 3 2 5 4 2" xfId="33416" xr:uid="{C4D3017F-19C0-4AB5-AB74-4DF087A1801B}"/>
    <cellStyle name="常规 10 2 2 3 2 5 5" xfId="9040" xr:uid="{FBADFADD-25CE-4419-A529-8F4D801C20FE}"/>
    <cellStyle name="常规 10 2 2 3 2 6" xfId="9041" xr:uid="{EBF51672-4324-410D-B95F-630A8B677BFE}"/>
    <cellStyle name="常规 10 2 2 3 2 6 2" xfId="9042" xr:uid="{3E86C2B3-5F20-48A1-944D-044B78AEA3E0}"/>
    <cellStyle name="常规 10 2 2 3 2 6 3" xfId="9043" xr:uid="{CCDCD6D9-6618-4BB5-9FC7-5C0C9DF6E89C}"/>
    <cellStyle name="常规 10 2 2 3 2 7" xfId="9044" xr:uid="{D2CBC276-754A-42E7-AC1A-79763E9E5AD7}"/>
    <cellStyle name="常规 10 2 2 3 2 7 2" xfId="9045" xr:uid="{5BBF0762-4B05-4A8D-8C6F-A720003CB9B1}"/>
    <cellStyle name="常规 10 2 2 3 2 8" xfId="9046" xr:uid="{9C4DC5AF-9899-4CC2-82D6-98DEDCEB5797}"/>
    <cellStyle name="常规 10 2 2 3 2 8 2" xfId="9047" xr:uid="{2A720BE5-862C-41FF-8702-8F7F1F5A92EE}"/>
    <cellStyle name="常规 10 2 2 3 2 8 3" xfId="33417" xr:uid="{C3C2B644-0946-4D76-A3CB-4352D324ED1B}"/>
    <cellStyle name="常规 10 2 2 3 2 9" xfId="9048" xr:uid="{E85F98E3-E74A-44BC-9B89-820F0B03332D}"/>
    <cellStyle name="常规 10 2 2 3 3" xfId="9049" xr:uid="{E36B1BD1-C45B-47CF-B38E-E67AA3E5BB61}"/>
    <cellStyle name="常规 10 2 2 3 3 2" xfId="9050" xr:uid="{234D2591-D5BB-4334-B1E5-C9E50CD3904E}"/>
    <cellStyle name="常规 10 2 2 3 3 2 2" xfId="9051" xr:uid="{7D33A94E-8AA6-40C8-8282-166B5A7C57A3}"/>
    <cellStyle name="常规 10 2 2 3 3 2 2 2" xfId="9052" xr:uid="{4863E53F-0570-4F0E-9424-A70CB35A606C}"/>
    <cellStyle name="常规 10 2 2 3 3 2 2 2 2" xfId="9053" xr:uid="{E3194138-D68D-4A92-9031-E48D424D8B07}"/>
    <cellStyle name="常规 10 2 2 3 3 2 2 3" xfId="9054" xr:uid="{7C4C5199-94DF-4156-A22F-E2B70C3AADAC}"/>
    <cellStyle name="常规 10 2 2 3 3 2 2 4" xfId="9055" xr:uid="{F55AF699-C82C-4438-929B-A1E9D8D81FAB}"/>
    <cellStyle name="常规 10 2 2 3 3 2 2 4 2" xfId="33418" xr:uid="{EA2C5224-98B7-47CA-83C3-2AC91FACA33E}"/>
    <cellStyle name="常规 10 2 2 3 3 2 2 5" xfId="9056" xr:uid="{4C3AA17B-4AAF-4D1D-97DE-856716D3E215}"/>
    <cellStyle name="常规 10 2 2 3 3 2 3" xfId="9057" xr:uid="{D3373A5E-39CD-4C88-A67D-7362CF77B4C6}"/>
    <cellStyle name="常规 10 2 2 3 3 2 3 2" xfId="9058" xr:uid="{E67B2A2B-2009-49E9-A211-215A63E04AF8}"/>
    <cellStyle name="常规 10 2 2 3 3 2 3 3" xfId="9059" xr:uid="{E1C93AE4-99DE-4A3F-B123-CD6D40C624ED}"/>
    <cellStyle name="常规 10 2 2 3 3 2 4" xfId="9060" xr:uid="{ED1A740F-F368-4A81-99CB-15D2FBAAF314}"/>
    <cellStyle name="常规 10 2 2 3 3 2 4 2" xfId="9061" xr:uid="{4B2FC2F5-9D46-4823-919D-B6680D17C597}"/>
    <cellStyle name="常规 10 2 2 3 3 2 5" xfId="9062" xr:uid="{D6C27DB0-C76D-40AE-AD2A-81F41F04AFB9}"/>
    <cellStyle name="常规 10 2 2 3 3 2 5 2" xfId="9063" xr:uid="{FB8AEC4A-6A2E-4232-AE4B-51FD8970BB03}"/>
    <cellStyle name="常规 10 2 2 3 3 2 5 3" xfId="33419" xr:uid="{FFDF13AB-7758-403F-8E78-3BBFD71E0B8E}"/>
    <cellStyle name="常规 10 2 2 3 3 2 6" xfId="9064" xr:uid="{AB3BDB1C-91AC-4AF1-A3BB-8061CB74F3FA}"/>
    <cellStyle name="常规 10 2 2 3 3 2 7" xfId="9065" xr:uid="{9450E5AE-8B0C-4783-A7AC-12761CA8B289}"/>
    <cellStyle name="常规 10 2 2 3 3 3" xfId="9066" xr:uid="{C3564C00-0D76-4368-B142-D432ED461403}"/>
    <cellStyle name="常规 10 2 2 3 3 3 2" xfId="9067" xr:uid="{EB125319-49EC-4A92-AE9E-4F2B0BB59C3B}"/>
    <cellStyle name="常规 10 2 2 3 3 3 2 2" xfId="9068" xr:uid="{61D89682-D97C-4C85-8B26-E188CB7D5503}"/>
    <cellStyle name="常规 10 2 2 3 3 3 3" xfId="9069" xr:uid="{69E0F591-3910-42E9-B9B5-B3FD27949C5E}"/>
    <cellStyle name="常规 10 2 2 3 3 3 4" xfId="9070" xr:uid="{0EFA9F04-1A42-4FC1-8DC8-1320735ABFFA}"/>
    <cellStyle name="常规 10 2 2 3 3 3 4 2" xfId="33420" xr:uid="{60879B1A-A4EE-4F3A-9859-169A96993A6E}"/>
    <cellStyle name="常规 10 2 2 3 3 3 5" xfId="9071" xr:uid="{2CF6BBA1-C37C-49CE-9C35-D4E0EB2D7281}"/>
    <cellStyle name="常规 10 2 2 3 3 4" xfId="9072" xr:uid="{88CE2A8E-0585-4D42-A00D-63176ADCB9FB}"/>
    <cellStyle name="常规 10 2 2 3 3 4 2" xfId="9073" xr:uid="{840C0AA2-F55A-4001-AA99-42FCA87AAEEF}"/>
    <cellStyle name="常规 10 2 2 3 3 4 3" xfId="9074" xr:uid="{865C14FA-B1C5-43E2-966D-D6C4DC78E666}"/>
    <cellStyle name="常规 10 2 2 3 3 5" xfId="9075" xr:uid="{BF729B82-10FA-40D3-BD52-5B9339B46431}"/>
    <cellStyle name="常规 10 2 2 3 3 5 2" xfId="9076" xr:uid="{CD746B4D-7F08-4208-9D48-56ED5CC891A1}"/>
    <cellStyle name="常规 10 2 2 3 3 6" xfId="9077" xr:uid="{8636CB67-31B7-4E6F-89DB-E4754DD1CC74}"/>
    <cellStyle name="常规 10 2 2 3 3 6 2" xfId="9078" xr:uid="{26E4C13B-EEE1-4C91-BD30-58E3EF2E551B}"/>
    <cellStyle name="常规 10 2 2 3 3 6 3" xfId="33421" xr:uid="{CC16BC92-EC28-4794-ADC1-145C48B18278}"/>
    <cellStyle name="常规 10 2 2 3 3 7" xfId="9079" xr:uid="{F5C4816E-FDAF-427D-9EF9-948F6D7F205E}"/>
    <cellStyle name="常规 10 2 2 3 3 8" xfId="9080" xr:uid="{A2BA09E3-7F7F-40FE-9AC4-4965F1EE87CD}"/>
    <cellStyle name="常规 10 2 2 3 4" xfId="9081" xr:uid="{6495C66D-D33F-4787-A26D-EACDFEDC3805}"/>
    <cellStyle name="常规 10 2 2 3 4 2" xfId="9082" xr:uid="{F3ADE684-A29C-4FC0-80B0-354D902A86DE}"/>
    <cellStyle name="常规 10 2 2 3 4 2 2" xfId="9083" xr:uid="{2ACB9C38-B931-4F62-A993-BF7E0E692E54}"/>
    <cellStyle name="常规 10 2 2 3 4 2 2 2" xfId="9084" xr:uid="{1E84CCDB-FA60-4F52-9DF6-824A0CBF09AA}"/>
    <cellStyle name="常规 10 2 2 3 4 2 3" xfId="9085" xr:uid="{0406FBFC-4751-4295-A4FC-7B34A3B4EC25}"/>
    <cellStyle name="常规 10 2 2 3 4 2 4" xfId="9086" xr:uid="{72A2E18E-9EFE-42D5-B8ED-643B0EB390B0}"/>
    <cellStyle name="常规 10 2 2 3 4 2 4 2" xfId="33422" xr:uid="{CA4BE6E4-ED64-4671-A18B-B070180BB02E}"/>
    <cellStyle name="常规 10 2 2 3 4 2 5" xfId="9087" xr:uid="{6A5C7490-27FA-4B4B-8A23-2355088A23DC}"/>
    <cellStyle name="常规 10 2 2 3 4 3" xfId="9088" xr:uid="{A3238C24-A4CB-40AB-AA02-84ED1EB36B2D}"/>
    <cellStyle name="常规 10 2 2 3 4 3 2" xfId="9089" xr:uid="{E78C7AE9-D272-4B6C-B143-3A116D2DA447}"/>
    <cellStyle name="常规 10 2 2 3 4 3 3" xfId="9090" xr:uid="{DBE60DF7-0404-449A-A073-35BE9063A849}"/>
    <cellStyle name="常规 10 2 2 3 4 4" xfId="9091" xr:uid="{C91516ED-EBB3-4A22-A712-038D98E72E78}"/>
    <cellStyle name="常规 10 2 2 3 4 4 2" xfId="9092" xr:uid="{FF710DC2-AD1B-46F4-BAA0-C3EC6303010D}"/>
    <cellStyle name="常规 10 2 2 3 4 5" xfId="9093" xr:uid="{BB1CE936-BABE-4558-89A2-8109E1C98E99}"/>
    <cellStyle name="常规 10 2 2 3 4 5 2" xfId="9094" xr:uid="{41616E1B-0419-4447-A0CC-062E128571EF}"/>
    <cellStyle name="常规 10 2 2 3 4 5 3" xfId="33423" xr:uid="{B407E69C-8441-48AA-A1A3-25F51EDC186D}"/>
    <cellStyle name="常规 10 2 2 3 4 6" xfId="9095" xr:uid="{74D595CA-8E49-4D09-AED5-91F97216D01B}"/>
    <cellStyle name="常规 10 2 2 3 4 7" xfId="9096" xr:uid="{521377DF-3A42-459F-AA72-FB008979FC52}"/>
    <cellStyle name="常规 10 2 2 3 5" xfId="9097" xr:uid="{9E61F046-9B9D-4D6A-B942-65C45BC6E7D1}"/>
    <cellStyle name="常规 10 2 2 3 5 2" xfId="9098" xr:uid="{D5C670D4-5D20-4200-8DB2-AB363D969A74}"/>
    <cellStyle name="常规 10 2 2 3 5 2 2" xfId="9099" xr:uid="{C0F674A3-7385-4CF1-A4D9-92AB5B252FF8}"/>
    <cellStyle name="常规 10 2 2 3 5 3" xfId="9100" xr:uid="{2648F753-0EE7-47FD-91A1-CCC13C828840}"/>
    <cellStyle name="常规 10 2 2 3 5 4" xfId="9101" xr:uid="{4FCA7F79-510B-4175-ABA2-3E82867DF3DA}"/>
    <cellStyle name="常规 10 2 2 3 5 4 2" xfId="33424" xr:uid="{0875709D-A927-4CE1-BB28-0D753D7FB939}"/>
    <cellStyle name="常规 10 2 2 3 5 5" xfId="9102" xr:uid="{35EC5C81-674C-4664-8425-0BD30EC8B42E}"/>
    <cellStyle name="常规 10 2 2 3 6" xfId="9103" xr:uid="{6EAD6C8B-998A-4E64-9B66-136B7BD1A596}"/>
    <cellStyle name="常规 10 2 2 3 6 2" xfId="9104" xr:uid="{B00AA3A1-4033-4EF1-8639-4D4952015675}"/>
    <cellStyle name="常规 10 2 2 3 6 2 2" xfId="9105" xr:uid="{B7EB3C2E-A2EC-4C44-BEB0-4D3DD9F306B7}"/>
    <cellStyle name="常规 10 2 2 3 6 3" xfId="9106" xr:uid="{E93F4288-7712-453B-9C01-D0B77B443627}"/>
    <cellStyle name="常规 10 2 2 3 6 4" xfId="9107" xr:uid="{F704A996-EC83-4385-8D10-B16A88971809}"/>
    <cellStyle name="常规 10 2 2 3 6 4 2" xfId="33425" xr:uid="{7DAABBD9-FF7A-4515-A91E-70760705F515}"/>
    <cellStyle name="常规 10 2 2 3 6 5" xfId="9108" xr:uid="{920EEB1F-9309-49A1-B8C8-458F82AA0CD2}"/>
    <cellStyle name="常规 10 2 2 3 7" xfId="9109" xr:uid="{9D5FC5F4-3133-4183-BF5D-0976FE16891F}"/>
    <cellStyle name="常规 10 2 2 3 7 2" xfId="9110" xr:uid="{7451CA8B-09BC-4570-AC32-22A44D47D9E2}"/>
    <cellStyle name="常规 10 2 2 3 7 3" xfId="9111" xr:uid="{B80C0B15-11F6-48BD-9FF3-D6DF8329939B}"/>
    <cellStyle name="常规 10 2 2 3 8" xfId="9112" xr:uid="{9C3430FC-C67B-424F-B2C9-45DD05490F9E}"/>
    <cellStyle name="常规 10 2 2 3 8 2" xfId="9113" xr:uid="{E01D169C-7116-4F6F-B375-67AD7EF675AD}"/>
    <cellStyle name="常规 10 2 2 3 9" xfId="9114" xr:uid="{E34AFDDE-0FA5-4936-A5BA-F59311BD48DD}"/>
    <cellStyle name="常规 10 2 2 3 9 2" xfId="9115" xr:uid="{C5A31F4A-5AB9-4E9C-A8E5-B62CC0BE737A}"/>
    <cellStyle name="常规 10 2 2 3 9 3" xfId="33426" xr:uid="{1054A2C4-4F93-4936-9D6F-70C7563037F7}"/>
    <cellStyle name="常规 10 2 2 4" xfId="9116" xr:uid="{8A85D2AC-A757-4C12-9303-908138B2C6B8}"/>
    <cellStyle name="常规 10 2 2 4 2" xfId="9117" xr:uid="{170687E3-196A-4C5B-9C7B-0D2EE48274EF}"/>
    <cellStyle name="常规 10 2 2 4 2 2" xfId="9118" xr:uid="{06984EC6-1C47-4D8E-82B1-F67E5B94E10C}"/>
    <cellStyle name="常规 10 2 2 4 2 2 2" xfId="9119" xr:uid="{F517DEEF-A14C-469A-839B-DEF761A6515C}"/>
    <cellStyle name="常规 10 2 2 4 2 2 2 2" xfId="9120" xr:uid="{2E6A245E-652B-4687-A8FD-4D114DE9A99D}"/>
    <cellStyle name="常规 10 2 2 4 2 2 2 2 2" xfId="9121" xr:uid="{896D27E4-8D3A-450D-894C-3E76D478A806}"/>
    <cellStyle name="常规 10 2 2 4 2 2 2 3" xfId="9122" xr:uid="{87F0E864-9456-4BE4-8426-C4DF307E65E5}"/>
    <cellStyle name="常规 10 2 2 4 2 2 2 4" xfId="9123" xr:uid="{2716A113-2A9D-4325-B8F8-010937B37DFA}"/>
    <cellStyle name="常规 10 2 2 4 2 2 2 4 2" xfId="33427" xr:uid="{C3470312-4029-4A90-96A0-9B58EF4BEEAF}"/>
    <cellStyle name="常规 10 2 2 4 2 2 2 5" xfId="9124" xr:uid="{A5FABB9E-B74D-48A1-810E-F3E12DE8EC8C}"/>
    <cellStyle name="常规 10 2 2 4 2 2 3" xfId="9125" xr:uid="{69BB7A76-05A2-4718-A6B7-B3577E845F49}"/>
    <cellStyle name="常规 10 2 2 4 2 2 3 2" xfId="9126" xr:uid="{06CED13D-1280-456B-BC5B-3A4B085DF9F6}"/>
    <cellStyle name="常规 10 2 2 4 2 2 3 3" xfId="9127" xr:uid="{236C7F1E-538A-4C49-86BA-006C54E64313}"/>
    <cellStyle name="常规 10 2 2 4 2 2 4" xfId="9128" xr:uid="{DFCD5F6E-C9E6-4780-9B4E-57013FBFCE73}"/>
    <cellStyle name="常规 10 2 2 4 2 2 4 2" xfId="9129" xr:uid="{323E4A5C-CE0F-40AB-87B1-1984C1E84617}"/>
    <cellStyle name="常规 10 2 2 4 2 2 5" xfId="9130" xr:uid="{A4EA17F7-3531-4266-B6C3-0AC446609BB0}"/>
    <cellStyle name="常规 10 2 2 4 2 2 5 2" xfId="9131" xr:uid="{85427659-50DE-4B9D-A2F1-25EA92804A1A}"/>
    <cellStyle name="常规 10 2 2 4 2 2 5 3" xfId="33428" xr:uid="{4F02E79E-5955-4C5C-99A3-41F53C6FBC88}"/>
    <cellStyle name="常规 10 2 2 4 2 2 6" xfId="9132" xr:uid="{910EF855-B671-4155-8BA6-E47BD7CE726A}"/>
    <cellStyle name="常规 10 2 2 4 2 2 7" xfId="9133" xr:uid="{2C1DDACC-96AB-47B5-83C2-93EC7D6917D5}"/>
    <cellStyle name="常规 10 2 2 4 2 3" xfId="9134" xr:uid="{845036CA-BF1B-4F84-9558-5505FCA4DB0D}"/>
    <cellStyle name="常规 10 2 2 4 2 3 2" xfId="9135" xr:uid="{8A972A7B-587D-4AE3-AAB1-AB2426457A8F}"/>
    <cellStyle name="常规 10 2 2 4 2 3 2 2" xfId="9136" xr:uid="{10209C13-5FF3-4E8D-AB6D-74209AB09D4B}"/>
    <cellStyle name="常规 10 2 2 4 2 3 3" xfId="9137" xr:uid="{0ECA9BDC-17F7-4AA6-A97F-6F82969E860E}"/>
    <cellStyle name="常规 10 2 2 4 2 3 4" xfId="9138" xr:uid="{BA6567A6-3821-4B6D-B710-391005FF4A2D}"/>
    <cellStyle name="常规 10 2 2 4 2 3 4 2" xfId="33429" xr:uid="{7727ECF6-AE2E-4625-9455-8CB47E8C59F2}"/>
    <cellStyle name="常规 10 2 2 4 2 3 5" xfId="9139" xr:uid="{F7C2338D-E464-4027-81AB-0CA51D90AB48}"/>
    <cellStyle name="常规 10 2 2 4 2 4" xfId="9140" xr:uid="{CD7F6AAF-B129-45D2-A68D-B97C6264EAD1}"/>
    <cellStyle name="常规 10 2 2 4 2 4 2" xfId="9141" xr:uid="{71819099-336A-4C93-8D65-5BE93C81D259}"/>
    <cellStyle name="常规 10 2 2 4 2 4 3" xfId="9142" xr:uid="{5564AD89-C5F6-4B76-8948-DF6A6F32FCA9}"/>
    <cellStyle name="常规 10 2 2 4 2 5" xfId="9143" xr:uid="{31BD0862-85A4-43A3-904E-9F9FC93E146E}"/>
    <cellStyle name="常规 10 2 2 4 2 5 2" xfId="9144" xr:uid="{479415C3-1719-44FF-94B6-97D37FA9CFE1}"/>
    <cellStyle name="常规 10 2 2 4 2 6" xfId="9145" xr:uid="{1649A1EB-9757-4DC2-A591-92ED0D886AC0}"/>
    <cellStyle name="常规 10 2 2 4 2 6 2" xfId="9146" xr:uid="{FA05D234-B619-45EB-879C-C4EFD0C686D6}"/>
    <cellStyle name="常规 10 2 2 4 2 6 3" xfId="33430" xr:uid="{ACAFD243-92C7-4456-9CDE-16654709FDBE}"/>
    <cellStyle name="常规 10 2 2 4 2 7" xfId="9147" xr:uid="{B6552062-B81B-4492-8D15-6714E2B41C95}"/>
    <cellStyle name="常规 10 2 2 4 2 8" xfId="9148" xr:uid="{4BE7815E-217C-4C6B-94FC-7546D1CAE111}"/>
    <cellStyle name="常规 10 2 2 4 3" xfId="9149" xr:uid="{E05FB6B2-8BE0-4590-8022-D2797A98518B}"/>
    <cellStyle name="常规 10 2 2 4 3 2" xfId="9150" xr:uid="{693BD85F-1185-4660-A89C-89435E2C61BB}"/>
    <cellStyle name="常规 10 2 2 4 3 2 2" xfId="9151" xr:uid="{0EA9717F-6F70-4A93-B881-C313F41406D2}"/>
    <cellStyle name="常规 10 2 2 4 3 2 2 2" xfId="9152" xr:uid="{6502D2CD-63D4-4407-8404-DE2929CE0AEA}"/>
    <cellStyle name="常规 10 2 2 4 3 2 3" xfId="9153" xr:uid="{962A05DB-8E53-472D-8A2A-0BE1C865A296}"/>
    <cellStyle name="常规 10 2 2 4 3 2 4" xfId="9154" xr:uid="{5FF937AF-24DF-4661-8331-1FFCD13DA617}"/>
    <cellStyle name="常规 10 2 2 4 3 2 4 2" xfId="33431" xr:uid="{BA064AAE-0C52-4C45-BF3A-A4D107A33E9D}"/>
    <cellStyle name="常规 10 2 2 4 3 2 5" xfId="9155" xr:uid="{220B11D6-85C1-466B-94E7-45345EA82A5A}"/>
    <cellStyle name="常规 10 2 2 4 3 3" xfId="9156" xr:uid="{64A93807-E333-456B-AA8A-BAE393907B78}"/>
    <cellStyle name="常规 10 2 2 4 3 3 2" xfId="9157" xr:uid="{25462472-8D67-4348-9DC7-1EA9B64ABBB1}"/>
    <cellStyle name="常规 10 2 2 4 3 3 3" xfId="9158" xr:uid="{4B72E14B-F57C-41A1-A1C1-EC61FB8FC606}"/>
    <cellStyle name="常规 10 2 2 4 3 4" xfId="9159" xr:uid="{7F9BD088-1E56-4310-B673-45AD0A62B8FD}"/>
    <cellStyle name="常规 10 2 2 4 3 4 2" xfId="9160" xr:uid="{B36E9219-4E4E-40C7-80D6-B7BC19834253}"/>
    <cellStyle name="常规 10 2 2 4 3 5" xfId="9161" xr:uid="{10CE2434-8730-4936-A900-D2CF27E54CF5}"/>
    <cellStyle name="常规 10 2 2 4 3 5 2" xfId="9162" xr:uid="{7D6811EB-5949-4512-96FC-82A1CE0D9EF7}"/>
    <cellStyle name="常规 10 2 2 4 3 5 3" xfId="33432" xr:uid="{C3787FD1-3E8F-4720-8EB4-01963C1F4723}"/>
    <cellStyle name="常规 10 2 2 4 3 6" xfId="9163" xr:uid="{23ECBA12-58B0-497D-A1A0-343201C99801}"/>
    <cellStyle name="常规 10 2 2 4 3 7" xfId="9164" xr:uid="{F0A45C49-1ABB-48AD-A6AB-AFD456B4C860}"/>
    <cellStyle name="常规 10 2 2 4 4" xfId="9165" xr:uid="{97FC1CEB-2AC6-490E-88C9-18CFF75C9AC4}"/>
    <cellStyle name="常规 10 2 2 4 4 2" xfId="9166" xr:uid="{167B2F94-7216-4D9D-A697-31239B34C947}"/>
    <cellStyle name="常规 10 2 2 4 4 2 2" xfId="9167" xr:uid="{51A86327-9EBB-4103-B234-37F6F81F5D99}"/>
    <cellStyle name="常规 10 2 2 4 4 3" xfId="9168" xr:uid="{DC8607BC-60A4-4306-BE7C-D5D109F4A8F5}"/>
    <cellStyle name="常规 10 2 2 4 4 4" xfId="9169" xr:uid="{2E658D96-1EE8-4E70-B388-90D98594A1B8}"/>
    <cellStyle name="常规 10 2 2 4 4 4 2" xfId="33433" xr:uid="{24F1FE61-E8AF-46B6-B6AC-035E1BC24530}"/>
    <cellStyle name="常规 10 2 2 4 4 5" xfId="9170" xr:uid="{8466CD1E-F3F8-4360-9A57-4278416B8DEA}"/>
    <cellStyle name="常规 10 2 2 4 5" xfId="9171" xr:uid="{2F3DD479-DC89-4F9A-B5C3-1C4FA8DBC997}"/>
    <cellStyle name="常规 10 2 2 4 5 2" xfId="9172" xr:uid="{564BEEA6-2B74-49E0-877A-C54C9A54BB36}"/>
    <cellStyle name="常规 10 2 2 4 5 2 2" xfId="9173" xr:uid="{F109F198-ADB7-4573-9DBC-084D11096955}"/>
    <cellStyle name="常规 10 2 2 4 5 3" xfId="9174" xr:uid="{C7B1F57C-EC42-41F2-A589-0589D53693C0}"/>
    <cellStyle name="常规 10 2 2 4 5 4" xfId="9175" xr:uid="{D523F823-9EBE-4E43-B0EB-CB06DA018C0B}"/>
    <cellStyle name="常规 10 2 2 4 5 4 2" xfId="33434" xr:uid="{86FF9300-8034-49A1-A21F-E292B3E73EA7}"/>
    <cellStyle name="常规 10 2 2 4 5 5" xfId="9176" xr:uid="{18F4D0E8-9C32-47EE-8B56-128229CDB80D}"/>
    <cellStyle name="常规 10 2 2 4 6" xfId="9177" xr:uid="{80B6A6C4-E845-455D-AA25-FBCB2E3F760B}"/>
    <cellStyle name="常规 10 2 2 4 6 2" xfId="9178" xr:uid="{37257C71-85E5-4A9B-AB11-1C520F692B48}"/>
    <cellStyle name="常规 10 2 2 4 6 3" xfId="9179" xr:uid="{DDFDE861-4354-4F91-9D56-38CC6ACE6F03}"/>
    <cellStyle name="常规 10 2 2 4 7" xfId="9180" xr:uid="{F874BC1B-3AD8-48B1-BFB3-371815B80E71}"/>
    <cellStyle name="常规 10 2 2 4 7 2" xfId="9181" xr:uid="{2F71A34F-D670-4DA9-9B11-F3870754443E}"/>
    <cellStyle name="常规 10 2 2 4 8" xfId="9182" xr:uid="{4E6C8ACD-44B1-4F61-8808-3E94EDAF1D20}"/>
    <cellStyle name="常规 10 2 2 4 8 2" xfId="9183" xr:uid="{26D3DA1B-A8AB-4B5C-B948-F1E1B8123F84}"/>
    <cellStyle name="常规 10 2 2 4 8 3" xfId="33435" xr:uid="{5C8B7AA9-0839-4B8F-8DC1-BC5AA843A160}"/>
    <cellStyle name="常规 10 2 2 4 9" xfId="9184" xr:uid="{186017A7-A9EC-40A2-8E32-D1D34DA1339A}"/>
    <cellStyle name="常规 10 2 2 5" xfId="9185" xr:uid="{483E4FFD-751E-4E47-A323-1DB6CB77602D}"/>
    <cellStyle name="常规 10 2 2 5 2" xfId="9186" xr:uid="{F729CC18-7D5A-4FF8-8A1A-76C80239D66B}"/>
    <cellStyle name="常规 10 2 2 5 2 2" xfId="9187" xr:uid="{7AA067D8-D5BB-4EE1-94DB-4BFF06C53659}"/>
    <cellStyle name="常规 10 2 2 5 2 2 2" xfId="9188" xr:uid="{7E04D596-E873-40C4-8EED-5FFD55149759}"/>
    <cellStyle name="常规 10 2 2 5 2 2 2 2" xfId="9189" xr:uid="{E6AA8EF0-CA29-438B-A84E-83668CB151B3}"/>
    <cellStyle name="常规 10 2 2 5 2 2 2 2 2" xfId="9190" xr:uid="{20CA0889-8116-498C-98B6-EC654D8F9295}"/>
    <cellStyle name="常规 10 2 2 5 2 2 2 3" xfId="9191" xr:uid="{B63366EA-1559-45FE-B15C-55A19C602417}"/>
    <cellStyle name="常规 10 2 2 5 2 2 2 4" xfId="9192" xr:uid="{AC121583-9784-41E4-9CF8-E61596C28259}"/>
    <cellStyle name="常规 10 2 2 5 2 2 2 4 2" xfId="33436" xr:uid="{E85E2BE2-34D4-4F37-A5C6-46ADC18A4D1F}"/>
    <cellStyle name="常规 10 2 2 5 2 2 2 5" xfId="9193" xr:uid="{694578CD-BEA3-4780-BF68-4480590356F1}"/>
    <cellStyle name="常规 10 2 2 5 2 2 3" xfId="9194" xr:uid="{8EC31B94-729A-480D-B526-2B4B351E4D0F}"/>
    <cellStyle name="常规 10 2 2 5 2 2 3 2" xfId="9195" xr:uid="{BFBAC616-ABDC-4911-A279-6D377BC43E1A}"/>
    <cellStyle name="常规 10 2 2 5 2 2 3 3" xfId="9196" xr:uid="{4C435BA8-2902-4987-A382-93266BD78B74}"/>
    <cellStyle name="常规 10 2 2 5 2 2 4" xfId="9197" xr:uid="{A425C03C-18F3-4279-8822-5EC5A2E25B28}"/>
    <cellStyle name="常规 10 2 2 5 2 2 4 2" xfId="9198" xr:uid="{006B09B2-A5D6-4B25-B194-716C5CB56095}"/>
    <cellStyle name="常规 10 2 2 5 2 2 5" xfId="9199" xr:uid="{7DC9D8CC-9045-4220-B647-D761F0627816}"/>
    <cellStyle name="常规 10 2 2 5 2 2 5 2" xfId="9200" xr:uid="{21D28831-5F04-4907-909F-AE5EBE9184F7}"/>
    <cellStyle name="常规 10 2 2 5 2 2 5 3" xfId="33437" xr:uid="{C36B4FA2-D357-4E38-9276-5271056BD143}"/>
    <cellStyle name="常规 10 2 2 5 2 2 6" xfId="9201" xr:uid="{E834259F-8F84-4DEB-8E0A-AFB0BD2611EE}"/>
    <cellStyle name="常规 10 2 2 5 2 2 7" xfId="9202" xr:uid="{873A8204-AAD3-4FFB-94D4-731757808AD3}"/>
    <cellStyle name="常规 10 2 2 5 2 3" xfId="9203" xr:uid="{0122A901-B83D-4096-B59E-07B6B2E2693B}"/>
    <cellStyle name="常规 10 2 2 5 2 3 2" xfId="9204" xr:uid="{15E0A320-9F05-4611-BC54-7ADC71234BA8}"/>
    <cellStyle name="常规 10 2 2 5 2 3 2 2" xfId="9205" xr:uid="{936B2A5D-28A3-45E7-9DCF-CD47F28B1A65}"/>
    <cellStyle name="常规 10 2 2 5 2 3 3" xfId="9206" xr:uid="{D9F11CBE-8D95-4ECE-911D-4ECCBB3E0A4E}"/>
    <cellStyle name="常规 10 2 2 5 2 3 4" xfId="9207" xr:uid="{D083351D-4467-4F8E-9712-51354D5084A4}"/>
    <cellStyle name="常规 10 2 2 5 2 3 4 2" xfId="33438" xr:uid="{6354328E-367F-4273-8CF8-A618A800B009}"/>
    <cellStyle name="常规 10 2 2 5 2 3 5" xfId="9208" xr:uid="{38941107-C979-480A-A21F-9ABF16CD8819}"/>
    <cellStyle name="常规 10 2 2 5 2 4" xfId="9209" xr:uid="{E9614A24-4A95-4992-9AA9-3D2C41329EF8}"/>
    <cellStyle name="常规 10 2 2 5 2 4 2" xfId="9210" xr:uid="{70A7DE69-BFD4-4150-94CD-54DF4CD32594}"/>
    <cellStyle name="常规 10 2 2 5 2 4 3" xfId="9211" xr:uid="{7E1A7EBD-0843-4935-A609-CA2586B21372}"/>
    <cellStyle name="常规 10 2 2 5 2 5" xfId="9212" xr:uid="{5C9AA62F-CC56-4277-A2FD-A930F08DFF70}"/>
    <cellStyle name="常规 10 2 2 5 2 5 2" xfId="9213" xr:uid="{345DB570-2433-4431-AA76-45FB38417FF7}"/>
    <cellStyle name="常规 10 2 2 5 2 6" xfId="9214" xr:uid="{7BAC7EA7-B8F5-4FB0-A575-BD1E84394FFF}"/>
    <cellStyle name="常规 10 2 2 5 2 6 2" xfId="9215" xr:uid="{B56250CD-E342-42E4-9A01-DDDC2ED4FB97}"/>
    <cellStyle name="常规 10 2 2 5 2 6 3" xfId="33439" xr:uid="{1AD77670-EC4B-4393-8309-2332EE80EB7D}"/>
    <cellStyle name="常规 10 2 2 5 2 7" xfId="9216" xr:uid="{E70C895F-32A8-4DDA-8B4B-00ED015C0DBC}"/>
    <cellStyle name="常规 10 2 2 5 2 8" xfId="9217" xr:uid="{5CC4035B-A353-4F49-90DA-0C1B859232BC}"/>
    <cellStyle name="常规 10 2 2 5 3" xfId="9218" xr:uid="{8975DCF6-706F-44B1-90B8-9D31299CDF09}"/>
    <cellStyle name="常规 10 2 2 5 3 2" xfId="9219" xr:uid="{5C0A3BCC-F227-4E02-AD7A-71C01C62CA10}"/>
    <cellStyle name="常规 10 2 2 5 3 2 2" xfId="9220" xr:uid="{677FB7A8-281D-46F1-BCF6-4C3A63D8F73C}"/>
    <cellStyle name="常规 10 2 2 5 3 2 2 2" xfId="9221" xr:uid="{9E26FE25-34A0-4DB0-94BC-1B6E86C22821}"/>
    <cellStyle name="常规 10 2 2 5 3 2 3" xfId="9222" xr:uid="{92A4A92A-E944-417C-BB36-E196591CD337}"/>
    <cellStyle name="常规 10 2 2 5 3 2 4" xfId="9223" xr:uid="{0E1F6AB9-5970-48B1-B829-673879EA9AFA}"/>
    <cellStyle name="常规 10 2 2 5 3 2 4 2" xfId="33440" xr:uid="{634F35FA-2C36-4706-9CDE-0338C0A3CABF}"/>
    <cellStyle name="常规 10 2 2 5 3 2 5" xfId="9224" xr:uid="{30925C30-EB82-47B0-861D-DEE27EC81E91}"/>
    <cellStyle name="常规 10 2 2 5 3 3" xfId="9225" xr:uid="{708BC0F1-905A-46EC-9E20-B67805684094}"/>
    <cellStyle name="常规 10 2 2 5 3 3 2" xfId="9226" xr:uid="{9B326471-F5C0-40A6-9379-C88508CF6921}"/>
    <cellStyle name="常规 10 2 2 5 3 3 3" xfId="9227" xr:uid="{19F7D7C9-6523-4CAB-AD48-864F1AB5A3B1}"/>
    <cellStyle name="常规 10 2 2 5 3 4" xfId="9228" xr:uid="{85A202B1-854E-45B5-AE57-F6B2747352E8}"/>
    <cellStyle name="常规 10 2 2 5 3 4 2" xfId="9229" xr:uid="{DB746BA3-BF5E-4A4C-A393-175F817C458B}"/>
    <cellStyle name="常规 10 2 2 5 3 5" xfId="9230" xr:uid="{D17F3C1A-1866-4046-9CBD-496F993B61AA}"/>
    <cellStyle name="常规 10 2 2 5 3 5 2" xfId="9231" xr:uid="{EE45ECFD-2882-4C2E-AA02-385F6C5E3DF8}"/>
    <cellStyle name="常规 10 2 2 5 3 5 3" xfId="33441" xr:uid="{95DFEB3A-6DE2-403B-9E70-130272CB70C4}"/>
    <cellStyle name="常规 10 2 2 5 3 6" xfId="9232" xr:uid="{C5FBDBA3-EAD7-4F16-A3BE-2AEBA964116E}"/>
    <cellStyle name="常规 10 2 2 5 3 7" xfId="9233" xr:uid="{1DF57C2A-0E79-485E-A40C-8A91D77F6910}"/>
    <cellStyle name="常规 10 2 2 5 4" xfId="9234" xr:uid="{3D8C9AAF-AEB0-4CE5-AB28-86F0F6C0E819}"/>
    <cellStyle name="常规 10 2 2 5 4 2" xfId="9235" xr:uid="{53D9DC1E-0686-4139-9527-0CCBC9962E4C}"/>
    <cellStyle name="常规 10 2 2 5 4 2 2" xfId="9236" xr:uid="{894D9820-E5C2-45A7-B4E7-A3D9952FE3C8}"/>
    <cellStyle name="常规 10 2 2 5 4 3" xfId="9237" xr:uid="{E9BE3520-351F-4D62-BEC7-EC3436F765A4}"/>
    <cellStyle name="常规 10 2 2 5 4 4" xfId="9238" xr:uid="{CD360A06-98A9-4413-9562-A6CF72897EC9}"/>
    <cellStyle name="常规 10 2 2 5 4 4 2" xfId="33442" xr:uid="{A1BB1561-8BED-4325-BB22-1E3588530E25}"/>
    <cellStyle name="常规 10 2 2 5 4 5" xfId="9239" xr:uid="{76AE7C0B-C5F7-4361-BD53-67AC320C36C9}"/>
    <cellStyle name="常规 10 2 2 5 5" xfId="9240" xr:uid="{5FD0E45D-5497-4F93-92DA-6ACA683DF628}"/>
    <cellStyle name="常规 10 2 2 5 5 2" xfId="9241" xr:uid="{D0024DC1-FA5E-4521-9F8C-9C923EE115A4}"/>
    <cellStyle name="常规 10 2 2 5 5 3" xfId="9242" xr:uid="{E54260EF-1B05-4587-B22E-DC8DC2E06556}"/>
    <cellStyle name="常规 10 2 2 5 6" xfId="9243" xr:uid="{A3CC2B56-9B48-4C1A-BAE7-3CA303FCEB4D}"/>
    <cellStyle name="常规 10 2 2 5 6 2" xfId="9244" xr:uid="{27A6C648-1806-4A69-BEEE-4FD7F3F2F367}"/>
    <cellStyle name="常规 10 2 2 5 7" xfId="9245" xr:uid="{B3CE08DC-D560-4F2E-8257-FBCD8C42DDDC}"/>
    <cellStyle name="常规 10 2 2 5 7 2" xfId="9246" xr:uid="{4B6B91F4-843D-465E-9806-6DB081DFD315}"/>
    <cellStyle name="常规 10 2 2 5 7 3" xfId="33443" xr:uid="{75A3E61D-96B5-4AAF-AA5A-B94D81D7D563}"/>
    <cellStyle name="常规 10 2 2 5 8" xfId="9247" xr:uid="{5464E8B2-D1A9-447B-BCA7-57BFA3300C08}"/>
    <cellStyle name="常规 10 2 2 5 9" xfId="9248" xr:uid="{097BB77B-8C70-454D-AAE3-FBA96910EF7E}"/>
    <cellStyle name="常规 10 2 2 6" xfId="9249" xr:uid="{B2951EB9-7F9E-4790-8DD6-CF175F2284B0}"/>
    <cellStyle name="常规 10 2 2 6 2" xfId="9250" xr:uid="{51DB90CE-085A-40DB-9D37-39970013E258}"/>
    <cellStyle name="常规 10 2 2 6 2 2" xfId="9251" xr:uid="{BD89CC5F-A7F9-4E73-A214-E2CD23FEB510}"/>
    <cellStyle name="常规 10 2 2 6 2 2 2" xfId="9252" xr:uid="{8B5E949A-07CF-451E-9F71-83A0A4AFB538}"/>
    <cellStyle name="常规 10 2 2 6 2 2 2 2" xfId="9253" xr:uid="{DA083C01-9531-4305-909D-3053907C310E}"/>
    <cellStyle name="常规 10 2 2 6 2 2 2 2 2" xfId="9254" xr:uid="{E254C808-6502-40D0-82EC-FF47FC2852BC}"/>
    <cellStyle name="常规 10 2 2 6 2 2 2 3" xfId="9255" xr:uid="{A3DB3120-7BB7-4C09-AA54-CF9890E4CAFA}"/>
    <cellStyle name="常规 10 2 2 6 2 2 2 4" xfId="9256" xr:uid="{50A2D7A0-21A5-483A-9218-D23E568B70DD}"/>
    <cellStyle name="常规 10 2 2 6 2 2 2 4 2" xfId="33444" xr:uid="{560CCEC5-D8C3-490C-93A6-8A8F55A2A8AF}"/>
    <cellStyle name="常规 10 2 2 6 2 2 3" xfId="9257" xr:uid="{7580294E-EDC3-4ADA-8433-883818799E08}"/>
    <cellStyle name="常规 10 2 2 6 2 2 3 2" xfId="9258" xr:uid="{7562FD18-7D33-4749-8233-A954C25CA8B7}"/>
    <cellStyle name="常规 10 2 2 6 2 2 4" xfId="9259" xr:uid="{48E175D9-A364-4A6F-A676-AA1C19EDFD8E}"/>
    <cellStyle name="常规 10 2 2 6 2 2 5" xfId="9260" xr:uid="{392657F9-B858-473D-88BC-CE22ABE10E30}"/>
    <cellStyle name="常规 10 2 2 6 2 2 5 2" xfId="33445" xr:uid="{5F73172D-FFA8-4F6A-9129-E7E13DB68DE8}"/>
    <cellStyle name="常规 10 2 2 6 2 2 6" xfId="9261" xr:uid="{C1698725-1043-41A0-A259-08D05A4B8374}"/>
    <cellStyle name="常规 10 2 2 6 2 3" xfId="9262" xr:uid="{42AF19A2-A28D-4E80-AA21-E874AF427B96}"/>
    <cellStyle name="常规 10 2 2 6 2 3 2" xfId="9263" xr:uid="{EF4C7BCD-13FA-40FA-95D4-657158C4FAC7}"/>
    <cellStyle name="常规 10 2 2 6 2 3 2 2" xfId="9264" xr:uid="{985B860E-67D2-428A-9717-42E967137091}"/>
    <cellStyle name="常规 10 2 2 6 2 3 3" xfId="9265" xr:uid="{6E248CA8-6AF0-47C2-B62E-DB6FACAD14F6}"/>
    <cellStyle name="常规 10 2 2 6 2 3 4" xfId="9266" xr:uid="{04E3653E-4544-49AB-9C35-5249ADE5E60E}"/>
    <cellStyle name="常规 10 2 2 6 2 3 4 2" xfId="33446" xr:uid="{B3B41A5D-A3A4-4A01-A362-03A379313E37}"/>
    <cellStyle name="常规 10 2 2 6 2 3 5" xfId="9267" xr:uid="{BF61E1B4-9618-42D4-8BDE-5DB96BB52473}"/>
    <cellStyle name="常规 10 2 2 6 2 4" xfId="9268" xr:uid="{9F51E843-EC5F-499D-8283-9AFA8143876A}"/>
    <cellStyle name="常规 10 2 2 6 2 4 2" xfId="9269" xr:uid="{70A8CA98-1FD6-4167-84BE-6151E1A6E3A0}"/>
    <cellStyle name="常规 10 2 2 6 2 4 3" xfId="9270" xr:uid="{1AEAC528-73A0-4268-AD00-14FB5C08DE87}"/>
    <cellStyle name="常规 10 2 2 6 2 5" xfId="9271" xr:uid="{02335964-29D3-4A77-B1EC-9A5F8C59D642}"/>
    <cellStyle name="常规 10 2 2 6 2 5 2" xfId="9272" xr:uid="{5ACE651A-222B-432F-93DC-03BF0EA76BDF}"/>
    <cellStyle name="常规 10 2 2 6 2 6" xfId="9273" xr:uid="{F09DF270-AF3C-4AC3-9825-C76ADAD524BD}"/>
    <cellStyle name="常规 10 2 2 6 2 6 2" xfId="9274" xr:uid="{B5F7E835-B351-4024-8F25-1C4912085D4D}"/>
    <cellStyle name="常规 10 2 2 6 2 6 3" xfId="33447" xr:uid="{3869E658-4B71-4FE0-BCEF-CB727CCFFB19}"/>
    <cellStyle name="常规 10 2 2 6 2 7" xfId="9275" xr:uid="{C70E7634-3EE2-423E-BE07-910D77D5D0F5}"/>
    <cellStyle name="常规 10 2 2 6 3" xfId="9276" xr:uid="{7E0485B4-0655-4DC3-AB4C-CC4D378E2772}"/>
    <cellStyle name="常规 10 2 2 6 3 2" xfId="9277" xr:uid="{406FAC78-F30E-4BFC-8F1D-5EEA57E1BBCB}"/>
    <cellStyle name="常规 10 2 2 6 3 2 2" xfId="9278" xr:uid="{BFEE6276-89D0-4599-A954-8194FEFF3BBD}"/>
    <cellStyle name="常规 10 2 2 6 3 2 2 2" xfId="9279" xr:uid="{AFD45CE9-A319-46FD-AEA0-787D21EA6360}"/>
    <cellStyle name="常规 10 2 2 6 3 2 3" xfId="9280" xr:uid="{A4F4785A-B562-4D14-AF4F-B2440A34A142}"/>
    <cellStyle name="常规 10 2 2 6 3 2 4" xfId="9281" xr:uid="{1AA57835-CDA1-4065-90E8-913380819E27}"/>
    <cellStyle name="常规 10 2 2 6 3 2 4 2" xfId="33448" xr:uid="{B22E4750-FF7C-4F81-B10C-F217DBF20F43}"/>
    <cellStyle name="常规 10 2 2 6 3 3" xfId="9282" xr:uid="{C8743530-33F3-4846-9C40-EC1D93152467}"/>
    <cellStyle name="常规 10 2 2 6 3 3 2" xfId="9283" xr:uid="{20C6BE00-4BA9-4FFD-94EC-EB42DF5E974E}"/>
    <cellStyle name="常规 10 2 2 6 3 4" xfId="9284" xr:uid="{ED52477C-D602-4BF3-8245-8A575D5DDBB0}"/>
    <cellStyle name="常规 10 2 2 6 3 5" xfId="9285" xr:uid="{37D95C6B-1C50-438C-82C8-2EBAC569CB73}"/>
    <cellStyle name="常规 10 2 2 6 3 5 2" xfId="33449" xr:uid="{94F468B1-EBD9-41B8-8221-58E60EA04306}"/>
    <cellStyle name="常规 10 2 2 6 3 6" xfId="9286" xr:uid="{8198D5D0-2250-4B4F-98C6-D84A1A350C72}"/>
    <cellStyle name="常规 10 2 2 6 4" xfId="9287" xr:uid="{98111D7E-5862-4C66-A1D9-595989F2B387}"/>
    <cellStyle name="常规 10 2 2 6 4 2" xfId="9288" xr:uid="{6B441492-7930-42CE-9C9D-94F313CE2A5A}"/>
    <cellStyle name="常规 10 2 2 6 4 2 2" xfId="9289" xr:uid="{2A9380EF-842C-41E6-AE82-2C42A0F68ED6}"/>
    <cellStyle name="常规 10 2 2 6 4 3" xfId="9290" xr:uid="{DE65D87D-C2F8-4FD7-AFB1-1A03B86AAD8C}"/>
    <cellStyle name="常规 10 2 2 6 4 4" xfId="9291" xr:uid="{F8763AAB-73B9-4DB2-A646-959A42A9ACDD}"/>
    <cellStyle name="常规 10 2 2 6 4 4 2" xfId="33450" xr:uid="{6CA0A4FF-D743-413F-8EB3-AF87B5B9FAD6}"/>
    <cellStyle name="常规 10 2 2 6 4 5" xfId="9292" xr:uid="{BB3F789C-39AF-4F52-A019-0A7E46384273}"/>
    <cellStyle name="常规 10 2 2 6 5" xfId="9293" xr:uid="{CB469051-7D98-44B7-86EB-BA551E54A792}"/>
    <cellStyle name="常规 10 2 2 6 5 2" xfId="9294" xr:uid="{E5511774-EF80-4663-8C5C-CC8698EDDBBA}"/>
    <cellStyle name="常规 10 2 2 6 5 3" xfId="9295" xr:uid="{0CEE8162-A752-4F47-97B1-43AAD9048F81}"/>
    <cellStyle name="常规 10 2 2 6 6" xfId="9296" xr:uid="{E83A9199-B60D-47B3-AD1E-76D0CC553ECA}"/>
    <cellStyle name="常规 10 2 2 6 6 2" xfId="9297" xr:uid="{C96DC7B7-F5E9-4FBF-AB91-E27A81DF6CD8}"/>
    <cellStyle name="常规 10 2 2 6 7" xfId="9298" xr:uid="{C2FBBA40-CB93-4D0F-94D2-4808416FFA3B}"/>
    <cellStyle name="常规 10 2 2 6 7 2" xfId="9299" xr:uid="{4ED283E3-0D4F-4750-907B-29B028884519}"/>
    <cellStyle name="常规 10 2 2 6 7 3" xfId="33451" xr:uid="{42F34F55-0D8C-4FEA-9805-7C0ED1783978}"/>
    <cellStyle name="常规 10 2 2 6 8" xfId="9300" xr:uid="{CA8463CC-828A-4C2E-B899-C31B8FC666BF}"/>
    <cellStyle name="常规 10 2 2 7" xfId="9301" xr:uid="{4AA3754C-5F82-4DAF-B11F-D67BD37983BB}"/>
    <cellStyle name="常规 10 2 2 7 2" xfId="9302" xr:uid="{BD581935-E9F9-4873-BEAE-74CFE273CC26}"/>
    <cellStyle name="常规 10 2 2 7 2 2" xfId="9303" xr:uid="{79790B25-0B7B-4ED0-BE34-AEE9E36565D9}"/>
    <cellStyle name="常规 10 2 2 7 2 2 2" xfId="9304" xr:uid="{890BF8D0-E760-4C56-89D9-8BFE4ED0A4FF}"/>
    <cellStyle name="常规 10 2 2 7 2 2 2 2" xfId="9305" xr:uid="{BAE906A0-50C8-4C91-9903-38D4EBFFD326}"/>
    <cellStyle name="常规 10 2 2 7 2 2 3" xfId="9306" xr:uid="{78BC1B04-F72A-4D8D-A0F5-4E62D69FDEE9}"/>
    <cellStyle name="常规 10 2 2 7 2 2 4" xfId="9307" xr:uid="{F83FC578-EBFC-4FA9-A777-DFB345CEC086}"/>
    <cellStyle name="常规 10 2 2 7 2 2 4 2" xfId="33452" xr:uid="{6215E994-4E6D-48D2-B9EE-8288E2040FE4}"/>
    <cellStyle name="常规 10 2 2 7 2 2 5" xfId="9308" xr:uid="{BE22EC15-0550-4973-9AC4-F394167DEDF9}"/>
    <cellStyle name="常规 10 2 2 7 2 3" xfId="9309" xr:uid="{0AD5D35D-6CB0-42D1-98E4-E45808DBD2B8}"/>
    <cellStyle name="常规 10 2 2 7 2 3 2" xfId="9310" xr:uid="{764684D2-870E-4C91-B178-45E4BE778F03}"/>
    <cellStyle name="常规 10 2 2 7 2 3 3" xfId="9311" xr:uid="{6B3FE3FA-4077-451A-91D7-37733B68DF99}"/>
    <cellStyle name="常规 10 2 2 7 2 4" xfId="9312" xr:uid="{F2885E58-65F6-4A0B-B067-AB8E879197B5}"/>
    <cellStyle name="常规 10 2 2 7 2 4 2" xfId="9313" xr:uid="{15BF7F15-79B6-4490-9D7C-FABB329866C6}"/>
    <cellStyle name="常规 10 2 2 7 2 5" xfId="9314" xr:uid="{B6374075-D3BE-4279-A415-C9598521F1E9}"/>
    <cellStyle name="常规 10 2 2 7 2 5 2" xfId="9315" xr:uid="{F8B6C098-4476-4675-ADDA-FBAF6F1C4002}"/>
    <cellStyle name="常规 10 2 2 7 2 5 3" xfId="33453" xr:uid="{EE79BF06-1A25-4B9C-B9F7-B2AF2022B8E9}"/>
    <cellStyle name="常规 10 2 2 7 2 6" xfId="9316" xr:uid="{66AF2212-5E51-485C-B1EB-A84AF5731D3C}"/>
    <cellStyle name="常规 10 2 2 7 2 7" xfId="9317" xr:uid="{D6117F19-A89D-42EA-9F65-4F1499A21FE6}"/>
    <cellStyle name="常规 10 2 2 7 3" xfId="9318" xr:uid="{C67C2436-F971-47EB-A7C1-DC9207A83185}"/>
    <cellStyle name="常规 10 2 2 7 3 2" xfId="9319" xr:uid="{64D22FEE-87ED-4A70-85EF-EEAD83281497}"/>
    <cellStyle name="常规 10 2 2 7 3 2 2" xfId="9320" xr:uid="{C3A399DE-BAC1-42D0-8D82-2C93550E71BF}"/>
    <cellStyle name="常规 10 2 2 7 3 3" xfId="9321" xr:uid="{F892E030-19EF-421C-8035-34A824202FCA}"/>
    <cellStyle name="常规 10 2 2 7 3 4" xfId="9322" xr:uid="{B13B7927-22E9-45C2-93C5-8174485A717A}"/>
    <cellStyle name="常规 10 2 2 7 3 4 2" xfId="33454" xr:uid="{ED57FD27-747F-4018-BF77-F73688B39943}"/>
    <cellStyle name="常规 10 2 2 7 3 5" xfId="9323" xr:uid="{4C28D924-C0E8-443B-8EC0-DEC37FF0639F}"/>
    <cellStyle name="常规 10 2 2 7 4" xfId="9324" xr:uid="{5E9FB8C3-534E-43CB-B64C-284708A6B007}"/>
    <cellStyle name="常规 10 2 2 7 4 2" xfId="9325" xr:uid="{D32673B2-5DEC-4A47-877F-5F1669C8ED98}"/>
    <cellStyle name="常规 10 2 2 7 4 3" xfId="9326" xr:uid="{8DC5C64A-CF0F-4BF4-96C5-A80E0559948E}"/>
    <cellStyle name="常规 10 2 2 7 5" xfId="9327" xr:uid="{1013DCCC-2FEB-48A2-8055-6FDAD633E5F6}"/>
    <cellStyle name="常规 10 2 2 7 5 2" xfId="9328" xr:uid="{54FEA3D0-B6D1-4F56-897E-D4474D89750C}"/>
    <cellStyle name="常规 10 2 2 7 6" xfId="9329" xr:uid="{55E3772C-E2A3-481F-B946-A41A477F5AA3}"/>
    <cellStyle name="常规 10 2 2 7 6 2" xfId="9330" xr:uid="{1B975D84-3E09-4540-A704-C84B88EB1715}"/>
    <cellStyle name="常规 10 2 2 7 6 3" xfId="33455" xr:uid="{DD7A23DB-C958-4E1C-AEE5-4B7985772985}"/>
    <cellStyle name="常规 10 2 2 7 7" xfId="9331" xr:uid="{40487147-D76E-452F-A832-31A736F85A7E}"/>
    <cellStyle name="常规 10 2 2 7 8" xfId="9332" xr:uid="{9C9C97B8-34F3-4C21-BC3A-8DEBD2891133}"/>
    <cellStyle name="常规 10 2 2 8" xfId="9333" xr:uid="{80A5BE4B-8E24-4AF2-B97F-6E67619F0706}"/>
    <cellStyle name="常规 10 2 2 8 2" xfId="9334" xr:uid="{CD36DCC1-F227-4489-9042-08AA3A4995A2}"/>
    <cellStyle name="常规 10 2 2 8 2 2" xfId="9335" xr:uid="{562E0C3F-C4F8-44B5-8CF7-714A9E9C458A}"/>
    <cellStyle name="常规 10 2 2 8 2 2 2" xfId="9336" xr:uid="{1366777F-66B9-426C-B26F-A87BCBF2A933}"/>
    <cellStyle name="常规 10 2 2 8 2 2 3" xfId="9337" xr:uid="{355E6BD7-9D34-4E3C-87C6-C10452ADB4D0}"/>
    <cellStyle name="常规 10 2 2 8 2 3" xfId="9338" xr:uid="{6DD83F80-4942-4EE0-9D62-F7D8F9C5772E}"/>
    <cellStyle name="常规 10 2 2 8 2 3 2" xfId="9339" xr:uid="{39E2D7BB-A69B-4293-A669-704D7A813E63}"/>
    <cellStyle name="常规 10 2 2 8 2 4" xfId="9340" xr:uid="{9745A72B-E04C-4C46-8CA2-3A9774752FD5}"/>
    <cellStyle name="常规 10 2 2 8 2 4 2" xfId="9341" xr:uid="{BF4465E3-455F-4CFB-87ED-5012BE25A60D}"/>
    <cellStyle name="常规 10 2 2 8 2 4 3" xfId="33456" xr:uid="{76206A56-E60A-4ABC-BBC6-9F6E797EBCE4}"/>
    <cellStyle name="常规 10 2 2 8 2 5" xfId="9342" xr:uid="{804D131A-D41E-4BEA-A7A8-24A89DB14539}"/>
    <cellStyle name="常规 10 2 2 8 2 6" xfId="9343" xr:uid="{14AF2E05-1779-4358-898B-1119A56C41BF}"/>
    <cellStyle name="常规 10 2 2 8 2 7" xfId="9344" xr:uid="{851C7009-4302-498C-A962-F6F2777C6C36}"/>
    <cellStyle name="常规 10 2 2 8 3" xfId="9345" xr:uid="{3751FE71-92D6-4BA8-8699-D94ACDC7D36E}"/>
    <cellStyle name="常规 10 2 2 8 3 2" xfId="9346" xr:uid="{5E3EBA7A-A03F-4D04-8E88-7478E925B812}"/>
    <cellStyle name="常规 10 2 2 8 3 3" xfId="9347" xr:uid="{4C98ED3E-EC73-46C3-BEC2-9893E97F6EC1}"/>
    <cellStyle name="常规 10 2 2 8 4" xfId="9348" xr:uid="{8176FA07-2897-420F-94B6-4C6D821D60D4}"/>
    <cellStyle name="常规 10 2 2 8 4 2" xfId="9349" xr:uid="{EA70E36F-8C87-470B-B907-D0599FD041E5}"/>
    <cellStyle name="常规 10 2 2 8 5" xfId="9350" xr:uid="{CD1F0908-6762-4720-9E45-929D31AFBDA3}"/>
    <cellStyle name="常规 10 2 2 8 5 2" xfId="9351" xr:uid="{A786C440-F43F-4F3E-89FB-67E839C8C1A0}"/>
    <cellStyle name="常规 10 2 2 8 5 3" xfId="33457" xr:uid="{749E7C51-3744-4211-9A71-C1DC59F5EC25}"/>
    <cellStyle name="常规 10 2 2 8 6" xfId="9352" xr:uid="{DD52A239-E0BA-4D9B-9039-D221A38FEDCB}"/>
    <cellStyle name="常规 10 2 2 8 7" xfId="9353" xr:uid="{4A859517-786B-4A15-A3BA-210CB9D085C8}"/>
    <cellStyle name="常规 10 2 2 8 8" xfId="9354" xr:uid="{53F7213E-E5CB-4325-BDC4-2A180FE71DA0}"/>
    <cellStyle name="常规 10 2 2 9" xfId="9355" xr:uid="{C139F81E-B08B-416C-B3B2-C1B88B17F432}"/>
    <cellStyle name="常规 10 2 2 9 2" xfId="9356" xr:uid="{F7160F43-E9C1-42F8-BC7A-058EE0239B8F}"/>
    <cellStyle name="常规 10 2 2 9 2 2" xfId="9357" xr:uid="{890823E4-BE0A-45A2-8719-AEA09CBBFB79}"/>
    <cellStyle name="常规 10 2 2 9 2 2 2" xfId="9358" xr:uid="{D555E949-914F-4178-8A35-A9CB7AF66EFD}"/>
    <cellStyle name="常规 10 2 2 9 2 3" xfId="9359" xr:uid="{58CB43AC-5009-4365-9B53-C0B53EF2F128}"/>
    <cellStyle name="常规 10 2 2 9 2 4" xfId="9360" xr:uid="{99A1D801-F01E-4BC6-B396-F72BFA2E981A}"/>
    <cellStyle name="常规 10 2 2 9 2 4 2" xfId="33458" xr:uid="{6302A380-C55F-4705-B6A3-BF2A5AE2080C}"/>
    <cellStyle name="常规 10 2 2 9 2 5" xfId="9361" xr:uid="{63E0338D-5161-4684-85A8-C1E9129F41FE}"/>
    <cellStyle name="常规 10 2 2 9 3" xfId="9362" xr:uid="{F958256A-0544-4546-9345-565E6DC143F7}"/>
    <cellStyle name="常规 10 2 2 9 3 2" xfId="9363" xr:uid="{68298BB9-F14C-4B54-89C9-CF0E92526822}"/>
    <cellStyle name="常规 10 2 2 9 3 3" xfId="9364" xr:uid="{815F6FF0-F676-43CE-A858-F543996ADD62}"/>
    <cellStyle name="常规 10 2 2 9 4" xfId="9365" xr:uid="{20AC3522-D3F7-448D-9A4B-10102D38F26B}"/>
    <cellStyle name="常规 10 2 2 9 4 2" xfId="9366" xr:uid="{BB15216B-EE44-48DD-8581-BE4CADED2553}"/>
    <cellStyle name="常规 10 2 2 9 5" xfId="9367" xr:uid="{2563B5D3-A982-4AE0-920A-180864DA4717}"/>
    <cellStyle name="常规 10 2 2 9 5 2" xfId="9368" xr:uid="{14788BD4-0541-4169-85CC-E97E7902F36F}"/>
    <cellStyle name="常规 10 2 2 9 5 3" xfId="33459" xr:uid="{29923CE5-D767-4A51-AEFC-2A139B3A1314}"/>
    <cellStyle name="常规 10 2 2 9 6" xfId="9369" xr:uid="{394415CE-B13C-46BC-9ED0-EC7A7C31B6D8}"/>
    <cellStyle name="常规 10 2 2 9 7" xfId="9370" xr:uid="{11618721-4F73-40C8-B254-1D0596C02279}"/>
    <cellStyle name="常规 10 2 20" xfId="9371" xr:uid="{C80E5C2C-ABFD-43B6-BF22-9E32ED455BA0}"/>
    <cellStyle name="常规 10 2 21" xfId="8558" xr:uid="{02D6E017-05DB-464D-A397-B7F6B622D1DE}"/>
    <cellStyle name="常规 10 2 3" xfId="9372" xr:uid="{B741A65A-A338-4539-96B9-3F75C9CA9764}"/>
    <cellStyle name="常规 10 2 3 10" xfId="9373" xr:uid="{4BB72422-8D7C-4D15-AD0F-3ACD74CF969D}"/>
    <cellStyle name="常规 10 2 3 10 2" xfId="9374" xr:uid="{7E315BAD-3FF3-4B37-8AFC-E268E414F86C}"/>
    <cellStyle name="常规 10 2 3 11" xfId="9375" xr:uid="{D7DF8191-C7E4-4370-88CD-43DD78B6D6ED}"/>
    <cellStyle name="常规 10 2 3 12" xfId="9376" xr:uid="{D14AD034-C962-4F90-B68B-D8C2B129084F}"/>
    <cellStyle name="常规 10 2 3 2" xfId="9377" xr:uid="{042989C8-DD16-4B66-AAA2-2444A6174303}"/>
    <cellStyle name="常规 10 2 3 2 10" xfId="9378" xr:uid="{94380416-4C1B-45B1-8A90-B81B83FD49F0}"/>
    <cellStyle name="常规 10 2 3 2 2" xfId="9379" xr:uid="{A986C0A2-0DD9-4F0F-97DD-4563C60A9E10}"/>
    <cellStyle name="常规 10 2 3 2 2 2" xfId="9380" xr:uid="{450D4DAE-8FBE-4658-A2A7-F943D7D78B08}"/>
    <cellStyle name="常规 10 2 3 2 2 2 2" xfId="9381" xr:uid="{F7776F1B-FC6D-4C8C-AACD-05427597A59B}"/>
    <cellStyle name="常规 10 2 3 2 2 2 2 2" xfId="9382" xr:uid="{ABF31E04-5D58-4171-A4C6-4121E21A208C}"/>
    <cellStyle name="常规 10 2 3 2 2 2 2 2 2" xfId="9383" xr:uid="{3DFEA211-6021-4DCB-8AC7-BF6CFF904331}"/>
    <cellStyle name="常规 10 2 3 2 2 2 2 2 2 2" xfId="9384" xr:uid="{6616468E-28BC-48D7-A1BA-D1C5E8BA7B5D}"/>
    <cellStyle name="常规 10 2 3 2 2 2 2 2 3" xfId="9385" xr:uid="{B969D25F-59F8-45A3-9118-6B985295DEDC}"/>
    <cellStyle name="常规 10 2 3 2 2 2 2 2 4" xfId="9386" xr:uid="{64132EDF-0577-4C2E-8D6F-8804B78D6681}"/>
    <cellStyle name="常规 10 2 3 2 2 2 2 2 4 2" xfId="33460" xr:uid="{09F3B63A-CF42-4927-AAA5-701541E56A48}"/>
    <cellStyle name="常规 10 2 3 2 2 2 2 2 5" xfId="9387" xr:uid="{22DC5797-3956-4269-B4F0-76568DFFC50B}"/>
    <cellStyle name="常规 10 2 3 2 2 2 2 3" xfId="9388" xr:uid="{033DE922-3864-44D8-B05B-27A02103607F}"/>
    <cellStyle name="常规 10 2 3 2 2 2 2 3 2" xfId="9389" xr:uid="{A20F5F2B-0813-4525-BDB8-59C47E088B55}"/>
    <cellStyle name="常规 10 2 3 2 2 2 2 3 3" xfId="9390" xr:uid="{22D287F9-B059-49BF-8109-253FD7089DB8}"/>
    <cellStyle name="常规 10 2 3 2 2 2 2 4" xfId="9391" xr:uid="{1F1557D2-52BA-4A29-BA65-45B9356A54C6}"/>
    <cellStyle name="常规 10 2 3 2 2 2 2 4 2" xfId="9392" xr:uid="{66C28380-89F6-4755-BDF5-31EB1BCB5460}"/>
    <cellStyle name="常规 10 2 3 2 2 2 2 5" xfId="9393" xr:uid="{AFCFCBA7-7CB8-4C26-9590-EB97D3C3DB3E}"/>
    <cellStyle name="常规 10 2 3 2 2 2 2 5 2" xfId="9394" xr:uid="{6F7D70C8-82CD-4964-B5B4-4171C9655007}"/>
    <cellStyle name="常规 10 2 3 2 2 2 2 5 3" xfId="33461" xr:uid="{3A559FDA-9ED6-4771-8A3B-E405E945942A}"/>
    <cellStyle name="常规 10 2 3 2 2 2 2 6" xfId="9395" xr:uid="{E33263B9-4E46-403A-866A-125C421CD97C}"/>
    <cellStyle name="常规 10 2 3 2 2 2 2 7" xfId="9396" xr:uid="{4F6BB496-2F2F-4DE4-AE65-CA71C1AD23AD}"/>
    <cellStyle name="常规 10 2 3 2 2 2 3" xfId="9397" xr:uid="{F1A6EFB1-4E18-47BA-9BD2-0616387DEDCB}"/>
    <cellStyle name="常规 10 2 3 2 2 2 3 2" xfId="9398" xr:uid="{C83FE69D-A7F9-4D7A-8E30-DB6CF6779036}"/>
    <cellStyle name="常规 10 2 3 2 2 2 3 2 2" xfId="9399" xr:uid="{C495B92A-E0AB-4C82-9240-2A65F284336C}"/>
    <cellStyle name="常规 10 2 3 2 2 2 3 3" xfId="9400" xr:uid="{DDEBDD8D-1617-400D-B3CE-E3653FF9C0D7}"/>
    <cellStyle name="常规 10 2 3 2 2 2 3 4" xfId="9401" xr:uid="{C07C903F-D84B-4BAC-A73E-2A082110DE81}"/>
    <cellStyle name="常规 10 2 3 2 2 2 3 4 2" xfId="33462" xr:uid="{0C95C45B-D93B-49C0-B7B4-C49B4E63861F}"/>
    <cellStyle name="常规 10 2 3 2 2 2 3 5" xfId="9402" xr:uid="{158C35BA-5E8C-4BBE-A517-EF9806DD878E}"/>
    <cellStyle name="常规 10 2 3 2 2 2 4" xfId="9403" xr:uid="{CC74D79C-C7F9-41F0-931C-47C7C2A3C040}"/>
    <cellStyle name="常规 10 2 3 2 2 2 4 2" xfId="9404" xr:uid="{CC1B81EA-EB1F-4671-8C58-D81ECFCE91CE}"/>
    <cellStyle name="常规 10 2 3 2 2 2 4 3" xfId="9405" xr:uid="{0524BEEA-44D6-4FA5-83B7-9005765170AE}"/>
    <cellStyle name="常规 10 2 3 2 2 2 5" xfId="9406" xr:uid="{8AB20293-1CB9-4292-B8AC-37AD123DB904}"/>
    <cellStyle name="常规 10 2 3 2 2 2 5 2" xfId="9407" xr:uid="{65A72FA0-F325-4B50-A9B7-DA309DFD4E55}"/>
    <cellStyle name="常规 10 2 3 2 2 2 6" xfId="9408" xr:uid="{31CDDA22-6DF7-4A1F-8DE5-82969EE58AC6}"/>
    <cellStyle name="常规 10 2 3 2 2 2 6 2" xfId="9409" xr:uid="{DA0FC656-FB21-45D5-B34F-0C9EB6C13CAA}"/>
    <cellStyle name="常规 10 2 3 2 2 2 6 3" xfId="33463" xr:uid="{15B4A0B5-C797-49CA-AEF6-F550F2EA8A6E}"/>
    <cellStyle name="常规 10 2 3 2 2 2 7" xfId="9410" xr:uid="{A93004F5-9810-4372-B9AE-0094BB7AFC9B}"/>
    <cellStyle name="常规 10 2 3 2 2 2 8" xfId="9411" xr:uid="{01DCCBEF-90F6-4CAD-820A-11A3BA8BCBC9}"/>
    <cellStyle name="常规 10 2 3 2 2 3" xfId="9412" xr:uid="{A7EEEC19-8E16-4BEA-854C-76B5CDAF8EC1}"/>
    <cellStyle name="常规 10 2 3 2 2 3 2" xfId="9413" xr:uid="{5FC667D5-E443-4BD7-88A9-F07BED2C77F0}"/>
    <cellStyle name="常规 10 2 3 2 2 3 2 2" xfId="9414" xr:uid="{2CEC9577-411C-48F4-BA51-FF06E8A5D9C2}"/>
    <cellStyle name="常规 10 2 3 2 2 3 2 2 2" xfId="9415" xr:uid="{C4287D74-95BB-4DCD-8D00-E4DBF5AE0EA1}"/>
    <cellStyle name="常规 10 2 3 2 2 3 2 3" xfId="9416" xr:uid="{7FCEDC37-F331-4A66-81A4-A6E820426EF9}"/>
    <cellStyle name="常规 10 2 3 2 2 3 2 4" xfId="9417" xr:uid="{DB458AAA-67FF-42F2-9209-23CB8911AD45}"/>
    <cellStyle name="常规 10 2 3 2 2 3 2 4 2" xfId="33464" xr:uid="{F92969D9-FB26-467F-B104-3D5849E71816}"/>
    <cellStyle name="常规 10 2 3 2 2 3 2 5" xfId="9418" xr:uid="{98197920-56E0-4D4E-BDC3-D4E681D1EF50}"/>
    <cellStyle name="常规 10 2 3 2 2 3 3" xfId="9419" xr:uid="{F056357D-1CCF-4A1F-80E6-DCC5D9A5BDBC}"/>
    <cellStyle name="常规 10 2 3 2 2 3 3 2" xfId="9420" xr:uid="{ED3B8A7A-96A0-4263-A11B-71637F81D1DC}"/>
    <cellStyle name="常规 10 2 3 2 2 3 3 3" xfId="9421" xr:uid="{B7EE68F7-1658-427E-9F2B-B0CD873CCBB4}"/>
    <cellStyle name="常规 10 2 3 2 2 3 4" xfId="9422" xr:uid="{CC62B939-DE0E-4CDD-A6F4-A64EE2CA1912}"/>
    <cellStyle name="常规 10 2 3 2 2 3 4 2" xfId="9423" xr:uid="{7E6525AD-0E08-4242-8DFF-9DB65F4F803C}"/>
    <cellStyle name="常规 10 2 3 2 2 3 5" xfId="9424" xr:uid="{B171BC32-80F3-4A47-8AE5-E1DD80430B50}"/>
    <cellStyle name="常规 10 2 3 2 2 3 5 2" xfId="9425" xr:uid="{78828970-C6FC-4256-BBFC-9BA985E4C202}"/>
    <cellStyle name="常规 10 2 3 2 2 3 5 3" xfId="33465" xr:uid="{18BAD5C3-7337-4A07-9799-129F5F95AC47}"/>
    <cellStyle name="常规 10 2 3 2 2 3 6" xfId="9426" xr:uid="{6FC2BB3A-C9CB-40BF-AAE5-14773C529A64}"/>
    <cellStyle name="常规 10 2 3 2 2 3 7" xfId="9427" xr:uid="{EE9003E9-A341-4296-91F5-6F4FB68DA441}"/>
    <cellStyle name="常规 10 2 3 2 2 4" xfId="9428" xr:uid="{99DBC34C-2138-4A5C-8648-B14CE175ECC1}"/>
    <cellStyle name="常规 10 2 3 2 2 4 2" xfId="9429" xr:uid="{73E88867-1379-4D7A-9F6D-6C1EE3CCF21C}"/>
    <cellStyle name="常规 10 2 3 2 2 4 2 2" xfId="9430" xr:uid="{839A7E5E-D5E2-4F2B-90D3-11BFB42F513A}"/>
    <cellStyle name="常规 10 2 3 2 2 4 3" xfId="9431" xr:uid="{5150670D-C937-47DC-80A8-72DFB8BF63A4}"/>
    <cellStyle name="常规 10 2 3 2 2 4 4" xfId="9432" xr:uid="{6D225E53-9D09-422C-B722-D406CBCCE787}"/>
    <cellStyle name="常规 10 2 3 2 2 4 4 2" xfId="33466" xr:uid="{3A18595E-F632-44A2-B8D8-B6E14E46F276}"/>
    <cellStyle name="常规 10 2 3 2 2 4 5" xfId="9433" xr:uid="{799A07E6-DEA0-4B24-977F-15415BFEB4E1}"/>
    <cellStyle name="常规 10 2 3 2 2 5" xfId="9434" xr:uid="{5112FD28-5CF0-444C-8190-60C04F8E1463}"/>
    <cellStyle name="常规 10 2 3 2 2 5 2" xfId="9435" xr:uid="{C3C2AB0B-D86C-4B5B-BE96-73E4F9BBF04A}"/>
    <cellStyle name="常规 10 2 3 2 2 5 3" xfId="9436" xr:uid="{B4532566-7CEC-45D8-884C-C9B76C69BFF4}"/>
    <cellStyle name="常规 10 2 3 2 2 6" xfId="9437" xr:uid="{30FCF8D3-CB6A-43E3-97FE-85D33C4A9B04}"/>
    <cellStyle name="常规 10 2 3 2 2 6 2" xfId="9438" xr:uid="{0258D081-A52A-4B50-B540-B46DFADCE745}"/>
    <cellStyle name="常规 10 2 3 2 2 7" xfId="9439" xr:uid="{8246A270-7A66-4D28-83F0-D1F34F25B637}"/>
    <cellStyle name="常规 10 2 3 2 2 7 2" xfId="9440" xr:uid="{9B6DCCF0-E857-431B-A425-A645078F5B2C}"/>
    <cellStyle name="常规 10 2 3 2 2 7 3" xfId="33467" xr:uid="{AF13ED26-D9FC-428B-ACE2-2076A376CA02}"/>
    <cellStyle name="常规 10 2 3 2 2 8" xfId="9441" xr:uid="{492E54E3-6918-4600-A4CE-5EEF3528193D}"/>
    <cellStyle name="常规 10 2 3 2 2 9" xfId="9442" xr:uid="{7F0D7855-4878-4000-8008-E32AD86EC7D1}"/>
    <cellStyle name="常规 10 2 3 2 3" xfId="9443" xr:uid="{F10F819B-32FD-4CEC-AF01-7D831FEF47AA}"/>
    <cellStyle name="常规 10 2 3 2 3 2" xfId="9444" xr:uid="{2740FD0D-143A-4FF6-8920-0FEAE1BA3215}"/>
    <cellStyle name="常规 10 2 3 2 3 2 2" xfId="9445" xr:uid="{C1619728-88EF-4626-9A98-276ED1C97F52}"/>
    <cellStyle name="常规 10 2 3 2 3 2 2 2" xfId="9446" xr:uid="{A11F6E92-CF3B-4E63-AAA6-D13817792C39}"/>
    <cellStyle name="常规 10 2 3 2 3 2 2 2 2" xfId="9447" xr:uid="{626E0116-95F4-48CD-BC0F-39AAA0183508}"/>
    <cellStyle name="常规 10 2 3 2 3 2 2 3" xfId="9448" xr:uid="{56C6470F-7B20-42F8-9DE7-B1D9C108C2EE}"/>
    <cellStyle name="常规 10 2 3 2 3 2 2 4" xfId="9449" xr:uid="{BBE1A1AF-8A7A-4A6C-96F9-487D5970EF04}"/>
    <cellStyle name="常规 10 2 3 2 3 2 2 4 2" xfId="33468" xr:uid="{A6004692-A006-4461-BEB0-D5536C125C2D}"/>
    <cellStyle name="常规 10 2 3 2 3 2 2 5" xfId="9450" xr:uid="{CE025C4A-0C1D-4DB6-BBA3-D466734B8C65}"/>
    <cellStyle name="常规 10 2 3 2 3 2 3" xfId="9451" xr:uid="{5B4FD858-440A-4B37-BD53-8E27D55F1FA1}"/>
    <cellStyle name="常规 10 2 3 2 3 2 3 2" xfId="9452" xr:uid="{F91FE407-531E-4377-9736-1825B5A86A52}"/>
    <cellStyle name="常规 10 2 3 2 3 2 3 3" xfId="9453" xr:uid="{FFC9FEF0-694D-4273-B333-C95FF75A0100}"/>
    <cellStyle name="常规 10 2 3 2 3 2 4" xfId="9454" xr:uid="{99CF27E8-85BF-4D64-A5C3-7D023A20C7B5}"/>
    <cellStyle name="常规 10 2 3 2 3 2 4 2" xfId="9455" xr:uid="{6C526E6A-4DC4-4FA3-A199-C79BED4B905D}"/>
    <cellStyle name="常规 10 2 3 2 3 2 5" xfId="9456" xr:uid="{CB36AA62-09D3-427B-829D-F83C9BDDC045}"/>
    <cellStyle name="常规 10 2 3 2 3 2 5 2" xfId="9457" xr:uid="{93551963-3585-452D-BE2E-53EF10989EB9}"/>
    <cellStyle name="常规 10 2 3 2 3 2 5 3" xfId="33469" xr:uid="{53286731-4164-48F4-8C88-24C3494678C1}"/>
    <cellStyle name="常规 10 2 3 2 3 2 6" xfId="9458" xr:uid="{FC97D4CA-6906-43D2-B531-EACD5157C1CC}"/>
    <cellStyle name="常规 10 2 3 2 3 2 7" xfId="9459" xr:uid="{E3321369-42A7-489C-81A7-320865B2C652}"/>
    <cellStyle name="常规 10 2 3 2 3 3" xfId="9460" xr:uid="{CDF8A279-6969-42A4-A183-9EA85B3409E5}"/>
    <cellStyle name="常规 10 2 3 2 3 3 2" xfId="9461" xr:uid="{6D5EE3B9-F7B4-4008-A159-8A5BD43CC5E0}"/>
    <cellStyle name="常规 10 2 3 2 3 3 2 2" xfId="9462" xr:uid="{557C2D86-76E7-4D0F-A99E-387AAF0CF251}"/>
    <cellStyle name="常规 10 2 3 2 3 3 3" xfId="9463" xr:uid="{01F24FF9-599D-49E9-B479-2D05084BEC09}"/>
    <cellStyle name="常规 10 2 3 2 3 3 4" xfId="9464" xr:uid="{AF737CF6-B9F3-4A4C-981E-73E17D299257}"/>
    <cellStyle name="常规 10 2 3 2 3 3 4 2" xfId="33470" xr:uid="{38E6F15B-1D7C-408E-B87F-56368A9820C7}"/>
    <cellStyle name="常规 10 2 3 2 3 3 5" xfId="9465" xr:uid="{A84F118E-1A18-49D9-A09B-E8D39083A66F}"/>
    <cellStyle name="常规 10 2 3 2 3 4" xfId="9466" xr:uid="{DB8B20A9-7078-4F8D-9D4D-DBCB248A4B6B}"/>
    <cellStyle name="常规 10 2 3 2 3 4 2" xfId="9467" xr:uid="{276E84B1-F68D-4C37-8558-2B00473A2442}"/>
    <cellStyle name="常规 10 2 3 2 3 4 3" xfId="9468" xr:uid="{D913F3BE-C304-4F25-A66B-8346CDA00681}"/>
    <cellStyle name="常规 10 2 3 2 3 5" xfId="9469" xr:uid="{7DF9D89F-E838-4782-BB72-ABEA07580050}"/>
    <cellStyle name="常规 10 2 3 2 3 5 2" xfId="9470" xr:uid="{AADECB47-48B1-49B8-B05E-A4DE82263103}"/>
    <cellStyle name="常规 10 2 3 2 3 6" xfId="9471" xr:uid="{6CFED291-4E4F-4E8C-B4B3-BD2D12AE166A}"/>
    <cellStyle name="常规 10 2 3 2 3 6 2" xfId="9472" xr:uid="{E91D632C-D035-4204-86BB-89FFAD32BC49}"/>
    <cellStyle name="常规 10 2 3 2 3 6 3" xfId="33471" xr:uid="{42598EEB-C726-41A7-BCAF-7DCC779C454C}"/>
    <cellStyle name="常规 10 2 3 2 3 7" xfId="9473" xr:uid="{D0979BDA-D805-4C3A-8E76-5DF4974D19A9}"/>
    <cellStyle name="常规 10 2 3 2 3 8" xfId="9474" xr:uid="{37707133-845C-42CD-88A7-114CFB892B95}"/>
    <cellStyle name="常规 10 2 3 2 4" xfId="9475" xr:uid="{20DD03E3-2D64-4368-9372-B5399B5CF1F3}"/>
    <cellStyle name="常规 10 2 3 2 4 2" xfId="9476" xr:uid="{D9FDBB24-D28F-4E76-802F-B4821EA98E36}"/>
    <cellStyle name="常规 10 2 3 2 4 2 2" xfId="9477" xr:uid="{F46146B2-513B-45C4-BF1E-3C103A2FF800}"/>
    <cellStyle name="常规 10 2 3 2 4 2 2 2" xfId="9478" xr:uid="{D02EB8E6-B29D-4BC1-9AF8-749E1E325883}"/>
    <cellStyle name="常规 10 2 3 2 4 2 3" xfId="9479" xr:uid="{2F477A96-8178-4D24-B263-95A7EBD899F5}"/>
    <cellStyle name="常规 10 2 3 2 4 2 4" xfId="9480" xr:uid="{1015EF10-D6D9-45FB-9F76-393F46949B8F}"/>
    <cellStyle name="常规 10 2 3 2 4 2 4 2" xfId="33472" xr:uid="{F8CDEFFE-5DC4-4C4E-A4B0-1B1B4E257AA5}"/>
    <cellStyle name="常规 10 2 3 2 4 2 5" xfId="9481" xr:uid="{49610AFA-D4D5-4AB7-88BB-2E32368C0DB2}"/>
    <cellStyle name="常规 10 2 3 2 4 3" xfId="9482" xr:uid="{4D8F8718-EE97-4C99-AF8F-9FE0BF7DE333}"/>
    <cellStyle name="常规 10 2 3 2 4 3 2" xfId="9483" xr:uid="{B92A20C8-B0E5-4585-9C54-2BF1BDE31F00}"/>
    <cellStyle name="常规 10 2 3 2 4 3 3" xfId="9484" xr:uid="{87CD6758-8B39-4BDC-A277-8923E4D7D3AA}"/>
    <cellStyle name="常规 10 2 3 2 4 4" xfId="9485" xr:uid="{DDBB0CCD-18E1-4BF8-946B-7A94E22EFC2B}"/>
    <cellStyle name="常规 10 2 3 2 4 4 2" xfId="9486" xr:uid="{6E6E67F7-0720-4AA7-BAB1-89968D83E353}"/>
    <cellStyle name="常规 10 2 3 2 4 5" xfId="9487" xr:uid="{0F399A93-325B-4B8A-B5DA-27663F5150C6}"/>
    <cellStyle name="常规 10 2 3 2 4 5 2" xfId="9488" xr:uid="{CC90C4F2-4F3B-4B6B-A275-45CE12348F43}"/>
    <cellStyle name="常规 10 2 3 2 4 5 3" xfId="33473" xr:uid="{46606F7F-249D-4DFA-B3D9-6EBA98679843}"/>
    <cellStyle name="常规 10 2 3 2 4 6" xfId="9489" xr:uid="{46919EBC-7C91-4C2A-9C36-F1DF2725F6C6}"/>
    <cellStyle name="常规 10 2 3 2 4 7" xfId="9490" xr:uid="{8E58C6AA-4034-4A9A-91BA-B371164F94EA}"/>
    <cellStyle name="常规 10 2 3 2 5" xfId="9491" xr:uid="{6EA428CA-66F1-4D00-8192-1AB8DD2C6E02}"/>
    <cellStyle name="常规 10 2 3 2 5 2" xfId="9492" xr:uid="{A0A3DDB7-9B8E-477F-ABC9-2909AA0242A7}"/>
    <cellStyle name="常规 10 2 3 2 5 2 2" xfId="9493" xr:uid="{2BF07DBB-3D21-4F54-B06B-6E06AD75FBE4}"/>
    <cellStyle name="常规 10 2 3 2 5 3" xfId="9494" xr:uid="{079EC036-8059-4396-805D-039EFE80E357}"/>
    <cellStyle name="常规 10 2 3 2 5 4" xfId="9495" xr:uid="{17F2EBF1-6890-4AB7-8A84-D90D857D3556}"/>
    <cellStyle name="常规 10 2 3 2 5 4 2" xfId="33474" xr:uid="{1FAFFEB7-9C82-4703-A7C6-4033AF463D41}"/>
    <cellStyle name="常规 10 2 3 2 5 5" xfId="9496" xr:uid="{C7DEC8C4-CD49-44C6-AABE-406990CE3092}"/>
    <cellStyle name="常规 10 2 3 2 6" xfId="9497" xr:uid="{10978F18-9D71-42E5-8736-FB4DD0459A46}"/>
    <cellStyle name="常规 10 2 3 2 6 2" xfId="9498" xr:uid="{4777B6E9-14EE-4008-8092-578E3773BEE5}"/>
    <cellStyle name="常规 10 2 3 2 6 3" xfId="9499" xr:uid="{6DC9062F-AF4C-45A1-9898-E38B8750A805}"/>
    <cellStyle name="常规 10 2 3 2 7" xfId="9500" xr:uid="{F3C7A51A-E681-483B-942D-3F7F3EB415C9}"/>
    <cellStyle name="常规 10 2 3 2 7 2" xfId="9501" xr:uid="{173CD854-1DFB-4A72-B697-4C6F578250F2}"/>
    <cellStyle name="常规 10 2 3 2 8" xfId="9502" xr:uid="{22E35CB5-3334-4C9F-A355-3783208D63CD}"/>
    <cellStyle name="常规 10 2 3 2 8 2" xfId="9503" xr:uid="{528D232C-9951-4A4B-B90D-1A9E110F34A5}"/>
    <cellStyle name="常规 10 2 3 2 8 3" xfId="33475" xr:uid="{2B134C17-27CC-4CCC-83F8-765CBD46239C}"/>
    <cellStyle name="常规 10 2 3 2 9" xfId="9504" xr:uid="{96CC3B52-AFFA-4A42-8146-9A75C62EBDC4}"/>
    <cellStyle name="常规 10 2 3 3" xfId="9505" xr:uid="{BA121F37-D74D-465A-A8BD-C398BBEAFA8D}"/>
    <cellStyle name="常规 10 2 3 3 2" xfId="9506" xr:uid="{CF89F22B-D60B-4EF3-A44B-0EA510A8BCD9}"/>
    <cellStyle name="常规 10 2 3 3 2 2" xfId="9507" xr:uid="{613B702E-EB03-4AB1-B38E-B912B92D1168}"/>
    <cellStyle name="常规 10 2 3 3 2 2 2" xfId="9508" xr:uid="{A7BF698E-0FC9-40F7-B85E-AA247514D2DE}"/>
    <cellStyle name="常规 10 2 3 3 2 2 2 2" xfId="9509" xr:uid="{EFC076F4-1C86-4E5F-A33D-3D9D5F5C1FC6}"/>
    <cellStyle name="常规 10 2 3 3 2 2 2 2 2" xfId="9510" xr:uid="{2AE0C9E6-A403-4EFB-ADC6-D9F65A94C73F}"/>
    <cellStyle name="常规 10 2 3 3 2 2 2 3" xfId="9511" xr:uid="{F3B3E182-6790-4544-9B6E-B5ED0ACDF5F7}"/>
    <cellStyle name="常规 10 2 3 3 2 2 2 4" xfId="9512" xr:uid="{2FBD723F-FF76-4119-94FC-F5ECFC76D504}"/>
    <cellStyle name="常规 10 2 3 3 2 2 2 4 2" xfId="33476" xr:uid="{F42ECD5B-3B3F-47F2-959A-F6A441EAE76F}"/>
    <cellStyle name="常规 10 2 3 3 2 2 2 5" xfId="9513" xr:uid="{7ED9C547-C241-40C3-B5E8-64AAE7BDEF73}"/>
    <cellStyle name="常规 10 2 3 3 2 2 3" xfId="9514" xr:uid="{237B8993-9776-4D3C-BBB4-CC455172FBEB}"/>
    <cellStyle name="常规 10 2 3 3 2 2 3 2" xfId="9515" xr:uid="{F90E1EBA-FC3A-46CF-ACEE-D2AA6E5DA0C1}"/>
    <cellStyle name="常规 10 2 3 3 2 2 3 3" xfId="9516" xr:uid="{78393931-0887-4567-BA03-A017D9BF9FF6}"/>
    <cellStyle name="常规 10 2 3 3 2 2 4" xfId="9517" xr:uid="{EA158FD2-5CBC-4E0C-9984-3AB897CFC714}"/>
    <cellStyle name="常规 10 2 3 3 2 2 4 2" xfId="9518" xr:uid="{8D515C7D-39BF-4BEE-8A48-45453C6C18C9}"/>
    <cellStyle name="常规 10 2 3 3 2 2 5" xfId="9519" xr:uid="{BB6CB6E2-7F0F-4F3F-BE95-B128423C6CA9}"/>
    <cellStyle name="常规 10 2 3 3 2 2 5 2" xfId="9520" xr:uid="{B9602FA9-1554-412D-94F3-E73BB5791A0A}"/>
    <cellStyle name="常规 10 2 3 3 2 2 5 3" xfId="33477" xr:uid="{1839691B-6362-4674-A61A-E8ECE5250D01}"/>
    <cellStyle name="常规 10 2 3 3 2 2 6" xfId="9521" xr:uid="{5ABB8F3C-5378-434A-8F7F-9F0CB57E5384}"/>
    <cellStyle name="常规 10 2 3 3 2 2 7" xfId="9522" xr:uid="{4643145E-5933-47C1-9B6B-17BF4057BFC3}"/>
    <cellStyle name="常规 10 2 3 3 2 3" xfId="9523" xr:uid="{17824B61-E5C0-4421-A228-9CF3A0165B2D}"/>
    <cellStyle name="常规 10 2 3 3 2 3 2" xfId="9524" xr:uid="{EA25E45A-001F-4525-BCD1-174405F3696D}"/>
    <cellStyle name="常规 10 2 3 3 2 3 2 2" xfId="9525" xr:uid="{EFADC06F-B1CA-4F69-A6EA-BF0D599A4716}"/>
    <cellStyle name="常规 10 2 3 3 2 3 3" xfId="9526" xr:uid="{999E58C5-0E9D-45AE-926F-70BA6AAAA44A}"/>
    <cellStyle name="常规 10 2 3 3 2 3 4" xfId="9527" xr:uid="{302E21D9-4FE3-4D99-9AC5-9589E4AFC217}"/>
    <cellStyle name="常规 10 2 3 3 2 3 4 2" xfId="33478" xr:uid="{43007D63-A4E5-47AA-8656-7B7DC8B20789}"/>
    <cellStyle name="常规 10 2 3 3 2 3 5" xfId="9528" xr:uid="{71273F77-5F4F-4302-A181-E1345B7CD9B7}"/>
    <cellStyle name="常规 10 2 3 3 2 4" xfId="9529" xr:uid="{B6618EDE-BD28-42D6-BA03-7AA12887B2DC}"/>
    <cellStyle name="常规 10 2 3 3 2 4 2" xfId="9530" xr:uid="{0E622219-6259-4A8D-B322-E0C2FD170C83}"/>
    <cellStyle name="常规 10 2 3 3 2 4 3" xfId="9531" xr:uid="{CAE9022E-F54F-4086-84BE-B471C2DFF598}"/>
    <cellStyle name="常规 10 2 3 3 2 5" xfId="9532" xr:uid="{CFDA593B-1B70-4A00-9BE4-081C3F2EB31A}"/>
    <cellStyle name="常规 10 2 3 3 2 5 2" xfId="9533" xr:uid="{0DDA12DF-A898-47D4-9D5E-65387C483975}"/>
    <cellStyle name="常规 10 2 3 3 2 6" xfId="9534" xr:uid="{2E5FCE2D-560B-42F9-8348-DD3A06AF2155}"/>
    <cellStyle name="常规 10 2 3 3 2 6 2" xfId="9535" xr:uid="{BE250169-E054-4FBA-AE7F-961BB2212BCF}"/>
    <cellStyle name="常规 10 2 3 3 2 6 3" xfId="33479" xr:uid="{FE9A1011-7D06-4FC5-982B-EEC9AF202A44}"/>
    <cellStyle name="常规 10 2 3 3 2 7" xfId="9536" xr:uid="{C640806A-7C66-45E0-ABA9-803C56461A2A}"/>
    <cellStyle name="常规 10 2 3 3 2 8" xfId="9537" xr:uid="{505BCF16-D6D5-4B12-8A2B-DFA700A1D192}"/>
    <cellStyle name="常规 10 2 3 3 3" xfId="9538" xr:uid="{F32308AA-0670-4C9A-97BB-644DA3777EE9}"/>
    <cellStyle name="常规 10 2 3 3 3 2" xfId="9539" xr:uid="{7DF98D9E-4AEF-48E9-ACAD-532B81956967}"/>
    <cellStyle name="常规 10 2 3 3 3 2 2" xfId="9540" xr:uid="{59307C89-32DA-47FE-BDB2-E4C0650FA1A3}"/>
    <cellStyle name="常规 10 2 3 3 3 2 2 2" xfId="9541" xr:uid="{DF397BF7-2783-42BD-A15A-49DECE96C25E}"/>
    <cellStyle name="常规 10 2 3 3 3 2 3" xfId="9542" xr:uid="{5E84B7D2-AAF2-4A48-A717-640E162F43E5}"/>
    <cellStyle name="常规 10 2 3 3 3 2 4" xfId="9543" xr:uid="{C023F353-6537-4921-A7AA-988296CFADE9}"/>
    <cellStyle name="常规 10 2 3 3 3 2 4 2" xfId="33480" xr:uid="{D33EE89C-DB48-4E94-BF8C-095B5B36F2E2}"/>
    <cellStyle name="常规 10 2 3 3 3 2 5" xfId="9544" xr:uid="{EB072DA7-FE11-445D-9E99-CBC71244C1E9}"/>
    <cellStyle name="常规 10 2 3 3 3 3" xfId="9545" xr:uid="{AA36C852-5F46-4766-AA92-F6D3CF50BAAB}"/>
    <cellStyle name="常规 10 2 3 3 3 3 2" xfId="9546" xr:uid="{EEC9AEBE-8FBC-4815-9D07-798A851FEDFB}"/>
    <cellStyle name="常规 10 2 3 3 3 3 3" xfId="9547" xr:uid="{7F48767A-455B-4CBA-9A0A-B4458E85C91F}"/>
    <cellStyle name="常规 10 2 3 3 3 4" xfId="9548" xr:uid="{E2CCEBF6-442A-40A9-BA72-A0C4813D8285}"/>
    <cellStyle name="常规 10 2 3 3 3 4 2" xfId="9549" xr:uid="{ECA65E74-D7B2-492F-8ED0-ACE92AF93A67}"/>
    <cellStyle name="常规 10 2 3 3 3 5" xfId="9550" xr:uid="{E661C524-0B44-4A2A-818A-5C405EC5769D}"/>
    <cellStyle name="常规 10 2 3 3 3 5 2" xfId="9551" xr:uid="{A2C45416-C30A-42EC-A6BF-9BC585E94818}"/>
    <cellStyle name="常规 10 2 3 3 3 5 3" xfId="33481" xr:uid="{43FA5A07-D4C5-45CF-B3F4-A8E77B0C55C2}"/>
    <cellStyle name="常规 10 2 3 3 3 6" xfId="9552" xr:uid="{CE542770-8D53-47D0-AEBF-47D81712453C}"/>
    <cellStyle name="常规 10 2 3 3 3 7" xfId="9553" xr:uid="{CB1513EE-EAC8-41B6-8D6F-EE0CAAA50B8B}"/>
    <cellStyle name="常规 10 2 3 3 4" xfId="9554" xr:uid="{6B61F082-7161-4438-B80E-4E8984381949}"/>
    <cellStyle name="常规 10 2 3 3 4 2" xfId="9555" xr:uid="{4ABF3DC1-154D-44A9-BFC6-A28C0D1DA4C2}"/>
    <cellStyle name="常规 10 2 3 3 4 2 2" xfId="9556" xr:uid="{4B0B6030-6896-4C08-91C6-1C422D191BCB}"/>
    <cellStyle name="常规 10 2 3 3 4 3" xfId="9557" xr:uid="{DFAA659A-0E2B-457E-9FC1-6407CBA791E7}"/>
    <cellStyle name="常规 10 2 3 3 4 4" xfId="9558" xr:uid="{CE232B55-546D-4E76-AFA9-4CACDB9DE3DF}"/>
    <cellStyle name="常规 10 2 3 3 4 4 2" xfId="33482" xr:uid="{D797287C-D79D-4BB1-9AD3-81CF11C83023}"/>
    <cellStyle name="常规 10 2 3 3 4 5" xfId="9559" xr:uid="{32909D05-A05B-45A0-82A0-05AA0D1EE983}"/>
    <cellStyle name="常规 10 2 3 3 5" xfId="9560" xr:uid="{67970C1A-64C2-4693-A7BB-4FA7B92DB116}"/>
    <cellStyle name="常规 10 2 3 3 5 2" xfId="9561" xr:uid="{A4241090-0542-4EAB-8F66-892FDD21758F}"/>
    <cellStyle name="常规 10 2 3 3 5 3" xfId="9562" xr:uid="{0F415D9A-94B3-4FD9-A528-196257E2D4FD}"/>
    <cellStyle name="常规 10 2 3 3 6" xfId="9563" xr:uid="{32D85EBB-5BBB-4F9E-A5C4-EADC3F3DDD9C}"/>
    <cellStyle name="常规 10 2 3 3 6 2" xfId="9564" xr:uid="{50352EC2-60F7-4100-A8D7-E305B7CE339D}"/>
    <cellStyle name="常规 10 2 3 3 7" xfId="9565" xr:uid="{57ECF3E2-68C1-41DC-BAD6-A41219C19034}"/>
    <cellStyle name="常规 10 2 3 3 7 2" xfId="9566" xr:uid="{1DF51B6D-DA89-4B39-9EC0-8B0AA41AF1CE}"/>
    <cellStyle name="常规 10 2 3 3 7 3" xfId="33483" xr:uid="{BF2D297D-1EFA-4165-8828-CB195A8C0DE7}"/>
    <cellStyle name="常规 10 2 3 3 8" xfId="9567" xr:uid="{BDF8B067-6313-4BA4-9F71-0F548801D37A}"/>
    <cellStyle name="常规 10 2 3 3 9" xfId="9568" xr:uid="{43D0EA90-E9B2-409D-AD63-11AA04D49642}"/>
    <cellStyle name="常规 10 2 3 4" xfId="9569" xr:uid="{D9A001C9-5E1E-4517-BB71-44D562049CC2}"/>
    <cellStyle name="常规 10 2 3 4 2" xfId="9570" xr:uid="{350FB760-F209-4C21-A20E-3112233ADB36}"/>
    <cellStyle name="常规 10 2 3 4 2 2" xfId="9571" xr:uid="{10F33AD1-0AD4-442E-B6C1-C5C24F9BE376}"/>
    <cellStyle name="常规 10 2 3 4 2 2 2" xfId="9572" xr:uid="{F331CD71-C0BA-4D58-94D5-040BBC19946E}"/>
    <cellStyle name="常规 10 2 3 4 2 2 2 2" xfId="9573" xr:uid="{83AD4F5F-EC95-4FD2-A73B-22E8B61D6A23}"/>
    <cellStyle name="常规 10 2 3 4 2 2 2 2 2" xfId="9574" xr:uid="{221C9760-8191-4B73-969A-30C4074C0757}"/>
    <cellStyle name="常规 10 2 3 4 2 2 2 3" xfId="9575" xr:uid="{32A5A633-F3FF-4895-98A3-FBFC8EFC9D07}"/>
    <cellStyle name="常规 10 2 3 4 2 2 2 4" xfId="9576" xr:uid="{3CEE3845-56C4-4218-9DDF-6A27C51686FB}"/>
    <cellStyle name="常规 10 2 3 4 2 2 2 4 2" xfId="33484" xr:uid="{B30C5427-4522-49F5-9175-1B9EC87D756E}"/>
    <cellStyle name="常规 10 2 3 4 2 2 3" xfId="9577" xr:uid="{3C30E300-BFCE-4E07-A28F-DBF2FAA807A2}"/>
    <cellStyle name="常规 10 2 3 4 2 2 3 2" xfId="9578" xr:uid="{774A5263-A262-4D34-B386-C1DEC9F1F206}"/>
    <cellStyle name="常规 10 2 3 4 2 2 4" xfId="9579" xr:uid="{19071F1D-3C6B-49E1-BA41-869A8ECE53CB}"/>
    <cellStyle name="常规 10 2 3 4 2 2 5" xfId="9580" xr:uid="{25B09C31-6C71-4F5F-BB09-F03E24FD7A0A}"/>
    <cellStyle name="常规 10 2 3 4 2 2 5 2" xfId="33485" xr:uid="{63067A0C-A21D-4CD7-BA16-DB1600157099}"/>
    <cellStyle name="常规 10 2 3 4 2 2 6" xfId="9581" xr:uid="{5DB1077B-FED3-41A2-9226-9E277E29DC6D}"/>
    <cellStyle name="常规 10 2 3 4 2 3" xfId="9582" xr:uid="{DAB17FBD-1871-4003-912E-A18D068CD883}"/>
    <cellStyle name="常规 10 2 3 4 2 3 2" xfId="9583" xr:uid="{CC1E0B1F-EA98-4810-8A2B-6452F4003994}"/>
    <cellStyle name="常规 10 2 3 4 2 3 2 2" xfId="9584" xr:uid="{B6F7BDE8-743C-4CA3-B921-809BBD8CDFD9}"/>
    <cellStyle name="常规 10 2 3 4 2 3 3" xfId="9585" xr:uid="{ED54C7AA-6F58-465D-9F6C-0B0FD33CD1CE}"/>
    <cellStyle name="常规 10 2 3 4 2 3 4" xfId="9586" xr:uid="{6C97A66F-E081-46C9-AF7D-299FD1E3A33F}"/>
    <cellStyle name="常规 10 2 3 4 2 3 4 2" xfId="33486" xr:uid="{C6A51114-9888-4CE3-B18C-F2C1FD463D3F}"/>
    <cellStyle name="常规 10 2 3 4 2 3 5" xfId="9587" xr:uid="{3AC3D12E-67FE-482B-8501-11052E054D76}"/>
    <cellStyle name="常规 10 2 3 4 2 4" xfId="9588" xr:uid="{4A8545A1-7AC2-4ABF-B2D7-3D5AF2B8067D}"/>
    <cellStyle name="常规 10 2 3 4 2 4 2" xfId="9589" xr:uid="{8935B4C0-84BB-403A-9CF7-C280ACC89E2B}"/>
    <cellStyle name="常规 10 2 3 4 2 4 3" xfId="9590" xr:uid="{768B1174-F665-44F0-A00E-B847EAC73462}"/>
    <cellStyle name="常规 10 2 3 4 2 5" xfId="9591" xr:uid="{F880448E-1025-40E3-946C-2C5D518105C1}"/>
    <cellStyle name="常规 10 2 3 4 2 5 2" xfId="9592" xr:uid="{D640C0F9-9A7C-4614-8F0C-3C2982CCEC75}"/>
    <cellStyle name="常规 10 2 3 4 2 6" xfId="9593" xr:uid="{8866A1AE-249D-4A80-B934-3323611A1C13}"/>
    <cellStyle name="常规 10 2 3 4 2 6 2" xfId="9594" xr:uid="{12B9E623-3813-42FC-AFFF-E8FB2AC69799}"/>
    <cellStyle name="常规 10 2 3 4 2 6 3" xfId="33487" xr:uid="{3D9A7739-6B1C-42E1-93C1-BF3795474075}"/>
    <cellStyle name="常规 10 2 3 4 2 7" xfId="9595" xr:uid="{F02FBCD9-D78C-4169-9504-89C0F310587F}"/>
    <cellStyle name="常规 10 2 3 4 3" xfId="9596" xr:uid="{1292E8C8-CCA8-4C0D-AC69-81BDA39A8243}"/>
    <cellStyle name="常规 10 2 3 4 3 2" xfId="9597" xr:uid="{6FEA399C-81A6-496D-B402-1BCB39492DAA}"/>
    <cellStyle name="常规 10 2 3 4 3 2 2" xfId="9598" xr:uid="{71B14E84-A55A-4AF2-A229-21EEBEC9B083}"/>
    <cellStyle name="常规 10 2 3 4 3 2 2 2" xfId="9599" xr:uid="{40B8049A-EA06-47F8-A016-E561DC993CFB}"/>
    <cellStyle name="常规 10 2 3 4 3 2 3" xfId="9600" xr:uid="{55069A53-566F-4EE5-84FC-714F5C9E98D5}"/>
    <cellStyle name="常规 10 2 3 4 3 2 4" xfId="9601" xr:uid="{8A3CC832-8F21-4502-9EE5-3F79F6C5F986}"/>
    <cellStyle name="常规 10 2 3 4 3 2 4 2" xfId="33488" xr:uid="{76C62A4A-1B3F-4F93-9799-6556BB20E276}"/>
    <cellStyle name="常规 10 2 3 4 3 3" xfId="9602" xr:uid="{CCD43B50-591D-4007-84B2-B8E064EB7367}"/>
    <cellStyle name="常规 10 2 3 4 3 3 2" xfId="9603" xr:uid="{EBDCF59F-ECBD-412A-8DBE-B0CF0061808A}"/>
    <cellStyle name="常规 10 2 3 4 3 4" xfId="9604" xr:uid="{928284BF-60FC-4EA4-BCAB-55D017312B1D}"/>
    <cellStyle name="常规 10 2 3 4 3 5" xfId="9605" xr:uid="{FA4F5183-AE38-4FC7-A616-A1026E6927C1}"/>
    <cellStyle name="常规 10 2 3 4 3 5 2" xfId="33489" xr:uid="{B9BA35A2-8D4E-4607-8712-B85E5703979F}"/>
    <cellStyle name="常规 10 2 3 4 3 6" xfId="9606" xr:uid="{A751E57D-1221-4A54-A72C-D7005EAD9614}"/>
    <cellStyle name="常规 10 2 3 4 4" xfId="9607" xr:uid="{8BA86B73-CD36-4840-8680-DEF97B1C00C2}"/>
    <cellStyle name="常规 10 2 3 4 4 2" xfId="9608" xr:uid="{EAE67F4E-435F-4675-941B-00E92EC6333D}"/>
    <cellStyle name="常规 10 2 3 4 4 2 2" xfId="9609" xr:uid="{9BA499C2-75AA-4FB7-B929-0124E9423E79}"/>
    <cellStyle name="常规 10 2 3 4 4 3" xfId="9610" xr:uid="{A6963FE7-03DF-4556-B875-A18267985EA3}"/>
    <cellStyle name="常规 10 2 3 4 4 4" xfId="9611" xr:uid="{01BE0EF1-155E-4C24-BCDA-43CD8F96C3FE}"/>
    <cellStyle name="常规 10 2 3 4 4 4 2" xfId="33490" xr:uid="{09EDA60A-FDC9-4C2D-9637-A923FAE8BEA1}"/>
    <cellStyle name="常规 10 2 3 4 4 5" xfId="9612" xr:uid="{680E4F5B-08DE-45EC-9285-DCC2EF66CBD2}"/>
    <cellStyle name="常规 10 2 3 4 5" xfId="9613" xr:uid="{88F95914-5059-4A35-80E4-3DD50DD6ECBE}"/>
    <cellStyle name="常规 10 2 3 4 5 2" xfId="9614" xr:uid="{C68B1FE8-3E84-4F69-971B-3A831A0309BA}"/>
    <cellStyle name="常规 10 2 3 4 5 3" xfId="9615" xr:uid="{52028747-4027-44B8-B69E-89AEE2BE8B16}"/>
    <cellStyle name="常规 10 2 3 4 6" xfId="9616" xr:uid="{69F97EC0-A495-490F-A807-4CF20E7D9CD7}"/>
    <cellStyle name="常规 10 2 3 4 6 2" xfId="9617" xr:uid="{42D9FEFC-D0E7-456D-B54D-703265EFD3D6}"/>
    <cellStyle name="常规 10 2 3 4 7" xfId="9618" xr:uid="{387938C7-A815-4E17-A3CC-41CC07C3F3DE}"/>
    <cellStyle name="常规 10 2 3 4 7 2" xfId="9619" xr:uid="{741F5515-C97F-49A7-8AE1-DD5BFA449D9C}"/>
    <cellStyle name="常规 10 2 3 4 7 3" xfId="33491" xr:uid="{2CAFD301-148C-43AA-AF6A-A0D11950D667}"/>
    <cellStyle name="常规 10 2 3 4 8" xfId="9620" xr:uid="{CA1B2291-F803-450D-BD86-74BC07B579D8}"/>
    <cellStyle name="常规 10 2 3 5" xfId="9621" xr:uid="{23638054-55C0-49CB-9BC4-EBF13B555445}"/>
    <cellStyle name="常规 10 2 3 5 2" xfId="9622" xr:uid="{F2C8B0E4-E30C-4008-A6FD-47D14471CB4D}"/>
    <cellStyle name="常规 10 2 3 5 2 2" xfId="9623" xr:uid="{5B90E131-DD70-4DC1-82DE-E9DFC598E9E1}"/>
    <cellStyle name="常规 10 2 3 5 2 2 2" xfId="9624" xr:uid="{1255753A-F416-4DE4-8CE2-E3C2CC56DB15}"/>
    <cellStyle name="常规 10 2 3 5 2 2 2 2" xfId="9625" xr:uid="{C07478F8-DDCF-4431-9C72-2D6DACF1FBE4}"/>
    <cellStyle name="常规 10 2 3 5 2 2 2 2 2" xfId="9626" xr:uid="{A53D4CA4-12DF-44BE-8057-7E8924E9B120}"/>
    <cellStyle name="常规 10 2 3 5 2 2 2 3" xfId="9627" xr:uid="{F6B6F7EB-7A9C-467C-987C-0CD0148B5FE2}"/>
    <cellStyle name="常规 10 2 3 5 2 2 2 4" xfId="9628" xr:uid="{63F9D631-7E1B-470D-9901-027A3E47C91E}"/>
    <cellStyle name="常规 10 2 3 5 2 2 2 4 2" xfId="33492" xr:uid="{DCFAA0D6-C10E-48C1-9A80-FB5FDD4C5AF4}"/>
    <cellStyle name="常规 10 2 3 5 2 2 3" xfId="9629" xr:uid="{9B5F66DA-2944-42CE-8641-C7BE5FDF3E74}"/>
    <cellStyle name="常规 10 2 3 5 2 2 3 2" xfId="9630" xr:uid="{F141497E-96BF-446E-8FFF-91A8F061D108}"/>
    <cellStyle name="常规 10 2 3 5 2 2 4" xfId="9631" xr:uid="{9F82693E-A630-4105-8BFF-6ABF4BD63043}"/>
    <cellStyle name="常规 10 2 3 5 2 2 5" xfId="9632" xr:uid="{BC2D7A41-1C56-40F7-9149-3CBB66DD902B}"/>
    <cellStyle name="常规 10 2 3 5 2 2 5 2" xfId="33493" xr:uid="{0273AACB-CBC3-4C0D-A832-E7721E807818}"/>
    <cellStyle name="常规 10 2 3 5 2 2 6" xfId="9633" xr:uid="{66FA629C-D863-4FF6-B705-40304A984523}"/>
    <cellStyle name="常规 10 2 3 5 2 3" xfId="9634" xr:uid="{5F66D7F4-C43E-4E1A-8DAD-5D892DFF2B1A}"/>
    <cellStyle name="常规 10 2 3 5 2 3 2" xfId="9635" xr:uid="{865F38B0-E1AF-4FE5-B144-5682322CD3D3}"/>
    <cellStyle name="常规 10 2 3 5 2 3 2 2" xfId="9636" xr:uid="{ED6AF86D-A215-48E0-810D-C36989F218F0}"/>
    <cellStyle name="常规 10 2 3 5 2 3 3" xfId="9637" xr:uid="{F5869405-828B-44F7-8E6F-387B183E67FE}"/>
    <cellStyle name="常规 10 2 3 5 2 3 4" xfId="9638" xr:uid="{C1AFEFF1-C236-4EE5-B517-AE97D108B5F7}"/>
    <cellStyle name="常规 10 2 3 5 2 3 4 2" xfId="33494" xr:uid="{AD40D32F-8CAA-4386-8584-C64BDC8FD159}"/>
    <cellStyle name="常规 10 2 3 5 2 3 5" xfId="9639" xr:uid="{0B1FAB0F-B1F7-448E-A716-1FD16081246B}"/>
    <cellStyle name="常规 10 2 3 5 2 4" xfId="9640" xr:uid="{043C47DB-BEBB-451B-B94A-4D2EA5C672F9}"/>
    <cellStyle name="常规 10 2 3 5 2 4 2" xfId="9641" xr:uid="{C21DB5AD-0DED-4B3E-9F13-3FA44DED9E3F}"/>
    <cellStyle name="常规 10 2 3 5 2 4 3" xfId="9642" xr:uid="{55C2BF5C-8A74-4905-8D05-DCB332321EBB}"/>
    <cellStyle name="常规 10 2 3 5 2 5" xfId="9643" xr:uid="{4B445C5F-D471-4D4E-92AC-99F4CBC02BB1}"/>
    <cellStyle name="常规 10 2 3 5 2 5 2" xfId="9644" xr:uid="{18E6DDFA-A2E2-41D1-919A-B6762A6F66BA}"/>
    <cellStyle name="常规 10 2 3 5 2 6" xfId="9645" xr:uid="{8180022C-A739-4D14-8D24-73F051C2154B}"/>
    <cellStyle name="常规 10 2 3 5 2 6 2" xfId="9646" xr:uid="{4685747D-FB1C-4975-9E37-666F4A0B07FD}"/>
    <cellStyle name="常规 10 2 3 5 2 6 3" xfId="33495" xr:uid="{B9004B01-02F2-474C-8B51-B36AC873ADA0}"/>
    <cellStyle name="常规 10 2 3 5 2 7" xfId="9647" xr:uid="{AF3421BD-686B-4E81-A1F6-0B041BFC8C20}"/>
    <cellStyle name="常规 10 2 3 5 3" xfId="9648" xr:uid="{3A4A1356-EFA4-42DC-AED1-011E68AC3491}"/>
    <cellStyle name="常规 10 2 3 5 3 2" xfId="9649" xr:uid="{C8AA8164-E075-48C1-B385-8BEA071CC3C8}"/>
    <cellStyle name="常规 10 2 3 5 3 2 2" xfId="9650" xr:uid="{0F6CE916-A826-4D3C-97F5-A4226A04AABB}"/>
    <cellStyle name="常规 10 2 3 5 3 2 2 2" xfId="9651" xr:uid="{027B331D-CE5E-4257-B6B9-2667731D3885}"/>
    <cellStyle name="常规 10 2 3 5 3 2 3" xfId="9652" xr:uid="{35726EE1-BA6E-4C1F-A469-632F896A609F}"/>
    <cellStyle name="常规 10 2 3 5 3 2 4" xfId="9653" xr:uid="{2A4A586A-E2B0-43C1-99B4-86F90ABBA822}"/>
    <cellStyle name="常规 10 2 3 5 3 2 4 2" xfId="33496" xr:uid="{7B779287-3071-438F-BD7F-B20C7ADF25CB}"/>
    <cellStyle name="常规 10 2 3 5 3 3" xfId="9654" xr:uid="{DF8230A3-604E-4105-A165-59B752DC1F73}"/>
    <cellStyle name="常规 10 2 3 5 3 3 2" xfId="9655" xr:uid="{994CCBB6-1C3F-40F0-B350-74DBE49BDB09}"/>
    <cellStyle name="常规 10 2 3 5 3 4" xfId="9656" xr:uid="{577F9AEB-B24F-4C7C-B4BD-6ECBA475CBBC}"/>
    <cellStyle name="常规 10 2 3 5 3 5" xfId="9657" xr:uid="{9CCD4C2B-D406-45AF-8022-9C2579D2BA0A}"/>
    <cellStyle name="常规 10 2 3 5 3 5 2" xfId="33497" xr:uid="{983BAB31-E74C-4540-A3F1-223E8A48F6B9}"/>
    <cellStyle name="常规 10 2 3 5 3 6" xfId="9658" xr:uid="{1AB786E0-1BB0-4B87-9837-973844D92F56}"/>
    <cellStyle name="常规 10 2 3 5 4" xfId="9659" xr:uid="{1EB7886B-4D99-425B-B1B5-B5755D448076}"/>
    <cellStyle name="常规 10 2 3 5 4 2" xfId="9660" xr:uid="{362AEA55-8316-4D7B-96A9-344F6B9289CB}"/>
    <cellStyle name="常规 10 2 3 5 4 2 2" xfId="9661" xr:uid="{2CA60135-D676-49AF-A9FE-CCF1EC2555B4}"/>
    <cellStyle name="常规 10 2 3 5 4 3" xfId="9662" xr:uid="{20FBF87B-37CE-4333-B875-742127F9D1C7}"/>
    <cellStyle name="常规 10 2 3 5 4 4" xfId="9663" xr:uid="{E72DC8EA-9144-475C-8973-F226C24724C9}"/>
    <cellStyle name="常规 10 2 3 5 4 4 2" xfId="33498" xr:uid="{82007536-563D-45E4-8132-8DF55DBC97EC}"/>
    <cellStyle name="常规 10 2 3 5 4 5" xfId="9664" xr:uid="{2FCCD0A1-BCE6-4D9D-B335-BEAE009B05D5}"/>
    <cellStyle name="常规 10 2 3 5 5" xfId="9665" xr:uid="{154CA727-E02E-459D-A97E-6C142EE47C2B}"/>
    <cellStyle name="常规 10 2 3 5 5 2" xfId="9666" xr:uid="{E385772A-996E-4C2F-8CF7-B684BA06AFDD}"/>
    <cellStyle name="常规 10 2 3 5 5 3" xfId="9667" xr:uid="{B5900FD5-C813-40F9-B74C-E5F24147AB11}"/>
    <cellStyle name="常规 10 2 3 5 6" xfId="9668" xr:uid="{94370832-CE9D-4529-B01B-B0871FD38E52}"/>
    <cellStyle name="常规 10 2 3 5 6 2" xfId="9669" xr:uid="{D416BA54-8285-4B00-9A53-B9AF4BF7BF11}"/>
    <cellStyle name="常规 10 2 3 5 7" xfId="9670" xr:uid="{B8AF28DB-EF57-4DB5-96B5-E50E5859D3F0}"/>
    <cellStyle name="常规 10 2 3 5 7 2" xfId="9671" xr:uid="{0B38962F-36C9-48C2-A104-3915F410E3E4}"/>
    <cellStyle name="常规 10 2 3 5 7 3" xfId="33499" xr:uid="{E0227521-39BA-4D57-B846-1355B8287024}"/>
    <cellStyle name="常规 10 2 3 5 8" xfId="9672" xr:uid="{A7C87498-3015-401C-B332-286D0F53E340}"/>
    <cellStyle name="常规 10 2 3 6" xfId="9673" xr:uid="{65814944-E605-4ABD-BB39-BE7958600AC2}"/>
    <cellStyle name="常规 10 2 3 6 2" xfId="9674" xr:uid="{4DC5D619-A03D-40A7-BC0B-546275C1AB83}"/>
    <cellStyle name="常规 10 2 3 6 2 2" xfId="9675" xr:uid="{FE2A7F2E-E069-4F41-B62F-31A27D6402C3}"/>
    <cellStyle name="常规 10 2 3 6 2 2 2" xfId="9676" xr:uid="{09FEF4F5-DC43-4F6D-8D60-07DCC03E3E24}"/>
    <cellStyle name="常规 10 2 3 6 2 2 2 2" xfId="9677" xr:uid="{EE212A0C-03A5-43A8-8822-FB0E3CBD0920}"/>
    <cellStyle name="常规 10 2 3 6 2 2 3" xfId="9678" xr:uid="{7FD32226-D8A5-470A-A584-54E929C336FA}"/>
    <cellStyle name="常规 10 2 3 6 2 2 4" xfId="9679" xr:uid="{E4FC2AE1-B436-4726-B1C0-34569721C807}"/>
    <cellStyle name="常规 10 2 3 6 2 2 4 2" xfId="33500" xr:uid="{30333465-3A3B-4F73-B3FF-20DA9C687524}"/>
    <cellStyle name="常规 10 2 3 6 2 3" xfId="9680" xr:uid="{8B822538-EBAB-4798-9009-35A685DAD8C9}"/>
    <cellStyle name="常规 10 2 3 6 2 3 2" xfId="9681" xr:uid="{D9359DA6-27CB-4D80-BF7B-6F2138771FC7}"/>
    <cellStyle name="常规 10 2 3 6 2 4" xfId="9682" xr:uid="{A2D3F9D9-24D4-4360-8FCE-F8DA9DF51E64}"/>
    <cellStyle name="常规 10 2 3 6 2 5" xfId="9683" xr:uid="{9DFF61CB-B0B9-45D5-990E-6A56A3BEE7AB}"/>
    <cellStyle name="常规 10 2 3 6 2 5 2" xfId="33501" xr:uid="{4AC4CCA9-BEDE-4EBA-903F-A69DB5D32DE5}"/>
    <cellStyle name="常规 10 2 3 6 2 6" xfId="9684" xr:uid="{6CF016B3-3651-42A3-AA0D-F0F1E6525648}"/>
    <cellStyle name="常规 10 2 3 6 3" xfId="9685" xr:uid="{DC745433-8EEC-415B-9E8D-0A5C2BCB5548}"/>
    <cellStyle name="常规 10 2 3 6 3 2" xfId="9686" xr:uid="{938124F6-4D3B-444C-9AEF-A71A26492EA4}"/>
    <cellStyle name="常规 10 2 3 6 3 2 2" xfId="9687" xr:uid="{696B8297-794B-41CC-BA1E-8450A8BC142E}"/>
    <cellStyle name="常规 10 2 3 6 3 3" xfId="9688" xr:uid="{1DB1EF55-077F-4583-9D43-87A595F11778}"/>
    <cellStyle name="常规 10 2 3 6 3 4" xfId="9689" xr:uid="{8EA6C95F-AD1E-4766-AC43-C3CA0E435835}"/>
    <cellStyle name="常规 10 2 3 6 3 4 2" xfId="33502" xr:uid="{661EF6F5-71B3-4C1F-9AE2-4A787A70F194}"/>
    <cellStyle name="常规 10 2 3 6 3 5" xfId="9690" xr:uid="{7E720564-00CC-4B0D-B9B6-9C00CFDA5710}"/>
    <cellStyle name="常规 10 2 3 6 4" xfId="9691" xr:uid="{F3DB359D-6913-433A-8223-BA34B5E6EF40}"/>
    <cellStyle name="常规 10 2 3 6 4 2" xfId="9692" xr:uid="{45BBAB1A-70A7-49B8-A6C7-88D01B82DDDE}"/>
    <cellStyle name="常规 10 2 3 6 4 3" xfId="9693" xr:uid="{086E5DB4-4F6B-42E6-9610-305483F5D020}"/>
    <cellStyle name="常规 10 2 3 6 5" xfId="9694" xr:uid="{C69F70F5-4802-4134-AB6A-084E5A52A239}"/>
    <cellStyle name="常规 10 2 3 6 5 2" xfId="9695" xr:uid="{65F0EF6F-493B-4607-9CE7-67E1E7897D97}"/>
    <cellStyle name="常规 10 2 3 6 6" xfId="9696" xr:uid="{3C71F5AD-AA1A-43DF-9FA2-FCD91ED53F01}"/>
    <cellStyle name="常规 10 2 3 6 6 2" xfId="9697" xr:uid="{57552D4A-A335-441C-9DD6-0778779FB47A}"/>
    <cellStyle name="常规 10 2 3 6 6 3" xfId="33503" xr:uid="{D1B8EF9C-B513-4941-A3AA-4A53D85B0DDA}"/>
    <cellStyle name="常规 10 2 3 6 7" xfId="9698" xr:uid="{E719E8BA-D693-4FC5-9FCE-7BA24DCFC92F}"/>
    <cellStyle name="常规 10 2 3 7" xfId="9699" xr:uid="{23406B20-6C9E-488F-91E5-E05124E0F3B8}"/>
    <cellStyle name="常规 10 2 3 7 2" xfId="9700" xr:uid="{8E2F47C8-9B69-46A6-9B60-CE429C8B6E68}"/>
    <cellStyle name="常规 10 2 3 7 2 2" xfId="9701" xr:uid="{09BB34D2-2A07-4C85-9B54-29A9F782567C}"/>
    <cellStyle name="常规 10 2 3 7 2 2 2" xfId="9702" xr:uid="{67F49836-1119-4AD4-B6F9-A7CA3FC442D2}"/>
    <cellStyle name="常规 10 2 3 7 2 3" xfId="9703" xr:uid="{7D0E2FD1-8AB0-4895-9BC4-C58B12825E38}"/>
    <cellStyle name="常规 10 2 3 7 2 4" xfId="9704" xr:uid="{5A41DE62-7797-4739-8765-9536F826DF0C}"/>
    <cellStyle name="常规 10 2 3 7 2 4 2" xfId="33504" xr:uid="{49D261A1-2E76-41FE-9DE8-84CB89A36B0A}"/>
    <cellStyle name="常规 10 2 3 7 3" xfId="9705" xr:uid="{E6BD10D6-144C-4D2D-BFD5-EAB10F7583B1}"/>
    <cellStyle name="常规 10 2 3 7 3 2" xfId="9706" xr:uid="{34F7B352-C0ED-43E4-9F7F-CF2317F6E29B}"/>
    <cellStyle name="常规 10 2 3 7 4" xfId="9707" xr:uid="{2DB1083F-1944-458A-B9E3-25368598461D}"/>
    <cellStyle name="常规 10 2 3 7 5" xfId="9708" xr:uid="{A6E255CD-61EE-4DC2-A931-58DAA852DB9D}"/>
    <cellStyle name="常规 10 2 3 7 5 2" xfId="33505" xr:uid="{3863C7EF-D918-4247-A89A-EF14DC484B07}"/>
    <cellStyle name="常规 10 2 3 7 6" xfId="9709" xr:uid="{9E9D78DC-19B3-4F92-B335-73D2847836DD}"/>
    <cellStyle name="常规 10 2 3 8" xfId="9710" xr:uid="{A9E2A9B3-9E0A-41A5-8DB2-9281B60CC3A5}"/>
    <cellStyle name="常规 10 2 3 8 2" xfId="9711" xr:uid="{6A4B541F-D92C-453C-AC82-64D7CD6E0043}"/>
    <cellStyle name="常规 10 2 3 8 2 2" xfId="9712" xr:uid="{937E7AB1-6904-44E6-BA79-45F5DF249D59}"/>
    <cellStyle name="常规 10 2 3 8 3" xfId="9713" xr:uid="{0CA2E5DA-1C82-46C8-A076-D9491A56D328}"/>
    <cellStyle name="常规 10 2 3 8 4" xfId="9714" xr:uid="{867515F4-D00E-4EEA-9BBA-C0FB62DC474A}"/>
    <cellStyle name="常规 10 2 3 8 4 2" xfId="33506" xr:uid="{F55988A2-E159-4C63-9421-8C93F43AF0E2}"/>
    <cellStyle name="常规 10 2 3 8 5" xfId="9715" xr:uid="{095D0F33-06D5-42E9-8FAE-49E4B32E1CE8}"/>
    <cellStyle name="常规 10 2 3 9" xfId="9716" xr:uid="{39133971-A552-4F9B-9A2C-A62CC7BACD15}"/>
    <cellStyle name="常规 10 2 3 9 2" xfId="9717" xr:uid="{47944ACE-A84F-4DF2-B1C8-B79F17DDA5B6}"/>
    <cellStyle name="常规 10 2 3 9 2 2" xfId="9718" xr:uid="{E9EE19AE-19E4-4D4A-9D9E-184091C07B6A}"/>
    <cellStyle name="常规 10 2 3 9 3" xfId="9719" xr:uid="{506ADB6C-0B99-4EC9-98C4-D6A26E89A4C0}"/>
    <cellStyle name="常规 10 2 3 9 4" xfId="9720" xr:uid="{4EC4B05B-F91D-40FF-9FDB-8E83D11D7FDB}"/>
    <cellStyle name="常规 10 2 3 9 4 2" xfId="33507" xr:uid="{52D04381-D9AA-419B-BAB1-48CA422DD5A9}"/>
    <cellStyle name="常规 10 2 3 9 5" xfId="9721" xr:uid="{7DC2DD32-D487-4F64-A07F-666161CD12E8}"/>
    <cellStyle name="常规 10 2 4" xfId="9722" xr:uid="{B65372E0-1C37-466A-955C-2E546EAC75BB}"/>
    <cellStyle name="常规 10 2 4 10" xfId="9723" xr:uid="{9DD034FA-ECD5-40A2-8152-20E535E877A0}"/>
    <cellStyle name="常规 10 2 4 2" xfId="9724" xr:uid="{6475293F-D17E-4922-B421-A49CAAB9B552}"/>
    <cellStyle name="常规 10 2 4 2 2" xfId="9725" xr:uid="{33197578-60E1-45A3-8D2B-8CCD6B7AA64B}"/>
    <cellStyle name="常规 10 2 4 2 2 2" xfId="9726" xr:uid="{70377B09-BBA9-4C67-8ADB-C3AAC62D3B0E}"/>
    <cellStyle name="常规 10 2 4 2 2 2 2" xfId="9727" xr:uid="{36BBC0EE-5BFC-4A60-B27D-CA663D541A14}"/>
    <cellStyle name="常规 10 2 4 2 2 2 2 2" xfId="9728" xr:uid="{E935D331-8EF3-491D-A93D-9F650E76EA04}"/>
    <cellStyle name="常规 10 2 4 2 2 2 2 2 2" xfId="9729" xr:uid="{A847FA08-1344-4305-8C22-C9EF387F1337}"/>
    <cellStyle name="常规 10 2 4 2 2 2 2 3" xfId="9730" xr:uid="{87538647-12F3-43B4-BC6F-E8AB0E25C39E}"/>
    <cellStyle name="常规 10 2 4 2 2 2 2 4" xfId="9731" xr:uid="{A0D5E5F4-C1E3-4516-8018-35663ECF33E3}"/>
    <cellStyle name="常规 10 2 4 2 2 2 2 4 2" xfId="33508" xr:uid="{6E943888-19FB-4315-AD6E-947090AEEBAE}"/>
    <cellStyle name="常规 10 2 4 2 2 2 2 5" xfId="9732" xr:uid="{C3B76A71-19E4-4418-97A3-3C09C847CCAA}"/>
    <cellStyle name="常规 10 2 4 2 2 2 3" xfId="9733" xr:uid="{68959107-2BF3-4245-B459-C30A0054AFC4}"/>
    <cellStyle name="常规 10 2 4 2 2 2 3 2" xfId="9734" xr:uid="{157B5EDF-1B52-48D8-A11F-201A868AB131}"/>
    <cellStyle name="常规 10 2 4 2 2 2 3 3" xfId="9735" xr:uid="{ABE92687-6335-4B11-9A63-B52BC52CF101}"/>
    <cellStyle name="常规 10 2 4 2 2 2 4" xfId="9736" xr:uid="{5DEB5420-C4BB-4BC9-B2E5-8EE2CAA4135B}"/>
    <cellStyle name="常规 10 2 4 2 2 2 4 2" xfId="9737" xr:uid="{CE3D4B43-EA65-4CBE-9292-00BCCC2027B9}"/>
    <cellStyle name="常规 10 2 4 2 2 2 5" xfId="9738" xr:uid="{CEF0D497-D74B-4656-96B6-858C6928803F}"/>
    <cellStyle name="常规 10 2 4 2 2 2 5 2" xfId="9739" xr:uid="{FD931700-D94C-49A5-9BE8-AA341297DD19}"/>
    <cellStyle name="常规 10 2 4 2 2 2 5 3" xfId="33509" xr:uid="{6C48A57E-E415-4A81-8EF4-1A256255289A}"/>
    <cellStyle name="常规 10 2 4 2 2 2 6" xfId="9740" xr:uid="{6193112B-215D-46F7-94BA-6788A1957513}"/>
    <cellStyle name="常规 10 2 4 2 2 2 7" xfId="9741" xr:uid="{D2FED982-F001-4E25-9CF1-2BDE1674F100}"/>
    <cellStyle name="常规 10 2 4 2 2 3" xfId="9742" xr:uid="{66DCEF9F-1A83-46DD-99A9-97B143406283}"/>
    <cellStyle name="常规 10 2 4 2 2 3 2" xfId="9743" xr:uid="{C356BCC0-8ADA-40A9-B7D7-F4C62A313C03}"/>
    <cellStyle name="常规 10 2 4 2 2 3 2 2" xfId="9744" xr:uid="{C9AED6A1-8486-4234-8CB3-850F0DBEED9C}"/>
    <cellStyle name="常规 10 2 4 2 2 3 3" xfId="9745" xr:uid="{1A22451B-8AB3-4626-AC7C-35DF88C08A22}"/>
    <cellStyle name="常规 10 2 4 2 2 3 4" xfId="9746" xr:uid="{15567323-F916-490F-A7ED-0B91C44748FB}"/>
    <cellStyle name="常规 10 2 4 2 2 3 4 2" xfId="33510" xr:uid="{51BA8B9B-EE2D-4967-A9B3-CCCD0AE5E308}"/>
    <cellStyle name="常规 10 2 4 2 2 3 5" xfId="9747" xr:uid="{10566626-93E6-4E69-AEBD-8C56A2005E5C}"/>
    <cellStyle name="常规 10 2 4 2 2 4" xfId="9748" xr:uid="{E0014F77-9461-4D29-A6D8-11DE3F6AA1FC}"/>
    <cellStyle name="常规 10 2 4 2 2 4 2" xfId="9749" xr:uid="{385582A7-76C5-48E0-91C6-6CD4035A01C1}"/>
    <cellStyle name="常规 10 2 4 2 2 4 3" xfId="9750" xr:uid="{8C6B6AE8-ED6E-4D39-8691-30B92D36910D}"/>
    <cellStyle name="常规 10 2 4 2 2 5" xfId="9751" xr:uid="{B6C85703-B3B9-4DE1-B798-DCC4647E66E8}"/>
    <cellStyle name="常规 10 2 4 2 2 5 2" xfId="9752" xr:uid="{6CF15355-D59A-4837-ACA8-99C92C0CE323}"/>
    <cellStyle name="常规 10 2 4 2 2 6" xfId="9753" xr:uid="{83CA313F-DA19-4479-977D-1237EA8D0E19}"/>
    <cellStyle name="常规 10 2 4 2 2 6 2" xfId="9754" xr:uid="{2CDC5D2F-B820-4039-BE4B-B1427006ABE2}"/>
    <cellStyle name="常规 10 2 4 2 2 6 3" xfId="33511" xr:uid="{176BFAF3-0B7E-4082-8D89-3C273F63C542}"/>
    <cellStyle name="常规 10 2 4 2 2 7" xfId="9755" xr:uid="{18178A48-BB96-4197-AC3E-665135E9AF4F}"/>
    <cellStyle name="常规 10 2 4 2 2 8" xfId="9756" xr:uid="{A9297F3F-2345-4FF7-8816-1432C6CE7619}"/>
    <cellStyle name="常规 10 2 4 2 3" xfId="9757" xr:uid="{E3F7F885-E9F3-4F49-868C-A8808FADAF4E}"/>
    <cellStyle name="常规 10 2 4 2 3 2" xfId="9758" xr:uid="{CE49F01D-38FA-473C-920C-9C593471A155}"/>
    <cellStyle name="常规 10 2 4 2 3 2 2" xfId="9759" xr:uid="{A72AD5DE-9165-4D26-B4F9-5D701C029C18}"/>
    <cellStyle name="常规 10 2 4 2 3 2 2 2" xfId="9760" xr:uid="{9ADF8525-C763-45D1-A218-B20D8A538B1E}"/>
    <cellStyle name="常规 10 2 4 2 3 2 3" xfId="9761" xr:uid="{67E3A8CD-6BC0-412E-A38C-3EDD1FF55703}"/>
    <cellStyle name="常规 10 2 4 2 3 2 4" xfId="9762" xr:uid="{883E7E4F-43E1-4D85-B2AC-168EFCA371D8}"/>
    <cellStyle name="常规 10 2 4 2 3 2 4 2" xfId="33512" xr:uid="{BA7AD57F-BD56-446F-85C9-FBB43687BB62}"/>
    <cellStyle name="常规 10 2 4 2 3 2 5" xfId="9763" xr:uid="{2BCC5287-7CA5-4D70-B19D-8434CDBCD187}"/>
    <cellStyle name="常规 10 2 4 2 3 3" xfId="9764" xr:uid="{01D96076-5E53-42FA-8031-339A9FBBE6A7}"/>
    <cellStyle name="常规 10 2 4 2 3 3 2" xfId="9765" xr:uid="{23F36030-F25B-4BBD-AD7F-BF95632B25E1}"/>
    <cellStyle name="常规 10 2 4 2 3 3 3" xfId="9766" xr:uid="{03E4635C-1EB1-4CDB-94DE-AD3FF9641F56}"/>
    <cellStyle name="常规 10 2 4 2 3 4" xfId="9767" xr:uid="{85051636-F9B4-4D88-B26F-0E8CB4622DA2}"/>
    <cellStyle name="常规 10 2 4 2 3 4 2" xfId="9768" xr:uid="{939657CE-F92E-4087-B394-26AE3C80D2EF}"/>
    <cellStyle name="常规 10 2 4 2 3 5" xfId="9769" xr:uid="{E201CF04-A263-41BC-9545-E44EBB6B1C14}"/>
    <cellStyle name="常规 10 2 4 2 3 5 2" xfId="9770" xr:uid="{14BF201A-F476-4E33-9077-5590EA6B1185}"/>
    <cellStyle name="常规 10 2 4 2 3 5 3" xfId="33513" xr:uid="{4CC93D5A-E6CF-49CC-BEA2-D2A2EE803706}"/>
    <cellStyle name="常规 10 2 4 2 3 6" xfId="9771" xr:uid="{4E2DC085-59CF-4688-BBA5-095A71C0B17C}"/>
    <cellStyle name="常规 10 2 4 2 3 7" xfId="9772" xr:uid="{F25D2220-096B-4BD4-904A-713E5F2796FE}"/>
    <cellStyle name="常规 10 2 4 2 4" xfId="9773" xr:uid="{5A5A7446-6BF1-4C4F-9536-744DDC9AF493}"/>
    <cellStyle name="常规 10 2 4 2 4 2" xfId="9774" xr:uid="{43F602BF-A3B1-48BF-B592-37EB90E037A7}"/>
    <cellStyle name="常规 10 2 4 2 4 2 2" xfId="9775" xr:uid="{280F8A39-9D2C-4DD9-9B62-A4CE3C61B56C}"/>
    <cellStyle name="常规 10 2 4 2 4 3" xfId="9776" xr:uid="{B33C33E2-1422-47CA-8DEC-DFE468C21F55}"/>
    <cellStyle name="常规 10 2 4 2 4 4" xfId="9777" xr:uid="{7B0F52A9-2B94-4B4C-9A33-EFE8D7F273B2}"/>
    <cellStyle name="常规 10 2 4 2 4 4 2" xfId="33514" xr:uid="{82E7EC11-86B9-4564-A734-6A77D88D0886}"/>
    <cellStyle name="常规 10 2 4 2 4 5" xfId="9778" xr:uid="{E9C886C2-8A4D-4DAB-9C54-01FE90366DFF}"/>
    <cellStyle name="常规 10 2 4 2 5" xfId="9779" xr:uid="{CF87A889-F8CD-478A-A215-6C61DCC626A2}"/>
    <cellStyle name="常规 10 2 4 2 5 2" xfId="9780" xr:uid="{66181501-E90C-40BD-8671-6A2186DC004D}"/>
    <cellStyle name="常规 10 2 4 2 5 3" xfId="9781" xr:uid="{AB306A85-50EE-4FD0-99EB-918339EA50FF}"/>
    <cellStyle name="常规 10 2 4 2 6" xfId="9782" xr:uid="{705BA03A-0916-4964-88A7-5B3F04284E06}"/>
    <cellStyle name="常规 10 2 4 2 6 2" xfId="9783" xr:uid="{4861A285-48AA-4E24-9F39-9CFA6B8EE68E}"/>
    <cellStyle name="常规 10 2 4 2 7" xfId="9784" xr:uid="{CE1D5693-AB87-4072-9996-06BC309FBB21}"/>
    <cellStyle name="常规 10 2 4 2 7 2" xfId="9785" xr:uid="{B5B8D978-49D3-403B-89E1-BC30DA260712}"/>
    <cellStyle name="常规 10 2 4 2 7 3" xfId="33515" xr:uid="{168268EA-EBE3-4F59-8273-97C9F0928840}"/>
    <cellStyle name="常规 10 2 4 2 8" xfId="9786" xr:uid="{D28DDAF5-7586-4009-8C7F-CCEC18E67F4B}"/>
    <cellStyle name="常规 10 2 4 2 9" xfId="9787" xr:uid="{992EBA2F-B128-4C80-9590-EABE0F91A8AB}"/>
    <cellStyle name="常规 10 2 4 3" xfId="9788" xr:uid="{A6DA2B5B-3B50-4176-9B57-202BC4061CF6}"/>
    <cellStyle name="常规 10 2 4 3 2" xfId="9789" xr:uid="{77873892-FAB4-4037-9B86-CDFA138CF415}"/>
    <cellStyle name="常规 10 2 4 3 2 2" xfId="9790" xr:uid="{D5F65532-A8E8-4C2B-A362-FDC170A07B60}"/>
    <cellStyle name="常规 10 2 4 3 2 2 2" xfId="9791" xr:uid="{577C0446-8FCD-4908-8D7D-1069FEFDE3CB}"/>
    <cellStyle name="常规 10 2 4 3 2 2 2 2" xfId="9792" xr:uid="{BC8A87B4-6C91-4217-BE09-A90EB35ACC02}"/>
    <cellStyle name="常规 10 2 4 3 2 2 3" xfId="9793" xr:uid="{B5244A68-4D62-433E-B5BF-5C483AA0C846}"/>
    <cellStyle name="常规 10 2 4 3 2 2 4" xfId="9794" xr:uid="{06676574-EEF0-4ED3-AA34-01EDB0C5945A}"/>
    <cellStyle name="常规 10 2 4 3 2 2 4 2" xfId="33516" xr:uid="{F2C06C31-7785-4360-825D-C21572BEC071}"/>
    <cellStyle name="常规 10 2 4 3 2 2 5" xfId="9795" xr:uid="{EA7F4DD7-88E0-4E3B-957C-9C7C5181EC89}"/>
    <cellStyle name="常规 10 2 4 3 2 3" xfId="9796" xr:uid="{3A67EAEE-59A5-40B4-B9E6-68CA61E4033E}"/>
    <cellStyle name="常规 10 2 4 3 2 3 2" xfId="9797" xr:uid="{FAD9269A-32C5-4C46-9F62-AB57A39C6870}"/>
    <cellStyle name="常规 10 2 4 3 2 3 3" xfId="9798" xr:uid="{61484D76-D603-4100-B672-71F89E990477}"/>
    <cellStyle name="常规 10 2 4 3 2 4" xfId="9799" xr:uid="{CA6AA996-A5FF-488C-8542-67C09FE7DA88}"/>
    <cellStyle name="常规 10 2 4 3 2 4 2" xfId="9800" xr:uid="{5E44704C-BCC1-4223-BE19-B2800DCF99B6}"/>
    <cellStyle name="常规 10 2 4 3 2 5" xfId="9801" xr:uid="{7586D681-8AE8-4D69-BA0F-2167E62CBA30}"/>
    <cellStyle name="常规 10 2 4 3 2 5 2" xfId="9802" xr:uid="{30824BFB-7B0F-47EB-AF26-3A61CC4DCA1B}"/>
    <cellStyle name="常规 10 2 4 3 2 5 3" xfId="33517" xr:uid="{41741E34-8D0B-4112-8A96-6EF1394899EA}"/>
    <cellStyle name="常规 10 2 4 3 2 6" xfId="9803" xr:uid="{E6114861-9852-4F82-8AF1-B4C6A941FAE9}"/>
    <cellStyle name="常规 10 2 4 3 2 7" xfId="9804" xr:uid="{2A17CA8E-D05E-45C5-AFD7-68337E483FDC}"/>
    <cellStyle name="常规 10 2 4 3 3" xfId="9805" xr:uid="{A3DE3876-BB0D-41D7-88A8-DBF0BC7A59C9}"/>
    <cellStyle name="常规 10 2 4 3 3 2" xfId="9806" xr:uid="{C451065E-1455-4835-8DE0-AFF9187C6653}"/>
    <cellStyle name="常规 10 2 4 3 3 2 2" xfId="9807" xr:uid="{9F76AAFD-638E-4C62-8993-650E5170F687}"/>
    <cellStyle name="常规 10 2 4 3 3 3" xfId="9808" xr:uid="{0CBD5338-82FE-4316-A3FE-FD5A593DFDA3}"/>
    <cellStyle name="常规 10 2 4 3 3 4" xfId="9809" xr:uid="{7DFF74EA-ADB0-43A5-BDDA-0769E2B12286}"/>
    <cellStyle name="常规 10 2 4 3 3 4 2" xfId="33518" xr:uid="{CCE7F8DA-72C5-4508-8F42-9563CCA706EE}"/>
    <cellStyle name="常规 10 2 4 3 3 5" xfId="9810" xr:uid="{BF0C7CAC-7438-4462-8F8F-E2AE74162B33}"/>
    <cellStyle name="常规 10 2 4 3 4" xfId="9811" xr:uid="{07B758D2-C7EA-4C94-8B26-8AA77A8B056E}"/>
    <cellStyle name="常规 10 2 4 3 4 2" xfId="9812" xr:uid="{F0B0A484-E3F0-4C71-99B2-1D785B1C3540}"/>
    <cellStyle name="常规 10 2 4 3 4 3" xfId="9813" xr:uid="{1E2B6811-14AE-4B94-BE07-54CEDA5666B1}"/>
    <cellStyle name="常规 10 2 4 3 5" xfId="9814" xr:uid="{82A2B663-ED90-4052-B64C-2F954138C8FF}"/>
    <cellStyle name="常规 10 2 4 3 5 2" xfId="9815" xr:uid="{F3ADA34F-4B78-410C-B73D-2938CFD7BC76}"/>
    <cellStyle name="常规 10 2 4 3 6" xfId="9816" xr:uid="{9118A21C-850D-4A0E-93EF-96193817632B}"/>
    <cellStyle name="常规 10 2 4 3 6 2" xfId="9817" xr:uid="{8C151E67-06DB-4668-8A9D-3836B90C611C}"/>
    <cellStyle name="常规 10 2 4 3 6 3" xfId="33519" xr:uid="{FAAEACC6-00E0-40E9-8F08-455422ADC808}"/>
    <cellStyle name="常规 10 2 4 3 7" xfId="9818" xr:uid="{F0E2A1EB-70EF-441A-AB2D-16504E5CA0C3}"/>
    <cellStyle name="常规 10 2 4 3 8" xfId="9819" xr:uid="{12C39873-A4EF-481E-A547-0482841C5791}"/>
    <cellStyle name="常规 10 2 4 4" xfId="9820" xr:uid="{29DB36B3-73AC-41AD-9FD9-69DD4A4F67B5}"/>
    <cellStyle name="常规 10 2 4 4 2" xfId="9821" xr:uid="{27613D78-C86A-474B-93A5-4F2A691CB60F}"/>
    <cellStyle name="常规 10 2 4 4 2 2" xfId="9822" xr:uid="{9998EE5A-007E-4094-8567-DA3A530B02DC}"/>
    <cellStyle name="常规 10 2 4 4 2 2 2" xfId="9823" xr:uid="{E0F5E6A7-BBCA-494E-9D25-F0EFD0697D85}"/>
    <cellStyle name="常规 10 2 4 4 2 2 3" xfId="9824" xr:uid="{1AAC29B4-798A-44FE-9C7D-64E9BABB4871}"/>
    <cellStyle name="常规 10 2 4 4 2 3" xfId="9825" xr:uid="{F700442D-BAA1-4E00-87C9-8D0F57824BD6}"/>
    <cellStyle name="常规 10 2 4 4 2 3 2" xfId="9826" xr:uid="{85DBBE15-E20B-4097-AF21-1E914C9BE868}"/>
    <cellStyle name="常规 10 2 4 4 2 4" xfId="9827" xr:uid="{562103C9-E6E5-4675-BB0C-9248A4EB3B88}"/>
    <cellStyle name="常规 10 2 4 4 2 4 2" xfId="9828" xr:uid="{7BCC73F6-32F2-4306-968F-483C0F1FD257}"/>
    <cellStyle name="常规 10 2 4 4 2 4 3" xfId="33520" xr:uid="{D58AB981-6415-445F-855B-6669E8B7F000}"/>
    <cellStyle name="常规 10 2 4 4 2 5" xfId="9829" xr:uid="{D5672C9D-21A3-49A5-9134-DED699535078}"/>
    <cellStyle name="常规 10 2 4 4 2 6" xfId="9830" xr:uid="{BA730581-DAA0-4617-B08D-8D06CC5C75B7}"/>
    <cellStyle name="常规 10 2 4 4 2 7" xfId="9831" xr:uid="{A5D2BF8B-DE3A-419E-A9A3-9C2D4FAA34FB}"/>
    <cellStyle name="常规 10 2 4 4 3" xfId="9832" xr:uid="{5304272F-4D3B-45A8-95F0-3EA27F6A47AD}"/>
    <cellStyle name="常规 10 2 4 4 3 2" xfId="9833" xr:uid="{1DE64AF2-184F-4D24-8CD1-95523EDFBD58}"/>
    <cellStyle name="常规 10 2 4 4 3 3" xfId="9834" xr:uid="{53CCB771-C9DE-4EEC-B7CA-E181D5C5FAC1}"/>
    <cellStyle name="常规 10 2 4 4 4" xfId="9835" xr:uid="{CADA6C2D-C00B-4481-9AA6-B1B1DD622EBA}"/>
    <cellStyle name="常规 10 2 4 4 4 2" xfId="9836" xr:uid="{58DD203D-726B-4FB6-9BB6-E4A8F1DF09A1}"/>
    <cellStyle name="常规 10 2 4 4 5" xfId="9837" xr:uid="{1362F883-4451-4BE7-B5E8-953EDC57D7C5}"/>
    <cellStyle name="常规 10 2 4 4 5 2" xfId="9838" xr:uid="{317A01D4-A4EA-43F1-9D4B-A4780C956194}"/>
    <cellStyle name="常规 10 2 4 4 5 3" xfId="33521" xr:uid="{A94539CB-4C8B-4610-9714-D2868C2E3B18}"/>
    <cellStyle name="常规 10 2 4 4 6" xfId="9839" xr:uid="{DAD2900F-BC3C-4813-938D-68EC1CD3021E}"/>
    <cellStyle name="常规 10 2 4 4 7" xfId="9840" xr:uid="{097E0A37-1E91-4CC7-911C-6B4AC5DF571A}"/>
    <cellStyle name="常规 10 2 4 4 8" xfId="9841" xr:uid="{D887BA15-A396-45DD-9F74-3BFB33FB57F8}"/>
    <cellStyle name="常规 10 2 4 5" xfId="9842" xr:uid="{A238F3AC-6B5E-49F7-9BF3-BD6C78BF7FB9}"/>
    <cellStyle name="常规 10 2 4 5 2" xfId="9843" xr:uid="{37CFB67B-4E2E-4988-8F42-8855864612B8}"/>
    <cellStyle name="常规 10 2 4 5 2 2" xfId="9844" xr:uid="{22316121-1B43-426B-AA7C-46EE76E14646}"/>
    <cellStyle name="常规 10 2 4 5 3" xfId="9845" xr:uid="{CDAAA4DD-E6C7-482F-85D3-775B674ED7A6}"/>
    <cellStyle name="常规 10 2 4 5 4" xfId="9846" xr:uid="{63C499A2-1AA4-415D-A1A7-8A6FED405037}"/>
    <cellStyle name="常规 10 2 4 5 4 2" xfId="33522" xr:uid="{009B7CD4-3B1D-4355-8B34-F3E5CC35F11D}"/>
    <cellStyle name="常规 10 2 4 6" xfId="9847" xr:uid="{5C56B21F-1D9D-43EF-AD04-A87205A33F31}"/>
    <cellStyle name="常规 10 2 4 6 2" xfId="9848" xr:uid="{530BA73B-31A5-4502-B748-2E9B7E2FCE01}"/>
    <cellStyle name="常规 10 2 4 6 2 2" xfId="9849" xr:uid="{5032DB76-2D2F-4F8F-9928-6D7EB7C53986}"/>
    <cellStyle name="常规 10 2 4 6 3" xfId="9850" xr:uid="{F0945766-9065-4E4C-A7D4-009FDCA36EE1}"/>
    <cellStyle name="常规 10 2 4 6 4" xfId="9851" xr:uid="{E95779A9-21B2-4BC2-9BB9-5C4B72C1FCCF}"/>
    <cellStyle name="常规 10 2 4 6 4 2" xfId="33523" xr:uid="{CD236915-73AE-46F6-9AA1-34C9F007F31A}"/>
    <cellStyle name="常规 10 2 4 7" xfId="9852" xr:uid="{1795D677-8E72-4DA9-B9A8-462ECEAE935C}"/>
    <cellStyle name="常规 10 2 4 7 2" xfId="9853" xr:uid="{0811A2BD-38EF-4AC2-982E-3124C96E045B}"/>
    <cellStyle name="常规 10 2 4 8" xfId="9854" xr:uid="{F11FC72F-E5B6-4FD0-9FAE-30440304A546}"/>
    <cellStyle name="常规 10 2 4 9" xfId="9855" xr:uid="{F57E092B-8F65-48E4-825A-C6FAABFE9A3B}"/>
    <cellStyle name="常规 10 2 4 9 2" xfId="33524" xr:uid="{1EA44A65-896F-4FE7-BA06-56B70974FACE}"/>
    <cellStyle name="常规 10 2 5" xfId="9856" xr:uid="{0E2662C3-BBC0-4380-913F-C0A77EF5A281}"/>
    <cellStyle name="常规 10 2 5 10" xfId="9857" xr:uid="{68197B77-8000-4B8D-8605-320BA4E3977B}"/>
    <cellStyle name="常规 10 2 5 2" xfId="9858" xr:uid="{42DC9811-1404-49AF-8E5E-96A7DF534F91}"/>
    <cellStyle name="常规 10 2 5 2 2" xfId="9859" xr:uid="{5345FF58-69C9-485F-A8D1-F24BFD7AAD79}"/>
    <cellStyle name="常规 10 2 5 2 2 2" xfId="9860" xr:uid="{248D23B8-B1A8-4EEB-B3C3-D5049A50082B}"/>
    <cellStyle name="常规 10 2 5 2 2 2 2" xfId="9861" xr:uid="{142AB3A2-39CE-4CA7-98EC-94EA35AF4D67}"/>
    <cellStyle name="常规 10 2 5 2 2 2 2 2" xfId="9862" xr:uid="{D97D4700-E102-414D-9823-426EC6278A2A}"/>
    <cellStyle name="常规 10 2 5 2 2 2 2 3" xfId="9863" xr:uid="{AEF3DDEB-A64C-4254-929C-5D7CC94AAF58}"/>
    <cellStyle name="常规 10 2 5 2 2 2 3" xfId="9864" xr:uid="{DA708149-C1AF-4340-AB2F-5393DA34C408}"/>
    <cellStyle name="常规 10 2 5 2 2 2 3 2" xfId="9865" xr:uid="{2963162B-93CA-43A9-B80A-BB3464F8DD41}"/>
    <cellStyle name="常规 10 2 5 2 2 2 4" xfId="9866" xr:uid="{9A9C4327-ABF7-47F8-AD41-16115F27D8CA}"/>
    <cellStyle name="常规 10 2 5 2 2 2 4 2" xfId="9867" xr:uid="{38356FBE-5AB5-466C-AAD9-1F136F2784BD}"/>
    <cellStyle name="常规 10 2 5 2 2 2 4 3" xfId="33525" xr:uid="{F845976F-0D68-4B9F-8DFD-CB23BBBC4E15}"/>
    <cellStyle name="常规 10 2 5 2 2 2 5" xfId="9868" xr:uid="{5F05AB8B-5B71-48A1-BB6E-EF91DE2D3994}"/>
    <cellStyle name="常规 10 2 5 2 2 2 6" xfId="9869" xr:uid="{29B5D150-C5A2-4E41-9E73-A202A0177F2A}"/>
    <cellStyle name="常规 10 2 5 2 2 2 7" xfId="9870" xr:uid="{19E21732-E8D5-42B2-9B40-FD7D1C19EA4B}"/>
    <cellStyle name="常规 10 2 5 2 2 3" xfId="9871" xr:uid="{3048577F-013E-4D02-9F2D-CB2949CB61F6}"/>
    <cellStyle name="常规 10 2 5 2 2 3 2" xfId="9872" xr:uid="{C47F9183-973D-491C-B0DE-C9D789488C0F}"/>
    <cellStyle name="常规 10 2 5 2 2 3 3" xfId="9873" xr:uid="{7834C160-5864-4573-9B68-9ACCD22CF680}"/>
    <cellStyle name="常规 10 2 5 2 2 4" xfId="9874" xr:uid="{8AB8550A-AE8C-43C7-BE3B-4D48F82A48DA}"/>
    <cellStyle name="常规 10 2 5 2 2 4 2" xfId="9875" xr:uid="{CBACB807-BDC9-4086-A7FA-EC6938DBB932}"/>
    <cellStyle name="常规 10 2 5 2 2 5" xfId="9876" xr:uid="{F812F09C-B476-4937-A283-7741ABA4D19C}"/>
    <cellStyle name="常规 10 2 5 2 2 5 2" xfId="9877" xr:uid="{1F344B7C-1584-4BB3-B3FC-80385796393A}"/>
    <cellStyle name="常规 10 2 5 2 2 5 3" xfId="33526" xr:uid="{FAA2B937-5FFB-4AC0-BE22-BE7D32AC9921}"/>
    <cellStyle name="常规 10 2 5 2 2 6" xfId="9878" xr:uid="{F44C4602-4B56-4DB9-AD13-BBD927E75BBD}"/>
    <cellStyle name="常规 10 2 5 2 2 7" xfId="9879" xr:uid="{9253C771-87AD-410A-9EFE-6F506638E94A}"/>
    <cellStyle name="常规 10 2 5 2 2 8" xfId="9880" xr:uid="{FF683DCB-FBDA-4223-BC8F-98C1D8DCA00C}"/>
    <cellStyle name="常规 10 2 5 2 3" xfId="9881" xr:uid="{3C3A05AD-DA49-4337-8010-9E28AF3CFF33}"/>
    <cellStyle name="常规 10 2 5 2 3 2" xfId="9882" xr:uid="{895CFC9F-4F0B-48AB-A2B1-E5A1FC7E5B12}"/>
    <cellStyle name="常规 10 2 5 2 3 2 2" xfId="9883" xr:uid="{1F94CB3B-132A-4274-9CE5-7CC83E19DE51}"/>
    <cellStyle name="常规 10 2 5 2 3 2 3" xfId="9884" xr:uid="{4759291F-691F-4235-A95C-9F6893A44F43}"/>
    <cellStyle name="常规 10 2 5 2 3 3" xfId="9885" xr:uid="{6E782B56-861C-4EB6-A0DB-F79928A74AFC}"/>
    <cellStyle name="常规 10 2 5 2 3 3 2" xfId="9886" xr:uid="{7F2C4F13-1016-45AC-8563-259220EDD5CD}"/>
    <cellStyle name="常规 10 2 5 2 3 4" xfId="9887" xr:uid="{A3F545E0-E5FF-45FC-BECC-61A2134518FE}"/>
    <cellStyle name="常规 10 2 5 2 3 4 2" xfId="9888" xr:uid="{082061B0-7C14-44C7-9223-165668FF328C}"/>
    <cellStyle name="常规 10 2 5 2 3 4 3" xfId="33527" xr:uid="{54DFFEDF-77EA-49AE-B11D-5C11EEE8D060}"/>
    <cellStyle name="常规 10 2 5 2 3 5" xfId="9889" xr:uid="{2D5D471A-11B9-43CA-87E4-E60670B930E9}"/>
    <cellStyle name="常规 10 2 5 2 3 6" xfId="9890" xr:uid="{19A75299-EA62-4A3E-B35E-B8ED1735D818}"/>
    <cellStyle name="常规 10 2 5 2 3 7" xfId="9891" xr:uid="{1B65537F-FD78-4C2B-90B0-B4AEF529F673}"/>
    <cellStyle name="常规 10 2 5 2 4" xfId="9892" xr:uid="{C478FB71-2C83-4A4E-A016-9BDA536AEF7A}"/>
    <cellStyle name="常规 10 2 5 2 4 2" xfId="9893" xr:uid="{D547A21C-0AA9-4CD3-B75C-E4D5B6F071AE}"/>
    <cellStyle name="常规 10 2 5 2 4 3" xfId="9894" xr:uid="{C2DBA038-7935-46B4-8E2C-EAF4E659B2B4}"/>
    <cellStyle name="常规 10 2 5 2 5" xfId="9895" xr:uid="{7E9AD9B6-ABDD-4570-8F19-3828FEFD8AD4}"/>
    <cellStyle name="常规 10 2 5 2 5 2" xfId="9896" xr:uid="{A4E754F1-D05D-4F24-9F33-190841CB909A}"/>
    <cellStyle name="常规 10 2 5 2 6" xfId="9897" xr:uid="{DF336362-A1CD-464D-8B7A-BF69D1FF4E4F}"/>
    <cellStyle name="常规 10 2 5 2 6 2" xfId="9898" xr:uid="{C523644A-3038-45F7-89BB-90CA20C661C5}"/>
    <cellStyle name="常规 10 2 5 2 6 3" xfId="33528" xr:uid="{7C5A6680-718E-434B-B257-D8B8BB0DDAF4}"/>
    <cellStyle name="常规 10 2 5 2 7" xfId="9899" xr:uid="{DE9850A9-4530-4044-817B-AE45D49594DA}"/>
    <cellStyle name="常规 10 2 5 2 8" xfId="9900" xr:uid="{B06310E9-99A4-44F7-8623-58A45DF125C2}"/>
    <cellStyle name="常规 10 2 5 2 9" xfId="9901" xr:uid="{1D600214-54F4-47CC-BDF3-FD0806C6E82C}"/>
    <cellStyle name="常规 10 2 5 3" xfId="9902" xr:uid="{9D47A388-A5A1-451A-BFDA-1950DD8CFAF2}"/>
    <cellStyle name="常规 10 2 5 3 2" xfId="9903" xr:uid="{03237EE4-29B2-4634-8AE0-AAEB9502F100}"/>
    <cellStyle name="常规 10 2 5 3 2 2" xfId="9904" xr:uid="{06F1D022-2127-4650-91A9-2D2F9AD0C6C8}"/>
    <cellStyle name="常规 10 2 5 3 2 2 2" xfId="9905" xr:uid="{5643EC52-D375-4B0D-807E-AB4B6890352E}"/>
    <cellStyle name="常规 10 2 5 3 2 2 3" xfId="9906" xr:uid="{B9AACF09-FC69-4C9C-9095-CE3D110BE16A}"/>
    <cellStyle name="常规 10 2 5 3 2 3" xfId="9907" xr:uid="{BB08C5F1-765E-49A0-A03E-F1F6F6B61D23}"/>
    <cellStyle name="常规 10 2 5 3 2 3 2" xfId="9908" xr:uid="{C0209582-45DF-4805-802C-6657B0C04F43}"/>
    <cellStyle name="常规 10 2 5 3 2 4" xfId="9909" xr:uid="{03C66D93-F4EF-48DB-A62C-B22A5614FEF9}"/>
    <cellStyle name="常规 10 2 5 3 2 4 2" xfId="9910" xr:uid="{4DB3509C-70A5-409B-A16D-C69B67491D33}"/>
    <cellStyle name="常规 10 2 5 3 2 4 3" xfId="33529" xr:uid="{90F9F705-521D-4676-AFD2-99CFF04B62DF}"/>
    <cellStyle name="常规 10 2 5 3 2 5" xfId="9911" xr:uid="{D09A6C80-AB30-45F4-B66D-DF132C70C13B}"/>
    <cellStyle name="常规 10 2 5 3 2 6" xfId="9912" xr:uid="{03A16276-944F-409F-967F-E7EE40961D00}"/>
    <cellStyle name="常规 10 2 5 3 2 7" xfId="9913" xr:uid="{9DEF97DB-75F8-44B2-A1AB-21AB775FBBB0}"/>
    <cellStyle name="常规 10 2 5 3 3" xfId="9914" xr:uid="{0DF014BB-E7F6-4954-A202-B92058292E25}"/>
    <cellStyle name="常规 10 2 5 3 3 2" xfId="9915" xr:uid="{4D4B642F-6636-4093-B47A-75ED0A734E46}"/>
    <cellStyle name="常规 10 2 5 3 3 3" xfId="9916" xr:uid="{2D74096C-9B4A-4ACB-80E5-300A14CEA636}"/>
    <cellStyle name="常规 10 2 5 3 4" xfId="9917" xr:uid="{71CD8A69-EEB5-45C1-83BD-5D861640F5F4}"/>
    <cellStyle name="常规 10 2 5 3 4 2" xfId="9918" xr:uid="{A269AE93-F1D3-4D67-AC63-FFB2C7EE0116}"/>
    <cellStyle name="常规 10 2 5 3 5" xfId="9919" xr:uid="{F7DC07DF-7CBB-433A-B85A-EAA530FD439F}"/>
    <cellStyle name="常规 10 2 5 3 5 2" xfId="9920" xr:uid="{03599F47-2F02-48CA-B1FB-4F24EDD2FE4A}"/>
    <cellStyle name="常规 10 2 5 3 5 3" xfId="33530" xr:uid="{3E493161-F5D9-4E51-9723-A2DE86402B1E}"/>
    <cellStyle name="常规 10 2 5 3 6" xfId="9921" xr:uid="{0B602026-D1EE-441A-A9A4-91C73E72A6F1}"/>
    <cellStyle name="常规 10 2 5 3 7" xfId="9922" xr:uid="{CAA873C3-8A43-43E8-84B6-E98AE5073EE5}"/>
    <cellStyle name="常规 10 2 5 3 8" xfId="9923" xr:uid="{6DFB80C6-B46D-4D03-B0FE-A4F0B010D7BC}"/>
    <cellStyle name="常规 10 2 5 4" xfId="9924" xr:uid="{656331BF-0AF4-45D7-9EDB-10D9F3ED6791}"/>
    <cellStyle name="常规 10 2 5 4 2" xfId="9925" xr:uid="{2E37BE91-570A-4D12-955E-88CEDCD4283C}"/>
    <cellStyle name="常规 10 2 5 4 2 2" xfId="9926" xr:uid="{156487DC-D344-4EA0-A6C0-627E04264387}"/>
    <cellStyle name="常规 10 2 5 4 2 3" xfId="9927" xr:uid="{B0DDAF2E-2E3D-469E-8728-91878448FD98}"/>
    <cellStyle name="常规 10 2 5 4 3" xfId="9928" xr:uid="{F390BDD0-A9BE-4BEB-90FA-266A7FA01E28}"/>
    <cellStyle name="常规 10 2 5 4 3 2" xfId="9929" xr:uid="{123166A0-B40B-4998-843D-25EEB6490EC6}"/>
    <cellStyle name="常规 10 2 5 4 4" xfId="9930" xr:uid="{E3FD2B18-D5FE-4283-ACB8-64DBCDC30370}"/>
    <cellStyle name="常规 10 2 5 4 4 2" xfId="9931" xr:uid="{1EA086FE-F8F5-4664-ACA0-143A264E79E4}"/>
    <cellStyle name="常规 10 2 5 4 4 3" xfId="33531" xr:uid="{DDDC6A31-0DBF-4F0C-A0C0-77A7C3FF9A97}"/>
    <cellStyle name="常规 10 2 5 4 5" xfId="9932" xr:uid="{2AFE1F44-91E4-4E63-A4CA-E107E5EFCFEA}"/>
    <cellStyle name="常规 10 2 5 4 6" xfId="9933" xr:uid="{35E432DF-F241-4D6D-B831-D18FB1FB9875}"/>
    <cellStyle name="常规 10 2 5 4 7" xfId="9934" xr:uid="{8A470BAA-BF16-46E1-8E65-9B48BF22A77C}"/>
    <cellStyle name="常规 10 2 5 5" xfId="9935" xr:uid="{C64E1560-D355-4E31-ADB6-097C97ED474C}"/>
    <cellStyle name="常规 10 2 5 5 2" xfId="9936" xr:uid="{4B0B6C19-4395-4995-AF03-6873918F26C3}"/>
    <cellStyle name="常规 10 2 5 5 3" xfId="9937" xr:uid="{24440E28-46CB-461D-AEB0-0535FCEE9E7F}"/>
    <cellStyle name="常规 10 2 5 6" xfId="9938" xr:uid="{902C7177-52F8-46C2-BB90-DA7A7EB0C838}"/>
    <cellStyle name="常规 10 2 5 6 2" xfId="9939" xr:uid="{303A1BEC-C572-4588-9896-F737FEF4A76E}"/>
    <cellStyle name="常规 10 2 5 7" xfId="9940" xr:uid="{F21B7943-36EB-4FE7-9FF4-73EAA4E3E248}"/>
    <cellStyle name="常规 10 2 5 7 2" xfId="9941" xr:uid="{857FA071-8CEC-41C9-919A-2A62BA2FB846}"/>
    <cellStyle name="常规 10 2 5 7 3" xfId="33532" xr:uid="{E9511AF8-1025-498C-94D8-BED3FD5865EF}"/>
    <cellStyle name="常规 10 2 5 8" xfId="9942" xr:uid="{D6215AA0-993D-4224-AA76-B18FCC966A79}"/>
    <cellStyle name="常规 10 2 5 9" xfId="9943" xr:uid="{6E3AF87E-653D-4D54-A992-6B6DEA94687C}"/>
    <cellStyle name="常规 10 2 6" xfId="9944" xr:uid="{2974CB37-4856-49F5-9932-5684007736F8}"/>
    <cellStyle name="常规 10 2 6 10" xfId="9945" xr:uid="{9B216970-39D5-4048-9EE4-9104F5AE316D}"/>
    <cellStyle name="常规 10 2 6 2" xfId="9946" xr:uid="{F0199BC3-4C89-43EA-AFA8-8CAB0B59874D}"/>
    <cellStyle name="常规 10 2 6 2 2" xfId="9947" xr:uid="{8120A4A4-4A07-41D3-B3FB-C9FE6AAB28B1}"/>
    <cellStyle name="常规 10 2 6 2 2 2" xfId="9948" xr:uid="{BC948F2D-07C8-4CD6-9A97-C17D8AE140B4}"/>
    <cellStyle name="常规 10 2 6 2 2 2 2" xfId="9949" xr:uid="{B0519E8D-0403-43B0-B8F1-BFE2BB0FD626}"/>
    <cellStyle name="常规 10 2 6 2 2 2 2 2" xfId="9950" xr:uid="{9E575BA3-9231-4990-8609-4E1B395D7FF3}"/>
    <cellStyle name="常规 10 2 6 2 2 2 2 3" xfId="9951" xr:uid="{699A6648-F19F-4B8A-AB04-39F189815C72}"/>
    <cellStyle name="常规 10 2 6 2 2 2 3" xfId="9952" xr:uid="{A7B23D79-E8E4-42D9-AC36-3416ABEF9046}"/>
    <cellStyle name="常规 10 2 6 2 2 2 3 2" xfId="9953" xr:uid="{A3AB7B79-7B1A-4800-9510-027E4F48B385}"/>
    <cellStyle name="常规 10 2 6 2 2 2 4" xfId="9954" xr:uid="{82229BC6-902F-49B1-9409-763AAC15E85F}"/>
    <cellStyle name="常规 10 2 6 2 2 2 4 2" xfId="9955" xr:uid="{B5A27176-5C62-4798-A66C-E96DAE0591D3}"/>
    <cellStyle name="常规 10 2 6 2 2 2 4 3" xfId="33533" xr:uid="{6EDD01B6-01DD-4510-8086-6DDBD7904DC6}"/>
    <cellStyle name="常规 10 2 6 2 2 2 5" xfId="9956" xr:uid="{71DF7C70-D96B-463F-8CAA-67D7FD232FF2}"/>
    <cellStyle name="常规 10 2 6 2 2 2 6" xfId="9957" xr:uid="{0CBC1F98-499C-4A54-8E86-F6007C642D30}"/>
    <cellStyle name="常规 10 2 6 2 2 2 7" xfId="9958" xr:uid="{9578CCF4-D5F0-4080-BEF6-C2F488C9FB67}"/>
    <cellStyle name="常规 10 2 6 2 2 3" xfId="9959" xr:uid="{DB5F80BB-0EB8-4C2A-B2F1-3CC15E0D43A1}"/>
    <cellStyle name="常规 10 2 6 2 2 3 2" xfId="9960" xr:uid="{B6236CB1-F4A1-459D-AA10-0E8FECF45769}"/>
    <cellStyle name="常规 10 2 6 2 2 3 3" xfId="9961" xr:uid="{EF29A685-68EC-43BF-AA31-12A8CFD55C6D}"/>
    <cellStyle name="常规 10 2 6 2 2 4" xfId="9962" xr:uid="{BB598737-488D-4B8D-B805-DA8E58008031}"/>
    <cellStyle name="常规 10 2 6 2 2 4 2" xfId="9963" xr:uid="{E9E304D5-9779-4B28-A015-E912FD48B3CF}"/>
    <cellStyle name="常规 10 2 6 2 2 5" xfId="9964" xr:uid="{F73C15D2-BA3D-4CC0-905D-710EF8B8C5CA}"/>
    <cellStyle name="常规 10 2 6 2 2 5 2" xfId="9965" xr:uid="{43A50663-2738-4CD9-85C8-7E6AD998320B}"/>
    <cellStyle name="常规 10 2 6 2 2 5 3" xfId="33534" xr:uid="{C1B9ADF2-5E81-40BE-A658-8A2D2B348D90}"/>
    <cellStyle name="常规 10 2 6 2 2 6" xfId="9966" xr:uid="{BD4BF978-583C-4605-BEDD-750EF3059572}"/>
    <cellStyle name="常规 10 2 6 2 2 7" xfId="9967" xr:uid="{B31778E8-01D6-43C6-BF07-4C379E3DFB42}"/>
    <cellStyle name="常规 10 2 6 2 2 8" xfId="9968" xr:uid="{FB90E70E-51D4-4AB8-A321-3E4464CC9C95}"/>
    <cellStyle name="常规 10 2 6 2 3" xfId="9969" xr:uid="{19C025CB-E2C9-485D-AE0B-205AC6EF0E4A}"/>
    <cellStyle name="常规 10 2 6 2 3 2" xfId="9970" xr:uid="{F255A1C5-5E68-4164-A9DA-58CB61833756}"/>
    <cellStyle name="常规 10 2 6 2 3 2 2" xfId="9971" xr:uid="{71536CBD-D2C9-42BF-AC93-AB4BA304BF15}"/>
    <cellStyle name="常规 10 2 6 2 3 2 3" xfId="9972" xr:uid="{A6A3A2DD-31DF-4877-8213-EAB165771748}"/>
    <cellStyle name="常规 10 2 6 2 3 3" xfId="9973" xr:uid="{A0F543D3-B7C9-4C78-84D4-69B29FAFB38F}"/>
    <cellStyle name="常规 10 2 6 2 3 3 2" xfId="9974" xr:uid="{F9A7ABF5-B156-44B7-9FA3-064A331AFCF0}"/>
    <cellStyle name="常规 10 2 6 2 3 4" xfId="9975" xr:uid="{C595E0B6-B85B-4983-B240-E9576B025BFB}"/>
    <cellStyle name="常规 10 2 6 2 3 4 2" xfId="9976" xr:uid="{9EBAE444-A978-4807-832B-3B421E6C2BBE}"/>
    <cellStyle name="常规 10 2 6 2 3 4 3" xfId="33535" xr:uid="{EA56B01E-4C88-47CF-BE89-A973AD21E19C}"/>
    <cellStyle name="常规 10 2 6 2 3 5" xfId="9977" xr:uid="{98B8707C-ADCB-42CE-B593-69DC0AA7110F}"/>
    <cellStyle name="常规 10 2 6 2 3 6" xfId="9978" xr:uid="{24A9938E-71ED-45BE-8A2B-FA75DFA6AE39}"/>
    <cellStyle name="常规 10 2 6 2 3 7" xfId="9979" xr:uid="{12710E97-B6E2-4D01-B910-6941DD9093BA}"/>
    <cellStyle name="常规 10 2 6 2 4" xfId="9980" xr:uid="{25A241A7-BAF1-4DCD-B84F-F653AA54DA66}"/>
    <cellStyle name="常规 10 2 6 2 4 2" xfId="9981" xr:uid="{AF4D69DA-D522-4BA4-BC59-6E95E47619C7}"/>
    <cellStyle name="常规 10 2 6 2 4 3" xfId="9982" xr:uid="{DCBB9C3D-6D89-4825-B784-C706A183F5E7}"/>
    <cellStyle name="常规 10 2 6 2 5" xfId="9983" xr:uid="{8581753F-4771-48FD-A56B-9AB6EF98540A}"/>
    <cellStyle name="常规 10 2 6 2 5 2" xfId="9984" xr:uid="{41AEC60D-9869-4194-89B0-D9380081DCF3}"/>
    <cellStyle name="常规 10 2 6 2 6" xfId="9985" xr:uid="{129FFEEB-3D38-4893-9676-255BBF6594A4}"/>
    <cellStyle name="常规 10 2 6 2 6 2" xfId="9986" xr:uid="{DEAF6272-0127-4BF1-83F8-B27D533CA242}"/>
    <cellStyle name="常规 10 2 6 2 6 3" xfId="33536" xr:uid="{01B63377-45D3-4522-B4B8-0A3C01DE6E62}"/>
    <cellStyle name="常规 10 2 6 2 7" xfId="9987" xr:uid="{9B3A5311-1A0F-4F0C-8249-64168C73B21C}"/>
    <cellStyle name="常规 10 2 6 2 8" xfId="9988" xr:uid="{723390FF-C560-458F-B729-9C92EDDE2875}"/>
    <cellStyle name="常规 10 2 6 2 9" xfId="9989" xr:uid="{A1F371FB-8293-4ED4-9AC8-CE167F28A630}"/>
    <cellStyle name="常规 10 2 6 3" xfId="9990" xr:uid="{CBC95090-8F7E-4679-BDAC-75B1201D6193}"/>
    <cellStyle name="常规 10 2 6 3 2" xfId="9991" xr:uid="{0EB32517-2A53-4D29-99EB-2F3267F75FBC}"/>
    <cellStyle name="常规 10 2 6 3 2 2" xfId="9992" xr:uid="{13AD548B-3B8B-4BEA-9FCC-DC264FAE6160}"/>
    <cellStyle name="常规 10 2 6 3 2 2 2" xfId="9993" xr:uid="{95E6A9A2-548C-4D9F-B989-C0BFC6407A42}"/>
    <cellStyle name="常规 10 2 6 3 2 2 3" xfId="9994" xr:uid="{ED5A546E-1E87-4E1A-9ECA-954F4A2687D7}"/>
    <cellStyle name="常规 10 2 6 3 2 3" xfId="9995" xr:uid="{5826C4C8-11B9-4A5F-B123-27561AAD1614}"/>
    <cellStyle name="常规 10 2 6 3 2 3 2" xfId="9996" xr:uid="{23EFE876-C5FF-42AA-9BEC-C0E3B57C5D3D}"/>
    <cellStyle name="常规 10 2 6 3 2 4" xfId="9997" xr:uid="{7AF1539F-B0DA-4302-86B7-0D83C8A53B49}"/>
    <cellStyle name="常规 10 2 6 3 2 4 2" xfId="9998" xr:uid="{84BC9779-8055-4E35-89BA-6193B9602CE2}"/>
    <cellStyle name="常规 10 2 6 3 2 4 3" xfId="33537" xr:uid="{1BE530B1-7464-4CD3-9B45-D9347298C133}"/>
    <cellStyle name="常规 10 2 6 3 2 5" xfId="9999" xr:uid="{33B5356D-5E60-487D-A834-C25C02E3AE64}"/>
    <cellStyle name="常规 10 2 6 3 2 6" xfId="10000" xr:uid="{8E18B3C6-778E-4618-84D0-B0EEFC9DCCCE}"/>
    <cellStyle name="常规 10 2 6 3 2 7" xfId="10001" xr:uid="{6CE68BAD-78DA-4F17-B40E-FC18192C6D34}"/>
    <cellStyle name="常规 10 2 6 3 3" xfId="10002" xr:uid="{FFE3A765-8B08-400B-AF39-0F971DEAE677}"/>
    <cellStyle name="常规 10 2 6 3 3 2" xfId="10003" xr:uid="{CF22C44C-F30C-4746-9BD5-53CA276810EE}"/>
    <cellStyle name="常规 10 2 6 3 3 3" xfId="10004" xr:uid="{EF54AB04-B5A8-4F9B-8062-D5EC7944D6D8}"/>
    <cellStyle name="常规 10 2 6 3 4" xfId="10005" xr:uid="{0149C6F1-3DF5-47DF-BE55-F04F39608206}"/>
    <cellStyle name="常规 10 2 6 3 4 2" xfId="10006" xr:uid="{535CE25E-C7FE-45BE-8692-01D3BC66048C}"/>
    <cellStyle name="常规 10 2 6 3 5" xfId="10007" xr:uid="{B5131E2F-2DED-4D99-AE56-CF26E861BFF9}"/>
    <cellStyle name="常规 10 2 6 3 5 2" xfId="10008" xr:uid="{6F975E1A-BA62-42BF-9CE1-C49F75928A2E}"/>
    <cellStyle name="常规 10 2 6 3 5 3" xfId="33538" xr:uid="{73394D11-D736-4457-839E-8BDA639F0DFA}"/>
    <cellStyle name="常规 10 2 6 3 6" xfId="10009" xr:uid="{42540A79-ADDC-4137-8857-53791115F3B9}"/>
    <cellStyle name="常规 10 2 6 3 7" xfId="10010" xr:uid="{8F55205A-5819-4905-BD37-DEB3E9C796C8}"/>
    <cellStyle name="常规 10 2 6 3 8" xfId="10011" xr:uid="{3CEA3F49-A5D1-43D6-8915-E7D386DE1BA6}"/>
    <cellStyle name="常规 10 2 6 4" xfId="10012" xr:uid="{A3CE391B-F055-4FC0-AE69-72FC4A243DBD}"/>
    <cellStyle name="常规 10 2 6 4 2" xfId="10013" xr:uid="{1EB233CE-008A-494B-BE8E-D8361C68E45B}"/>
    <cellStyle name="常规 10 2 6 4 2 2" xfId="10014" xr:uid="{49588E87-8BB7-41D1-931A-B3A3A77437F7}"/>
    <cellStyle name="常规 10 2 6 4 2 3" xfId="10015" xr:uid="{73CE865D-BAD8-498A-A530-1797030F1406}"/>
    <cellStyle name="常规 10 2 6 4 3" xfId="10016" xr:uid="{92721424-6C5E-478D-9B7D-E9A9A1D663FD}"/>
    <cellStyle name="常规 10 2 6 4 3 2" xfId="10017" xr:uid="{D8C63B8E-4A7C-415D-BC69-6132D77E6396}"/>
    <cellStyle name="常规 10 2 6 4 4" xfId="10018" xr:uid="{97E2AED3-4509-4767-A7FA-DF93602EB72F}"/>
    <cellStyle name="常规 10 2 6 4 4 2" xfId="10019" xr:uid="{37C5507E-397B-42E1-B9D4-6CE320F57873}"/>
    <cellStyle name="常规 10 2 6 4 4 3" xfId="33539" xr:uid="{A4044490-0A91-4697-AE4D-19368D8E3C9C}"/>
    <cellStyle name="常规 10 2 6 4 5" xfId="10020" xr:uid="{6294C6C7-A758-4E6B-82D6-9D54C6C5F6C0}"/>
    <cellStyle name="常规 10 2 6 4 6" xfId="10021" xr:uid="{22F0D87D-C19F-43BC-BF54-DB7D59C77953}"/>
    <cellStyle name="常规 10 2 6 4 7" xfId="10022" xr:uid="{6F824D96-7CB7-4D53-AC8A-B647F65A11D6}"/>
    <cellStyle name="常规 10 2 6 5" xfId="10023" xr:uid="{48BAC936-19E8-4EF3-AC52-8BF20C1D5043}"/>
    <cellStyle name="常规 10 2 6 5 2" xfId="10024" xr:uid="{8BCA35ED-963F-4FF1-ABBF-3AE9B606AFD1}"/>
    <cellStyle name="常规 10 2 6 5 3" xfId="10025" xr:uid="{7B8EFC6A-8504-4206-8933-3B51BE1CF105}"/>
    <cellStyle name="常规 10 2 6 6" xfId="10026" xr:uid="{59C2FE3F-D9E0-4F1A-91A6-0C7EDCB3BF4A}"/>
    <cellStyle name="常规 10 2 6 6 2" xfId="10027" xr:uid="{DF273275-3653-44FD-8747-7026473035F6}"/>
    <cellStyle name="常规 10 2 6 7" xfId="10028" xr:uid="{8912EAF8-9B2B-459E-A38A-1C698B540D01}"/>
    <cellStyle name="常规 10 2 6 7 2" xfId="10029" xr:uid="{55E7A9E0-B730-4CC5-9893-B9E4C046F451}"/>
    <cellStyle name="常规 10 2 6 7 3" xfId="33540" xr:uid="{932C1E43-33D2-4E56-A667-8180CEC143E8}"/>
    <cellStyle name="常规 10 2 6 8" xfId="10030" xr:uid="{DE191D81-8323-4B06-97CE-7709FE9E64B5}"/>
    <cellStyle name="常规 10 2 6 9" xfId="10031" xr:uid="{4E0723C2-F562-4AE3-82EB-208C79370AD7}"/>
    <cellStyle name="常规 10 2 7" xfId="10032" xr:uid="{5BFD8918-B6F8-4F7C-AD56-788D646487E4}"/>
    <cellStyle name="常规 10 2 7 2" xfId="10033" xr:uid="{ED2205EB-970C-4D12-92A9-F472510DE0F7}"/>
    <cellStyle name="常规 10 2 7 2 2" xfId="10034" xr:uid="{12595EE3-B40C-4472-B4FF-0747441B5E53}"/>
    <cellStyle name="常规 10 2 7 2 2 2" xfId="10035" xr:uid="{BE05A590-88B2-4252-AF75-441B736FE592}"/>
    <cellStyle name="常规 10 2 7 2 2 2 2" xfId="10036" xr:uid="{68C4930E-8DC9-4679-8980-F34618A9B52F}"/>
    <cellStyle name="常规 10 2 7 2 2 2 2 2" xfId="10037" xr:uid="{0372E92F-41F3-41E7-8124-44C5A8B1C5D5}"/>
    <cellStyle name="常规 10 2 7 2 2 2 3" xfId="10038" xr:uid="{E5B5D44D-DD4E-4297-9E4B-2081121DE947}"/>
    <cellStyle name="常规 10 2 7 2 2 2 4" xfId="10039" xr:uid="{DC655231-7036-4F1A-87F2-4BFE7283C3B9}"/>
    <cellStyle name="常规 10 2 7 2 2 2 4 2" xfId="33541" xr:uid="{10E6193F-B5C2-4515-90FC-EC0BF2F5BC16}"/>
    <cellStyle name="常规 10 2 7 2 2 2 5" xfId="10040" xr:uid="{F8BA6073-6DB3-4882-962A-74EB621390F6}"/>
    <cellStyle name="常规 10 2 7 2 2 3" xfId="10041" xr:uid="{347E270E-8A33-4A80-8703-CE895DFA4953}"/>
    <cellStyle name="常规 10 2 7 2 2 3 2" xfId="10042" xr:uid="{F5CE4B6B-3346-431D-80A8-FA08396E016F}"/>
    <cellStyle name="常规 10 2 7 2 2 3 3" xfId="10043" xr:uid="{2488092D-70DB-4378-9B0B-991B8D590205}"/>
    <cellStyle name="常规 10 2 7 2 2 4" xfId="10044" xr:uid="{8605B6E0-D756-4D68-AEA3-CCE0A6B31BF2}"/>
    <cellStyle name="常规 10 2 7 2 2 4 2" xfId="10045" xr:uid="{591B1BBC-E0F8-4F88-AA4A-5625402AAA9F}"/>
    <cellStyle name="常规 10 2 7 2 2 5" xfId="10046" xr:uid="{18E88038-71ED-4C3A-8609-AEFAF7E5049B}"/>
    <cellStyle name="常规 10 2 7 2 2 5 2" xfId="10047" xr:uid="{009EE49C-DF98-4BCE-93DD-D462E11534F9}"/>
    <cellStyle name="常规 10 2 7 2 2 5 3" xfId="33542" xr:uid="{4787A28A-B175-4D79-9897-BD958E1AEC1E}"/>
    <cellStyle name="常规 10 2 7 2 2 6" xfId="10048" xr:uid="{1F91D587-D0B9-420B-917F-9FDBE08096BB}"/>
    <cellStyle name="常规 10 2 7 2 2 7" xfId="10049" xr:uid="{24FE214A-D43D-42C1-A231-5CED2CF6EDD3}"/>
    <cellStyle name="常规 10 2 7 2 3" xfId="10050" xr:uid="{E17DA144-E06F-4F50-8CEC-EAD066875A6C}"/>
    <cellStyle name="常规 10 2 7 2 3 2" xfId="10051" xr:uid="{2B08EA94-E685-4C82-BB28-AE69AE7557D3}"/>
    <cellStyle name="常规 10 2 7 2 3 2 2" xfId="10052" xr:uid="{18CB0121-9941-47B3-821D-7F451DCD167D}"/>
    <cellStyle name="常规 10 2 7 2 3 3" xfId="10053" xr:uid="{C624DD14-ECCB-42FE-814B-44EE79E7B433}"/>
    <cellStyle name="常规 10 2 7 2 3 4" xfId="10054" xr:uid="{86353B51-681F-434A-9CDB-94F66069EFFF}"/>
    <cellStyle name="常规 10 2 7 2 3 4 2" xfId="33543" xr:uid="{EA011AED-2FE1-45F5-AFA0-2D07E2B95A95}"/>
    <cellStyle name="常规 10 2 7 2 3 5" xfId="10055" xr:uid="{3B214112-CF9D-4346-B453-BEF4489B0239}"/>
    <cellStyle name="常规 10 2 7 2 4" xfId="10056" xr:uid="{B73B98CD-D03B-4309-AECF-1891E1968588}"/>
    <cellStyle name="常规 10 2 7 2 4 2" xfId="10057" xr:uid="{4E1E3B98-19A5-4253-AB81-F4A71FBA2314}"/>
    <cellStyle name="常规 10 2 7 2 4 3" xfId="10058" xr:uid="{23766D60-533B-463F-9457-C96A6C0AD27B}"/>
    <cellStyle name="常规 10 2 7 2 5" xfId="10059" xr:uid="{C5543BE0-DF8B-4803-9F00-A505D2E32FE6}"/>
    <cellStyle name="常规 10 2 7 2 5 2" xfId="10060" xr:uid="{9883AD47-D3B9-4956-B7FB-620F28F66AEE}"/>
    <cellStyle name="常规 10 2 7 2 6" xfId="10061" xr:uid="{CD05D7DF-05D2-4C6B-BD96-17FB7DC4FDFD}"/>
    <cellStyle name="常规 10 2 7 2 6 2" xfId="10062" xr:uid="{5FEE2BA5-D957-495A-B4B5-93BCAD81737A}"/>
    <cellStyle name="常规 10 2 7 2 6 3" xfId="33544" xr:uid="{CE8B0F8A-831E-4141-A2B5-588DACC7D267}"/>
    <cellStyle name="常规 10 2 7 2 7" xfId="10063" xr:uid="{F09EE851-A089-4691-8D4C-BB6193E5EA6E}"/>
    <cellStyle name="常规 10 2 7 2 8" xfId="10064" xr:uid="{72F31DB6-EC6A-49E1-A168-CEFB7D677056}"/>
    <cellStyle name="常规 10 2 7 3" xfId="10065" xr:uid="{4A23C738-6C14-467B-9E09-936D2EA499C9}"/>
    <cellStyle name="常规 10 2 7 3 2" xfId="10066" xr:uid="{AF15E0BF-0B41-4405-A84A-EB495E4784B5}"/>
    <cellStyle name="常规 10 2 7 3 2 2" xfId="10067" xr:uid="{6ECC93A9-FC3D-4792-A026-0D47A8AAD6D7}"/>
    <cellStyle name="常规 10 2 7 3 2 2 2" xfId="10068" xr:uid="{C0122420-3FD3-41E2-B843-D428074AAADE}"/>
    <cellStyle name="常规 10 2 7 3 2 3" xfId="10069" xr:uid="{B75CE792-222E-4ED4-9C61-20DBABC5B2B0}"/>
    <cellStyle name="常规 10 2 7 3 2 4" xfId="10070" xr:uid="{98B8E56D-1591-4917-84BC-8D57DB641B5C}"/>
    <cellStyle name="常规 10 2 7 3 2 4 2" xfId="33545" xr:uid="{E677ACB7-F495-4206-9E03-A9AB98968486}"/>
    <cellStyle name="常规 10 2 7 3 2 5" xfId="10071" xr:uid="{A1C6EDED-4B7B-489F-A868-CE43063FFDDD}"/>
    <cellStyle name="常规 10 2 7 3 3" xfId="10072" xr:uid="{6B845F3E-7813-4774-B88B-BEE24B59ADAE}"/>
    <cellStyle name="常规 10 2 7 3 3 2" xfId="10073" xr:uid="{40FA1A13-BF90-4A7D-BA36-A04A365BE0BB}"/>
    <cellStyle name="常规 10 2 7 3 3 3" xfId="10074" xr:uid="{97C283B8-69DB-49AA-ADD2-55C9792F7766}"/>
    <cellStyle name="常规 10 2 7 3 4" xfId="10075" xr:uid="{A0C978D4-617C-4B07-AE1C-7BF249AEF913}"/>
    <cellStyle name="常规 10 2 7 3 4 2" xfId="10076" xr:uid="{DABC66A6-7B1D-4078-93AB-BC0186F799AA}"/>
    <cellStyle name="常规 10 2 7 3 5" xfId="10077" xr:uid="{29C12E60-EB6A-46B1-A1D3-03D2CBF7B9DE}"/>
    <cellStyle name="常规 10 2 7 3 5 2" xfId="10078" xr:uid="{34ADF556-ECF7-4C8A-8944-91B087AC0EDE}"/>
    <cellStyle name="常规 10 2 7 3 5 3" xfId="33546" xr:uid="{8151FEF1-258F-4AEC-BED7-57FB599B9C5A}"/>
    <cellStyle name="常规 10 2 7 3 6" xfId="10079" xr:uid="{00413527-AA0E-4CFA-A5B0-BD86BCF9B9BF}"/>
    <cellStyle name="常规 10 2 7 3 7" xfId="10080" xr:uid="{C16C4F33-8B37-4AF0-9936-98D19A0A38C5}"/>
    <cellStyle name="常规 10 2 7 4" xfId="10081" xr:uid="{B479E2FB-51B0-4D2E-87F9-611FF1CD1624}"/>
    <cellStyle name="常规 10 2 7 4 2" xfId="10082" xr:uid="{1CEF2542-5EE6-4C27-A8F9-0EC1AE62EF4A}"/>
    <cellStyle name="常规 10 2 7 4 2 2" xfId="10083" xr:uid="{BE8A779F-26F3-4A9C-B42E-0CDC58E0171B}"/>
    <cellStyle name="常规 10 2 7 4 3" xfId="10084" xr:uid="{F6BB2F39-72F4-4D62-9B23-4B888E8B463F}"/>
    <cellStyle name="常规 10 2 7 4 4" xfId="10085" xr:uid="{E3FD239A-587C-426A-9131-9DCC5788451A}"/>
    <cellStyle name="常规 10 2 7 4 4 2" xfId="33547" xr:uid="{60409029-FD61-4960-B7A8-48E246473B6C}"/>
    <cellStyle name="常规 10 2 7 4 5" xfId="10086" xr:uid="{FCF3CAED-C300-4269-96F5-59B6B0FB9188}"/>
    <cellStyle name="常规 10 2 7 5" xfId="10087" xr:uid="{3AD6D88E-D26C-4BBC-9BA6-3496F2B920C4}"/>
    <cellStyle name="常规 10 2 7 5 2" xfId="10088" xr:uid="{257B4994-7C10-4938-8766-8A4B02F94A93}"/>
    <cellStyle name="常规 10 2 7 5 3" xfId="10089" xr:uid="{9B2DCC6D-A119-476D-803D-CC35A054D430}"/>
    <cellStyle name="常规 10 2 7 6" xfId="10090" xr:uid="{BDC09E94-5689-441F-A493-9AFD718B0BBA}"/>
    <cellStyle name="常规 10 2 7 6 2" xfId="10091" xr:uid="{21BB87B4-C33D-4127-80C0-0BA807E90154}"/>
    <cellStyle name="常规 10 2 7 7" xfId="10092" xr:uid="{C4C82265-9BBA-433B-B21F-2D0FE57B6F5F}"/>
    <cellStyle name="常规 10 2 7 7 2" xfId="10093" xr:uid="{D6EC3F29-C06F-4BEA-86FA-AC3E9AA183F9}"/>
    <cellStyle name="常规 10 2 7 7 3" xfId="33548" xr:uid="{C3142F50-A4DD-4503-A710-392B3A89D91D}"/>
    <cellStyle name="常规 10 2 7 8" xfId="10094" xr:uid="{58D9DD90-945E-417D-A15C-389C9DF4DBD0}"/>
    <cellStyle name="常规 10 2 7 9" xfId="10095" xr:uid="{8955738E-4DED-4284-89E7-3AAC406C3998}"/>
    <cellStyle name="常规 10 2 8" xfId="10096" xr:uid="{96DE8B70-D045-41FF-8300-B717008F9DFD}"/>
    <cellStyle name="常规 10 2 8 2" xfId="10097" xr:uid="{DD3BD111-1F3F-4EE1-8575-AF1A218F9D7F}"/>
    <cellStyle name="常规 10 2 8 2 2" xfId="10098" xr:uid="{64DA598F-02E2-4BB3-A31A-B04E53BAE2F5}"/>
    <cellStyle name="常规 10 2 8 2 2 2" xfId="10099" xr:uid="{7869ABC2-BC6B-4CE0-B6D9-2F37E4289853}"/>
    <cellStyle name="常规 10 2 8 2 2 2 2" xfId="10100" xr:uid="{31FEF64E-140E-48D8-9674-187AB855F9C6}"/>
    <cellStyle name="常规 10 2 8 2 2 2 3" xfId="10101" xr:uid="{848672E5-7C3A-47EF-8F42-09AFE9383D46}"/>
    <cellStyle name="常规 10 2 8 2 2 3" xfId="10102" xr:uid="{BF384C76-AD1B-4B0E-A976-96881ED9F294}"/>
    <cellStyle name="常规 10 2 8 2 2 3 2" xfId="10103" xr:uid="{4EFFFA00-83F5-4149-A5E2-CBE1FBBAB709}"/>
    <cellStyle name="常规 10 2 8 2 2 4" xfId="10104" xr:uid="{74D5CFF0-5690-496E-B759-C683642C48C1}"/>
    <cellStyle name="常规 10 2 8 2 2 4 2" xfId="10105" xr:uid="{115C6EAC-E2FE-4E98-9D2C-154256A24D5D}"/>
    <cellStyle name="常规 10 2 8 2 2 4 3" xfId="33549" xr:uid="{1F6DE252-9015-43BF-918D-51A9551FE589}"/>
    <cellStyle name="常规 10 2 8 2 2 5" xfId="10106" xr:uid="{E19B9765-C1FB-4CDA-A066-43E1DB9FE9D1}"/>
    <cellStyle name="常规 10 2 8 2 2 6" xfId="10107" xr:uid="{4B209E0B-357F-45CC-9F69-402424B109B4}"/>
    <cellStyle name="常规 10 2 8 2 2 7" xfId="10108" xr:uid="{1C2FFBA8-7A96-4A4F-9251-2ACC4D81EEA1}"/>
    <cellStyle name="常规 10 2 8 2 3" xfId="10109" xr:uid="{23157F66-E466-4EEC-8EB0-FC1C710DF549}"/>
    <cellStyle name="常规 10 2 8 2 3 2" xfId="10110" xr:uid="{63AAF431-C0EF-44C4-9F74-AD2967A954D0}"/>
    <cellStyle name="常规 10 2 8 2 3 3" xfId="10111" xr:uid="{34ECA187-5484-448E-A690-FE0CE65316B8}"/>
    <cellStyle name="常规 10 2 8 2 4" xfId="10112" xr:uid="{E68AE3A0-5FC6-49C1-99F4-2BBFF29FEF85}"/>
    <cellStyle name="常规 10 2 8 2 4 2" xfId="10113" xr:uid="{1A623C09-C2F1-4B4A-923E-F7F31FCEDD2B}"/>
    <cellStyle name="常规 10 2 8 2 5" xfId="10114" xr:uid="{720BA7D1-6237-4551-ABA7-8C2B8743CBC6}"/>
    <cellStyle name="常规 10 2 8 2 5 2" xfId="10115" xr:uid="{2AE10C5A-3DAE-41FF-8CF8-0265A18AE82F}"/>
    <cellStyle name="常规 10 2 8 2 5 3" xfId="33550" xr:uid="{74997C25-2A68-422B-A9D5-8B4FAFEEB94E}"/>
    <cellStyle name="常规 10 2 8 2 6" xfId="10116" xr:uid="{B6C58137-529A-4815-A28D-D3B57A01C760}"/>
    <cellStyle name="常规 10 2 8 2 7" xfId="10117" xr:uid="{DB804B61-7C2D-4ECE-93B9-1A3B27F10D4F}"/>
    <cellStyle name="常规 10 2 8 2 8" xfId="10118" xr:uid="{D4F3DAA1-8CE3-49D5-BEA3-B7AF38110843}"/>
    <cellStyle name="常规 10 2 8 3" xfId="10119" xr:uid="{220FE6A9-90B4-47BE-BEBC-FA91444C7C3F}"/>
    <cellStyle name="常规 10 2 8 3 2" xfId="10120" xr:uid="{C5FE6282-8B81-4E7B-8C07-E6B43688AD31}"/>
    <cellStyle name="常规 10 2 8 3 2 2" xfId="10121" xr:uid="{AB670CE4-3007-42BD-8AAD-24DB43DFD128}"/>
    <cellStyle name="常规 10 2 8 3 2 3" xfId="10122" xr:uid="{F6A4AF46-154F-48C0-92FA-F42660816503}"/>
    <cellStyle name="常规 10 2 8 3 3" xfId="10123" xr:uid="{458B287F-B7B6-4817-BCE9-E5C75F23816D}"/>
    <cellStyle name="常规 10 2 8 3 3 2" xfId="10124" xr:uid="{C06C28EF-4B6B-4E93-A53F-115040DDC7ED}"/>
    <cellStyle name="常规 10 2 8 3 4" xfId="10125" xr:uid="{C6B077F5-8F8F-4C9B-B369-7F342ADD4977}"/>
    <cellStyle name="常规 10 2 8 3 4 2" xfId="10126" xr:uid="{7AAE8A3C-2337-42CF-A84D-4265B13E398C}"/>
    <cellStyle name="常规 10 2 8 3 4 3" xfId="33551" xr:uid="{087A0172-28AB-46C1-8660-29887EF9C1A6}"/>
    <cellStyle name="常规 10 2 8 3 5" xfId="10127" xr:uid="{5E3C5B1F-1F07-416C-8671-4E5D6B8E4895}"/>
    <cellStyle name="常规 10 2 8 3 6" xfId="10128" xr:uid="{88C90504-A7B0-423D-9C13-011D1BBA8584}"/>
    <cellStyle name="常规 10 2 8 3 7" xfId="10129" xr:uid="{28049173-F5F2-43B6-B3CF-37212C451958}"/>
    <cellStyle name="常规 10 2 8 4" xfId="10130" xr:uid="{DF498520-2518-4AAC-B9A3-B420EF7B4857}"/>
    <cellStyle name="常规 10 2 8 4 2" xfId="10131" xr:uid="{0EED0B79-4C32-4B38-8FD9-F20B2EA1D50E}"/>
    <cellStyle name="常规 10 2 8 4 3" xfId="10132" xr:uid="{060D1C11-3A57-4EC1-B31E-7C42D5093509}"/>
    <cellStyle name="常规 10 2 8 5" xfId="10133" xr:uid="{9BE7EF10-594E-49E7-B2F3-5BB4B8CED200}"/>
    <cellStyle name="常规 10 2 8 5 2" xfId="10134" xr:uid="{50A2C890-9100-4CFF-8455-65BA1BDB4C2D}"/>
    <cellStyle name="常规 10 2 8 6" xfId="10135" xr:uid="{A3AAD1DD-5A30-4A41-84FE-5A87B40B06E0}"/>
    <cellStyle name="常规 10 2 8 6 2" xfId="10136" xr:uid="{18F09E2F-DFF8-4CB6-93C6-915777FE1F1B}"/>
    <cellStyle name="常规 10 2 8 6 3" xfId="33552" xr:uid="{F528F30D-CD7D-4FB9-8B8F-2E241CD74D0B}"/>
    <cellStyle name="常规 10 2 8 7" xfId="10137" xr:uid="{84E7A353-35A6-4174-93D7-6CECF76E13C4}"/>
    <cellStyle name="常规 10 2 8 8" xfId="10138" xr:uid="{CAE2A061-53EC-440D-9F7B-D9AE1B96440F}"/>
    <cellStyle name="常规 10 2 8 9" xfId="10139" xr:uid="{6058A6AF-7687-45EE-AF45-E816FFFF5E80}"/>
    <cellStyle name="常规 10 2 9" xfId="10140" xr:uid="{25B84944-1C3B-4FC7-AE5C-07C1C83FD1FB}"/>
    <cellStyle name="常规 10 2 9 2" xfId="10141" xr:uid="{2D5699EA-0246-4D39-8B62-D75C36C82978}"/>
    <cellStyle name="常规 10 2 9 2 2" xfId="10142" xr:uid="{2C9EE06C-3FAD-4C1F-9089-1164EBE5420E}"/>
    <cellStyle name="常规 10 2 9 2 2 2" xfId="10143" xr:uid="{E214459D-FC9D-4643-8566-3B53A6558C0A}"/>
    <cellStyle name="常规 10 2 9 2 2 3" xfId="10144" xr:uid="{3A167B6C-0422-4E12-8479-E4BED49F6F3A}"/>
    <cellStyle name="常规 10 2 9 2 2 4" xfId="10145" xr:uid="{7C364C84-3EA1-4C77-9955-9074ADE7AF86}"/>
    <cellStyle name="常规 10 2 9 2 2 5" xfId="10146" xr:uid="{94ED6087-73D0-44ED-953E-182C0CC6B2D3}"/>
    <cellStyle name="常规 10 2 9 2 2 6" xfId="10147" xr:uid="{7FE73372-F154-4482-B03E-4015A1766D15}"/>
    <cellStyle name="常规 10 2 9 2 2 7" xfId="10148" xr:uid="{86A4F2A8-9E01-4B21-BC3F-315243378C98}"/>
    <cellStyle name="常规 10 2 9 2 2 8" xfId="10149" xr:uid="{3DBFA281-C82E-46D1-814B-0F186FED9A87}"/>
    <cellStyle name="常规 10 2 9 2 3" xfId="10150" xr:uid="{8733A334-0DB5-4046-B9C4-EC242DAD97C3}"/>
    <cellStyle name="常规 10 2 9 2 3 2" xfId="10151" xr:uid="{D5AAD937-2E17-4E1E-B05A-B9ABD72A99D3}"/>
    <cellStyle name="常规 10 2 9 2 4" xfId="10152" xr:uid="{90320ACC-F850-481D-8E44-372365488B41}"/>
    <cellStyle name="常规 10 2 9 2 4 2" xfId="10153" xr:uid="{053F2C43-3F3C-4DB2-A6EF-B268C42E0A4C}"/>
    <cellStyle name="常规 10 2 9 2 4 3" xfId="33553" xr:uid="{1F600541-4E55-4C9F-8696-5CF52833DF6F}"/>
    <cellStyle name="常规 10 2 9 2 5" xfId="10154" xr:uid="{D3968C52-3FD3-41BB-B5DD-F33289C8F342}"/>
    <cellStyle name="常规 10 2 9 2 6" xfId="10155" xr:uid="{7FD5AFCB-AE76-4599-8FB7-88CE5D9FB738}"/>
    <cellStyle name="常规 10 2 9 2 7" xfId="10156" xr:uid="{2B67E2E7-3951-411D-BCFA-843BDFB99FA0}"/>
    <cellStyle name="常规 10 2 9 2 8" xfId="10157" xr:uid="{7F0106E8-3DF5-4FB3-B908-BBEEA66B875A}"/>
    <cellStyle name="常规 10 2 9 3" xfId="10158" xr:uid="{17706469-084B-441F-B8F0-F9B4A2B6AE86}"/>
    <cellStyle name="常规 10 2 9 3 2" xfId="10159" xr:uid="{2F4BA22F-8376-44BD-88C5-C806B9600702}"/>
    <cellStyle name="常规 10 2 9 3 3" xfId="10160" xr:uid="{5780266E-C0A2-4298-9AD1-46D56DA82390}"/>
    <cellStyle name="常规 10 2 9 3 4" xfId="10161" xr:uid="{BC7E5A0D-D808-4FC5-83A6-954C8F59A896}"/>
    <cellStyle name="常规 10 2 9 3 5" xfId="10162" xr:uid="{DE7EC68F-D4BB-4A4B-8461-445DDABD6A26}"/>
    <cellStyle name="常规 10 2 9 3 6" xfId="10163" xr:uid="{299C7D37-DB8F-46C0-98BF-FB2A44C38BF4}"/>
    <cellStyle name="常规 10 2 9 3 7" xfId="10164" xr:uid="{D99778EE-C933-4891-A848-68494FEB29A8}"/>
    <cellStyle name="常规 10 2 9 3 8" xfId="10165" xr:uid="{79C61923-FE52-4EE5-A1DA-2F7B3992E4E9}"/>
    <cellStyle name="常规 10 2 9 4" xfId="10166" xr:uid="{B641ED45-FD69-492D-AAF1-FD436FCE6FF2}"/>
    <cellStyle name="常规 10 2 9 4 2" xfId="10167" xr:uid="{E3C1920F-012D-449A-BD7D-937E71D5EAEB}"/>
    <cellStyle name="常规 10 2 9 5" xfId="10168" xr:uid="{A576FEF7-2C49-4BB8-98D8-3054079D5C2D}"/>
    <cellStyle name="常规 10 2 9 5 2" xfId="10169" xr:uid="{6905E7A3-47A9-4474-B2CD-AA99075D7CAB}"/>
    <cellStyle name="常规 10 2 9 5 3" xfId="33554" xr:uid="{F27F557E-5F30-4BBC-90A4-7AE9512B7EBD}"/>
    <cellStyle name="常规 10 2 9 6" xfId="10170" xr:uid="{1DD68E48-64F5-463A-AE3C-C36203D49192}"/>
    <cellStyle name="常规 10 2 9 7" xfId="10171" xr:uid="{A48A9ACD-39AC-41FF-967C-A571A5494BF9}"/>
    <cellStyle name="常规 10 2 9 8" xfId="10172" xr:uid="{9C47DDA5-F695-4EEA-9495-4A6E8E1D3E50}"/>
    <cellStyle name="常规 10 2 9 9" xfId="10173" xr:uid="{F7224F1B-58B6-494A-AC74-00A95DC47B76}"/>
    <cellStyle name="常规 10 3" xfId="10174" xr:uid="{342058F3-3054-487F-BDF7-1E3ACB0FB502}"/>
    <cellStyle name="常规 10 3 10" xfId="10175" xr:uid="{C752C87A-D2DE-4142-9FC6-831FFFE9FE00}"/>
    <cellStyle name="常规 10 3 10 2" xfId="10176" xr:uid="{BCF43628-7AD8-4096-B30D-1FBBCEBE0EDE}"/>
    <cellStyle name="常规 10 3 10 2 2" xfId="10177" xr:uid="{65FA23AD-EBB2-4DF1-B45E-7811F34D590F}"/>
    <cellStyle name="常规 10 3 10 3" xfId="10178" xr:uid="{A51010E3-779C-46DA-8A6D-ACD190E98887}"/>
    <cellStyle name="常规 10 3 10 4" xfId="10179" xr:uid="{4EB2995B-F955-4997-BC41-F0EAA4401049}"/>
    <cellStyle name="常规 10 3 10 4 2" xfId="33555" xr:uid="{ABB65923-18CD-4147-BA41-B741EBBD2209}"/>
    <cellStyle name="常规 10 3 11" xfId="10180" xr:uid="{8A81EEAF-99E2-4AC3-93F9-A58BA07A9A23}"/>
    <cellStyle name="常规 10 3 11 2" xfId="10181" xr:uid="{E0595048-C606-4C0B-A0D2-A6D50E169576}"/>
    <cellStyle name="常规 10 3 11 2 2" xfId="10182" xr:uid="{9346F0D1-29BD-4349-989D-7175D6ED0EBD}"/>
    <cellStyle name="常规 10 3 11 3" xfId="10183" xr:uid="{23CF2837-FD8B-416A-A721-8C38BB16670B}"/>
    <cellStyle name="常规 10 3 11 4" xfId="10184" xr:uid="{08DB5D15-1522-42EE-B00E-3A20EBE29574}"/>
    <cellStyle name="常规 10 3 11 4 2" xfId="33556" xr:uid="{5C6D0FF9-BEEA-4D84-B265-E7845BF632B0}"/>
    <cellStyle name="常规 10 3 12" xfId="10185" xr:uid="{E1B66879-5266-4FC5-BD50-6782670DDF91}"/>
    <cellStyle name="常规 10 3 12 2" xfId="10186" xr:uid="{2CDE2E93-7CDC-410E-A39E-C3FC40F3BA35}"/>
    <cellStyle name="常规 10 3 13" xfId="10187" xr:uid="{747E8659-5E01-4E6F-BB7C-004C9D30D38D}"/>
    <cellStyle name="常规 10 3 14" xfId="10188" xr:uid="{00C65A37-AE64-4933-8D66-45ED0AB3EB7D}"/>
    <cellStyle name="常规 10 3 14 2" xfId="33557" xr:uid="{D644DDE3-0AD9-4CB6-B58C-82C5C86F340C}"/>
    <cellStyle name="常规 10 3 15" xfId="10189" xr:uid="{3284446D-A989-4B30-ABBC-EE9778066082}"/>
    <cellStyle name="常规 10 3 2" xfId="10190" xr:uid="{FAAAACF0-5D20-41C5-A3F3-7E3B05E627BF}"/>
    <cellStyle name="常规 10 3 2 10" xfId="10191" xr:uid="{0B6CAAF8-3916-4825-A558-1B662D86C614}"/>
    <cellStyle name="常规 10 3 2 10 2" xfId="10192" xr:uid="{D21200AA-6000-44D2-B1C4-A676DD5E901D}"/>
    <cellStyle name="常规 10 3 2 10 2 2" xfId="10193" xr:uid="{D17801F0-71B6-4114-8145-7DFD01105BB1}"/>
    <cellStyle name="常规 10 3 2 10 3" xfId="10194" xr:uid="{FAA51EF9-24D0-4E3E-98DF-5BD3E7DED2E7}"/>
    <cellStyle name="常规 10 3 2 10 4" xfId="10195" xr:uid="{5ABDECA2-43CF-444A-93F4-F79533167D32}"/>
    <cellStyle name="常规 10 3 2 10 4 2" xfId="33558" xr:uid="{32EC68C4-95B9-437A-A601-B517F0E733DF}"/>
    <cellStyle name="常规 10 3 2 10 5" xfId="10196" xr:uid="{AD9F6A68-1A57-419A-B56B-24824BBC80D1}"/>
    <cellStyle name="常规 10 3 2 11" xfId="10197" xr:uid="{067BC390-6B82-4F55-818D-33FD07FE8EEA}"/>
    <cellStyle name="常规 10 3 2 11 2" xfId="10198" xr:uid="{AB96BAB6-0175-40EE-AFC3-0C465807EF6D}"/>
    <cellStyle name="常规 10 3 2 11 3" xfId="10199" xr:uid="{184CD76D-6D31-4852-9FE0-306D047F6839}"/>
    <cellStyle name="常规 10 3 2 12" xfId="10200" xr:uid="{1D52C3BE-56E8-4249-A59B-2CCF69B4535E}"/>
    <cellStyle name="常规 10 3 2 13" xfId="10201" xr:uid="{DAB98FE0-CA53-4E42-B21F-B3E70D4C2D3F}"/>
    <cellStyle name="常规 10 3 2 13 2" xfId="33559" xr:uid="{B49E14ED-4A0C-4C3B-B0B0-BD1E403C880E}"/>
    <cellStyle name="常规 10 3 2 14" xfId="10202" xr:uid="{EEC87E7A-D41A-4E45-853C-F54EF020880D}"/>
    <cellStyle name="常规 10 3 2 2" xfId="10203" xr:uid="{3743D633-9DB5-47BB-A0B1-972F5572AF61}"/>
    <cellStyle name="常规 10 3 2 2 10" xfId="10204" xr:uid="{ACC3E8A9-C000-4392-94DA-3F0A0492B20F}"/>
    <cellStyle name="常规 10 3 2 2 2" xfId="10205" xr:uid="{0F38E599-E0D1-4F41-BFA9-BC55F2BE6FD2}"/>
    <cellStyle name="常规 10 3 2 2 2 2" xfId="10206" xr:uid="{31F3F7D7-2DC4-46B9-BDB0-E4D0EEF9AB4F}"/>
    <cellStyle name="常规 10 3 2 2 2 2 2" xfId="10207" xr:uid="{BD0C8B73-1848-4190-A010-098A0C65416E}"/>
    <cellStyle name="常规 10 3 2 2 2 2 2 2" xfId="10208" xr:uid="{80A9FBA1-D370-43F3-9BF6-E865F4269C34}"/>
    <cellStyle name="常规 10 3 2 2 2 2 2 2 2" xfId="10209" xr:uid="{E0F581B2-9A1C-436B-840A-E6D92DC91099}"/>
    <cellStyle name="常规 10 3 2 2 2 2 2 2 2 2" xfId="10210" xr:uid="{6E756EA3-C5F9-4105-8672-FE0C55192112}"/>
    <cellStyle name="常规 10 3 2 2 2 2 2 2 3" xfId="10211" xr:uid="{6F094FAF-666E-4184-A889-1D83D7F11D5D}"/>
    <cellStyle name="常规 10 3 2 2 2 2 2 2 4" xfId="10212" xr:uid="{AB66CE49-A4BD-4C3B-AC6F-DB2DA9947EBC}"/>
    <cellStyle name="常规 10 3 2 2 2 2 2 2 4 2" xfId="33560" xr:uid="{2749C0CF-5ABB-4685-A690-F174F413650A}"/>
    <cellStyle name="常规 10 3 2 2 2 2 2 2 5" xfId="10213" xr:uid="{8DBB5B09-DA0C-48D3-A561-149F4A071A7B}"/>
    <cellStyle name="常规 10 3 2 2 2 2 2 3" xfId="10214" xr:uid="{4731893E-20A8-42D1-8A17-AD9A369E5F44}"/>
    <cellStyle name="常规 10 3 2 2 2 2 2 3 2" xfId="10215" xr:uid="{10A8BDE8-FB3D-4A28-BB4B-1174CBFCD5AC}"/>
    <cellStyle name="常规 10 3 2 2 2 2 2 3 3" xfId="10216" xr:uid="{C60E0851-2A49-4A98-B723-EC95D1853FDA}"/>
    <cellStyle name="常规 10 3 2 2 2 2 2 4" xfId="10217" xr:uid="{660198F5-298F-43B7-9ECD-5D30E33241A8}"/>
    <cellStyle name="常规 10 3 2 2 2 2 2 4 2" xfId="10218" xr:uid="{D715E5BC-5ADB-41D0-9B99-3B5A0747D1EA}"/>
    <cellStyle name="常规 10 3 2 2 2 2 2 5" xfId="10219" xr:uid="{BD1382A1-C8DF-44C4-BABF-4AF04DC9C219}"/>
    <cellStyle name="常规 10 3 2 2 2 2 2 5 2" xfId="10220" xr:uid="{C5A11E42-4A8A-414C-A778-20A773EAEC5B}"/>
    <cellStyle name="常规 10 3 2 2 2 2 2 5 3" xfId="33561" xr:uid="{C44832E5-223C-4A97-9962-00F5A3EB6690}"/>
    <cellStyle name="常规 10 3 2 2 2 2 2 6" xfId="10221" xr:uid="{523B3E20-4C0C-4BA5-A109-493D7AB580A7}"/>
    <cellStyle name="常规 10 3 2 2 2 2 2 7" xfId="10222" xr:uid="{BA4C5A5A-5622-4D7B-9629-51E102FB2FC9}"/>
    <cellStyle name="常规 10 3 2 2 2 2 3" xfId="10223" xr:uid="{4A644367-8E78-429B-B38B-3C2B68341519}"/>
    <cellStyle name="常规 10 3 2 2 2 2 3 2" xfId="10224" xr:uid="{01DF379E-1EA0-42C0-A5DE-0B184A198263}"/>
    <cellStyle name="常规 10 3 2 2 2 2 3 2 2" xfId="10225" xr:uid="{E602DEF7-07C6-499D-AFD9-B0BDB87365CA}"/>
    <cellStyle name="常规 10 3 2 2 2 2 3 3" xfId="10226" xr:uid="{CCBC7405-F316-46B1-865D-961B7C796BFA}"/>
    <cellStyle name="常规 10 3 2 2 2 2 3 4" xfId="10227" xr:uid="{796471ED-9989-4E67-AFA8-7D290AF49780}"/>
    <cellStyle name="常规 10 3 2 2 2 2 3 4 2" xfId="33562" xr:uid="{FEA534AE-F490-4F77-BCA9-9E2302929F58}"/>
    <cellStyle name="常规 10 3 2 2 2 2 3 5" xfId="10228" xr:uid="{A7295346-7593-494D-A117-E33182354467}"/>
    <cellStyle name="常规 10 3 2 2 2 2 4" xfId="10229" xr:uid="{07E35E5D-E11D-41FB-9C45-8E610CC4963A}"/>
    <cellStyle name="常规 10 3 2 2 2 2 4 2" xfId="10230" xr:uid="{ADB39596-50ED-4A7F-9678-72B78C1965A7}"/>
    <cellStyle name="常规 10 3 2 2 2 2 4 3" xfId="10231" xr:uid="{90A7DFDB-B16F-460A-A75E-9B4290D65D79}"/>
    <cellStyle name="常规 10 3 2 2 2 2 5" xfId="10232" xr:uid="{F5472052-4F66-43E5-B579-5132FDDDCDFC}"/>
    <cellStyle name="常规 10 3 2 2 2 2 5 2" xfId="10233" xr:uid="{16D26DB8-E274-4A6B-8AC2-4B929B74ED5C}"/>
    <cellStyle name="常规 10 3 2 2 2 2 6" xfId="10234" xr:uid="{085918E9-E008-47AB-84B1-A3532DA014E2}"/>
    <cellStyle name="常规 10 3 2 2 2 2 6 2" xfId="10235" xr:uid="{E810C9A0-C522-4294-A46D-3C873AD8DCC3}"/>
    <cellStyle name="常规 10 3 2 2 2 2 6 3" xfId="33563" xr:uid="{04184BEC-8C20-4221-B345-E0D9B98E74AA}"/>
    <cellStyle name="常规 10 3 2 2 2 2 7" xfId="10236" xr:uid="{1346DF65-70B9-41B2-B0C5-3B9DA9445C3E}"/>
    <cellStyle name="常规 10 3 2 2 2 2 8" xfId="10237" xr:uid="{321DB655-83F2-4587-A106-0FFEE666A9BA}"/>
    <cellStyle name="常规 10 3 2 2 2 3" xfId="10238" xr:uid="{9FF96445-730B-4A2C-9B6C-50B6FCAE0BE1}"/>
    <cellStyle name="常规 10 3 2 2 2 3 2" xfId="10239" xr:uid="{F9CA4201-8789-448D-BFDA-722AFB33B79A}"/>
    <cellStyle name="常规 10 3 2 2 2 3 2 2" xfId="10240" xr:uid="{A1C52396-751C-4FAB-83C2-1408D1CCCD3E}"/>
    <cellStyle name="常规 10 3 2 2 2 3 2 2 2" xfId="10241" xr:uid="{194E7A5E-4F9E-4FB6-AFEB-F51C16D3B385}"/>
    <cellStyle name="常规 10 3 2 2 2 3 2 3" xfId="10242" xr:uid="{DC1F0AC2-E186-4C1B-8771-836CE5237AA1}"/>
    <cellStyle name="常规 10 3 2 2 2 3 2 4" xfId="10243" xr:uid="{324354FD-8E70-423D-8A9D-ED678EF05C67}"/>
    <cellStyle name="常规 10 3 2 2 2 3 2 4 2" xfId="33564" xr:uid="{C94DDFA2-1198-4EBB-9841-CA46371A44BB}"/>
    <cellStyle name="常规 10 3 2 2 2 3 2 5" xfId="10244" xr:uid="{536347B4-A70F-45CF-99E6-19C2B1887200}"/>
    <cellStyle name="常规 10 3 2 2 2 3 3" xfId="10245" xr:uid="{B35B5FCC-6179-4BAC-B895-60F715A7275F}"/>
    <cellStyle name="常规 10 3 2 2 2 3 3 2" xfId="10246" xr:uid="{77E0C489-3D34-41A3-BB2B-E95BE98F8AE2}"/>
    <cellStyle name="常规 10 3 2 2 2 3 3 3" xfId="10247" xr:uid="{28114103-8FA9-466A-AE81-49243C436007}"/>
    <cellStyle name="常规 10 3 2 2 2 3 4" xfId="10248" xr:uid="{9B8841F8-9C1A-463C-854F-5DCDB3D9F1DD}"/>
    <cellStyle name="常规 10 3 2 2 2 3 4 2" xfId="10249" xr:uid="{73CD59AD-A1BB-41CD-8379-F26E335C8FA0}"/>
    <cellStyle name="常规 10 3 2 2 2 3 5" xfId="10250" xr:uid="{1343AA02-12EE-4A64-B244-6F04013CA54E}"/>
    <cellStyle name="常规 10 3 2 2 2 3 5 2" xfId="10251" xr:uid="{D8D7F8E4-4A51-4B50-BE29-31E22C9DC2FE}"/>
    <cellStyle name="常规 10 3 2 2 2 3 5 3" xfId="33565" xr:uid="{3A44AFA5-A87A-4D8F-B747-6930A6E71A80}"/>
    <cellStyle name="常规 10 3 2 2 2 3 6" xfId="10252" xr:uid="{58C81F58-B09F-428C-8B2B-100C122C9B70}"/>
    <cellStyle name="常规 10 3 2 2 2 3 7" xfId="10253" xr:uid="{FAB39783-873C-4ECB-9B16-EC54F7B5AEE5}"/>
    <cellStyle name="常规 10 3 2 2 2 4" xfId="10254" xr:uid="{128A5787-9CBE-45EA-89F5-B72C16E647DE}"/>
    <cellStyle name="常规 10 3 2 2 2 4 2" xfId="10255" xr:uid="{91AC5C5B-A8C6-4735-89BE-DEFC7A0CEEDD}"/>
    <cellStyle name="常规 10 3 2 2 2 4 2 2" xfId="10256" xr:uid="{40C0D46E-0E69-4E52-9E6F-4BD177CAC781}"/>
    <cellStyle name="常规 10 3 2 2 2 4 3" xfId="10257" xr:uid="{9B66C1EF-ECE3-40C1-A95A-69FFCDCF6D23}"/>
    <cellStyle name="常规 10 3 2 2 2 4 4" xfId="10258" xr:uid="{33C5F4BF-FF00-47F4-9753-8D2B411E354D}"/>
    <cellStyle name="常规 10 3 2 2 2 4 4 2" xfId="33566" xr:uid="{13C699FA-AA5F-4538-BDBD-3E588EB06BAD}"/>
    <cellStyle name="常规 10 3 2 2 2 4 5" xfId="10259" xr:uid="{25300A7E-F246-477B-B678-3E4C0A8346EC}"/>
    <cellStyle name="常规 10 3 2 2 2 5" xfId="10260" xr:uid="{C1FFBEC1-416D-49E1-8592-0047B81A1CB4}"/>
    <cellStyle name="常规 10 3 2 2 2 5 2" xfId="10261" xr:uid="{3C67B5B8-7777-4F6F-AFD9-4188C38C46AC}"/>
    <cellStyle name="常规 10 3 2 2 2 5 3" xfId="10262" xr:uid="{2DB7D47B-3E89-4080-9A7D-E06AFE4FF01E}"/>
    <cellStyle name="常规 10 3 2 2 2 6" xfId="10263" xr:uid="{13469500-F4EC-4E51-AD6E-90710776691C}"/>
    <cellStyle name="常规 10 3 2 2 2 6 2" xfId="10264" xr:uid="{AE91F004-1B67-429B-940D-4567E694F42F}"/>
    <cellStyle name="常规 10 3 2 2 2 7" xfId="10265" xr:uid="{D4C9ECE3-722D-4150-A6E0-35F1226D0B98}"/>
    <cellStyle name="常规 10 3 2 2 2 7 2" xfId="10266" xr:uid="{D7746716-6582-479A-86FC-DD61C144EA58}"/>
    <cellStyle name="常规 10 3 2 2 2 7 3" xfId="33567" xr:uid="{E110AFAD-DFB7-4D2B-B6A0-B1119E32184C}"/>
    <cellStyle name="常规 10 3 2 2 2 8" xfId="10267" xr:uid="{79DE4394-3A50-4413-9176-250E6B0298B1}"/>
    <cellStyle name="常规 10 3 2 2 2 9" xfId="10268" xr:uid="{85DD79CB-2E08-4668-A2E9-D758D04BEC00}"/>
    <cellStyle name="常规 10 3 2 2 3" xfId="10269" xr:uid="{E3B223C0-7905-44DD-AC2C-81A30EED2A4B}"/>
    <cellStyle name="常规 10 3 2 2 3 2" xfId="10270" xr:uid="{4ADE6545-DEBD-4757-ABC1-10DD4F7C289D}"/>
    <cellStyle name="常规 10 3 2 2 3 2 2" xfId="10271" xr:uid="{25F878F8-51A4-44F2-9F19-02D3CF0658C1}"/>
    <cellStyle name="常规 10 3 2 2 3 2 2 2" xfId="10272" xr:uid="{5D713A18-756D-4702-A9B9-C0260FC434EB}"/>
    <cellStyle name="常规 10 3 2 2 3 2 2 2 2" xfId="10273" xr:uid="{EDC881ED-F482-4185-9E72-E03867311826}"/>
    <cellStyle name="常规 10 3 2 2 3 2 2 3" xfId="10274" xr:uid="{8199C44A-091A-4847-8FC4-BBE79EA48F66}"/>
    <cellStyle name="常规 10 3 2 2 3 2 2 4" xfId="10275" xr:uid="{2E5E482F-8CB6-44BE-8534-2400880060F5}"/>
    <cellStyle name="常规 10 3 2 2 3 2 2 4 2" xfId="33568" xr:uid="{6794C507-918C-4301-A7AE-E9E1242582F8}"/>
    <cellStyle name="常规 10 3 2 2 3 2 2 5" xfId="10276" xr:uid="{11460400-4BE5-49C8-BB4F-94CAC924DA42}"/>
    <cellStyle name="常规 10 3 2 2 3 2 3" xfId="10277" xr:uid="{76CDDFFD-7505-4F17-BCBB-8CC779FF26B5}"/>
    <cellStyle name="常规 10 3 2 2 3 2 3 2" xfId="10278" xr:uid="{B6AEB6DD-339B-4807-9164-2F89358ECB51}"/>
    <cellStyle name="常规 10 3 2 2 3 2 3 3" xfId="10279" xr:uid="{9078499E-64F9-46CE-97B0-94EF677064E9}"/>
    <cellStyle name="常规 10 3 2 2 3 2 4" xfId="10280" xr:uid="{04E5CF49-68FF-4622-970B-9C4A2E7F4293}"/>
    <cellStyle name="常规 10 3 2 2 3 2 4 2" xfId="10281" xr:uid="{DE45A183-08AD-4671-BDB4-E736D72C63B2}"/>
    <cellStyle name="常规 10 3 2 2 3 2 5" xfId="10282" xr:uid="{40C16270-ED3C-4F47-807C-5B2689E08891}"/>
    <cellStyle name="常规 10 3 2 2 3 2 5 2" xfId="10283" xr:uid="{86EB5141-ACEB-41E6-B2DC-19CEC1A440FA}"/>
    <cellStyle name="常规 10 3 2 2 3 2 5 3" xfId="33569" xr:uid="{8DAC82B6-C74A-4A7A-9087-AD758AAE0209}"/>
    <cellStyle name="常规 10 3 2 2 3 2 6" xfId="10284" xr:uid="{1668CDDA-C5F9-4BD0-91F8-36CE05A4605C}"/>
    <cellStyle name="常规 10 3 2 2 3 2 7" xfId="10285" xr:uid="{865D4812-3FF4-4432-A2EE-D0956C255FC0}"/>
    <cellStyle name="常规 10 3 2 2 3 3" xfId="10286" xr:uid="{D94BECC3-C46B-42C7-854A-85579C0C0A4F}"/>
    <cellStyle name="常规 10 3 2 2 3 3 2" xfId="10287" xr:uid="{8CDB617B-CCE4-41A1-B393-6089FBD3E908}"/>
    <cellStyle name="常规 10 3 2 2 3 3 2 2" xfId="10288" xr:uid="{42621320-57C4-46EB-BCE4-C03D983A297A}"/>
    <cellStyle name="常规 10 3 2 2 3 3 3" xfId="10289" xr:uid="{0CA0EBA6-9022-4AAB-9AE8-070313073C31}"/>
    <cellStyle name="常规 10 3 2 2 3 3 4" xfId="10290" xr:uid="{8FD78FFF-BFC8-49BE-8366-B80DD069C7FD}"/>
    <cellStyle name="常规 10 3 2 2 3 3 4 2" xfId="33570" xr:uid="{4E8C13B9-FD28-4B51-82FC-1C5A25669681}"/>
    <cellStyle name="常规 10 3 2 2 3 3 5" xfId="10291" xr:uid="{5C02F8B6-655D-4C64-BFE6-F4734EA68CC7}"/>
    <cellStyle name="常规 10 3 2 2 3 4" xfId="10292" xr:uid="{1B419EEA-3B90-4BB7-96FE-B8832E377587}"/>
    <cellStyle name="常规 10 3 2 2 3 4 2" xfId="10293" xr:uid="{2E1F1EA0-45D8-4BC3-A179-74D6FC19E5CE}"/>
    <cellStyle name="常规 10 3 2 2 3 4 3" xfId="10294" xr:uid="{9D9AE2DE-E217-4B56-B4CD-6FEF094F4E8E}"/>
    <cellStyle name="常规 10 3 2 2 3 5" xfId="10295" xr:uid="{0CB36F1C-8396-48B2-8294-514078CBF6D2}"/>
    <cellStyle name="常规 10 3 2 2 3 5 2" xfId="10296" xr:uid="{028F9AC9-18D4-495D-91B8-984E0A27DC1D}"/>
    <cellStyle name="常规 10 3 2 2 3 6" xfId="10297" xr:uid="{9156677A-4339-4953-8E04-4B08BCEC9039}"/>
    <cellStyle name="常规 10 3 2 2 3 6 2" xfId="10298" xr:uid="{E21AE950-BA1A-4445-AD36-58999F41E8C0}"/>
    <cellStyle name="常规 10 3 2 2 3 6 3" xfId="33571" xr:uid="{31F02F19-172F-4FC0-912E-2DBD4120BB0F}"/>
    <cellStyle name="常规 10 3 2 2 3 7" xfId="10299" xr:uid="{9CD71765-2186-485C-A5A0-76E607D877E2}"/>
    <cellStyle name="常规 10 3 2 2 3 8" xfId="10300" xr:uid="{5608B8A2-7FFD-40D7-B6F0-C97D7C7AD006}"/>
    <cellStyle name="常规 10 3 2 2 4" xfId="10301" xr:uid="{18E193FE-F05F-452A-BFC6-732F334C19F1}"/>
    <cellStyle name="常规 10 3 2 2 4 2" xfId="10302" xr:uid="{D1F52786-F412-4FEC-BD2F-88A11918262F}"/>
    <cellStyle name="常规 10 3 2 2 4 2 2" xfId="10303" xr:uid="{3BDFF825-0C83-4C18-B0E9-13FEEA3F8351}"/>
    <cellStyle name="常规 10 3 2 2 4 2 2 2" xfId="10304" xr:uid="{F249A886-48D5-4E13-918E-D75DAAEE3C13}"/>
    <cellStyle name="常规 10 3 2 2 4 2 3" xfId="10305" xr:uid="{BCF0E6F3-9414-4F70-A7D7-BBA6CED5789E}"/>
    <cellStyle name="常规 10 3 2 2 4 2 4" xfId="10306" xr:uid="{5FC62930-4430-4100-88A9-3EEDFAB05D86}"/>
    <cellStyle name="常规 10 3 2 2 4 2 4 2" xfId="33572" xr:uid="{0C02760D-C638-4B40-99D2-B62C915CEA69}"/>
    <cellStyle name="常规 10 3 2 2 4 2 5" xfId="10307" xr:uid="{822B9582-5A5A-48F5-9778-E3AEBB44B802}"/>
    <cellStyle name="常规 10 3 2 2 4 3" xfId="10308" xr:uid="{73907EA9-7193-40CA-9D7B-96EE3A52CCBF}"/>
    <cellStyle name="常规 10 3 2 2 4 3 2" xfId="10309" xr:uid="{9F0FF558-131B-4607-9CE3-DF81BFC31362}"/>
    <cellStyle name="常规 10 3 2 2 4 3 3" xfId="10310" xr:uid="{E2A0BF62-82B7-4030-8AD3-52131752A2E7}"/>
    <cellStyle name="常规 10 3 2 2 4 4" xfId="10311" xr:uid="{B25C880C-59D6-4BA4-8B38-6D7B5B574ACB}"/>
    <cellStyle name="常规 10 3 2 2 4 4 2" xfId="10312" xr:uid="{E34A48B4-23A8-45BA-AAB8-2FC4A61254FE}"/>
    <cellStyle name="常规 10 3 2 2 4 5" xfId="10313" xr:uid="{8988BD98-D963-4067-AFA2-DA1598F27043}"/>
    <cellStyle name="常规 10 3 2 2 4 5 2" xfId="10314" xr:uid="{56A32293-EFFF-4D38-985C-7E7D7411F059}"/>
    <cellStyle name="常规 10 3 2 2 4 5 3" xfId="33573" xr:uid="{CE6D5D61-CC81-4CCF-BD98-13167A012062}"/>
    <cellStyle name="常规 10 3 2 2 4 6" xfId="10315" xr:uid="{B2F64DC1-D919-43C5-8E59-F8229F5192AE}"/>
    <cellStyle name="常规 10 3 2 2 4 7" xfId="10316" xr:uid="{06BE7572-98AD-4F49-8386-E47BFC34715C}"/>
    <cellStyle name="常规 10 3 2 2 5" xfId="10317" xr:uid="{3430EDBE-7A40-41D5-B0F5-E821C1C10AFC}"/>
    <cellStyle name="常规 10 3 2 2 5 2" xfId="10318" xr:uid="{50EE51E6-E042-4A1E-99A9-47FB2E3D67C5}"/>
    <cellStyle name="常规 10 3 2 2 5 2 2" xfId="10319" xr:uid="{E63380F5-EECE-48E3-BCEF-FE5003EA141D}"/>
    <cellStyle name="常规 10 3 2 2 5 3" xfId="10320" xr:uid="{8F54679B-81A8-4895-95AD-BBD80AC2B129}"/>
    <cellStyle name="常规 10 3 2 2 5 4" xfId="10321" xr:uid="{D2F65F59-DB97-414F-AD16-934E1ED3C3D0}"/>
    <cellStyle name="常规 10 3 2 2 5 4 2" xfId="33574" xr:uid="{23B96196-9565-4F96-B419-84B284B1B389}"/>
    <cellStyle name="常规 10 3 2 2 5 5" xfId="10322" xr:uid="{B0A70203-7FBC-4DF3-825D-6A70D7862646}"/>
    <cellStyle name="常规 10 3 2 2 6" xfId="10323" xr:uid="{F9BE0040-1A9A-4F4C-A1D6-F51350C02AA5}"/>
    <cellStyle name="常规 10 3 2 2 6 2" xfId="10324" xr:uid="{EC81456D-09EB-4828-A073-D95AC5BB6BC2}"/>
    <cellStyle name="常规 10 3 2 2 6 2 2" xfId="10325" xr:uid="{0D9D6015-22D1-463E-8881-B62722ED9153}"/>
    <cellStyle name="常规 10 3 2 2 6 3" xfId="10326" xr:uid="{A8EE9183-ECDC-4079-9D44-2962CA26A74F}"/>
    <cellStyle name="常规 10 3 2 2 6 4" xfId="10327" xr:uid="{7AB52C4E-3DA3-4FCA-B74A-4BCD0D2DCD19}"/>
    <cellStyle name="常规 10 3 2 2 6 4 2" xfId="33575" xr:uid="{D646D75C-61B8-4C92-B24E-D38964889B5D}"/>
    <cellStyle name="常规 10 3 2 2 6 5" xfId="10328" xr:uid="{FBE99051-5BA0-446A-A3D0-3DD0E0D027E8}"/>
    <cellStyle name="常规 10 3 2 2 7" xfId="10329" xr:uid="{905520DC-27D6-4B63-8180-DC8D3852B996}"/>
    <cellStyle name="常规 10 3 2 2 7 2" xfId="10330" xr:uid="{1AF3592D-A31E-40A0-9C54-3040F91C640E}"/>
    <cellStyle name="常规 10 3 2 2 7 3" xfId="10331" xr:uid="{011F8ED1-41E6-4AF8-AB20-406DBF5A3381}"/>
    <cellStyle name="常规 10 3 2 2 8" xfId="10332" xr:uid="{81FE01CB-E7F7-4486-B051-E258E58AF95E}"/>
    <cellStyle name="常规 10 3 2 2 8 2" xfId="10333" xr:uid="{32574596-85C0-4FF5-9538-7132E1408644}"/>
    <cellStyle name="常规 10 3 2 2 9" xfId="10334" xr:uid="{839FB245-4E6B-418B-B822-5394F0EDDDB5}"/>
    <cellStyle name="常规 10 3 2 2 9 2" xfId="10335" xr:uid="{EB719AFA-DD48-413E-B650-2F92690A57CB}"/>
    <cellStyle name="常规 10 3 2 2 9 3" xfId="33576" xr:uid="{325AD990-CA0C-4526-BAD2-8B22BC4B586E}"/>
    <cellStyle name="常规 10 3 2 3" xfId="10336" xr:uid="{A715CBC6-1C5F-4E52-AF37-AC96F1E27E55}"/>
    <cellStyle name="常规 10 3 2 3 2" xfId="10337" xr:uid="{FDB8A2D5-8BEF-4501-8B62-6E847F2AE62B}"/>
    <cellStyle name="常规 10 3 2 3 2 2" xfId="10338" xr:uid="{3493CCEF-BCC2-4FF7-A9E4-E2CC8DE9391B}"/>
    <cellStyle name="常规 10 3 2 3 2 2 2" xfId="10339" xr:uid="{DD32A968-8B74-47E8-A9C0-01BEC2FD01DA}"/>
    <cellStyle name="常规 10 3 2 3 2 2 2 2" xfId="10340" xr:uid="{880BC310-4ED5-453D-AAC5-BDDC6CA94DC1}"/>
    <cellStyle name="常规 10 3 2 3 2 2 2 2 2" xfId="10341" xr:uid="{0EDAA6ED-315B-4141-A347-E4C4B68F84A9}"/>
    <cellStyle name="常规 10 3 2 3 2 2 2 3" xfId="10342" xr:uid="{D2DF6EE7-0FD2-4A29-928F-CC52EF0C088A}"/>
    <cellStyle name="常规 10 3 2 3 2 2 2 4" xfId="10343" xr:uid="{B87994D0-990C-451D-B0DF-B6CF7F60AD49}"/>
    <cellStyle name="常规 10 3 2 3 2 2 2 4 2" xfId="33577" xr:uid="{8EBD46C6-71BB-43E3-A01E-A68A492A9F7A}"/>
    <cellStyle name="常规 10 3 2 3 2 2 2 5" xfId="10344" xr:uid="{09349E6F-9097-4A69-98FB-470BDE702F01}"/>
    <cellStyle name="常规 10 3 2 3 2 2 3" xfId="10345" xr:uid="{AEC66CCF-2D52-4A3A-A74A-237ADE949510}"/>
    <cellStyle name="常规 10 3 2 3 2 2 3 2" xfId="10346" xr:uid="{B3C99129-AB6C-43A7-902B-B1E174E4A980}"/>
    <cellStyle name="常规 10 3 2 3 2 2 3 3" xfId="10347" xr:uid="{FED222B5-409C-45FD-8686-7FD594635DCF}"/>
    <cellStyle name="常规 10 3 2 3 2 2 4" xfId="10348" xr:uid="{D7FB7434-A044-45D4-89BE-DB48FF4BF2FA}"/>
    <cellStyle name="常规 10 3 2 3 2 2 4 2" xfId="10349" xr:uid="{A0E3F7B4-CF7A-45B2-B3BC-AE61516E8C23}"/>
    <cellStyle name="常规 10 3 2 3 2 2 5" xfId="10350" xr:uid="{FD8BA403-E0BD-4311-BF9F-CCC61A20D792}"/>
    <cellStyle name="常规 10 3 2 3 2 2 5 2" xfId="10351" xr:uid="{0E4D2283-305B-4721-9FB2-EB0301A81FAC}"/>
    <cellStyle name="常规 10 3 2 3 2 2 5 3" xfId="33578" xr:uid="{E5B18228-5C98-4087-A37B-142C9644880D}"/>
    <cellStyle name="常规 10 3 2 3 2 2 6" xfId="10352" xr:uid="{F7FA796F-F21F-4560-BB43-DFACE4E499CC}"/>
    <cellStyle name="常规 10 3 2 3 2 2 7" xfId="10353" xr:uid="{62A9F278-1013-4B06-91A9-C081A1FBB7D4}"/>
    <cellStyle name="常规 10 3 2 3 2 3" xfId="10354" xr:uid="{71CA1B12-C9D1-4F4F-8939-2337A15CDF92}"/>
    <cellStyle name="常规 10 3 2 3 2 3 2" xfId="10355" xr:uid="{8C4B3186-C803-4FE5-A467-97C473200D8C}"/>
    <cellStyle name="常规 10 3 2 3 2 3 2 2" xfId="10356" xr:uid="{D15F43A7-831C-4687-8001-530EB1545CAC}"/>
    <cellStyle name="常规 10 3 2 3 2 3 3" xfId="10357" xr:uid="{3EA0F833-06B7-4A6F-B348-B41D15CD7627}"/>
    <cellStyle name="常规 10 3 2 3 2 3 4" xfId="10358" xr:uid="{B1D58E4E-D28E-41B1-AF41-752939FA52F6}"/>
    <cellStyle name="常规 10 3 2 3 2 3 4 2" xfId="33579" xr:uid="{6F2057CC-03EE-434E-977E-B53D20B1260A}"/>
    <cellStyle name="常规 10 3 2 3 2 3 5" xfId="10359" xr:uid="{99A8EA1F-DAA4-4734-BAF2-2DE43AD50456}"/>
    <cellStyle name="常规 10 3 2 3 2 4" xfId="10360" xr:uid="{65A3EF18-7E60-4769-A644-86FE2A3810C7}"/>
    <cellStyle name="常规 10 3 2 3 2 4 2" xfId="10361" xr:uid="{FA13140C-4C7B-481B-93B3-372C95DEFDB7}"/>
    <cellStyle name="常规 10 3 2 3 2 4 3" xfId="10362" xr:uid="{3AB0AF24-109D-4F79-B0A0-17C510CAA0CD}"/>
    <cellStyle name="常规 10 3 2 3 2 5" xfId="10363" xr:uid="{59374C79-AD41-4071-9528-2A96337681FA}"/>
    <cellStyle name="常规 10 3 2 3 2 5 2" xfId="10364" xr:uid="{CF03BC9A-E6FC-4D38-82CB-9C23E869A341}"/>
    <cellStyle name="常规 10 3 2 3 2 6" xfId="10365" xr:uid="{8AF91863-A221-4066-8138-4DF218D362B6}"/>
    <cellStyle name="常规 10 3 2 3 2 6 2" xfId="10366" xr:uid="{185541EC-AFE3-40AB-A3D9-7BD0CB61AF85}"/>
    <cellStyle name="常规 10 3 2 3 2 6 3" xfId="33580" xr:uid="{61CBC7E2-6F2B-47AE-B483-2F14078B0967}"/>
    <cellStyle name="常规 10 3 2 3 2 7" xfId="10367" xr:uid="{081BF6DB-9F4B-4886-88AD-198A9C5573A8}"/>
    <cellStyle name="常规 10 3 2 3 2 8" xfId="10368" xr:uid="{2B6E8B9B-1C8F-4D65-9D9D-FAC5D7DA7E28}"/>
    <cellStyle name="常规 10 3 2 3 3" xfId="10369" xr:uid="{7771DBA1-9C0C-4C67-98DB-2755D1E0042D}"/>
    <cellStyle name="常规 10 3 2 3 3 2" xfId="10370" xr:uid="{B333BA8B-1857-4540-AB43-F0D86D037570}"/>
    <cellStyle name="常规 10 3 2 3 3 2 2" xfId="10371" xr:uid="{7795653E-EF6F-44EA-B768-92D7A20FD8A2}"/>
    <cellStyle name="常规 10 3 2 3 3 2 2 2" xfId="10372" xr:uid="{B809363B-129F-453A-BA96-806B4D5196BD}"/>
    <cellStyle name="常规 10 3 2 3 3 2 3" xfId="10373" xr:uid="{7044C329-ED71-44DD-829D-E9F0DCEBA9D5}"/>
    <cellStyle name="常规 10 3 2 3 3 2 4" xfId="10374" xr:uid="{4B58139E-BBE8-4A34-A21E-3B82A886843A}"/>
    <cellStyle name="常规 10 3 2 3 3 2 4 2" xfId="33581" xr:uid="{E3B47DDB-782A-4322-8AD8-4F713B90CBB6}"/>
    <cellStyle name="常规 10 3 2 3 3 2 5" xfId="10375" xr:uid="{FC3C39EF-F637-4267-B7BA-A243962024F0}"/>
    <cellStyle name="常规 10 3 2 3 3 3" xfId="10376" xr:uid="{E451C732-0C23-42AC-AF60-C20551CBA809}"/>
    <cellStyle name="常规 10 3 2 3 3 3 2" xfId="10377" xr:uid="{302FF4F6-8747-4A72-9C48-7821A8D397D3}"/>
    <cellStyle name="常规 10 3 2 3 3 3 3" xfId="10378" xr:uid="{67E77813-00A9-4105-AA3D-02799B9F542D}"/>
    <cellStyle name="常规 10 3 2 3 3 4" xfId="10379" xr:uid="{D386DE19-CB14-431D-81B0-52397FA6CD0D}"/>
    <cellStyle name="常规 10 3 2 3 3 4 2" xfId="10380" xr:uid="{B4EED8C6-3B12-4C49-85D0-E0C06FD8A4C1}"/>
    <cellStyle name="常规 10 3 2 3 3 5" xfId="10381" xr:uid="{D11D5355-3D38-46AB-B58B-6E3EE5BF8FEA}"/>
    <cellStyle name="常规 10 3 2 3 3 5 2" xfId="10382" xr:uid="{E5419B14-755B-4545-A821-BECFF178F43C}"/>
    <cellStyle name="常规 10 3 2 3 3 5 3" xfId="33582" xr:uid="{8BE19CC7-EA6C-463A-BF0D-3C9D5E83A72E}"/>
    <cellStyle name="常规 10 3 2 3 3 6" xfId="10383" xr:uid="{E0746BF3-DD8A-4AE6-BF0E-A0ABC06DC452}"/>
    <cellStyle name="常规 10 3 2 3 3 7" xfId="10384" xr:uid="{FB4A173D-A147-4F62-ADDA-1D33663DB7B4}"/>
    <cellStyle name="常规 10 3 2 3 4" xfId="10385" xr:uid="{61791129-135D-401E-8D54-CC31809AB9F1}"/>
    <cellStyle name="常规 10 3 2 3 4 2" xfId="10386" xr:uid="{B50AB74D-0EC1-4EC5-B498-317BDB8B3B80}"/>
    <cellStyle name="常规 10 3 2 3 4 2 2" xfId="10387" xr:uid="{F9AFCD39-2042-4615-82DB-02247821D320}"/>
    <cellStyle name="常规 10 3 2 3 4 3" xfId="10388" xr:uid="{C8A61845-F357-4E3E-B650-8CEAA9EBE131}"/>
    <cellStyle name="常规 10 3 2 3 4 4" xfId="10389" xr:uid="{975BE820-6F56-46BA-A5BD-1D395BE0FA83}"/>
    <cellStyle name="常规 10 3 2 3 4 4 2" xfId="33583" xr:uid="{F47B2282-A19D-46AB-897C-2B8DA4D0AA40}"/>
    <cellStyle name="常规 10 3 2 3 4 5" xfId="10390" xr:uid="{5C3EB531-944E-4ED7-8D83-39BE61BE2239}"/>
    <cellStyle name="常规 10 3 2 3 5" xfId="10391" xr:uid="{B7D359E2-F960-4EC3-AAED-0F2EA92D4A99}"/>
    <cellStyle name="常规 10 3 2 3 5 2" xfId="10392" xr:uid="{3F4262E0-2296-46B8-B6C7-9E84904E84AD}"/>
    <cellStyle name="常规 10 3 2 3 5 3" xfId="10393" xr:uid="{CEBA4E52-77F0-4324-B9E9-E1C20D450CCA}"/>
    <cellStyle name="常规 10 3 2 3 6" xfId="10394" xr:uid="{4756260C-5573-47BD-9632-F71FEC732B24}"/>
    <cellStyle name="常规 10 3 2 3 6 2" xfId="10395" xr:uid="{2626F43E-58BE-44CD-BC43-311ECEF888A6}"/>
    <cellStyle name="常规 10 3 2 3 7" xfId="10396" xr:uid="{EFCEB7C2-3537-42E8-8AAC-BF73D3F2A588}"/>
    <cellStyle name="常规 10 3 2 3 7 2" xfId="10397" xr:uid="{79B8AC80-6547-4A01-A7DE-AE8DDA3802AB}"/>
    <cellStyle name="常规 10 3 2 3 7 3" xfId="33584" xr:uid="{85A3B9FA-A5A2-484F-8EE5-2B86B173D954}"/>
    <cellStyle name="常规 10 3 2 3 8" xfId="10398" xr:uid="{0BA8D36F-35EF-4244-A0D1-2393F20A3E78}"/>
    <cellStyle name="常规 10 3 2 3 9" xfId="10399" xr:uid="{E6DE89CF-5EFE-4C4E-883C-57743739C0F4}"/>
    <cellStyle name="常规 10 3 2 4" xfId="10400" xr:uid="{B594C75C-0D55-49A8-87A7-287E76CBD9B5}"/>
    <cellStyle name="常规 10 3 2 4 2" xfId="10401" xr:uid="{AD509C04-7436-4A8A-BF86-0F947E761C9A}"/>
    <cellStyle name="常规 10 3 2 4 2 2" xfId="10402" xr:uid="{79B9C365-DF43-49C9-82FC-A10A20AA975C}"/>
    <cellStyle name="常规 10 3 2 4 2 2 2" xfId="10403" xr:uid="{1340A294-572A-49A7-B1F1-37ABC0F247DF}"/>
    <cellStyle name="常规 10 3 2 4 2 2 2 2" xfId="10404" xr:uid="{232E668B-BF0E-4895-AAC0-FB74F5E2B33C}"/>
    <cellStyle name="常规 10 3 2 4 2 2 2 2 2" xfId="10405" xr:uid="{941EBE46-B9F7-4A7B-9C59-478C43670605}"/>
    <cellStyle name="常规 10 3 2 4 2 2 2 3" xfId="10406" xr:uid="{6CF4ADC5-1707-4432-8C9A-9D8015E3D1B1}"/>
    <cellStyle name="常规 10 3 2 4 2 2 2 4" xfId="10407" xr:uid="{54A40537-4035-429F-8A47-4FD3BADD880F}"/>
    <cellStyle name="常规 10 3 2 4 2 2 2 4 2" xfId="33585" xr:uid="{5598A280-A313-42D4-BEB8-E7DE3ABCFC69}"/>
    <cellStyle name="常规 10 3 2 4 2 2 2 5" xfId="10408" xr:uid="{50E4F759-CE21-47D5-BD77-001D4A64BEFF}"/>
    <cellStyle name="常规 10 3 2 4 2 2 3" xfId="10409" xr:uid="{D3FEF906-F63B-4AA2-A330-B366A5291ADD}"/>
    <cellStyle name="常规 10 3 2 4 2 2 3 2" xfId="10410" xr:uid="{7CA70F35-C4CE-499C-892C-980AC83FF845}"/>
    <cellStyle name="常规 10 3 2 4 2 2 3 3" xfId="10411" xr:uid="{621A9028-8F15-4E46-BB4D-B3840BE3406A}"/>
    <cellStyle name="常规 10 3 2 4 2 2 4" xfId="10412" xr:uid="{C3B645A0-A841-4B75-963A-C2EC8AC5B7E6}"/>
    <cellStyle name="常规 10 3 2 4 2 2 4 2" xfId="10413" xr:uid="{70803B5E-F39F-4F4F-B36B-87418067B9B4}"/>
    <cellStyle name="常规 10 3 2 4 2 2 5" xfId="10414" xr:uid="{C44C1FDB-B954-471E-9127-17EE1CE3EDFE}"/>
    <cellStyle name="常规 10 3 2 4 2 2 5 2" xfId="10415" xr:uid="{E5101B47-C67B-4917-A028-2E61F4C0987E}"/>
    <cellStyle name="常规 10 3 2 4 2 2 5 3" xfId="33586" xr:uid="{42E218C3-E15C-46B3-9950-616E41F5E16E}"/>
    <cellStyle name="常规 10 3 2 4 2 2 6" xfId="10416" xr:uid="{D5802F94-28F5-47C9-A0FE-4D72EF6B8A9C}"/>
    <cellStyle name="常规 10 3 2 4 2 2 7" xfId="10417" xr:uid="{00191F0F-5C40-4264-BE49-5DA298C9FBA8}"/>
    <cellStyle name="常规 10 3 2 4 2 3" xfId="10418" xr:uid="{169FC4BE-7D36-492D-9BCA-F62FA99E77E0}"/>
    <cellStyle name="常规 10 3 2 4 2 3 2" xfId="10419" xr:uid="{018689D5-9558-47F8-B165-F557B1CB6FA4}"/>
    <cellStyle name="常规 10 3 2 4 2 3 2 2" xfId="10420" xr:uid="{DA86C318-4EF6-4625-9F8B-D35F33E7F4EF}"/>
    <cellStyle name="常规 10 3 2 4 2 3 3" xfId="10421" xr:uid="{E69FE91E-3306-46D1-95A5-228E58DBE8E8}"/>
    <cellStyle name="常规 10 3 2 4 2 3 4" xfId="10422" xr:uid="{DDEE89C0-6F3A-4A64-907D-A28034CBE2F4}"/>
    <cellStyle name="常规 10 3 2 4 2 3 4 2" xfId="33587" xr:uid="{E39ACD0F-DD01-4E0F-AD2B-5D89DC3730B2}"/>
    <cellStyle name="常规 10 3 2 4 2 3 5" xfId="10423" xr:uid="{4692BED1-1101-4E1C-A412-32856C45D255}"/>
    <cellStyle name="常规 10 3 2 4 2 4" xfId="10424" xr:uid="{EFD8F73E-5DA1-4391-AD7A-CD4BA51722CF}"/>
    <cellStyle name="常规 10 3 2 4 2 4 2" xfId="10425" xr:uid="{BD548927-74B0-4D19-AE99-4B3014E216D0}"/>
    <cellStyle name="常规 10 3 2 4 2 4 3" xfId="10426" xr:uid="{5C6473AB-0AB6-4B05-BB1B-99B9B91F065C}"/>
    <cellStyle name="常规 10 3 2 4 2 5" xfId="10427" xr:uid="{893AB88A-77B5-4F05-9F49-FB0EBCFA5790}"/>
    <cellStyle name="常规 10 3 2 4 2 5 2" xfId="10428" xr:uid="{6EFD2872-D1E7-42D2-9EAB-FD1BB364AB08}"/>
    <cellStyle name="常规 10 3 2 4 2 6" xfId="10429" xr:uid="{681AE76E-CBFB-4077-A17E-FB5D00069472}"/>
    <cellStyle name="常规 10 3 2 4 2 6 2" xfId="10430" xr:uid="{B300255E-4EF8-41A7-8093-83C59B300D32}"/>
    <cellStyle name="常规 10 3 2 4 2 6 3" xfId="33588" xr:uid="{AE4028E8-CEFD-4757-9473-8EEC06212F79}"/>
    <cellStyle name="常规 10 3 2 4 2 7" xfId="10431" xr:uid="{791B076D-F7DE-4FD8-9F11-B1C11C09D3B8}"/>
    <cellStyle name="常规 10 3 2 4 2 8" xfId="10432" xr:uid="{8C8B1ACF-5516-4EFA-960E-8C6AFC70AF7C}"/>
    <cellStyle name="常规 10 3 2 4 3" xfId="10433" xr:uid="{24493B8D-3697-4A30-8F79-460347A896DA}"/>
    <cellStyle name="常规 10 3 2 4 3 2" xfId="10434" xr:uid="{9279320B-02D3-4988-BA6C-5817B1E47CE9}"/>
    <cellStyle name="常规 10 3 2 4 3 2 2" xfId="10435" xr:uid="{3E37E4ED-639D-4E91-9510-64A6726A7FAE}"/>
    <cellStyle name="常规 10 3 2 4 3 2 2 2" xfId="10436" xr:uid="{1B3F170A-EC09-492E-9AC2-E628E1D4B601}"/>
    <cellStyle name="常规 10 3 2 4 3 2 3" xfId="10437" xr:uid="{992A41EB-971D-4E52-BFF4-1B22F7D46DB1}"/>
    <cellStyle name="常规 10 3 2 4 3 2 4" xfId="10438" xr:uid="{256BA182-E5BD-4E40-A981-D07CFB214371}"/>
    <cellStyle name="常规 10 3 2 4 3 2 4 2" xfId="33589" xr:uid="{9194A2A4-928A-4E1E-9D63-326CE7B2CC8C}"/>
    <cellStyle name="常规 10 3 2 4 3 2 5" xfId="10439" xr:uid="{30881AA5-2236-4B10-A9B9-291467C8A997}"/>
    <cellStyle name="常规 10 3 2 4 3 3" xfId="10440" xr:uid="{CC085FBA-C472-486B-8EDE-B445266774F4}"/>
    <cellStyle name="常规 10 3 2 4 3 3 2" xfId="10441" xr:uid="{6C61EC6C-C1E2-410D-9812-C3B9A203AA58}"/>
    <cellStyle name="常规 10 3 2 4 3 3 3" xfId="10442" xr:uid="{9528A22B-829F-439C-82CD-36E10DBFFE94}"/>
    <cellStyle name="常规 10 3 2 4 3 4" xfId="10443" xr:uid="{A6000910-6BE0-4027-8F83-642652C54ABC}"/>
    <cellStyle name="常规 10 3 2 4 3 4 2" xfId="10444" xr:uid="{985C578F-EF51-4864-A274-5CC6805DCC5B}"/>
    <cellStyle name="常规 10 3 2 4 3 5" xfId="10445" xr:uid="{E3A3D6ED-A1C7-47EE-82BF-F10F02FD32AF}"/>
    <cellStyle name="常规 10 3 2 4 3 5 2" xfId="10446" xr:uid="{E389B0CD-5915-4A12-A0F6-D2F90FFF785C}"/>
    <cellStyle name="常规 10 3 2 4 3 5 3" xfId="33590" xr:uid="{29D95F85-D45C-4528-8C97-739FC62B3EE3}"/>
    <cellStyle name="常规 10 3 2 4 3 6" xfId="10447" xr:uid="{0126E4CF-3251-4A3C-91DC-05FAE1F4A2C0}"/>
    <cellStyle name="常规 10 3 2 4 3 7" xfId="10448" xr:uid="{8721490C-50AF-46C1-AAC1-25B88F82FA35}"/>
    <cellStyle name="常规 10 3 2 4 4" xfId="10449" xr:uid="{0C3A9948-EEA8-4843-BF8E-357F34F497F6}"/>
    <cellStyle name="常规 10 3 2 4 4 2" xfId="10450" xr:uid="{7E6E5328-6F8A-4844-9B7A-C1DB3AEFF234}"/>
    <cellStyle name="常规 10 3 2 4 4 2 2" xfId="10451" xr:uid="{2AE88BB1-C811-41C3-B1A0-BB067AF7944C}"/>
    <cellStyle name="常规 10 3 2 4 4 3" xfId="10452" xr:uid="{13527C7D-B091-4679-A5B9-B4DBB3170C88}"/>
    <cellStyle name="常规 10 3 2 4 4 4" xfId="10453" xr:uid="{63BCD0A5-C591-463B-A254-2E88CA3DAE3C}"/>
    <cellStyle name="常规 10 3 2 4 4 4 2" xfId="33591" xr:uid="{3E58713D-6AA5-4887-B693-92DCF3E73436}"/>
    <cellStyle name="常规 10 3 2 4 4 5" xfId="10454" xr:uid="{F2974678-B773-4E57-A375-0C98CB907EB7}"/>
    <cellStyle name="常规 10 3 2 4 5" xfId="10455" xr:uid="{2EE9810B-F9C1-4872-BA14-5EDEAB94CB71}"/>
    <cellStyle name="常规 10 3 2 4 5 2" xfId="10456" xr:uid="{7C336581-CA12-4F43-BC0F-B4795C73BB0C}"/>
    <cellStyle name="常规 10 3 2 4 5 3" xfId="10457" xr:uid="{7AFE8DCA-7BDB-4C0E-86BD-5F3D49EB4FC3}"/>
    <cellStyle name="常规 10 3 2 4 6" xfId="10458" xr:uid="{5AE5F4DC-20A1-49F4-A0D6-50EA08455662}"/>
    <cellStyle name="常规 10 3 2 4 6 2" xfId="10459" xr:uid="{4C1CA47F-A98A-4F5C-A737-1EC57D359932}"/>
    <cellStyle name="常规 10 3 2 4 7" xfId="10460" xr:uid="{5CFCAAB4-7C0D-4349-A3BB-37ABDCFEEEAD}"/>
    <cellStyle name="常规 10 3 2 4 7 2" xfId="10461" xr:uid="{8089585C-B82E-46EC-9D6A-1961281576AA}"/>
    <cellStyle name="常规 10 3 2 4 7 3" xfId="33592" xr:uid="{A3F616D2-D637-4AC1-B460-6A750D63F9E5}"/>
    <cellStyle name="常规 10 3 2 4 8" xfId="10462" xr:uid="{800E90B6-4ED6-4B2C-8E34-0ADB0017EAB6}"/>
    <cellStyle name="常规 10 3 2 4 9" xfId="10463" xr:uid="{AA94F40B-D0CB-466D-B21B-678EA7891827}"/>
    <cellStyle name="常规 10 3 2 5" xfId="10464" xr:uid="{BD128A58-2C96-42B0-9E9A-6FB6AE92BAD3}"/>
    <cellStyle name="常规 10 3 2 5 2" xfId="10465" xr:uid="{FE68D484-7331-4173-B120-81210F2410E9}"/>
    <cellStyle name="常规 10 3 2 5 2 2" xfId="10466" xr:uid="{C9F497B4-3651-401B-BF3A-48A8D6466C8B}"/>
    <cellStyle name="常规 10 3 2 5 2 2 2" xfId="10467" xr:uid="{B1856456-C85F-4A77-B813-36464AC5BDF6}"/>
    <cellStyle name="常规 10 3 2 5 2 2 2 2" xfId="10468" xr:uid="{9588E936-509D-42F8-AECF-8CC33FC4E0FC}"/>
    <cellStyle name="常规 10 3 2 5 2 2 2 2 2" xfId="10469" xr:uid="{C66572A4-0D96-44D2-9894-290CCD829F7B}"/>
    <cellStyle name="常规 10 3 2 5 2 2 2 3" xfId="10470" xr:uid="{96170694-985C-4EAB-A6DD-37227AB0F3FD}"/>
    <cellStyle name="常规 10 3 2 5 2 2 2 4" xfId="10471" xr:uid="{752CCCF9-D177-4700-A46B-1DD0DE896046}"/>
    <cellStyle name="常规 10 3 2 5 2 2 2 4 2" xfId="33593" xr:uid="{88B4EFA3-1793-4954-AA36-C1A5283C2689}"/>
    <cellStyle name="常规 10 3 2 5 2 2 3" xfId="10472" xr:uid="{8BCB87E8-A452-4024-99E7-75EB8C0D3600}"/>
    <cellStyle name="常规 10 3 2 5 2 2 3 2" xfId="10473" xr:uid="{C0F83DB3-A5DC-48B4-A61D-813BA2BA25AF}"/>
    <cellStyle name="常规 10 3 2 5 2 2 4" xfId="10474" xr:uid="{4713FD1E-2AD3-474B-9FEE-0E438151284E}"/>
    <cellStyle name="常规 10 3 2 5 2 2 5" xfId="10475" xr:uid="{706A33D7-420F-41E4-8E4A-3AEC7B306D08}"/>
    <cellStyle name="常规 10 3 2 5 2 2 5 2" xfId="33594" xr:uid="{242C5D80-F69F-41C6-9CBD-E87D519F8C06}"/>
    <cellStyle name="常规 10 3 2 5 2 2 6" xfId="10476" xr:uid="{0723AF4C-FDFB-4C0A-AEF8-C525B2CEF00A}"/>
    <cellStyle name="常规 10 3 2 5 2 3" xfId="10477" xr:uid="{8CADEBD6-E059-46A4-89D9-FA8D44F669F8}"/>
    <cellStyle name="常规 10 3 2 5 2 3 2" xfId="10478" xr:uid="{A5411B49-0213-4A6D-A4F2-265BFF8B8816}"/>
    <cellStyle name="常规 10 3 2 5 2 3 2 2" xfId="10479" xr:uid="{255CDA8A-CD22-42F1-9141-F4397D80C8DF}"/>
    <cellStyle name="常规 10 3 2 5 2 3 3" xfId="10480" xr:uid="{E55BBC37-A104-41FB-B527-232A83268CE6}"/>
    <cellStyle name="常规 10 3 2 5 2 3 4" xfId="10481" xr:uid="{00DA0E09-4699-4B2A-81C8-9BE6E21589EA}"/>
    <cellStyle name="常规 10 3 2 5 2 3 4 2" xfId="33595" xr:uid="{A30397C2-C73E-44A9-AC73-C32154CE481E}"/>
    <cellStyle name="常规 10 3 2 5 2 3 5" xfId="10482" xr:uid="{42C55AE5-81C8-4213-AD35-E2E684B8044E}"/>
    <cellStyle name="常规 10 3 2 5 2 4" xfId="10483" xr:uid="{F127393C-E0A6-44EF-8277-8CF71A5B1E82}"/>
    <cellStyle name="常规 10 3 2 5 2 4 2" xfId="10484" xr:uid="{9EE38D51-D536-40B4-847C-81FDCE011926}"/>
    <cellStyle name="常规 10 3 2 5 2 4 3" xfId="10485" xr:uid="{342EF0DD-7A78-4A58-9EBD-792472D58249}"/>
    <cellStyle name="常规 10 3 2 5 2 5" xfId="10486" xr:uid="{399283D8-37FE-4024-BCA2-D09D96EF4EE5}"/>
    <cellStyle name="常规 10 3 2 5 2 5 2" xfId="10487" xr:uid="{BE8C941D-4467-43F1-99C8-891D2910B1FB}"/>
    <cellStyle name="常规 10 3 2 5 2 6" xfId="10488" xr:uid="{F31A637D-C0E2-450B-AD1E-B284A6D961A4}"/>
    <cellStyle name="常规 10 3 2 5 2 6 2" xfId="10489" xr:uid="{2DAE38FE-3308-4A4D-A6B0-A6AF66E6E4E5}"/>
    <cellStyle name="常规 10 3 2 5 2 6 3" xfId="33596" xr:uid="{7CAA2B4C-326B-4AB2-90C9-BDA3DF28D662}"/>
    <cellStyle name="常规 10 3 2 5 2 7" xfId="10490" xr:uid="{B6592164-D400-424B-A21E-099DE38B2208}"/>
    <cellStyle name="常规 10 3 2 5 3" xfId="10491" xr:uid="{5480517F-AF21-43AF-BB57-503D74EA639D}"/>
    <cellStyle name="常规 10 3 2 5 3 2" xfId="10492" xr:uid="{BF00EBBC-D557-4CDF-BB09-0143F33F36B2}"/>
    <cellStyle name="常规 10 3 2 5 3 2 2" xfId="10493" xr:uid="{6E575211-D803-485B-BD35-251A5DECE199}"/>
    <cellStyle name="常规 10 3 2 5 3 2 2 2" xfId="10494" xr:uid="{AD4EF14C-1916-4EA0-B52A-58D644CADFB9}"/>
    <cellStyle name="常规 10 3 2 5 3 2 3" xfId="10495" xr:uid="{29C4A2D6-6C9A-4231-8B70-9DC510A6353B}"/>
    <cellStyle name="常规 10 3 2 5 3 2 4" xfId="10496" xr:uid="{EBE1C453-A2F7-4AD2-8774-48AA1F0FB972}"/>
    <cellStyle name="常规 10 3 2 5 3 2 4 2" xfId="33597" xr:uid="{4173A921-8D5C-41C3-9E23-9A480ECB02A8}"/>
    <cellStyle name="常规 10 3 2 5 3 3" xfId="10497" xr:uid="{CCD84319-4536-4864-B8E6-515F46055E7C}"/>
    <cellStyle name="常规 10 3 2 5 3 3 2" xfId="10498" xr:uid="{FAD9F381-D2E3-43C2-A520-BD6A95DBA6D7}"/>
    <cellStyle name="常规 10 3 2 5 3 4" xfId="10499" xr:uid="{132FD2B5-1E25-4C7B-A853-063EF44645C1}"/>
    <cellStyle name="常规 10 3 2 5 3 5" xfId="10500" xr:uid="{92D1057D-3768-4B1E-A6CD-889DC3F6B61A}"/>
    <cellStyle name="常规 10 3 2 5 3 5 2" xfId="33598" xr:uid="{456F433B-3B4C-4828-87D2-AD9724E36F05}"/>
    <cellStyle name="常规 10 3 2 5 3 6" xfId="10501" xr:uid="{EE71F3EE-BE23-4DC4-A0E9-C1AF1790B2C3}"/>
    <cellStyle name="常规 10 3 2 5 4" xfId="10502" xr:uid="{93421792-EFE7-4001-9AA6-FFD0684A8855}"/>
    <cellStyle name="常规 10 3 2 5 4 2" xfId="10503" xr:uid="{88B55652-AB5C-4E84-AAB9-C7AE154FEB75}"/>
    <cellStyle name="常规 10 3 2 5 4 2 2" xfId="10504" xr:uid="{A440A064-CAA5-4D1F-BC6E-CDB1AD54E172}"/>
    <cellStyle name="常规 10 3 2 5 4 3" xfId="10505" xr:uid="{85B40808-6EC9-4588-B650-749078547227}"/>
    <cellStyle name="常规 10 3 2 5 4 4" xfId="10506" xr:uid="{A77BF06D-0EA1-4D1F-AD83-311B327A12AB}"/>
    <cellStyle name="常规 10 3 2 5 4 4 2" xfId="33599" xr:uid="{0C768508-A3CD-40D2-9BE3-F0AFD5FF3C74}"/>
    <cellStyle name="常规 10 3 2 5 4 5" xfId="10507" xr:uid="{B3C08D61-F86C-45C1-9EFD-1262BE23523D}"/>
    <cellStyle name="常规 10 3 2 5 5" xfId="10508" xr:uid="{0CD402ED-21D5-4391-B76E-73EFC132A804}"/>
    <cellStyle name="常规 10 3 2 5 5 2" xfId="10509" xr:uid="{1B3C42F6-2A5D-4657-8E9F-92C4474028B0}"/>
    <cellStyle name="常规 10 3 2 5 5 3" xfId="10510" xr:uid="{20630408-D055-49AB-8345-538839D45E5A}"/>
    <cellStyle name="常规 10 3 2 5 6" xfId="10511" xr:uid="{F14F459E-C49F-4D22-BB04-CECFEB471ABC}"/>
    <cellStyle name="常规 10 3 2 5 6 2" xfId="10512" xr:uid="{C93C9E39-50DA-4123-92D3-180EA7EE6824}"/>
    <cellStyle name="常规 10 3 2 5 7" xfId="10513" xr:uid="{B2D94BA4-C8AD-498F-8ED0-7A71DBF78548}"/>
    <cellStyle name="常规 10 3 2 5 7 2" xfId="10514" xr:uid="{616B031D-0A9E-4D9D-9D26-6150E06D9EA7}"/>
    <cellStyle name="常规 10 3 2 5 7 3" xfId="33600" xr:uid="{011BA218-9DA4-4246-BA1E-B1CE7EA56361}"/>
    <cellStyle name="常规 10 3 2 5 8" xfId="10515" xr:uid="{E050FE96-C9F9-4C68-B642-328D36454D44}"/>
    <cellStyle name="常规 10 3 2 6" xfId="10516" xr:uid="{FA2BADDF-551D-49AE-AB35-4AD854FCD346}"/>
    <cellStyle name="常规 10 3 2 6 2" xfId="10517" xr:uid="{25B3191D-F91B-45E4-9CF8-1FABE5C83BFB}"/>
    <cellStyle name="常规 10 3 2 6 2 2" xfId="10518" xr:uid="{67085451-863C-4021-857D-44D6DD7ADCD3}"/>
    <cellStyle name="常规 10 3 2 6 2 2 2" xfId="10519" xr:uid="{FACA91F5-F41A-4CDD-AE26-D731B0A31B3C}"/>
    <cellStyle name="常规 10 3 2 6 2 2 2 2" xfId="10520" xr:uid="{74FBB01A-8929-4B54-9439-7C56930AFD05}"/>
    <cellStyle name="常规 10 3 2 6 2 2 3" xfId="10521" xr:uid="{9FFE4469-743C-42D7-B388-56798B199945}"/>
    <cellStyle name="常规 10 3 2 6 2 2 4" xfId="10522" xr:uid="{8720B8E1-D2F9-40D2-B359-55FEE8D2B016}"/>
    <cellStyle name="常规 10 3 2 6 2 2 4 2" xfId="33601" xr:uid="{8095D8C9-D460-4BD2-AD0E-55092EE7948F}"/>
    <cellStyle name="常规 10 3 2 6 2 3" xfId="10523" xr:uid="{33788B1F-59C9-4771-ABE0-E941AD80A241}"/>
    <cellStyle name="常规 10 3 2 6 2 3 2" xfId="10524" xr:uid="{41D5A429-B6E7-49D5-A0CF-DF995E8100AF}"/>
    <cellStyle name="常规 10 3 2 6 2 4" xfId="10525" xr:uid="{99F0AA57-5692-47A0-903F-7A022525D00D}"/>
    <cellStyle name="常规 10 3 2 6 2 5" xfId="10526" xr:uid="{9DFC6090-BB75-4A60-9B03-4A6A73EB6543}"/>
    <cellStyle name="常规 10 3 2 6 2 5 2" xfId="33602" xr:uid="{198A7EF0-8F8F-499D-B0E7-931A251367F3}"/>
    <cellStyle name="常规 10 3 2 6 2 6" xfId="10527" xr:uid="{7D8266FE-8A69-4B5B-8E4D-C29C603024C5}"/>
    <cellStyle name="常规 10 3 2 6 3" xfId="10528" xr:uid="{D21EF1D4-67F5-40AC-9022-6CF51A681129}"/>
    <cellStyle name="常规 10 3 2 6 3 2" xfId="10529" xr:uid="{E9F75137-CA2C-4EED-92B2-AF9E517CE57A}"/>
    <cellStyle name="常规 10 3 2 6 3 2 2" xfId="10530" xr:uid="{BAD386BC-862D-4F8B-9C34-E44660A7ADD5}"/>
    <cellStyle name="常规 10 3 2 6 3 3" xfId="10531" xr:uid="{F94D5A06-FD73-4A9F-97B7-EBB0D43CEF7D}"/>
    <cellStyle name="常规 10 3 2 6 3 4" xfId="10532" xr:uid="{79AACFDE-CE82-4D2E-85A8-9ADEEB7F7179}"/>
    <cellStyle name="常规 10 3 2 6 3 4 2" xfId="33603" xr:uid="{D13C8857-878A-4D10-86AF-5FD4EEDC758A}"/>
    <cellStyle name="常规 10 3 2 6 3 5" xfId="10533" xr:uid="{91247951-7AFA-447F-8E6A-17954D5B380A}"/>
    <cellStyle name="常规 10 3 2 6 4" xfId="10534" xr:uid="{F710C7B7-4585-4A97-9CCA-B61F095ADACB}"/>
    <cellStyle name="常规 10 3 2 6 4 2" xfId="10535" xr:uid="{7814104E-4D0F-43B8-8D6F-E460140F4154}"/>
    <cellStyle name="常规 10 3 2 6 4 3" xfId="10536" xr:uid="{B3B08D84-1BD2-455B-ADAF-F7C99BB3EFCF}"/>
    <cellStyle name="常规 10 3 2 6 5" xfId="10537" xr:uid="{1A70396D-F6F1-4D17-A15C-E2F359953BBB}"/>
    <cellStyle name="常规 10 3 2 6 5 2" xfId="10538" xr:uid="{46F00528-8116-4E66-8DCA-11C57C5C8A43}"/>
    <cellStyle name="常规 10 3 2 6 6" xfId="10539" xr:uid="{95D82471-5296-4C6D-A798-C2F608B43338}"/>
    <cellStyle name="常规 10 3 2 6 6 2" xfId="10540" xr:uid="{C9EB1BAD-53AD-4E14-B95F-040EE48320D1}"/>
    <cellStyle name="常规 10 3 2 6 6 3" xfId="33604" xr:uid="{129E223B-A5CF-47D3-96BD-B446F8CB79EF}"/>
    <cellStyle name="常规 10 3 2 6 7" xfId="10541" xr:uid="{FBFE1BA7-6AF2-45D6-9BBA-B337189DD49D}"/>
    <cellStyle name="常规 10 3 2 7" xfId="10542" xr:uid="{C7D970E3-4D01-4BBC-8F5B-406BBEFCBA4A}"/>
    <cellStyle name="常规 10 3 2 7 2" xfId="10543" xr:uid="{EA29503B-A155-4EF0-8AA9-509F5737DD6F}"/>
    <cellStyle name="常规 10 3 2 7 2 2" xfId="10544" xr:uid="{4A68727B-E089-4752-B119-40A00086D043}"/>
    <cellStyle name="常规 10 3 2 7 2 2 2" xfId="10545" xr:uid="{AD6BB2D2-1128-4EA8-905A-746931901E3F}"/>
    <cellStyle name="常规 10 3 2 7 2 3" xfId="10546" xr:uid="{0F0A3272-C46D-4034-B5C2-F3AA9946AB7E}"/>
    <cellStyle name="常规 10 3 2 7 2 4" xfId="10547" xr:uid="{695D815C-ED69-4F91-B5E1-4BC05F67352E}"/>
    <cellStyle name="常规 10 3 2 7 2 4 2" xfId="33605" xr:uid="{858057E7-6A37-4BBD-A8CA-D0042FA9FA27}"/>
    <cellStyle name="常规 10 3 2 7 3" xfId="10548" xr:uid="{45D5C09A-26D1-4CFC-AF87-B112956243C6}"/>
    <cellStyle name="常规 10 3 2 7 3 2" xfId="10549" xr:uid="{0DB0C129-E4BA-4D59-954F-6822C9B05720}"/>
    <cellStyle name="常规 10 3 2 7 4" xfId="10550" xr:uid="{8229484C-ED01-48ED-9B23-B58CD300337C}"/>
    <cellStyle name="常规 10 3 2 7 5" xfId="10551" xr:uid="{95CE1758-3AFF-49D8-9E7E-EC0A38BBFC6D}"/>
    <cellStyle name="常规 10 3 2 7 5 2" xfId="33606" xr:uid="{40C35257-988E-4812-A0F9-2C7629E16FAB}"/>
    <cellStyle name="常规 10 3 2 7 6" xfId="10552" xr:uid="{ADEE6533-0CA5-4ED3-BCB3-DA5540588BFC}"/>
    <cellStyle name="常规 10 3 2 8" xfId="10553" xr:uid="{B803FEB1-8E8E-4C80-AF45-3303F13B44E9}"/>
    <cellStyle name="常规 10 3 2 8 2" xfId="10554" xr:uid="{5EA2951A-F962-43D6-8ABE-75106BCA2707}"/>
    <cellStyle name="常规 10 3 2 8 2 2" xfId="10555" xr:uid="{2615DD41-8968-4D61-9E30-701F40D81ECB}"/>
    <cellStyle name="常规 10 3 2 8 2 2 2" xfId="10556" xr:uid="{54A91CF3-0551-41BF-BC44-4DCA8CC5DF48}"/>
    <cellStyle name="常规 10 3 2 8 2 3" xfId="10557" xr:uid="{5EB6FEA1-9630-46D1-BC62-21559C328363}"/>
    <cellStyle name="常规 10 3 2 8 2 4" xfId="10558" xr:uid="{17FF0696-45B0-46A0-A9BE-71C7FCFDB0ED}"/>
    <cellStyle name="常规 10 3 2 8 2 4 2" xfId="33607" xr:uid="{0DF3487E-FA19-48D8-8DFB-2817C30E6CBA}"/>
    <cellStyle name="常规 10 3 2 8 3" xfId="10559" xr:uid="{64B3A7CB-3B79-4837-8976-02DAD6489A65}"/>
    <cellStyle name="常规 10 3 2 8 3 2" xfId="10560" xr:uid="{AEF0CCD8-E214-4A9B-8C5B-4F0CF96FF4C1}"/>
    <cellStyle name="常规 10 3 2 8 4" xfId="10561" xr:uid="{2B7D3683-410E-476C-AE0B-C938D1F021AC}"/>
    <cellStyle name="常规 10 3 2 8 5" xfId="10562" xr:uid="{E317424A-E4E8-4193-B36E-D7519CDF0FCB}"/>
    <cellStyle name="常规 10 3 2 8 5 2" xfId="33608" xr:uid="{B1F031B6-D374-4B92-BE94-8A2BF708C87C}"/>
    <cellStyle name="常规 10 3 2 8 6" xfId="10563" xr:uid="{D87425C7-F4FA-4216-8928-DB4BC0E27E65}"/>
    <cellStyle name="常规 10 3 2 9" xfId="10564" xr:uid="{CADBCBA5-E1DC-445C-ADB5-E1E8F0CCFCF2}"/>
    <cellStyle name="常规 10 3 2 9 2" xfId="10565" xr:uid="{114175E2-8E5A-4693-B045-E3AA393A550A}"/>
    <cellStyle name="常规 10 3 2 9 2 2" xfId="10566" xr:uid="{47A1D8A1-96A1-41B9-91C4-4559EC02E21C}"/>
    <cellStyle name="常规 10 3 2 9 3" xfId="10567" xr:uid="{71CBBDCB-3C55-4287-B951-41AF9743974B}"/>
    <cellStyle name="常规 10 3 2 9 4" xfId="10568" xr:uid="{BB4F452C-FD36-4528-BA50-1343DA34E4F9}"/>
    <cellStyle name="常规 10 3 2 9 4 2" xfId="33609" xr:uid="{A9864EDD-36BE-4E49-95D8-FD197C3CF6C8}"/>
    <cellStyle name="常规 10 3 2 9 5" xfId="10569" xr:uid="{80239667-A806-4912-A4BD-E7B9CCEBBC18}"/>
    <cellStyle name="常规 10 3 3" xfId="10570" xr:uid="{27F4AEAC-D6EB-4CE2-9D0B-85E82514183C}"/>
    <cellStyle name="常规 10 3 3 10" xfId="10571" xr:uid="{1BC2E496-B1CF-4A0B-B01C-59C2D6951C6B}"/>
    <cellStyle name="常规 10 3 3 2" xfId="10572" xr:uid="{7FB62150-5E3B-4C37-B77E-4B5FBED4D1A6}"/>
    <cellStyle name="常规 10 3 3 2 2" xfId="10573" xr:uid="{1E5AFB38-186C-4B4C-9025-A1654DBA6432}"/>
    <cellStyle name="常规 10 3 3 2 2 2" xfId="10574" xr:uid="{E9B376D4-9ABF-4ADA-A383-C9909647DED1}"/>
    <cellStyle name="常规 10 3 3 2 2 2 2" xfId="10575" xr:uid="{139C1064-F4BF-4EC9-87E9-8B5DA00FB453}"/>
    <cellStyle name="常规 10 3 3 2 2 2 2 2" xfId="10576" xr:uid="{757E87D2-A321-4C95-832D-AAA797202691}"/>
    <cellStyle name="常规 10 3 3 2 2 2 2 2 2" xfId="10577" xr:uid="{56727471-2D47-4D27-AB95-03CF2EAD4377}"/>
    <cellStyle name="常规 10 3 3 2 2 2 2 3" xfId="10578" xr:uid="{E9B3307E-157B-4C81-883D-19DC4354D0E8}"/>
    <cellStyle name="常规 10 3 3 2 2 2 2 4" xfId="10579" xr:uid="{1C71E2FF-9C20-4201-A5B1-E0AF87CFD1CB}"/>
    <cellStyle name="常规 10 3 3 2 2 2 2 4 2" xfId="33610" xr:uid="{28790CB8-F399-4949-AFA7-D34364F2BC8D}"/>
    <cellStyle name="常规 10 3 3 2 2 2 2 5" xfId="10580" xr:uid="{674FF207-520F-40D7-ADCE-B82F15D5D420}"/>
    <cellStyle name="常规 10 3 3 2 2 2 3" xfId="10581" xr:uid="{3B06E5AF-1DCA-4831-8E2D-D806ABCC6BD8}"/>
    <cellStyle name="常规 10 3 3 2 2 2 3 2" xfId="10582" xr:uid="{39F042F9-CC40-4E36-93A5-BD14F8F19C70}"/>
    <cellStyle name="常规 10 3 3 2 2 2 3 3" xfId="10583" xr:uid="{52D10799-27E3-4DF5-8F5A-E5F49FFE2321}"/>
    <cellStyle name="常规 10 3 3 2 2 2 4" xfId="10584" xr:uid="{F5A0DB4E-2AB7-4D84-A06F-7C038B01FAA4}"/>
    <cellStyle name="常规 10 3 3 2 2 2 4 2" xfId="10585" xr:uid="{88AECBE0-839C-46C2-A02E-377D5E0B27A2}"/>
    <cellStyle name="常规 10 3 3 2 2 2 5" xfId="10586" xr:uid="{158234B1-1DE5-43D2-A84F-C3ECE2B694AD}"/>
    <cellStyle name="常规 10 3 3 2 2 2 5 2" xfId="10587" xr:uid="{9FD6656D-4698-41EE-80A1-799E9B38E33F}"/>
    <cellStyle name="常规 10 3 3 2 2 2 5 3" xfId="33611" xr:uid="{4353BEBB-A120-4DDB-8153-B5BC4B0958AC}"/>
    <cellStyle name="常规 10 3 3 2 2 2 6" xfId="10588" xr:uid="{A4E12AE2-0D18-4568-98CC-2F56CA233F1E}"/>
    <cellStyle name="常规 10 3 3 2 2 2 7" xfId="10589" xr:uid="{A1013EFD-4622-4897-AAB3-B3EBC9C9E3F9}"/>
    <cellStyle name="常规 10 3 3 2 2 3" xfId="10590" xr:uid="{967DFB3F-1DAC-4B3F-85E2-4068AF123B13}"/>
    <cellStyle name="常规 10 3 3 2 2 3 2" xfId="10591" xr:uid="{209FD9A6-D1D6-4518-8494-81C46B5BCF6B}"/>
    <cellStyle name="常规 10 3 3 2 2 3 2 2" xfId="10592" xr:uid="{EB0FBB9B-DD7E-4D27-9ACE-3256DF9C3B3F}"/>
    <cellStyle name="常规 10 3 3 2 2 3 3" xfId="10593" xr:uid="{61F08238-D3FC-417D-AE87-111C1B81E222}"/>
    <cellStyle name="常规 10 3 3 2 2 3 4" xfId="10594" xr:uid="{536437AE-232A-4367-8148-4C40C17121B1}"/>
    <cellStyle name="常规 10 3 3 2 2 3 4 2" xfId="33612" xr:uid="{A96C28A1-7242-4975-8ED6-361E934E38A8}"/>
    <cellStyle name="常规 10 3 3 2 2 3 5" xfId="10595" xr:uid="{455E4027-993B-43C1-BED8-1EFA3EFA55F7}"/>
    <cellStyle name="常规 10 3 3 2 2 4" xfId="10596" xr:uid="{A8870127-0E54-4F7B-920A-0B27B91304E5}"/>
    <cellStyle name="常规 10 3 3 2 2 4 2" xfId="10597" xr:uid="{97F9DC6C-3DF2-4C83-B402-EDDC73F05D10}"/>
    <cellStyle name="常规 10 3 3 2 2 4 3" xfId="10598" xr:uid="{BA73284D-51C7-4B75-9D58-AE1A1EDF3768}"/>
    <cellStyle name="常规 10 3 3 2 2 5" xfId="10599" xr:uid="{12872309-A730-4298-9160-C38007B71CF6}"/>
    <cellStyle name="常规 10 3 3 2 2 5 2" xfId="10600" xr:uid="{C1DEE201-0F30-4BEE-9BB2-8822F0CA5FE9}"/>
    <cellStyle name="常规 10 3 3 2 2 6" xfId="10601" xr:uid="{FADB465E-1149-4327-B606-44A06C8F0B78}"/>
    <cellStyle name="常规 10 3 3 2 2 6 2" xfId="10602" xr:uid="{C617D29D-2816-4214-8E53-2733A0B2E179}"/>
    <cellStyle name="常规 10 3 3 2 2 6 3" xfId="33613" xr:uid="{C81F7C76-C828-445B-A936-7D2DA6AD588F}"/>
    <cellStyle name="常规 10 3 3 2 2 7" xfId="10603" xr:uid="{5138988E-4452-459D-8158-E7EFACD517E8}"/>
    <cellStyle name="常规 10 3 3 2 2 8" xfId="10604" xr:uid="{56DF9EAA-B3DE-45BC-B1C3-281F6EE4E3BC}"/>
    <cellStyle name="常规 10 3 3 2 3" xfId="10605" xr:uid="{64F626A9-E1C7-4438-88E7-A33745FAA9BE}"/>
    <cellStyle name="常规 10 3 3 2 3 2" xfId="10606" xr:uid="{C41F27F4-1033-4028-84C8-D5EF53F172B6}"/>
    <cellStyle name="常规 10 3 3 2 3 2 2" xfId="10607" xr:uid="{071CA21D-939D-47FE-BCAC-9BB8C6EADA1E}"/>
    <cellStyle name="常规 10 3 3 2 3 2 2 2" xfId="10608" xr:uid="{D731556F-8C69-454B-8EDE-6EB11B2EE756}"/>
    <cellStyle name="常规 10 3 3 2 3 2 3" xfId="10609" xr:uid="{50A1B5B2-EEF4-40F1-B74E-0CAC52A4933C}"/>
    <cellStyle name="常规 10 3 3 2 3 2 4" xfId="10610" xr:uid="{C40D66C3-CACF-4129-B8AB-4B4F315A8898}"/>
    <cellStyle name="常规 10 3 3 2 3 2 4 2" xfId="33614" xr:uid="{045B1368-89D5-4A07-8778-1C8A0CE3684B}"/>
    <cellStyle name="常规 10 3 3 2 3 2 5" xfId="10611" xr:uid="{39AB7828-FA4A-4562-9EDD-B192BAC1D276}"/>
    <cellStyle name="常规 10 3 3 2 3 3" xfId="10612" xr:uid="{CD048AB8-4FD1-4F6D-A736-8BFDD97E51CB}"/>
    <cellStyle name="常规 10 3 3 2 3 3 2" xfId="10613" xr:uid="{52997E93-E163-4AB0-9945-AAE3513DBAB1}"/>
    <cellStyle name="常规 10 3 3 2 3 3 3" xfId="10614" xr:uid="{FC5701D3-609E-4414-95C1-69998560861F}"/>
    <cellStyle name="常规 10 3 3 2 3 4" xfId="10615" xr:uid="{FC86B984-7B7E-49E7-9B40-23547E3487A9}"/>
    <cellStyle name="常规 10 3 3 2 3 4 2" xfId="10616" xr:uid="{9B1D23A0-2779-4E5E-AB54-BF17A4835E49}"/>
    <cellStyle name="常规 10 3 3 2 3 5" xfId="10617" xr:uid="{1456DBF3-0F42-451A-9D16-09843BEB937F}"/>
    <cellStyle name="常规 10 3 3 2 3 5 2" xfId="10618" xr:uid="{627EE711-CADD-44E7-ADD1-D166A7D475FD}"/>
    <cellStyle name="常规 10 3 3 2 3 5 3" xfId="33615" xr:uid="{9EA24F17-0CAE-4DD0-A9EE-F54AE09D9936}"/>
    <cellStyle name="常规 10 3 3 2 3 6" xfId="10619" xr:uid="{61EFC4D7-B6D8-4B8D-B269-8DF8960A63E9}"/>
    <cellStyle name="常规 10 3 3 2 3 7" xfId="10620" xr:uid="{763BA70D-7DC6-4D14-815D-88EF27E6E5C0}"/>
    <cellStyle name="常规 10 3 3 2 4" xfId="10621" xr:uid="{91AD47C6-C7B8-4780-8F4A-B9DA6E946221}"/>
    <cellStyle name="常规 10 3 3 2 4 2" xfId="10622" xr:uid="{7CF56BD5-7753-43B2-90BB-AB84C17C4B17}"/>
    <cellStyle name="常规 10 3 3 2 4 2 2" xfId="10623" xr:uid="{FCD3C090-E880-4B48-82ED-EDA0BD28F8B9}"/>
    <cellStyle name="常规 10 3 3 2 4 3" xfId="10624" xr:uid="{7DC5AFEC-A1C0-40B7-922D-959A53125DF5}"/>
    <cellStyle name="常规 10 3 3 2 4 4" xfId="10625" xr:uid="{1101AF30-394D-4CB0-B2AB-E58531DA3BB4}"/>
    <cellStyle name="常规 10 3 3 2 4 4 2" xfId="33616" xr:uid="{085D63B0-3B88-43CD-BA6F-53F2957DDC67}"/>
    <cellStyle name="常规 10 3 3 2 4 5" xfId="10626" xr:uid="{2567C195-1850-4141-85FC-166F2CCDBE8E}"/>
    <cellStyle name="常规 10 3 3 2 5" xfId="10627" xr:uid="{A68979D9-AC1F-47B5-B1F3-8BA847FDA6FF}"/>
    <cellStyle name="常规 10 3 3 2 5 2" xfId="10628" xr:uid="{C319BA3E-5F12-417D-8D09-FEADE9D8CFBA}"/>
    <cellStyle name="常规 10 3 3 2 5 2 2" xfId="10629" xr:uid="{FAD7285F-AE27-4DA3-9505-63CF0F673DBF}"/>
    <cellStyle name="常规 10 3 3 2 5 3" xfId="10630" xr:uid="{7EB6A9A5-2385-48F5-B4F7-9F604055052E}"/>
    <cellStyle name="常规 10 3 3 2 5 4" xfId="10631" xr:uid="{192558C4-B588-4B60-A984-20AD325DF4BB}"/>
    <cellStyle name="常规 10 3 3 2 5 4 2" xfId="33617" xr:uid="{02FEBF09-B262-428F-87EF-56168D48C035}"/>
    <cellStyle name="常规 10 3 3 2 5 5" xfId="10632" xr:uid="{67063987-11E8-49D1-98C0-5DE7CC46D350}"/>
    <cellStyle name="常规 10 3 3 2 6" xfId="10633" xr:uid="{2B9BBBEC-8A29-41EA-86A9-982F4B161C49}"/>
    <cellStyle name="常规 10 3 3 2 6 2" xfId="10634" xr:uid="{22108C05-358D-4C5F-B232-52CB6F16D93B}"/>
    <cellStyle name="常规 10 3 3 2 6 3" xfId="10635" xr:uid="{76B37469-DE4E-4F30-85E3-6BCDA312185F}"/>
    <cellStyle name="常规 10 3 3 2 7" xfId="10636" xr:uid="{0D9AE3BB-23F0-4137-9235-E2C1ED89BD55}"/>
    <cellStyle name="常规 10 3 3 2 7 2" xfId="10637" xr:uid="{5126157C-03E4-41E7-8E35-8A56D039C064}"/>
    <cellStyle name="常规 10 3 3 2 8" xfId="10638" xr:uid="{8A22F000-C523-4A8A-937E-D19A234E15AE}"/>
    <cellStyle name="常规 10 3 3 2 8 2" xfId="10639" xr:uid="{26CED7D8-162E-455A-8D48-07CA62C1C10A}"/>
    <cellStyle name="常规 10 3 3 2 8 3" xfId="33618" xr:uid="{FF4466E8-D94D-4E4F-B504-80F409D7D191}"/>
    <cellStyle name="常规 10 3 3 2 9" xfId="10640" xr:uid="{67CEBC0A-3F41-492C-8B66-F8792BE95750}"/>
    <cellStyle name="常规 10 3 3 3" xfId="10641" xr:uid="{F808945B-0E9C-4141-8E8A-41ABB3DE161F}"/>
    <cellStyle name="常规 10 3 3 3 2" xfId="10642" xr:uid="{69AD14F6-3D07-4ADE-A306-DA48749C12C6}"/>
    <cellStyle name="常规 10 3 3 3 2 2" xfId="10643" xr:uid="{9236123F-BE6D-4B6B-AAC5-B84DA4E198FC}"/>
    <cellStyle name="常规 10 3 3 3 2 2 2" xfId="10644" xr:uid="{E0374286-DF24-476A-AC01-34AA16EE613A}"/>
    <cellStyle name="常规 10 3 3 3 2 2 2 2" xfId="10645" xr:uid="{E63B8CC6-6116-47D2-8BBA-8CE6C33DEAA4}"/>
    <cellStyle name="常规 10 3 3 3 2 2 3" xfId="10646" xr:uid="{189FE617-6462-46FF-9316-F11DCE4CA331}"/>
    <cellStyle name="常规 10 3 3 3 2 2 4" xfId="10647" xr:uid="{F303825A-FC3B-4A1C-B712-C1C64185318C}"/>
    <cellStyle name="常规 10 3 3 3 2 2 4 2" xfId="33619" xr:uid="{B75D92C8-C755-475F-BFD1-C3672BA0F705}"/>
    <cellStyle name="常规 10 3 3 3 2 2 5" xfId="10648" xr:uid="{C96E2EB6-365F-4124-BDA7-979E6122E383}"/>
    <cellStyle name="常规 10 3 3 3 2 3" xfId="10649" xr:uid="{9C0F25CE-AF37-43C2-80C6-E6BC9CC8C9CB}"/>
    <cellStyle name="常规 10 3 3 3 2 3 2" xfId="10650" xr:uid="{84E953FE-84FC-403B-808A-EAE1FB51C253}"/>
    <cellStyle name="常规 10 3 3 3 2 3 3" xfId="10651" xr:uid="{C7788BAF-AF49-4D43-BB07-4B3899CC1F1F}"/>
    <cellStyle name="常规 10 3 3 3 2 4" xfId="10652" xr:uid="{06975C3D-89B6-46D8-8A14-F1ECB2B534EA}"/>
    <cellStyle name="常规 10 3 3 3 2 4 2" xfId="10653" xr:uid="{118E30D1-4073-45D7-B9FB-897AFFA7E0AA}"/>
    <cellStyle name="常规 10 3 3 3 2 5" xfId="10654" xr:uid="{97582EAC-B157-4576-AB9C-C157DB86D7B6}"/>
    <cellStyle name="常规 10 3 3 3 2 5 2" xfId="10655" xr:uid="{9E05C2BA-1AD6-4DD4-B643-5F86AB2C7E50}"/>
    <cellStyle name="常规 10 3 3 3 2 5 3" xfId="33620" xr:uid="{08FC8ECC-513E-4530-BFDC-8DDCD632729D}"/>
    <cellStyle name="常规 10 3 3 3 2 6" xfId="10656" xr:uid="{8957BB90-C830-4D59-8A14-8CB12C639672}"/>
    <cellStyle name="常规 10 3 3 3 2 7" xfId="10657" xr:uid="{7D1D08B4-B885-4791-8C9B-A75EE1EC5FE8}"/>
    <cellStyle name="常规 10 3 3 3 3" xfId="10658" xr:uid="{A6B34483-5EEF-4220-A268-F3602BDFCB1B}"/>
    <cellStyle name="常规 10 3 3 3 3 2" xfId="10659" xr:uid="{4C044BB1-4BFE-44E7-8CA3-99DAB7BA58ED}"/>
    <cellStyle name="常规 10 3 3 3 3 2 2" xfId="10660" xr:uid="{907EFC35-A765-4B2F-8966-5D087F48ABD7}"/>
    <cellStyle name="常规 10 3 3 3 3 3" xfId="10661" xr:uid="{2BE6D91E-B71A-4784-9E83-CC2370DD5A00}"/>
    <cellStyle name="常规 10 3 3 3 3 4" xfId="10662" xr:uid="{38493A77-F32C-4EDC-AA2C-A233275AB629}"/>
    <cellStyle name="常规 10 3 3 3 3 4 2" xfId="33621" xr:uid="{A863D990-C967-4191-8E31-B7DD0382858F}"/>
    <cellStyle name="常规 10 3 3 3 3 5" xfId="10663" xr:uid="{093F3E25-5F1F-42E0-8AB7-5E71C53E1B94}"/>
    <cellStyle name="常规 10 3 3 3 4" xfId="10664" xr:uid="{387E3F1C-0A17-46E6-880F-262BB46C53C1}"/>
    <cellStyle name="常规 10 3 3 3 4 2" xfId="10665" xr:uid="{C42A0D4F-611E-4F11-ADDF-B2D16C42C854}"/>
    <cellStyle name="常规 10 3 3 3 4 3" xfId="10666" xr:uid="{E10B7C14-EC29-41D7-9056-41B03A3E81BF}"/>
    <cellStyle name="常规 10 3 3 3 5" xfId="10667" xr:uid="{61B71BFB-4AEF-478C-BEAF-D55DC3C9F7F2}"/>
    <cellStyle name="常规 10 3 3 3 5 2" xfId="10668" xr:uid="{614F9225-2A0A-4D32-A9AA-89CB995965FE}"/>
    <cellStyle name="常规 10 3 3 3 6" xfId="10669" xr:uid="{30B8973D-B6F4-4590-B227-A78EA3998740}"/>
    <cellStyle name="常规 10 3 3 3 6 2" xfId="10670" xr:uid="{4F890A60-CFB1-46DC-BA00-181EA343CDBD}"/>
    <cellStyle name="常规 10 3 3 3 6 3" xfId="33622" xr:uid="{4999C3F1-9136-46EC-B71A-953531898DFC}"/>
    <cellStyle name="常规 10 3 3 3 7" xfId="10671" xr:uid="{28BD34E7-CC51-42B3-B209-659EA7BAC0DE}"/>
    <cellStyle name="常规 10 3 3 3 8" xfId="10672" xr:uid="{61BB8FBA-A7AD-4FBA-818C-C81B71C0DBB1}"/>
    <cellStyle name="常规 10 3 3 4" xfId="10673" xr:uid="{896F6536-8B04-4D7B-8002-AA9B1595821F}"/>
    <cellStyle name="常规 10 3 3 4 2" xfId="10674" xr:uid="{B3B0275F-EF5C-4C6C-BAAC-C65F7D0AB35C}"/>
    <cellStyle name="常规 10 3 3 4 2 2" xfId="10675" xr:uid="{9DA6F23B-9C86-486A-93D8-B3B057269757}"/>
    <cellStyle name="常规 10 3 3 4 2 2 2" xfId="10676" xr:uid="{D30F1029-D988-44C4-B8DD-FF9F67B7F0D5}"/>
    <cellStyle name="常规 10 3 3 4 2 3" xfId="10677" xr:uid="{A7C398F8-B5AA-47B0-9044-76B7BD034696}"/>
    <cellStyle name="常规 10 3 3 4 2 4" xfId="10678" xr:uid="{EE91DFB2-C162-4287-8DF5-CC4D66C58CCC}"/>
    <cellStyle name="常规 10 3 3 4 2 4 2" xfId="33623" xr:uid="{F418E5F6-10CC-4125-8628-F24D206706E0}"/>
    <cellStyle name="常规 10 3 3 4 2 5" xfId="10679" xr:uid="{22C7A288-C35E-4F3B-8333-EBB1FE3BDFE8}"/>
    <cellStyle name="常规 10 3 3 4 3" xfId="10680" xr:uid="{56F4D366-FBFE-4626-862A-4FCD7F545431}"/>
    <cellStyle name="常规 10 3 3 4 3 2" xfId="10681" xr:uid="{954F26F2-FF4A-48AA-83B5-B296C01D6875}"/>
    <cellStyle name="常规 10 3 3 4 3 3" xfId="10682" xr:uid="{C73D098C-7AFF-4FFB-8D2B-E337D71377C1}"/>
    <cellStyle name="常规 10 3 3 4 4" xfId="10683" xr:uid="{BA2D1FF3-AEF8-4629-9DC0-E84A06BE5DA6}"/>
    <cellStyle name="常规 10 3 3 4 4 2" xfId="10684" xr:uid="{83885698-C091-493C-AD47-3B418B84308C}"/>
    <cellStyle name="常规 10 3 3 4 5" xfId="10685" xr:uid="{50D8858B-6899-4325-9613-BA7FCB02D09D}"/>
    <cellStyle name="常规 10 3 3 4 5 2" xfId="10686" xr:uid="{A89E36B2-1CD8-42F5-BEBD-2FFAAE9651D8}"/>
    <cellStyle name="常规 10 3 3 4 5 3" xfId="33624" xr:uid="{A8267767-D036-4040-910C-DA3B60BDD4F9}"/>
    <cellStyle name="常规 10 3 3 4 6" xfId="10687" xr:uid="{395727B7-FD65-429C-A220-0CFF448D45BD}"/>
    <cellStyle name="常规 10 3 3 4 7" xfId="10688" xr:uid="{E4833715-173F-4709-BFD0-1D5F3E446746}"/>
    <cellStyle name="常规 10 3 3 5" xfId="10689" xr:uid="{4EEE76EA-0E11-4914-ADB7-5601777613D8}"/>
    <cellStyle name="常规 10 3 3 5 2" xfId="10690" xr:uid="{E381D4F4-F40C-40DB-881C-B806D5B762F9}"/>
    <cellStyle name="常规 10 3 3 5 2 2" xfId="10691" xr:uid="{23D3CDB2-CA9D-471C-B3D7-F3866094C51D}"/>
    <cellStyle name="常规 10 3 3 5 3" xfId="10692" xr:uid="{E73F0A23-A293-4989-A308-51400CDFDE4E}"/>
    <cellStyle name="常规 10 3 3 5 4" xfId="10693" xr:uid="{794BDC25-B6DC-4C46-AF65-0261EDFB2BFE}"/>
    <cellStyle name="常规 10 3 3 5 4 2" xfId="33625" xr:uid="{EEEA1312-0E7F-40DF-96AC-4FC75F4727DF}"/>
    <cellStyle name="常规 10 3 3 5 5" xfId="10694" xr:uid="{1AAFF549-7A0A-4BCE-B41D-A413700BC56B}"/>
    <cellStyle name="常规 10 3 3 6" xfId="10695" xr:uid="{B14EF3BA-2309-45D5-8AFA-CEA81A94BDA6}"/>
    <cellStyle name="常规 10 3 3 6 2" xfId="10696" xr:uid="{B07AB230-4F4F-459A-8219-F1CB50A94450}"/>
    <cellStyle name="常规 10 3 3 6 2 2" xfId="10697" xr:uid="{42E44B9B-6573-4607-8570-58C7CEEB46BC}"/>
    <cellStyle name="常规 10 3 3 6 3" xfId="10698" xr:uid="{27C1E2F6-DBAB-43CF-A565-A09F574B6293}"/>
    <cellStyle name="常规 10 3 3 6 4" xfId="10699" xr:uid="{B3C32A0A-0AE4-4481-B7AA-6259A5ED92CD}"/>
    <cellStyle name="常规 10 3 3 6 4 2" xfId="33626" xr:uid="{F47B38B8-52EA-461E-964F-8120E5FE1213}"/>
    <cellStyle name="常规 10 3 3 6 5" xfId="10700" xr:uid="{36A7C495-CC4F-4277-B34E-AC62AE0618DF}"/>
    <cellStyle name="常规 10 3 3 7" xfId="10701" xr:uid="{FDA9C6BD-DF19-44E6-834F-ADD3494EA1A0}"/>
    <cellStyle name="常规 10 3 3 7 2" xfId="10702" xr:uid="{282A99B8-6BE3-47E8-A806-C5C06FBD717A}"/>
    <cellStyle name="常规 10 3 3 7 3" xfId="10703" xr:uid="{02C69142-21A4-4DFC-8F09-98BA6B2119CA}"/>
    <cellStyle name="常规 10 3 3 8" xfId="10704" xr:uid="{AAD18C9E-E6EE-4120-B457-25A875BFABE4}"/>
    <cellStyle name="常规 10 3 3 8 2" xfId="10705" xr:uid="{00072251-6265-4F04-AAA2-9ED180285DDA}"/>
    <cellStyle name="常规 10 3 3 9" xfId="10706" xr:uid="{B6E14A4F-4B0E-4029-A1CA-1E685241D59E}"/>
    <cellStyle name="常规 10 3 3 9 2" xfId="10707" xr:uid="{22F63771-89A0-4726-AD12-852B1B21BC40}"/>
    <cellStyle name="常规 10 3 3 9 3" xfId="33627" xr:uid="{33F74D59-2166-4A2E-8D94-83E1B0D19CBE}"/>
    <cellStyle name="常规 10 3 4" xfId="10708" xr:uid="{572E3568-B15E-4A2D-9536-5DAAF157A27B}"/>
    <cellStyle name="常规 10 3 4 10" xfId="10709" xr:uid="{1DF4650D-9C17-4A31-A7C0-3EEFDD9E5C24}"/>
    <cellStyle name="常规 10 3 4 2" xfId="10710" xr:uid="{E625FF80-6A6D-4429-B672-A908F7787625}"/>
    <cellStyle name="常规 10 3 4 2 2" xfId="10711" xr:uid="{4FCA2693-441A-487B-8E9E-6636BAC5A8EE}"/>
    <cellStyle name="常规 10 3 4 2 2 2" xfId="10712" xr:uid="{E51D9E9F-BF74-438F-AFD8-216E1F035465}"/>
    <cellStyle name="常规 10 3 4 2 2 2 2" xfId="10713" xr:uid="{6931A0DB-3B03-44D1-AB01-0735BDA70F7E}"/>
    <cellStyle name="常规 10 3 4 2 2 2 2 2" xfId="10714" xr:uid="{C0ABFF92-AD8E-4745-AE69-64E2C2C4914E}"/>
    <cellStyle name="常规 10 3 4 2 2 2 2 3" xfId="10715" xr:uid="{84326E31-437E-4659-8E56-5E0A08361ACA}"/>
    <cellStyle name="常规 10 3 4 2 2 2 3" xfId="10716" xr:uid="{19AC9D3E-4F4D-48C5-87E7-144DEB640C88}"/>
    <cellStyle name="常规 10 3 4 2 2 2 3 2" xfId="10717" xr:uid="{9962D286-101B-456B-B3F5-814167F2925E}"/>
    <cellStyle name="常规 10 3 4 2 2 2 4" xfId="10718" xr:uid="{9232927B-4CED-4206-81F1-8F5B4D7EE2B8}"/>
    <cellStyle name="常规 10 3 4 2 2 2 4 2" xfId="10719" xr:uid="{73D3E32A-B1E4-4666-AA89-DD1C9FDB487F}"/>
    <cellStyle name="常规 10 3 4 2 2 2 4 3" xfId="33628" xr:uid="{68298A79-2889-4657-9E81-99BA12DFD334}"/>
    <cellStyle name="常规 10 3 4 2 2 2 5" xfId="10720" xr:uid="{3FDC1169-7EF1-44B1-8CA8-7B22A915103A}"/>
    <cellStyle name="常规 10 3 4 2 2 2 6" xfId="10721" xr:uid="{D59229E6-C719-4E83-87C2-3C71072FA6ED}"/>
    <cellStyle name="常规 10 3 4 2 2 2 7" xfId="10722" xr:uid="{DCEEEBAB-86E4-4AED-9AC4-A5D21BB6AB01}"/>
    <cellStyle name="常规 10 3 4 2 2 3" xfId="10723" xr:uid="{5B7F1A4A-7FAE-4058-A319-2B0F965A84B3}"/>
    <cellStyle name="常规 10 3 4 2 2 3 2" xfId="10724" xr:uid="{6268FDE6-BE23-4010-97D0-010D1C573EEF}"/>
    <cellStyle name="常规 10 3 4 2 2 3 3" xfId="10725" xr:uid="{0263BF70-2CCD-4FB9-B299-6364E4934C77}"/>
    <cellStyle name="常规 10 3 4 2 2 4" xfId="10726" xr:uid="{A4A669F4-7999-4944-A0F5-87D02A8B428A}"/>
    <cellStyle name="常规 10 3 4 2 2 4 2" xfId="10727" xr:uid="{4972F6A6-CDA4-4659-8261-CFED2AEE658B}"/>
    <cellStyle name="常规 10 3 4 2 2 5" xfId="10728" xr:uid="{7034FA8F-FC88-400C-91FA-5F4FC952D115}"/>
    <cellStyle name="常规 10 3 4 2 2 5 2" xfId="10729" xr:uid="{79234843-038C-4352-9886-22482146EBF9}"/>
    <cellStyle name="常规 10 3 4 2 2 5 3" xfId="33629" xr:uid="{BF9FCB2B-B897-4203-96F0-B6484F3CAB6C}"/>
    <cellStyle name="常规 10 3 4 2 2 6" xfId="10730" xr:uid="{A6C58538-CEDB-4282-A9C3-E7F73B766497}"/>
    <cellStyle name="常规 10 3 4 2 2 7" xfId="10731" xr:uid="{85E4ADE0-5BB9-449C-8C29-A45AD61BD1BC}"/>
    <cellStyle name="常规 10 3 4 2 2 8" xfId="10732" xr:uid="{AE006EC7-F13E-45E2-8C2B-4BADFE1F98AD}"/>
    <cellStyle name="常规 10 3 4 2 3" xfId="10733" xr:uid="{559E1F1E-C853-4C2C-92A0-2F65D2F211EC}"/>
    <cellStyle name="常规 10 3 4 2 3 2" xfId="10734" xr:uid="{F52A3994-78AF-4471-8710-21154A35861C}"/>
    <cellStyle name="常规 10 3 4 2 3 2 2" xfId="10735" xr:uid="{DAD66217-905B-48D4-9D32-402D9CC590DA}"/>
    <cellStyle name="常规 10 3 4 2 3 2 3" xfId="10736" xr:uid="{47103276-6C32-4314-85E1-F99C7DF31CA5}"/>
    <cellStyle name="常规 10 3 4 2 3 3" xfId="10737" xr:uid="{B58B3EC2-4D74-4707-A4F6-4FFB4D8D67FA}"/>
    <cellStyle name="常规 10 3 4 2 3 3 2" xfId="10738" xr:uid="{00C6CCDE-CC7B-4F61-9A29-C37CDCBA0008}"/>
    <cellStyle name="常规 10 3 4 2 3 4" xfId="10739" xr:uid="{006E1A14-6919-45C4-BBD0-710703D997EF}"/>
    <cellStyle name="常规 10 3 4 2 3 4 2" xfId="10740" xr:uid="{2C550B31-B7A7-4EFE-A3B4-45461C79FF74}"/>
    <cellStyle name="常规 10 3 4 2 3 4 3" xfId="33630" xr:uid="{EE3A8E12-70D6-4AF0-82D9-39A0F04A8BF6}"/>
    <cellStyle name="常规 10 3 4 2 3 5" xfId="10741" xr:uid="{9A011C63-1EFF-471B-9D47-526C5124C9AF}"/>
    <cellStyle name="常规 10 3 4 2 3 6" xfId="10742" xr:uid="{FA1A8BBF-4D5A-4A44-BB9D-583B034829FE}"/>
    <cellStyle name="常规 10 3 4 2 3 7" xfId="10743" xr:uid="{60E5CEF9-6124-4E65-8B9D-ED9886A1318A}"/>
    <cellStyle name="常规 10 3 4 2 4" xfId="10744" xr:uid="{4B13275F-6AF7-4949-A0BC-8222547C93CE}"/>
    <cellStyle name="常规 10 3 4 2 4 2" xfId="10745" xr:uid="{3A6C6DC2-D54E-4F96-8278-F7A509251D07}"/>
    <cellStyle name="常规 10 3 4 2 4 3" xfId="10746" xr:uid="{195D4EAC-2D24-482C-B46A-4E9129E834C6}"/>
    <cellStyle name="常规 10 3 4 2 5" xfId="10747" xr:uid="{1F25370A-D817-4258-A1BF-E9A72DAFDA1D}"/>
    <cellStyle name="常规 10 3 4 2 5 2" xfId="10748" xr:uid="{6B6F635D-4E40-40FC-AC03-803A24EAA241}"/>
    <cellStyle name="常规 10 3 4 2 6" xfId="10749" xr:uid="{8887297F-EC90-4AED-AE54-E6A1A073F91F}"/>
    <cellStyle name="常规 10 3 4 2 6 2" xfId="10750" xr:uid="{5EDFE688-391D-4E12-A170-F86258D36F5A}"/>
    <cellStyle name="常规 10 3 4 2 6 3" xfId="33631" xr:uid="{444A2854-F6E3-48E1-9874-2B6589F4F7D3}"/>
    <cellStyle name="常规 10 3 4 2 7" xfId="10751" xr:uid="{7032E8F9-6642-4281-ACB3-232AC528C6E1}"/>
    <cellStyle name="常规 10 3 4 2 8" xfId="10752" xr:uid="{7EEF05A0-A6DC-466A-9EDB-5C4FF043AB1E}"/>
    <cellStyle name="常规 10 3 4 2 9" xfId="10753" xr:uid="{EBDA3AFF-8A6E-495B-A62F-4212EB0B9986}"/>
    <cellStyle name="常规 10 3 4 3" xfId="10754" xr:uid="{98871CEF-F4AC-4880-9EDD-E9C96A6A2137}"/>
    <cellStyle name="常规 10 3 4 3 2" xfId="10755" xr:uid="{1D91585B-3C52-4FF3-A2F9-5BEC67565F72}"/>
    <cellStyle name="常规 10 3 4 3 2 2" xfId="10756" xr:uid="{AF79225F-979F-4B6E-BFEA-CD0A84DD5367}"/>
    <cellStyle name="常规 10 3 4 3 2 2 2" xfId="10757" xr:uid="{201B1966-C086-4B47-A902-162F825B693F}"/>
    <cellStyle name="常规 10 3 4 3 2 2 3" xfId="10758" xr:uid="{4DF7FD31-C716-41C9-9CD7-275C4FEE24D1}"/>
    <cellStyle name="常规 10 3 4 3 2 3" xfId="10759" xr:uid="{79E2F775-BDD6-40B0-9A03-6ADB803FE62A}"/>
    <cellStyle name="常规 10 3 4 3 2 3 2" xfId="10760" xr:uid="{73B21CB6-69DA-4160-BAAE-02F4F54BFEFC}"/>
    <cellStyle name="常规 10 3 4 3 2 4" xfId="10761" xr:uid="{B5E91E0E-F7A2-4908-927D-AAEA68A2945B}"/>
    <cellStyle name="常规 10 3 4 3 2 4 2" xfId="10762" xr:uid="{8D6E1641-6183-4940-8985-103153788482}"/>
    <cellStyle name="常规 10 3 4 3 2 4 3" xfId="33632" xr:uid="{86D31002-C652-415D-B366-ED7D1D4D44C8}"/>
    <cellStyle name="常规 10 3 4 3 2 5" xfId="10763" xr:uid="{D4410DA0-8943-4DF7-B4D4-6483B5D1452A}"/>
    <cellStyle name="常规 10 3 4 3 2 6" xfId="10764" xr:uid="{E7DEBA2E-FF0F-44FE-B0C5-86ADF4B97EC1}"/>
    <cellStyle name="常规 10 3 4 3 2 7" xfId="10765" xr:uid="{D41A29EE-7784-4F33-8AD9-3C11254F3828}"/>
    <cellStyle name="常规 10 3 4 3 3" xfId="10766" xr:uid="{F91DB1A9-CACD-419D-BBFD-4D47CBA1631F}"/>
    <cellStyle name="常规 10 3 4 3 3 2" xfId="10767" xr:uid="{C7B3E3C6-455A-46D3-AFA9-57AFFFEC6550}"/>
    <cellStyle name="常规 10 3 4 3 3 3" xfId="10768" xr:uid="{2C6D7358-29FB-4468-A7BD-80ACEE87D7C5}"/>
    <cellStyle name="常规 10 3 4 3 4" xfId="10769" xr:uid="{15C3AC67-7C2A-483C-8111-07F4657D4B57}"/>
    <cellStyle name="常规 10 3 4 3 4 2" xfId="10770" xr:uid="{F10C173D-0E0F-41AD-9ACE-9D9B499C901D}"/>
    <cellStyle name="常规 10 3 4 3 5" xfId="10771" xr:uid="{0540DA46-5829-4164-8C29-30B9C0427881}"/>
    <cellStyle name="常规 10 3 4 3 5 2" xfId="10772" xr:uid="{8F8377B1-61F7-460F-9722-3B7DEBC389DD}"/>
    <cellStyle name="常规 10 3 4 3 5 3" xfId="33633" xr:uid="{AA8904F3-7FD4-4C8F-8FCB-1E00495B2B37}"/>
    <cellStyle name="常规 10 3 4 3 6" xfId="10773" xr:uid="{2299C1AB-EA1C-4D06-BD65-8890A00414EF}"/>
    <cellStyle name="常规 10 3 4 3 7" xfId="10774" xr:uid="{1364F9A1-6AB2-4576-90DB-82607CA81743}"/>
    <cellStyle name="常规 10 3 4 3 8" xfId="10775" xr:uid="{287CAA38-3D41-499E-9420-0B5ED711DEBA}"/>
    <cellStyle name="常规 10 3 4 4" xfId="10776" xr:uid="{0FC1DBF3-B7E4-4F72-86AD-2319632E8478}"/>
    <cellStyle name="常规 10 3 4 4 2" xfId="10777" xr:uid="{9AF6D9F4-5710-4A8E-8F64-28C34EF49D39}"/>
    <cellStyle name="常规 10 3 4 4 2 2" xfId="10778" xr:uid="{7A9BDD8C-3045-4569-8EE1-D9C6275B5518}"/>
    <cellStyle name="常规 10 3 4 4 2 3" xfId="10779" xr:uid="{F9795654-8804-49BE-ADF9-FF2AA17867D5}"/>
    <cellStyle name="常规 10 3 4 4 3" xfId="10780" xr:uid="{C33DF381-79BC-40EC-BC2A-049F12317B8B}"/>
    <cellStyle name="常规 10 3 4 4 3 2" xfId="10781" xr:uid="{61A17A03-61A1-45CB-86FF-FA1CFA408C56}"/>
    <cellStyle name="常规 10 3 4 4 4" xfId="10782" xr:uid="{B74804C3-CBA1-4318-B5AE-635CD9BD58AF}"/>
    <cellStyle name="常规 10 3 4 4 4 2" xfId="10783" xr:uid="{2860A5BA-40B3-4AF2-AE2E-07DA84C615E7}"/>
    <cellStyle name="常规 10 3 4 4 4 3" xfId="33634" xr:uid="{AC960185-E04A-4EF2-B41D-5B0C736FE8B8}"/>
    <cellStyle name="常规 10 3 4 4 5" xfId="10784" xr:uid="{BF457F60-F2BC-47B8-BAB3-F84B5D7E0AFD}"/>
    <cellStyle name="常规 10 3 4 4 6" xfId="10785" xr:uid="{CB03F25A-2A96-4AF0-8590-B9B9937C489F}"/>
    <cellStyle name="常规 10 3 4 4 7" xfId="10786" xr:uid="{69AC4FC4-5455-40FF-BB9E-F4257DC64A19}"/>
    <cellStyle name="常规 10 3 4 5" xfId="10787" xr:uid="{DCAF06E8-E4BB-4A6A-931D-A402F1BBC446}"/>
    <cellStyle name="常规 10 3 4 5 2" xfId="10788" xr:uid="{02D35DD3-C396-42D6-A53C-1DA6CF53AFBB}"/>
    <cellStyle name="常规 10 3 4 5 2 2" xfId="10789" xr:uid="{A911448D-218D-49B7-8930-785261A7A858}"/>
    <cellStyle name="常规 10 3 4 5 3" xfId="10790" xr:uid="{7EDE104B-64EA-4678-8E93-33E74B3D10A9}"/>
    <cellStyle name="常规 10 3 4 5 4" xfId="10791" xr:uid="{D88EC4D0-3E5F-4D06-98C4-E1CA42572A92}"/>
    <cellStyle name="常规 10 3 4 5 4 2" xfId="33635" xr:uid="{2DB7F95C-157C-437E-B72C-305565DFEB99}"/>
    <cellStyle name="常规 10 3 4 5 5" xfId="10792" xr:uid="{52365DFA-559F-463A-96D2-66A3BC18DD9B}"/>
    <cellStyle name="常规 10 3 4 6" xfId="10793" xr:uid="{61BE4815-9814-42C4-BEB0-2BC1BAE6040F}"/>
    <cellStyle name="常规 10 3 4 6 2" xfId="10794" xr:uid="{AADCB3F7-2591-4B68-94AF-A4992ACCEA51}"/>
    <cellStyle name="常规 10 3 4 6 3" xfId="10795" xr:uid="{04D25037-F94E-41AF-8967-4E77899CF219}"/>
    <cellStyle name="常规 10 3 4 7" xfId="10796" xr:uid="{19A87A48-57A9-40C2-96A0-B0A7B4A46C2B}"/>
    <cellStyle name="常规 10 3 4 7 2" xfId="10797" xr:uid="{69CEC6F4-FDB3-43EC-9447-4B1EED468E0E}"/>
    <cellStyle name="常规 10 3 4 8" xfId="10798" xr:uid="{C529030D-971A-446E-8E11-7955A5A7273B}"/>
    <cellStyle name="常规 10 3 4 8 2" xfId="10799" xr:uid="{12977C9E-245A-4FF1-AB9F-9C9E08CEA5E5}"/>
    <cellStyle name="常规 10 3 4 8 3" xfId="33636" xr:uid="{7B203AFC-A014-4523-B8DA-77492F8F5497}"/>
    <cellStyle name="常规 10 3 4 9" xfId="10800" xr:uid="{051A50F3-B309-43A4-A130-0CE06B9DE72D}"/>
    <cellStyle name="常规 10 3 5" xfId="10801" xr:uid="{2A1C4680-5CB4-40CD-ADBB-D06D0223685D}"/>
    <cellStyle name="常规 10 3 5 10" xfId="10802" xr:uid="{6555CDEE-89F5-4767-804C-F9E50F69193A}"/>
    <cellStyle name="常规 10 3 5 2" xfId="10803" xr:uid="{A6599670-0829-4D4A-A5B3-A3340FFD8C1C}"/>
    <cellStyle name="常规 10 3 5 2 2" xfId="10804" xr:uid="{6FCDBDF5-6A3C-49D7-A31B-0A3EB2B7252F}"/>
    <cellStyle name="常规 10 3 5 2 2 2" xfId="10805" xr:uid="{11FD5A87-CAD7-46A0-8D92-AD51BA8A7214}"/>
    <cellStyle name="常规 10 3 5 2 2 2 2" xfId="10806" xr:uid="{B158CF6F-77A2-4A4D-9897-D679F005B7CA}"/>
    <cellStyle name="常规 10 3 5 2 2 2 2 2" xfId="10807" xr:uid="{461C6705-0DF1-4FA5-8F7A-AAECA07D3D86}"/>
    <cellStyle name="常规 10 3 5 2 2 2 2 3" xfId="10808" xr:uid="{A7817E55-9ABF-4F05-92E7-A3A412F7A30A}"/>
    <cellStyle name="常规 10 3 5 2 2 2 3" xfId="10809" xr:uid="{8C3D454B-C3CE-433E-A611-C3FA61FB76ED}"/>
    <cellStyle name="常规 10 3 5 2 2 2 3 2" xfId="10810" xr:uid="{412C0B41-1457-4ABF-A486-1B64CD1BE0C3}"/>
    <cellStyle name="常规 10 3 5 2 2 2 4" xfId="10811" xr:uid="{53102A59-4FB0-4728-A46F-908D7DAC1FF0}"/>
    <cellStyle name="常规 10 3 5 2 2 2 4 2" xfId="10812" xr:uid="{AAAA3006-A7F3-496D-BAF8-4B71ABF28270}"/>
    <cellStyle name="常规 10 3 5 2 2 2 4 3" xfId="33637" xr:uid="{6DB3BD12-1981-45CF-95A8-88E475E9D9BE}"/>
    <cellStyle name="常规 10 3 5 2 2 2 5" xfId="10813" xr:uid="{6E962183-BBD3-41DB-BBE4-C969C3124906}"/>
    <cellStyle name="常规 10 3 5 2 2 2 6" xfId="10814" xr:uid="{37AD1B32-F894-4BDD-A39D-F76AF0EA884B}"/>
    <cellStyle name="常规 10 3 5 2 2 2 7" xfId="10815" xr:uid="{A15A24D9-763C-4E2F-9493-30D18621E5F9}"/>
    <cellStyle name="常规 10 3 5 2 2 3" xfId="10816" xr:uid="{FF21D83D-AAA6-4E25-B619-2CED95D66092}"/>
    <cellStyle name="常规 10 3 5 2 2 3 2" xfId="10817" xr:uid="{1A42A957-6493-4D82-BB4D-B42729B17F6F}"/>
    <cellStyle name="常规 10 3 5 2 2 3 3" xfId="10818" xr:uid="{519E788A-1FBB-4A12-B422-D19F5D9B47C2}"/>
    <cellStyle name="常规 10 3 5 2 2 4" xfId="10819" xr:uid="{2712C6DF-3491-483B-9A5E-4AB54BD68ED2}"/>
    <cellStyle name="常规 10 3 5 2 2 4 2" xfId="10820" xr:uid="{3B135AC3-3E36-4818-9907-8E141154DB79}"/>
    <cellStyle name="常规 10 3 5 2 2 5" xfId="10821" xr:uid="{3B732BE0-8F06-4796-B581-B229D280A0A3}"/>
    <cellStyle name="常规 10 3 5 2 2 5 2" xfId="10822" xr:uid="{63757A03-4840-4AF6-A556-08C4A53230C0}"/>
    <cellStyle name="常规 10 3 5 2 2 5 3" xfId="33638" xr:uid="{0EFA02E7-5652-4EF1-B119-417EDF46613E}"/>
    <cellStyle name="常规 10 3 5 2 2 6" xfId="10823" xr:uid="{2CE38A8D-6FC6-4726-A082-7EDADBC8A359}"/>
    <cellStyle name="常规 10 3 5 2 2 7" xfId="10824" xr:uid="{317C74F0-0204-444C-9C66-9A44EDEF7C2D}"/>
    <cellStyle name="常规 10 3 5 2 2 8" xfId="10825" xr:uid="{BA20A01B-06A1-497F-8882-95C1DDC0D2CF}"/>
    <cellStyle name="常规 10 3 5 2 3" xfId="10826" xr:uid="{2EA532AE-C847-4975-B731-7C81C801F058}"/>
    <cellStyle name="常规 10 3 5 2 3 2" xfId="10827" xr:uid="{4F85863C-1266-4444-BB26-FB8258F48E73}"/>
    <cellStyle name="常规 10 3 5 2 3 2 2" xfId="10828" xr:uid="{BE748714-B412-4FCC-90B2-5F29C0FD0A09}"/>
    <cellStyle name="常规 10 3 5 2 3 2 3" xfId="10829" xr:uid="{8FDDD924-9619-46FD-A944-54B6EBD5414C}"/>
    <cellStyle name="常规 10 3 5 2 3 3" xfId="10830" xr:uid="{1B3143F2-8A18-499F-B19C-DC3E4A100BA7}"/>
    <cellStyle name="常规 10 3 5 2 3 3 2" xfId="10831" xr:uid="{49CE1516-B67E-4496-B2FD-DAEFD4B226F5}"/>
    <cellStyle name="常规 10 3 5 2 3 4" xfId="10832" xr:uid="{AB96C32A-B353-4F0E-A754-E2B74C95D2E5}"/>
    <cellStyle name="常规 10 3 5 2 3 4 2" xfId="10833" xr:uid="{174DA885-9DC8-4841-93BE-9E7AFAB976E1}"/>
    <cellStyle name="常规 10 3 5 2 3 4 3" xfId="33639" xr:uid="{35FD04C7-5B23-4074-A283-153B6070D2B8}"/>
    <cellStyle name="常规 10 3 5 2 3 5" xfId="10834" xr:uid="{730C0D57-DF28-4E29-984F-194B7E70810E}"/>
    <cellStyle name="常规 10 3 5 2 3 6" xfId="10835" xr:uid="{088CCE5C-F4DF-447C-B769-1A787D7B5F3F}"/>
    <cellStyle name="常规 10 3 5 2 3 7" xfId="10836" xr:uid="{C4B46074-9F5F-4A2A-A1CF-0360971F02AB}"/>
    <cellStyle name="常规 10 3 5 2 4" xfId="10837" xr:uid="{B7F6A3CB-B785-4506-9075-7E77FEB0EE48}"/>
    <cellStyle name="常规 10 3 5 2 4 2" xfId="10838" xr:uid="{E3911DAA-1F5C-4517-9C26-9FAA93A1B668}"/>
    <cellStyle name="常规 10 3 5 2 4 3" xfId="10839" xr:uid="{3869F2B8-5216-4AA4-BD80-E69F292EDF21}"/>
    <cellStyle name="常规 10 3 5 2 5" xfId="10840" xr:uid="{0D16E168-02F3-48CC-8AED-605F15483515}"/>
    <cellStyle name="常规 10 3 5 2 5 2" xfId="10841" xr:uid="{E3F02AA4-FF27-4C76-96F8-2EB4917004DF}"/>
    <cellStyle name="常规 10 3 5 2 6" xfId="10842" xr:uid="{E2562B93-AB81-48D6-A44F-1AF8DB47FE26}"/>
    <cellStyle name="常规 10 3 5 2 6 2" xfId="10843" xr:uid="{EACCA024-18F3-4CEE-829A-5C578B2CC085}"/>
    <cellStyle name="常规 10 3 5 2 6 3" xfId="33640" xr:uid="{68BABB0F-8DCB-431D-B565-CC5CFCDD8F41}"/>
    <cellStyle name="常规 10 3 5 2 7" xfId="10844" xr:uid="{D50B0F2E-5AD2-4D0D-9EA1-691281CB3B9C}"/>
    <cellStyle name="常规 10 3 5 2 8" xfId="10845" xr:uid="{C09F7507-21A4-438B-865D-551DC7442A12}"/>
    <cellStyle name="常规 10 3 5 2 9" xfId="10846" xr:uid="{4EE12431-A2CB-4B95-B53A-57B480751DC8}"/>
    <cellStyle name="常规 10 3 5 3" xfId="10847" xr:uid="{64F1B35F-72D5-4092-8119-6F00E3AD3A60}"/>
    <cellStyle name="常规 10 3 5 3 2" xfId="10848" xr:uid="{42153D12-B558-4AE4-8DAF-DAD1B333E3D0}"/>
    <cellStyle name="常规 10 3 5 3 2 2" xfId="10849" xr:uid="{6A405E0C-AEF9-4816-9A86-0D78A569AF39}"/>
    <cellStyle name="常规 10 3 5 3 2 2 2" xfId="10850" xr:uid="{3522964C-8A55-46F7-B725-9990A4B0E330}"/>
    <cellStyle name="常规 10 3 5 3 2 2 3" xfId="10851" xr:uid="{B67E481B-4B6E-4B5B-8273-3F9AE8B2012B}"/>
    <cellStyle name="常规 10 3 5 3 2 3" xfId="10852" xr:uid="{E1B52193-368E-42CB-ABEC-25F40D4D13AF}"/>
    <cellStyle name="常规 10 3 5 3 2 3 2" xfId="10853" xr:uid="{6701CD3F-08AF-4B24-8873-7F13A49070A0}"/>
    <cellStyle name="常规 10 3 5 3 2 4" xfId="10854" xr:uid="{59B83B7B-2ECA-4BA4-855E-447D9F1CD0C5}"/>
    <cellStyle name="常规 10 3 5 3 2 4 2" xfId="10855" xr:uid="{F575B243-A8B7-4AC7-83B6-25D306755D8E}"/>
    <cellStyle name="常规 10 3 5 3 2 4 3" xfId="33641" xr:uid="{5F7284CF-A097-425A-BD69-740F8F2452EE}"/>
    <cellStyle name="常规 10 3 5 3 2 5" xfId="10856" xr:uid="{EF0049E2-D1E2-47D9-81EE-B06ABD3B38D6}"/>
    <cellStyle name="常规 10 3 5 3 2 6" xfId="10857" xr:uid="{20DDEE8E-6934-46FF-8739-5FB4B0C4DFCA}"/>
    <cellStyle name="常规 10 3 5 3 2 7" xfId="10858" xr:uid="{899DA060-7751-4CEA-BD5F-4BADAF9C37CE}"/>
    <cellStyle name="常规 10 3 5 3 3" xfId="10859" xr:uid="{887E8B77-465D-4F84-B7FF-ACBD0606B825}"/>
    <cellStyle name="常规 10 3 5 3 3 2" xfId="10860" xr:uid="{32887202-4700-4958-B127-EDF1A50A6519}"/>
    <cellStyle name="常规 10 3 5 3 3 3" xfId="10861" xr:uid="{645FEA7F-3D42-49D7-A23D-7D3D44029AFD}"/>
    <cellStyle name="常规 10 3 5 3 4" xfId="10862" xr:uid="{78A6836F-50E2-477A-A1D5-23897B4B9A95}"/>
    <cellStyle name="常规 10 3 5 3 4 2" xfId="10863" xr:uid="{76A9AAF6-AB1D-48A2-8834-8711C4315AB1}"/>
    <cellStyle name="常规 10 3 5 3 5" xfId="10864" xr:uid="{81E59112-F3F8-40A4-AAD0-A3115577352E}"/>
    <cellStyle name="常规 10 3 5 3 5 2" xfId="10865" xr:uid="{3960934E-2132-46EB-8945-C183D5C84B7F}"/>
    <cellStyle name="常规 10 3 5 3 5 3" xfId="33642" xr:uid="{632FA667-0D23-478B-8AF6-A5BF617ABD6F}"/>
    <cellStyle name="常规 10 3 5 3 6" xfId="10866" xr:uid="{4BD4CBFA-3833-4022-82F3-75322EC0482F}"/>
    <cellStyle name="常规 10 3 5 3 7" xfId="10867" xr:uid="{5BC538EB-CA38-4B3E-B7DF-74083290097A}"/>
    <cellStyle name="常规 10 3 5 3 8" xfId="10868" xr:uid="{E97D3083-501C-45BA-B1BB-D2DAE1FB519A}"/>
    <cellStyle name="常规 10 3 5 4" xfId="10869" xr:uid="{E703B8B7-B47B-4D69-9291-E6D82C5803ED}"/>
    <cellStyle name="常规 10 3 5 4 2" xfId="10870" xr:uid="{4A09FE5A-A21C-405A-A3C0-F9597E9C2C62}"/>
    <cellStyle name="常规 10 3 5 4 2 2" xfId="10871" xr:uid="{A7E6DB35-3196-428B-9E17-2891075B9B9E}"/>
    <cellStyle name="常规 10 3 5 4 2 3" xfId="10872" xr:uid="{A577F746-1520-4349-BC44-EDA20FAA12A5}"/>
    <cellStyle name="常规 10 3 5 4 3" xfId="10873" xr:uid="{8FF5EB11-27CB-423B-9A2D-4262364E32D1}"/>
    <cellStyle name="常规 10 3 5 4 3 2" xfId="10874" xr:uid="{67D5A6DC-468F-40A5-8249-F0AF1EEA1E4A}"/>
    <cellStyle name="常规 10 3 5 4 4" xfId="10875" xr:uid="{2B300A44-9C42-40A0-A56D-80CD680F5E11}"/>
    <cellStyle name="常规 10 3 5 4 4 2" xfId="10876" xr:uid="{18EFEE00-97F2-4578-9A01-41882726F831}"/>
    <cellStyle name="常规 10 3 5 4 4 3" xfId="33643" xr:uid="{BA9B9976-C84F-4DD4-A0C3-67B88FBBDBDF}"/>
    <cellStyle name="常规 10 3 5 4 5" xfId="10877" xr:uid="{84D5ECAD-0FDF-4957-8B15-513506D63685}"/>
    <cellStyle name="常规 10 3 5 4 6" xfId="10878" xr:uid="{77BD201A-793A-4FC5-94E2-B07E519FA4D0}"/>
    <cellStyle name="常规 10 3 5 4 7" xfId="10879" xr:uid="{5859738B-8E63-4A7C-92C2-F56DA79A54FC}"/>
    <cellStyle name="常规 10 3 5 5" xfId="10880" xr:uid="{58E775A6-445D-4819-9F14-C225FFD31F70}"/>
    <cellStyle name="常规 10 3 5 5 2" xfId="10881" xr:uid="{7F7649F0-2ACC-4E3D-A56D-B3131DE3DB05}"/>
    <cellStyle name="常规 10 3 5 5 3" xfId="10882" xr:uid="{B0B92840-F7F6-415F-BF31-343B7069694B}"/>
    <cellStyle name="常规 10 3 5 6" xfId="10883" xr:uid="{C9793629-5AB6-43E6-8BD3-E05B75F5ECDD}"/>
    <cellStyle name="常规 10 3 5 6 2" xfId="10884" xr:uid="{FBEBD498-E28E-4EEB-A6C2-ACDD3A8F3B60}"/>
    <cellStyle name="常规 10 3 5 7" xfId="10885" xr:uid="{C4131E2B-69E7-4B28-8D2A-285CD7961830}"/>
    <cellStyle name="常规 10 3 5 7 2" xfId="10886" xr:uid="{1B29749C-5A7B-4691-810B-4CB6D0DC19B2}"/>
    <cellStyle name="常规 10 3 5 7 3" xfId="33644" xr:uid="{ED3B2929-45A1-4BC5-BD9E-6C08FFB3F176}"/>
    <cellStyle name="常规 10 3 5 8" xfId="10887" xr:uid="{5FF55894-F57C-490C-8721-83CC2E45C62A}"/>
    <cellStyle name="常规 10 3 5 9" xfId="10888" xr:uid="{D83E9B09-DC73-405F-9AC7-D5324EAFD85C}"/>
    <cellStyle name="常规 10 3 6" xfId="10889" xr:uid="{6010ACD5-8D8E-4BFA-A827-BA08385C0FB0}"/>
    <cellStyle name="常规 10 3 6 2" xfId="10890" xr:uid="{E789310A-3EB9-48FD-A4F1-5F09203CEC16}"/>
    <cellStyle name="常规 10 3 6 2 2" xfId="10891" xr:uid="{78D53750-F9AA-47B5-9D90-EA57C9FC0EBF}"/>
    <cellStyle name="常规 10 3 6 2 2 2" xfId="10892" xr:uid="{5219063A-BA57-4C58-8BEB-B8B96D466D95}"/>
    <cellStyle name="常规 10 3 6 2 2 2 2" xfId="10893" xr:uid="{53D9B070-F671-43E5-8744-4EEE6E9E802B}"/>
    <cellStyle name="常规 10 3 6 2 2 2 2 2" xfId="10894" xr:uid="{2E6ABCEB-4294-4BD0-8A86-915D2439104A}"/>
    <cellStyle name="常规 10 3 6 2 2 2 3" xfId="10895" xr:uid="{1D77FFF2-4732-4342-A115-7AE9FB169A9B}"/>
    <cellStyle name="常规 10 3 6 2 2 2 4" xfId="10896" xr:uid="{2F78C36E-105C-486C-9C22-65E14D6BEF28}"/>
    <cellStyle name="常规 10 3 6 2 2 2 4 2" xfId="33645" xr:uid="{46481278-963D-4D82-8703-F8DDF6A9596D}"/>
    <cellStyle name="常规 10 3 6 2 2 2 5" xfId="10897" xr:uid="{51B8D0C6-9FDC-4B8E-AD38-BC7652067F46}"/>
    <cellStyle name="常规 10 3 6 2 2 3" xfId="10898" xr:uid="{36957243-29FD-4AE6-AA58-E3F166CE94C4}"/>
    <cellStyle name="常规 10 3 6 2 2 3 2" xfId="10899" xr:uid="{5A4738D8-1A0B-4548-9A1D-52B38B386D1F}"/>
    <cellStyle name="常规 10 3 6 2 2 3 3" xfId="10900" xr:uid="{D47C80D8-5B4E-4155-ACEA-184E4A8CB914}"/>
    <cellStyle name="常规 10 3 6 2 2 4" xfId="10901" xr:uid="{EC44C23A-C549-4156-906F-D1BE96A8FC8B}"/>
    <cellStyle name="常规 10 3 6 2 2 4 2" xfId="10902" xr:uid="{3CB2F963-8498-4404-B947-7AB3EBE854F0}"/>
    <cellStyle name="常规 10 3 6 2 2 5" xfId="10903" xr:uid="{B0D69A3F-DEEC-46A5-80A8-6414F5588609}"/>
    <cellStyle name="常规 10 3 6 2 2 5 2" xfId="10904" xr:uid="{2181820C-DC75-4A55-8877-94BA7297729A}"/>
    <cellStyle name="常规 10 3 6 2 2 5 3" xfId="33646" xr:uid="{5E72D8DA-6829-4F5C-8685-0989A0028115}"/>
    <cellStyle name="常规 10 3 6 2 2 6" xfId="10905" xr:uid="{B3B0AB7D-97C8-4964-8C23-A11FAB6161D5}"/>
    <cellStyle name="常规 10 3 6 2 2 7" xfId="10906" xr:uid="{72A944C1-68B7-4832-9D8C-69C1E8E91773}"/>
    <cellStyle name="常规 10 3 6 2 3" xfId="10907" xr:uid="{600A0847-D17A-4832-9A8D-E613176DF4A9}"/>
    <cellStyle name="常规 10 3 6 2 3 2" xfId="10908" xr:uid="{780E8417-7816-4994-B058-413039954B04}"/>
    <cellStyle name="常规 10 3 6 2 3 2 2" xfId="10909" xr:uid="{323307D7-8F0D-41B3-A7BA-4BF97B081E76}"/>
    <cellStyle name="常规 10 3 6 2 3 3" xfId="10910" xr:uid="{D2761491-4CF2-4DE0-B9EC-124585803188}"/>
    <cellStyle name="常规 10 3 6 2 3 4" xfId="10911" xr:uid="{348CD7FC-DA58-44AC-92E1-89604CB47C60}"/>
    <cellStyle name="常规 10 3 6 2 3 4 2" xfId="33647" xr:uid="{3168CB66-126F-415B-843F-1F1ED5C4A435}"/>
    <cellStyle name="常规 10 3 6 2 3 5" xfId="10912" xr:uid="{272D381B-3B56-4A08-8A13-CF1096CC8D16}"/>
    <cellStyle name="常规 10 3 6 2 4" xfId="10913" xr:uid="{ADD109EC-DD04-4ADB-81D1-5E774398402A}"/>
    <cellStyle name="常规 10 3 6 2 4 2" xfId="10914" xr:uid="{76DAAEEE-454E-4BF4-91E8-43511E0E7A1E}"/>
    <cellStyle name="常规 10 3 6 2 4 3" xfId="10915" xr:uid="{A422D402-5D65-4C34-B0A0-13A9FF16F863}"/>
    <cellStyle name="常规 10 3 6 2 5" xfId="10916" xr:uid="{18CBFCD6-D568-4D22-AF2F-4D02CB175D2E}"/>
    <cellStyle name="常规 10 3 6 2 5 2" xfId="10917" xr:uid="{BE2E9881-D16C-4DB1-AE3D-7070AAB819EC}"/>
    <cellStyle name="常规 10 3 6 2 6" xfId="10918" xr:uid="{2B91351B-CB56-41CA-885B-7AAD2F4D459F}"/>
    <cellStyle name="常规 10 3 6 2 6 2" xfId="10919" xr:uid="{54F0B36F-D0F2-4FE5-9A2B-FB5E5CDADD24}"/>
    <cellStyle name="常规 10 3 6 2 6 3" xfId="33648" xr:uid="{D0BCC779-938C-43FD-A204-7E640C22D377}"/>
    <cellStyle name="常规 10 3 6 2 7" xfId="10920" xr:uid="{B209B1C1-9861-4288-B54F-87F59521908B}"/>
    <cellStyle name="常规 10 3 6 2 8" xfId="10921" xr:uid="{A2378718-771B-4B99-9BE2-6B8EE81EED50}"/>
    <cellStyle name="常规 10 3 6 3" xfId="10922" xr:uid="{F73D2405-1F0D-44C7-8A86-8C001228D27E}"/>
    <cellStyle name="常规 10 3 6 3 2" xfId="10923" xr:uid="{B82646D6-3259-42F0-9A2A-D0AC573E8540}"/>
    <cellStyle name="常规 10 3 6 3 2 2" xfId="10924" xr:uid="{93640FD6-1CAD-4F2B-9686-8ACF9A6E66B5}"/>
    <cellStyle name="常规 10 3 6 3 2 2 2" xfId="10925" xr:uid="{B1873D0E-3190-466A-B578-7B1B2F9CF31D}"/>
    <cellStyle name="常规 10 3 6 3 2 3" xfId="10926" xr:uid="{B3AB0011-68E4-42D4-A6A5-0C26C5B934D2}"/>
    <cellStyle name="常规 10 3 6 3 2 4" xfId="10927" xr:uid="{153F6F9E-C276-4CBD-ACCC-3BAA4D60731D}"/>
    <cellStyle name="常规 10 3 6 3 2 4 2" xfId="33649" xr:uid="{0A882E7F-BE9E-4723-AE48-54319BCCAF8A}"/>
    <cellStyle name="常规 10 3 6 3 2 5" xfId="10928" xr:uid="{FF00D2FA-4622-41F4-83A8-55DDAAD9EA56}"/>
    <cellStyle name="常规 10 3 6 3 3" xfId="10929" xr:uid="{54D1F675-16E2-4944-8997-0E5683B03C11}"/>
    <cellStyle name="常规 10 3 6 3 3 2" xfId="10930" xr:uid="{8D31A383-9801-4AB3-86DB-1920C02857F5}"/>
    <cellStyle name="常规 10 3 6 3 3 3" xfId="10931" xr:uid="{FB5F39E6-444F-4483-81F8-907F45D4C25C}"/>
    <cellStyle name="常规 10 3 6 3 4" xfId="10932" xr:uid="{8C7385FA-0ACB-4D66-9874-F1005942CB59}"/>
    <cellStyle name="常规 10 3 6 3 4 2" xfId="10933" xr:uid="{7B9995FB-62BE-4880-A7CA-8D77C8054ACF}"/>
    <cellStyle name="常规 10 3 6 3 5" xfId="10934" xr:uid="{FCA686E2-A046-4DCB-8070-9C683FC18B74}"/>
    <cellStyle name="常规 10 3 6 3 5 2" xfId="10935" xr:uid="{6BC265CF-6826-4543-800B-7AD8B9F7B512}"/>
    <cellStyle name="常规 10 3 6 3 5 3" xfId="33650" xr:uid="{C0F08651-C72A-4E92-B7C8-2F7236625A61}"/>
    <cellStyle name="常规 10 3 6 3 6" xfId="10936" xr:uid="{105D7856-5A0D-465B-A043-A3092C58B36D}"/>
    <cellStyle name="常规 10 3 6 3 7" xfId="10937" xr:uid="{18CB4427-D795-4C90-8BF3-A4EB2FF5571F}"/>
    <cellStyle name="常规 10 3 6 4" xfId="10938" xr:uid="{2437D868-974F-47F4-8AE8-A4D3FEA30BD4}"/>
    <cellStyle name="常规 10 3 6 4 2" xfId="10939" xr:uid="{AA1BA915-DDBA-4DF1-B40F-CC7DFEE0A634}"/>
    <cellStyle name="常规 10 3 6 4 2 2" xfId="10940" xr:uid="{28144DC0-EB30-45AC-BDC7-2EA1939EED1C}"/>
    <cellStyle name="常规 10 3 6 4 3" xfId="10941" xr:uid="{F1BCCFB8-7176-40FD-8878-F482316D6DC5}"/>
    <cellStyle name="常规 10 3 6 4 4" xfId="10942" xr:uid="{8AF7BAE7-01B0-4274-892A-2CEEE93B6754}"/>
    <cellStyle name="常规 10 3 6 4 4 2" xfId="33651" xr:uid="{77815931-405C-40D6-9FA2-836195C776AC}"/>
    <cellStyle name="常规 10 3 6 4 5" xfId="10943" xr:uid="{1DC9B243-B646-4A12-A46D-31B495F0D0B4}"/>
    <cellStyle name="常规 10 3 6 5" xfId="10944" xr:uid="{E596DCF0-0F5C-47B9-A2DE-AFBD1C2D978B}"/>
    <cellStyle name="常规 10 3 6 5 2" xfId="10945" xr:uid="{AAAAAFFA-4BC5-4A47-B84F-B4891D60C28B}"/>
    <cellStyle name="常规 10 3 6 5 3" xfId="10946" xr:uid="{B6E26320-3F7B-4E54-AE6F-DBE60B63F50B}"/>
    <cellStyle name="常规 10 3 6 6" xfId="10947" xr:uid="{BE3F0EE2-777A-4BFB-A9D4-F75B6CACBA8F}"/>
    <cellStyle name="常规 10 3 6 6 2" xfId="10948" xr:uid="{23E827AF-95F6-4021-AB33-10141FD31BB9}"/>
    <cellStyle name="常规 10 3 6 7" xfId="10949" xr:uid="{42716057-1E99-4E87-A18D-2D5D4327932E}"/>
    <cellStyle name="常规 10 3 6 7 2" xfId="10950" xr:uid="{1528B4DB-C565-41EF-8086-8191FE5C7519}"/>
    <cellStyle name="常规 10 3 6 7 3" xfId="33652" xr:uid="{524C6373-E140-4200-82FE-9E53581755DB}"/>
    <cellStyle name="常规 10 3 6 8" xfId="10951" xr:uid="{3023B8C9-11EE-4D21-98F3-012C316432F5}"/>
    <cellStyle name="常规 10 3 6 9" xfId="10952" xr:uid="{87B25AA0-C2AA-4EDB-ACD4-F36A9F94B287}"/>
    <cellStyle name="常规 10 3 7" xfId="10953" xr:uid="{BF7B69F6-22F9-42FD-B7D0-46CCDBBC83C9}"/>
    <cellStyle name="常规 10 3 7 2" xfId="10954" xr:uid="{AAD941A2-5CA0-4B20-ACFF-75C03C8D9977}"/>
    <cellStyle name="常规 10 3 7 2 2" xfId="10955" xr:uid="{C22AFCB9-8AFD-4F75-989F-33B071375556}"/>
    <cellStyle name="常规 10 3 7 2 2 2" xfId="10956" xr:uid="{05D2A86C-617A-4F09-97BF-8C5E6596D74B}"/>
    <cellStyle name="常规 10 3 7 2 2 2 2" xfId="10957" xr:uid="{94274633-C576-46E4-8593-4A0670943CF3}"/>
    <cellStyle name="常规 10 3 7 2 2 2 3" xfId="10958" xr:uid="{84F656A4-8CAB-42E7-A9E2-BCD8E58A3D05}"/>
    <cellStyle name="常规 10 3 7 2 2 3" xfId="10959" xr:uid="{EBBD054F-6CB8-4A06-93C8-898B708F788E}"/>
    <cellStyle name="常规 10 3 7 2 2 3 2" xfId="10960" xr:uid="{A394623B-41F0-4283-80B9-59A85865D165}"/>
    <cellStyle name="常规 10 3 7 2 2 4" xfId="10961" xr:uid="{E041FCAE-82DD-492A-9DA1-276D1782C62B}"/>
    <cellStyle name="常规 10 3 7 2 2 4 2" xfId="10962" xr:uid="{7DB466CF-29C9-4458-A4D4-83BA42C5CE0B}"/>
    <cellStyle name="常规 10 3 7 2 2 4 3" xfId="33653" xr:uid="{837C10C5-62DD-4838-9A5F-BA191E6BFBBA}"/>
    <cellStyle name="常规 10 3 7 2 2 5" xfId="10963" xr:uid="{4CF0DA07-8DA6-4AD9-8CFA-4516C5B36319}"/>
    <cellStyle name="常规 10 3 7 2 2 6" xfId="10964" xr:uid="{193D12AD-C952-4785-B9BC-772594C3447B}"/>
    <cellStyle name="常规 10 3 7 2 2 7" xfId="10965" xr:uid="{993CF084-44B3-4412-8F06-2F595CED8314}"/>
    <cellStyle name="常规 10 3 7 2 3" xfId="10966" xr:uid="{1940D1E8-D8C6-467E-9D70-E9BADE202CAA}"/>
    <cellStyle name="常规 10 3 7 2 3 2" xfId="10967" xr:uid="{B96EFDE2-B8F4-4D36-98ED-000050D52EF4}"/>
    <cellStyle name="常规 10 3 7 2 3 3" xfId="10968" xr:uid="{26762B3A-4C16-4E21-85ED-2D8FC526B369}"/>
    <cellStyle name="常规 10 3 7 2 4" xfId="10969" xr:uid="{41CC4420-E675-4D46-9AD8-C6E9A18FF518}"/>
    <cellStyle name="常规 10 3 7 2 4 2" xfId="10970" xr:uid="{C552A5B1-D2E5-4E64-A2F9-A276382F8BE3}"/>
    <cellStyle name="常规 10 3 7 2 5" xfId="10971" xr:uid="{8166C128-7068-4A25-94B9-3040F9529BE1}"/>
    <cellStyle name="常规 10 3 7 2 5 2" xfId="10972" xr:uid="{56C5EDEF-AFAB-4B6E-975A-C1168BE05F1D}"/>
    <cellStyle name="常规 10 3 7 2 5 3" xfId="33654" xr:uid="{8ECACB95-8EEF-4328-A990-D70D343F9AFA}"/>
    <cellStyle name="常规 10 3 7 2 6" xfId="10973" xr:uid="{284B1A53-2F1C-4028-9F47-A79DDBD70F97}"/>
    <cellStyle name="常规 10 3 7 2 7" xfId="10974" xr:uid="{66385D6F-C33D-47B1-B01F-83C38E9174EF}"/>
    <cellStyle name="常规 10 3 7 2 8" xfId="10975" xr:uid="{2EA53FB4-FB6F-48D0-889A-462E35D824AC}"/>
    <cellStyle name="常规 10 3 7 3" xfId="10976" xr:uid="{9939E05D-0E6E-4268-A7C4-575E34F37F42}"/>
    <cellStyle name="常规 10 3 7 3 2" xfId="10977" xr:uid="{49E169F8-E7B0-4B3A-9B45-EED25F3C5C5D}"/>
    <cellStyle name="常规 10 3 7 3 2 2" xfId="10978" xr:uid="{5651CB11-B4C8-493B-ACF9-E70A4E4CC4B4}"/>
    <cellStyle name="常规 10 3 7 3 2 3" xfId="10979" xr:uid="{E0C185CD-BCF9-433F-A8DB-32254B06664D}"/>
    <cellStyle name="常规 10 3 7 3 3" xfId="10980" xr:uid="{28DFE466-57BB-42E3-A270-AF6CDF5376E2}"/>
    <cellStyle name="常规 10 3 7 3 3 2" xfId="10981" xr:uid="{E38A7E60-F858-4F8A-BD91-C268CF27C33F}"/>
    <cellStyle name="常规 10 3 7 3 4" xfId="10982" xr:uid="{56A716BA-0542-41FB-AC45-5B208A83E299}"/>
    <cellStyle name="常规 10 3 7 3 4 2" xfId="10983" xr:uid="{4F9A9FD8-6EB7-4D2A-9FBB-165A498E61C5}"/>
    <cellStyle name="常规 10 3 7 3 4 3" xfId="33655" xr:uid="{CE0E784B-BAC5-4A48-B2F0-909277E38834}"/>
    <cellStyle name="常规 10 3 7 3 5" xfId="10984" xr:uid="{652280B0-74FC-47CC-88D5-4C4B3B258A87}"/>
    <cellStyle name="常规 10 3 7 3 6" xfId="10985" xr:uid="{92FAF37A-9F64-46C8-B37C-EE6C7A46C2B0}"/>
    <cellStyle name="常规 10 3 7 3 7" xfId="10986" xr:uid="{35BCFEAA-28DD-4091-8CCD-6BE30039D409}"/>
    <cellStyle name="常规 10 3 7 4" xfId="10987" xr:uid="{F700AEC5-6FB9-4482-AC66-F6346B15C6F9}"/>
    <cellStyle name="常规 10 3 7 4 2" xfId="10988" xr:uid="{9FAF23F9-EFD6-4DC5-B9EF-F915023748D1}"/>
    <cellStyle name="常规 10 3 7 4 3" xfId="10989" xr:uid="{DE364FB5-7D3F-47F8-B04F-6BA746ECC8A0}"/>
    <cellStyle name="常规 10 3 7 5" xfId="10990" xr:uid="{F0E9EDC4-701F-4163-8DA0-AC63E620BFFD}"/>
    <cellStyle name="常规 10 3 7 5 2" xfId="10991" xr:uid="{181216DE-F0D0-4DA7-8CFD-03F6E427AC11}"/>
    <cellStyle name="常规 10 3 7 6" xfId="10992" xr:uid="{253275E3-FC0B-4FD5-BF77-861BD2D11D03}"/>
    <cellStyle name="常规 10 3 7 6 2" xfId="10993" xr:uid="{70383091-F482-4E20-AD02-E855DB4CA0E0}"/>
    <cellStyle name="常规 10 3 7 6 3" xfId="33656" xr:uid="{1D5C3B31-7F8B-4854-B3FF-86AED9C02ACA}"/>
    <cellStyle name="常规 10 3 7 7" xfId="10994" xr:uid="{67B1004E-7AA5-4B0A-AD05-07FA4CA2111E}"/>
    <cellStyle name="常规 10 3 7 8" xfId="10995" xr:uid="{D669353D-1998-40B1-B869-9A4B4AE074ED}"/>
    <cellStyle name="常规 10 3 7 9" xfId="10996" xr:uid="{C023688F-9631-45D7-BB5F-F13C1F70E663}"/>
    <cellStyle name="常规 10 3 8" xfId="10997" xr:uid="{F0D6594B-FF8A-4E03-A5A5-E4C8868B9315}"/>
    <cellStyle name="常规 10 3 8 2" xfId="10998" xr:uid="{376A760C-8A13-4A3C-973A-18DBCAF2594B}"/>
    <cellStyle name="常规 10 3 8 2 2" xfId="10999" xr:uid="{4A0E143D-3062-4E0C-AC16-D23B462CA47B}"/>
    <cellStyle name="常规 10 3 8 2 2 2" xfId="11000" xr:uid="{03D2FF7B-9326-4612-9705-209A9C615432}"/>
    <cellStyle name="常规 10 3 8 2 2 3" xfId="11001" xr:uid="{A301B7CD-291D-492E-B7C1-E2E3C1AA1811}"/>
    <cellStyle name="常规 10 3 8 2 2 4" xfId="11002" xr:uid="{5ACD6760-CB37-4A3E-9006-E456BD1EF884}"/>
    <cellStyle name="常规 10 3 8 2 2 5" xfId="11003" xr:uid="{273CA052-72AD-4759-A0C0-E68325894A24}"/>
    <cellStyle name="常规 10 3 8 2 2 6" xfId="11004" xr:uid="{7DB73624-0639-45BD-B29F-F3DEE372B325}"/>
    <cellStyle name="常规 10 3 8 2 2 7" xfId="11005" xr:uid="{80CCC933-74A1-4054-ABC7-317B2C0F2D1F}"/>
    <cellStyle name="常规 10 3 8 2 2 8" xfId="11006" xr:uid="{56E0B910-FCD3-4661-994B-89D590E4C80C}"/>
    <cellStyle name="常规 10 3 8 2 3" xfId="11007" xr:uid="{56E05FD3-374E-4AE6-AD81-A729DBE6A3C2}"/>
    <cellStyle name="常规 10 3 8 2 3 2" xfId="11008" xr:uid="{A7989BB8-0203-4D9E-969D-3B701AEBE6E3}"/>
    <cellStyle name="常规 10 3 8 2 4" xfId="11009" xr:uid="{90426A2B-A171-4112-9071-B4F9CAF3ABAA}"/>
    <cellStyle name="常规 10 3 8 2 4 2" xfId="11010" xr:uid="{1AF22FD6-D293-4E84-BDD9-416171F2979E}"/>
    <cellStyle name="常规 10 3 8 2 4 3" xfId="33657" xr:uid="{35532FA4-16B2-405F-9D8C-B6405A42F4E6}"/>
    <cellStyle name="常规 10 3 8 2 5" xfId="11011" xr:uid="{A69DC5F0-DE6F-47D4-8F37-2236FC7743C5}"/>
    <cellStyle name="常规 10 3 8 2 6" xfId="11012" xr:uid="{BA381BF0-6667-4535-8343-97DF58F1D4BA}"/>
    <cellStyle name="常规 10 3 8 2 7" xfId="11013" xr:uid="{3A7E55F1-B036-4CF6-97B9-F4A7B8F85144}"/>
    <cellStyle name="常规 10 3 8 2 8" xfId="11014" xr:uid="{0AE35CE0-BC73-4ECC-ADA4-D3E0BB352A9E}"/>
    <cellStyle name="常规 10 3 8 3" xfId="11015" xr:uid="{917FAD6A-1740-470C-AEB3-AC88E1860DC2}"/>
    <cellStyle name="常规 10 3 8 3 2" xfId="11016" xr:uid="{27EE5B1A-D229-4868-ABB2-557818E2F48C}"/>
    <cellStyle name="常规 10 3 8 3 3" xfId="11017" xr:uid="{F8C93FC1-C4D7-4999-B5FE-E7D867314130}"/>
    <cellStyle name="常规 10 3 8 3 4" xfId="11018" xr:uid="{946FF0F3-EF3C-4419-BBD9-CA33C9C9CCC1}"/>
    <cellStyle name="常规 10 3 8 3 5" xfId="11019" xr:uid="{B6AD2385-2923-4CAA-85BE-B3AF2D45B5A0}"/>
    <cellStyle name="常规 10 3 8 3 6" xfId="11020" xr:uid="{99AE5006-E559-4703-9B29-74DCA9773C67}"/>
    <cellStyle name="常规 10 3 8 3 7" xfId="11021" xr:uid="{CFED5B6E-278F-4EA6-8651-099C9289AF65}"/>
    <cellStyle name="常规 10 3 8 3 8" xfId="11022" xr:uid="{515ADEBD-25A5-40C2-9EB5-3BBA84648229}"/>
    <cellStyle name="常规 10 3 8 4" xfId="11023" xr:uid="{70E9CD8F-F25F-40C2-9C81-6EB54C829F0D}"/>
    <cellStyle name="常规 10 3 8 4 2" xfId="11024" xr:uid="{B93C9690-A3E0-45FC-9BBF-2DD975259C9D}"/>
    <cellStyle name="常规 10 3 8 5" xfId="11025" xr:uid="{1D71E27E-449A-4918-91F3-3C3EBEBC11C2}"/>
    <cellStyle name="常规 10 3 8 5 2" xfId="11026" xr:uid="{752C057A-30CF-4CA6-B746-83CD2B3ED653}"/>
    <cellStyle name="常规 10 3 8 5 3" xfId="33658" xr:uid="{E3805B38-A2D6-4BD1-9DEE-17ED43CFCE65}"/>
    <cellStyle name="常规 10 3 8 6" xfId="11027" xr:uid="{647462D8-CA55-4FAD-B2FF-F34184CEFF43}"/>
    <cellStyle name="常规 10 3 8 7" xfId="11028" xr:uid="{49387888-CCCA-4ADD-8D38-7CF8D63B9606}"/>
    <cellStyle name="常规 10 3 8 8" xfId="11029" xr:uid="{F3741D11-2CAE-4B19-ACBA-9B52BD1F1BDF}"/>
    <cellStyle name="常规 10 3 8 9" xfId="11030" xr:uid="{E4EC5B1D-4CF1-4BDB-A6D3-787CD63A0234}"/>
    <cellStyle name="常规 10 3 9" xfId="11031" xr:uid="{C34BA9AD-34A1-4203-AC65-79FDD075F6F7}"/>
    <cellStyle name="常规 10 3 9 2" xfId="11032" xr:uid="{387CFF34-7BD0-4221-AE4C-C53717B3FD32}"/>
    <cellStyle name="常规 10 3 9 2 2" xfId="11033" xr:uid="{6F54A9D7-3315-4E09-85F4-D5B8F7ADF46A}"/>
    <cellStyle name="常规 10 3 9 2 2 2" xfId="11034" xr:uid="{D747C08F-B3ED-4DC0-A5A5-16ED86385657}"/>
    <cellStyle name="常规 10 3 9 2 3" xfId="11035" xr:uid="{5FD0A682-76F5-4322-B92B-FBA3417D6F09}"/>
    <cellStyle name="常规 10 3 9 2 4" xfId="11036" xr:uid="{A1A3AECD-AE67-4374-A4B3-F5B65F6BDA71}"/>
    <cellStyle name="常规 10 3 9 2 4 2" xfId="33659" xr:uid="{6713397E-19E7-4A32-AE3D-FFF55E5C42DE}"/>
    <cellStyle name="常规 10 3 9 3" xfId="11037" xr:uid="{CF18CFBE-14B2-4C97-B250-95B5CCF85B8D}"/>
    <cellStyle name="常规 10 3 9 3 2" xfId="11038" xr:uid="{3520CA2A-9070-4544-8333-99753221FB9D}"/>
    <cellStyle name="常规 10 3 9 4" xfId="11039" xr:uid="{969C4C80-CF2F-4680-926E-975F75ECA2AC}"/>
    <cellStyle name="常规 10 3 9 5" xfId="11040" xr:uid="{4E30C37C-C839-4938-A632-780B69A28D1B}"/>
    <cellStyle name="常规 10 3 9 5 2" xfId="33660" xr:uid="{D0D22C6E-81D0-47FA-9417-AA8E9A2815F3}"/>
    <cellStyle name="常规 10 4" xfId="11041" xr:uid="{D2CE71EA-0776-48B3-8757-BFA8083A28AC}"/>
    <cellStyle name="常规 10 4 10" xfId="11042" xr:uid="{D2F4A300-E558-41FF-9AD5-A4159D77B761}"/>
    <cellStyle name="常规 10 4 10 2" xfId="11043" xr:uid="{7EBC5BE3-2D8A-41BD-ACFF-7B353FB68FDB}"/>
    <cellStyle name="常规 10 4 10 2 2" xfId="11044" xr:uid="{518AC47B-AE15-44A4-B6BE-DA797FD7C3C0}"/>
    <cellStyle name="常规 10 4 10 3" xfId="11045" xr:uid="{070377C0-B06F-45DA-A5C0-5E967A394C56}"/>
    <cellStyle name="常规 10 4 10 4" xfId="11046" xr:uid="{706C627B-0CDF-4F4D-9E34-23881C1E4EE5}"/>
    <cellStyle name="常规 10 4 10 4 2" xfId="33661" xr:uid="{97D3CAFA-8864-4A87-BF6E-CCC77E145CB4}"/>
    <cellStyle name="常规 10 4 11" xfId="11047" xr:uid="{E021BC66-A210-42A7-B460-E0C3CA3099FA}"/>
    <cellStyle name="常规 10 4 11 2" xfId="11048" xr:uid="{D58D45E7-ABFD-462A-B0D3-038A62904CCB}"/>
    <cellStyle name="常规 10 4 12" xfId="11049" xr:uid="{CA5F2B78-E207-4D8C-91F0-E151F4654B7A}"/>
    <cellStyle name="常规 10 4 13" xfId="11050" xr:uid="{2E6DE254-4CA4-4975-B93E-DADB353CC138}"/>
    <cellStyle name="常规 10 4 13 2" xfId="33662" xr:uid="{BBAD1C2D-3971-4206-B454-6D905F99524F}"/>
    <cellStyle name="常规 10 4 14" xfId="11051" xr:uid="{6F4F56BD-AFE9-4824-B9CC-256C2B34149A}"/>
    <cellStyle name="常规 10 4 2" xfId="11052" xr:uid="{402521B9-0BFF-4BDA-BB57-110E90B958A2}"/>
    <cellStyle name="常规 10 4 2 10" xfId="11053" xr:uid="{00F9C118-C976-4EE8-8D91-A66661F37C6A}"/>
    <cellStyle name="常规 10 4 2 2" xfId="11054" xr:uid="{49E01FC1-0DFF-4439-BB24-F8DF4E380DF3}"/>
    <cellStyle name="常规 10 4 2 2 2" xfId="11055" xr:uid="{41956867-A8EE-4B5C-B805-581987C0A3CD}"/>
    <cellStyle name="常规 10 4 2 2 2 2" xfId="11056" xr:uid="{5FC012E6-CE68-4325-9B76-C9F2E15CCA6D}"/>
    <cellStyle name="常规 10 4 2 2 2 2 2" xfId="11057" xr:uid="{A5061DB2-59CD-46F1-998A-320BB902DB9C}"/>
    <cellStyle name="常规 10 4 2 2 2 2 2 2" xfId="11058" xr:uid="{E87A4987-93BF-45A9-9E54-48B4C66A8AA9}"/>
    <cellStyle name="常规 10 4 2 2 2 2 2 2 2" xfId="11059" xr:uid="{776E4022-AA2A-4D99-BB22-E192B092E6A2}"/>
    <cellStyle name="常规 10 4 2 2 2 2 2 3" xfId="11060" xr:uid="{DDD7FFB1-51AB-4A7F-902F-5D3E1770EE34}"/>
    <cellStyle name="常规 10 4 2 2 2 2 2 4" xfId="11061" xr:uid="{D7810AD4-4274-400D-A3D6-3EC7D0FE972F}"/>
    <cellStyle name="常规 10 4 2 2 2 2 2 4 2" xfId="33663" xr:uid="{6596448A-0E18-4588-9B6B-FC5ADBA10943}"/>
    <cellStyle name="常规 10 4 2 2 2 2 2 5" xfId="11062" xr:uid="{643C75A2-A2D0-4929-8ED5-1958BED90607}"/>
    <cellStyle name="常规 10 4 2 2 2 2 3" xfId="11063" xr:uid="{1FB4D6A3-9D45-41B1-8B0F-ECE2C797CD05}"/>
    <cellStyle name="常规 10 4 2 2 2 2 3 2" xfId="11064" xr:uid="{3025A38E-FCA9-4229-A7AF-B9BDDE489539}"/>
    <cellStyle name="常规 10 4 2 2 2 2 3 3" xfId="11065" xr:uid="{FB1D38E1-A44A-420F-AA9B-51BD43846BA1}"/>
    <cellStyle name="常规 10 4 2 2 2 2 4" xfId="11066" xr:uid="{D12BC61C-FAFA-4B00-9609-FF160D8DA1A6}"/>
    <cellStyle name="常规 10 4 2 2 2 2 4 2" xfId="11067" xr:uid="{63061A55-0EFF-44E8-B889-99BCBB24672D}"/>
    <cellStyle name="常规 10 4 2 2 2 2 5" xfId="11068" xr:uid="{4C4BBDB9-ACF2-4DCF-AF2B-F5880A0D9CCF}"/>
    <cellStyle name="常规 10 4 2 2 2 2 5 2" xfId="11069" xr:uid="{7B2AC2C9-DAAA-444F-87EF-583B9BD2DE65}"/>
    <cellStyle name="常规 10 4 2 2 2 2 5 3" xfId="33664" xr:uid="{29BF5B6A-CFB7-4CDF-A98D-888BCF765321}"/>
    <cellStyle name="常规 10 4 2 2 2 2 6" xfId="11070" xr:uid="{E5D6E5D4-BB8E-40B1-A7A4-7C1F9FDFE0C6}"/>
    <cellStyle name="常规 10 4 2 2 2 2 7" xfId="11071" xr:uid="{B6472089-FD03-47B4-8C3D-1CA5DF310422}"/>
    <cellStyle name="常规 10 4 2 2 2 3" xfId="11072" xr:uid="{262D89D6-FCAA-414E-94F6-C037B3ABC9B0}"/>
    <cellStyle name="常规 10 4 2 2 2 3 2" xfId="11073" xr:uid="{58D0A607-B5BF-4185-8C82-AD7A65CAE796}"/>
    <cellStyle name="常规 10 4 2 2 2 3 2 2" xfId="11074" xr:uid="{FBBDFAD7-4CA3-4D78-99C0-5E3BB1F6F4CA}"/>
    <cellStyle name="常规 10 4 2 2 2 3 3" xfId="11075" xr:uid="{CB2D5B21-3483-4C2F-8D15-C6219A08959B}"/>
    <cellStyle name="常规 10 4 2 2 2 3 4" xfId="11076" xr:uid="{56B8CD13-F734-4A18-B17F-3B8A5695312E}"/>
    <cellStyle name="常规 10 4 2 2 2 3 4 2" xfId="33665" xr:uid="{5D492935-FEBB-4AAF-9ACB-38ECC26260B9}"/>
    <cellStyle name="常规 10 4 2 2 2 3 5" xfId="11077" xr:uid="{B639D49E-96B9-417A-AA14-C02443581556}"/>
    <cellStyle name="常规 10 4 2 2 2 4" xfId="11078" xr:uid="{B2275DEF-1DA3-445D-9F89-FED3F87CE73C}"/>
    <cellStyle name="常规 10 4 2 2 2 4 2" xfId="11079" xr:uid="{F098BA4D-6FF2-454B-B52C-18713E25CA11}"/>
    <cellStyle name="常规 10 4 2 2 2 4 3" xfId="11080" xr:uid="{F99E93D7-6948-46C0-B481-FE745112BF3A}"/>
    <cellStyle name="常规 10 4 2 2 2 5" xfId="11081" xr:uid="{A6493A85-698F-483A-BF44-9C974AA8F367}"/>
    <cellStyle name="常规 10 4 2 2 2 5 2" xfId="11082" xr:uid="{1E5C92D0-5410-4B6D-A7F6-4EEF950CCEC2}"/>
    <cellStyle name="常规 10 4 2 2 2 6" xfId="11083" xr:uid="{670CA557-3956-4134-86C6-9CBB1A1E838C}"/>
    <cellStyle name="常规 10 4 2 2 2 6 2" xfId="11084" xr:uid="{11BB35BA-EC87-4375-9DFA-F0F686F98BEB}"/>
    <cellStyle name="常规 10 4 2 2 2 6 3" xfId="33666" xr:uid="{EF8ACA47-C957-4976-A83A-F8AEFDA7C70C}"/>
    <cellStyle name="常规 10 4 2 2 2 7" xfId="11085" xr:uid="{00A7899D-E4BD-4DD6-9D8B-BC4B52C95F55}"/>
    <cellStyle name="常规 10 4 2 2 2 8" xfId="11086" xr:uid="{9CF7DAEA-588B-4CB0-94D2-FD8B2EFAAC08}"/>
    <cellStyle name="常规 10 4 2 2 3" xfId="11087" xr:uid="{0A36123B-FEB8-4436-AF29-60C182B1A77F}"/>
    <cellStyle name="常规 10 4 2 2 3 2" xfId="11088" xr:uid="{008004EB-6D23-4AA3-96B5-9BBAE68F6A01}"/>
    <cellStyle name="常规 10 4 2 2 3 2 2" xfId="11089" xr:uid="{C22048F6-EA23-4056-825C-C8DCF2D4CCBF}"/>
    <cellStyle name="常规 10 4 2 2 3 2 2 2" xfId="11090" xr:uid="{FD709FB3-F77E-4722-8852-DA6D32644EAA}"/>
    <cellStyle name="常规 10 4 2 2 3 2 3" xfId="11091" xr:uid="{B3BB46AE-8E29-4772-A3E4-02BF2C45E5FC}"/>
    <cellStyle name="常规 10 4 2 2 3 2 4" xfId="11092" xr:uid="{77D23690-C126-4575-A5A7-5F8A5E4B88BB}"/>
    <cellStyle name="常规 10 4 2 2 3 2 4 2" xfId="33667" xr:uid="{78A93604-83E0-4356-A4E2-415407C246D9}"/>
    <cellStyle name="常规 10 4 2 2 3 2 5" xfId="11093" xr:uid="{62317892-0BB0-4642-A26D-82610B8C1BCF}"/>
    <cellStyle name="常规 10 4 2 2 3 3" xfId="11094" xr:uid="{DBEA86C2-3DEB-4517-AF1D-413C48DEAEB3}"/>
    <cellStyle name="常规 10 4 2 2 3 3 2" xfId="11095" xr:uid="{3F39A7FF-D300-4F34-8AAF-AA6477DEB77C}"/>
    <cellStyle name="常规 10 4 2 2 3 3 3" xfId="11096" xr:uid="{C1E8F85B-1DCC-4422-9ECA-542CEFC9DAF9}"/>
    <cellStyle name="常规 10 4 2 2 3 4" xfId="11097" xr:uid="{3F0394BF-1A68-40C5-9860-D42CDB443B1E}"/>
    <cellStyle name="常规 10 4 2 2 3 4 2" xfId="11098" xr:uid="{9C05CFF3-BC2A-45B7-89CC-7CCA9308CCC0}"/>
    <cellStyle name="常规 10 4 2 2 3 5" xfId="11099" xr:uid="{CD75BC08-DCF0-4FA1-AC6C-1FCBA3BB4CD1}"/>
    <cellStyle name="常规 10 4 2 2 3 5 2" xfId="11100" xr:uid="{9CEB5CFA-9ADA-4006-B65D-ECA2F254B21E}"/>
    <cellStyle name="常规 10 4 2 2 3 5 3" xfId="33668" xr:uid="{65D456DA-255F-4B77-AF69-053751923239}"/>
    <cellStyle name="常规 10 4 2 2 3 6" xfId="11101" xr:uid="{183A4804-1E0C-448D-9AF1-0773C041AAB1}"/>
    <cellStyle name="常规 10 4 2 2 3 7" xfId="11102" xr:uid="{2661BDB4-B9BB-4B2B-B4D7-4603E902B5E9}"/>
    <cellStyle name="常规 10 4 2 2 4" xfId="11103" xr:uid="{FFB3CE43-EE95-4747-AFB3-1959138CE716}"/>
    <cellStyle name="常规 10 4 2 2 4 2" xfId="11104" xr:uid="{199FECD8-0352-4337-8A91-F1D09EE1F947}"/>
    <cellStyle name="常规 10 4 2 2 4 2 2" xfId="11105" xr:uid="{0832DABE-D993-4EBF-944D-14F0B87848FE}"/>
    <cellStyle name="常规 10 4 2 2 4 3" xfId="11106" xr:uid="{CF78A412-F483-4420-91A9-2F043EAEF6F7}"/>
    <cellStyle name="常规 10 4 2 2 4 4" xfId="11107" xr:uid="{501292C7-3BC6-4D70-BF44-6ECB70DEAC89}"/>
    <cellStyle name="常规 10 4 2 2 4 4 2" xfId="33669" xr:uid="{132F30B9-F2C6-467E-88CC-7F9FFD278231}"/>
    <cellStyle name="常规 10 4 2 2 4 5" xfId="11108" xr:uid="{69C41FA3-405D-46A9-A23F-EE1619850140}"/>
    <cellStyle name="常规 10 4 2 2 5" xfId="11109" xr:uid="{9EE79819-46AE-4B39-87A6-F6428A551CB4}"/>
    <cellStyle name="常规 10 4 2 2 5 2" xfId="11110" xr:uid="{4E231C87-60CF-4F09-B0E0-67B71064459B}"/>
    <cellStyle name="常规 10 4 2 2 5 2 2" xfId="11111" xr:uid="{A72143E4-2D04-4FE1-BF46-F23D28E0226A}"/>
    <cellStyle name="常规 10 4 2 2 5 3" xfId="11112" xr:uid="{7ED63146-3EC4-4C84-94E2-3E460926D896}"/>
    <cellStyle name="常规 10 4 2 2 5 4" xfId="11113" xr:uid="{16B7A16A-398C-42FD-B3B2-2BF31FDAD074}"/>
    <cellStyle name="常规 10 4 2 2 5 4 2" xfId="33670" xr:uid="{6EDAA4E4-FBCB-40AA-8022-CF969DFAB6DB}"/>
    <cellStyle name="常规 10 4 2 2 5 5" xfId="11114" xr:uid="{712B47BB-58C1-45BE-8E90-FEC16C20FBCD}"/>
    <cellStyle name="常规 10 4 2 2 6" xfId="11115" xr:uid="{E72F5580-A39D-4DE7-A2DD-18C83FA7650A}"/>
    <cellStyle name="常规 10 4 2 2 6 2" xfId="11116" xr:uid="{978FE583-EF6D-46C7-A145-A6569D5F44B8}"/>
    <cellStyle name="常规 10 4 2 2 6 3" xfId="11117" xr:uid="{31D9F246-84E6-462A-9DF8-D436933ED675}"/>
    <cellStyle name="常规 10 4 2 2 7" xfId="11118" xr:uid="{F53D0867-79DB-446C-95B5-2375424B6DDB}"/>
    <cellStyle name="常规 10 4 2 2 7 2" xfId="11119" xr:uid="{20EAF551-C8CE-446B-9593-4F0E49AA2CE2}"/>
    <cellStyle name="常规 10 4 2 2 8" xfId="11120" xr:uid="{9BAF3103-D98F-49E5-934A-F6FA2BD77BCF}"/>
    <cellStyle name="常规 10 4 2 2 8 2" xfId="11121" xr:uid="{21A686C9-8383-4925-967F-FCEE27ABED50}"/>
    <cellStyle name="常规 10 4 2 2 8 3" xfId="33671" xr:uid="{21FCEBFE-6D44-43A0-9DE7-C3AB12300C16}"/>
    <cellStyle name="常规 10 4 2 2 9" xfId="11122" xr:uid="{F1E76945-7144-4B8E-A4A4-D92FA48F457C}"/>
    <cellStyle name="常规 10 4 2 3" xfId="11123" xr:uid="{0A69168B-5104-462C-86E3-5C8D09647F84}"/>
    <cellStyle name="常规 10 4 2 3 2" xfId="11124" xr:uid="{AA92066F-A315-4398-89A7-F8B1A765F060}"/>
    <cellStyle name="常规 10 4 2 3 2 2" xfId="11125" xr:uid="{79FB9E6C-6867-4F84-AB3A-E88034445B54}"/>
    <cellStyle name="常规 10 4 2 3 2 2 2" xfId="11126" xr:uid="{8CF553E8-B60C-4AFD-9CB9-15447E1C753B}"/>
    <cellStyle name="常规 10 4 2 3 2 2 2 2" xfId="11127" xr:uid="{CC272ED4-32DE-417F-9A35-3E16091D1D7D}"/>
    <cellStyle name="常规 10 4 2 3 2 2 3" xfId="11128" xr:uid="{2E9558C0-1928-4DC8-83A5-A482A6FA5561}"/>
    <cellStyle name="常规 10 4 2 3 2 2 4" xfId="11129" xr:uid="{8B3897B7-A12F-49BE-9D7B-5978670C0603}"/>
    <cellStyle name="常规 10 4 2 3 2 2 4 2" xfId="33672" xr:uid="{47B49BC2-E900-4005-B2E3-B56899626E39}"/>
    <cellStyle name="常规 10 4 2 3 2 2 5" xfId="11130" xr:uid="{03D5840E-F16D-4C48-87E2-75A4F7293DE9}"/>
    <cellStyle name="常规 10 4 2 3 2 3" xfId="11131" xr:uid="{2BD1757C-50F3-4A82-8BF0-63C15D850D1A}"/>
    <cellStyle name="常规 10 4 2 3 2 3 2" xfId="11132" xr:uid="{038D35DE-8868-4D29-8F87-CD5D0E3CA322}"/>
    <cellStyle name="常规 10 4 2 3 2 3 3" xfId="11133" xr:uid="{D3071E21-9D1B-4468-B2BD-ED835E63DE0E}"/>
    <cellStyle name="常规 10 4 2 3 2 4" xfId="11134" xr:uid="{F1FAB20B-D459-4D5C-81DB-0B76BEB7B748}"/>
    <cellStyle name="常规 10 4 2 3 2 4 2" xfId="11135" xr:uid="{6ABA52EF-9F42-4FD9-BB94-6AC9CDFA2675}"/>
    <cellStyle name="常规 10 4 2 3 2 5" xfId="11136" xr:uid="{7BE2925C-44B7-42DB-8EC4-E8E4D3888612}"/>
    <cellStyle name="常规 10 4 2 3 2 5 2" xfId="11137" xr:uid="{9CCEC31B-3AB7-42AA-BD6C-0B2D015F0885}"/>
    <cellStyle name="常规 10 4 2 3 2 5 3" xfId="33673" xr:uid="{C4AFA99E-E6AE-4786-931F-470921FC0257}"/>
    <cellStyle name="常规 10 4 2 3 2 6" xfId="11138" xr:uid="{C5447FA3-10C4-48F1-A576-1AB72F18D7AA}"/>
    <cellStyle name="常规 10 4 2 3 2 7" xfId="11139" xr:uid="{D3ADF504-C442-40E2-8A9A-6B71FE014D56}"/>
    <cellStyle name="常规 10 4 2 3 3" xfId="11140" xr:uid="{E8349400-4CCC-4CCE-8AD2-EEF995A610B0}"/>
    <cellStyle name="常规 10 4 2 3 3 2" xfId="11141" xr:uid="{7D3CB879-449B-4EB1-AADD-AC0BAED93347}"/>
    <cellStyle name="常规 10 4 2 3 3 2 2" xfId="11142" xr:uid="{246CE751-7EE5-47F1-A59F-4070B89479A1}"/>
    <cellStyle name="常规 10 4 2 3 3 3" xfId="11143" xr:uid="{253B23CF-F6A7-4879-B2F7-0D92A97864B4}"/>
    <cellStyle name="常规 10 4 2 3 3 4" xfId="11144" xr:uid="{2F9F9091-3F5D-4ECA-B5B8-7200D8E208CF}"/>
    <cellStyle name="常规 10 4 2 3 3 4 2" xfId="33674" xr:uid="{42131EF6-A1C5-4F73-BB4D-6FEB33CB1594}"/>
    <cellStyle name="常规 10 4 2 3 3 5" xfId="11145" xr:uid="{863932AD-0261-4929-9933-0A37E5ED1A16}"/>
    <cellStyle name="常规 10 4 2 3 4" xfId="11146" xr:uid="{49331495-347A-475A-B743-9190A91A65D3}"/>
    <cellStyle name="常规 10 4 2 3 4 2" xfId="11147" xr:uid="{1C4431E6-29F8-4AB2-A65D-922382433B66}"/>
    <cellStyle name="常规 10 4 2 3 4 3" xfId="11148" xr:uid="{01388091-31C6-40B1-949F-60F25C16F884}"/>
    <cellStyle name="常规 10 4 2 3 5" xfId="11149" xr:uid="{E913B02A-A34E-4C6A-9D61-B513C3DDDF87}"/>
    <cellStyle name="常规 10 4 2 3 5 2" xfId="11150" xr:uid="{D111501E-2599-4497-A984-DE4C5C726341}"/>
    <cellStyle name="常规 10 4 2 3 6" xfId="11151" xr:uid="{E6ED391C-C20D-446D-A640-598A0A78D5BD}"/>
    <cellStyle name="常规 10 4 2 3 6 2" xfId="11152" xr:uid="{8EA7301E-72D8-4DA8-8905-32D2C7D9690E}"/>
    <cellStyle name="常规 10 4 2 3 6 3" xfId="33675" xr:uid="{70F6E0A2-FDA2-40FB-B231-E596B6486297}"/>
    <cellStyle name="常规 10 4 2 3 7" xfId="11153" xr:uid="{E25AA330-2228-437E-80F4-3A6CE203AFAC}"/>
    <cellStyle name="常规 10 4 2 3 8" xfId="11154" xr:uid="{5452F161-9A4A-42A2-A83F-70F68DCEB147}"/>
    <cellStyle name="常规 10 4 2 4" xfId="11155" xr:uid="{3D0AD4BF-C4F3-48D4-B4D6-B6E4CA4F7B3F}"/>
    <cellStyle name="常规 10 4 2 4 2" xfId="11156" xr:uid="{779B38C7-4DD1-4825-A48C-4D56E6B5DEF6}"/>
    <cellStyle name="常规 10 4 2 4 2 2" xfId="11157" xr:uid="{C726752D-9958-40D3-AC39-167C523F5A8F}"/>
    <cellStyle name="常规 10 4 2 4 2 2 2" xfId="11158" xr:uid="{7135E3AB-6D97-4509-B048-E96D91B12E3D}"/>
    <cellStyle name="常规 10 4 2 4 2 3" xfId="11159" xr:uid="{0240EE8E-485F-4DBB-8F87-78287415969E}"/>
    <cellStyle name="常规 10 4 2 4 2 4" xfId="11160" xr:uid="{F2BC5575-1CCD-4A50-800A-30BBE9D77F6D}"/>
    <cellStyle name="常规 10 4 2 4 2 4 2" xfId="33676" xr:uid="{AA323789-6E2F-4EDB-B690-50E16DAD8273}"/>
    <cellStyle name="常规 10 4 2 4 2 5" xfId="11161" xr:uid="{42E0E7F5-2A5C-4F03-A711-C6815DE9F505}"/>
    <cellStyle name="常规 10 4 2 4 3" xfId="11162" xr:uid="{14CC8DC9-3988-459D-B521-38BBEAA054ED}"/>
    <cellStyle name="常规 10 4 2 4 3 2" xfId="11163" xr:uid="{74845249-C635-47B7-9C4F-7DFAC8962DA8}"/>
    <cellStyle name="常规 10 4 2 4 3 3" xfId="11164" xr:uid="{889ABAA3-E57B-4B9D-8CFE-EB00F0F648BE}"/>
    <cellStyle name="常规 10 4 2 4 4" xfId="11165" xr:uid="{ECCB8FBF-9085-4842-8047-BDB3CA539316}"/>
    <cellStyle name="常规 10 4 2 4 4 2" xfId="11166" xr:uid="{79305FC3-2F3D-4E48-AD54-DF0D0E5A0AC2}"/>
    <cellStyle name="常规 10 4 2 4 5" xfId="11167" xr:uid="{6444E03B-C5F2-4A9E-A4F5-2BB936638A50}"/>
    <cellStyle name="常规 10 4 2 4 5 2" xfId="11168" xr:uid="{86734824-B68B-470A-9C41-3FEA64E2F449}"/>
    <cellStyle name="常规 10 4 2 4 5 3" xfId="33677" xr:uid="{612B8FC9-E6AD-43DE-BA96-C5E7941827EF}"/>
    <cellStyle name="常规 10 4 2 4 6" xfId="11169" xr:uid="{533D73CD-63A8-47C2-B2D1-850C56D2980D}"/>
    <cellStyle name="常规 10 4 2 4 7" xfId="11170" xr:uid="{94B50B04-0331-47BA-923F-A0621C7210DB}"/>
    <cellStyle name="常规 10 4 2 5" xfId="11171" xr:uid="{62EE85EB-1EC1-4FE3-ABBB-AE9E054B1672}"/>
    <cellStyle name="常规 10 4 2 5 2" xfId="11172" xr:uid="{09C23B52-1EDF-462B-852C-0067E4EC27CD}"/>
    <cellStyle name="常规 10 4 2 5 2 2" xfId="11173" xr:uid="{051D71D7-E754-4F81-947E-BD99697B8C3D}"/>
    <cellStyle name="常规 10 4 2 5 3" xfId="11174" xr:uid="{184168B7-60E3-4FE6-ADD6-138403BA59CB}"/>
    <cellStyle name="常规 10 4 2 5 4" xfId="11175" xr:uid="{6082D9C6-9C34-46CB-AEEE-85EB3B52E47F}"/>
    <cellStyle name="常规 10 4 2 5 4 2" xfId="33678" xr:uid="{C430A374-2D04-448C-B96C-4E250B521C30}"/>
    <cellStyle name="常规 10 4 2 5 5" xfId="11176" xr:uid="{3A7E660C-9DE6-446F-AADB-709F4065AB52}"/>
    <cellStyle name="常规 10 4 2 6" xfId="11177" xr:uid="{388BBAD7-0633-4F26-BD73-D04BCB24735E}"/>
    <cellStyle name="常规 10 4 2 6 2" xfId="11178" xr:uid="{35C4EE5A-58F6-4EBC-906D-B08AE50B16F6}"/>
    <cellStyle name="常规 10 4 2 6 2 2" xfId="11179" xr:uid="{7D84F813-78EC-4A05-AD33-4B48AD5C0D63}"/>
    <cellStyle name="常规 10 4 2 6 3" xfId="11180" xr:uid="{4F5D5356-4172-4B31-AE86-19189445687B}"/>
    <cellStyle name="常规 10 4 2 6 4" xfId="11181" xr:uid="{B47FBC30-EC86-4A1C-9F41-736F7D80F31B}"/>
    <cellStyle name="常规 10 4 2 6 4 2" xfId="33679" xr:uid="{4FC5EB36-F2A0-492E-BF52-EE16271731B6}"/>
    <cellStyle name="常规 10 4 2 6 5" xfId="11182" xr:uid="{581DD708-8196-49EA-8198-C6DC138ABEE6}"/>
    <cellStyle name="常规 10 4 2 7" xfId="11183" xr:uid="{055BDA3E-AD64-4E2C-9688-CFC7076C9A44}"/>
    <cellStyle name="常规 10 4 2 7 2" xfId="11184" xr:uid="{60DFE880-E59B-439D-9E97-01A68294320D}"/>
    <cellStyle name="常规 10 4 2 7 3" xfId="11185" xr:uid="{A746EBAC-13FF-4BDC-96F5-D7E6148E460F}"/>
    <cellStyle name="常规 10 4 2 8" xfId="11186" xr:uid="{21D4B9E7-761E-498E-A223-6BDD6715B407}"/>
    <cellStyle name="常规 10 4 2 8 2" xfId="11187" xr:uid="{35711D6C-3850-4AD5-8126-A3463D855062}"/>
    <cellStyle name="常规 10 4 2 9" xfId="11188" xr:uid="{1C5722FC-96B3-4461-AC88-00EDAD998DAA}"/>
    <cellStyle name="常规 10 4 2 9 2" xfId="11189" xr:uid="{DCE0080A-0665-4C72-9F0C-05C06456E559}"/>
    <cellStyle name="常规 10 4 2 9 3" xfId="33680" xr:uid="{403A4AF8-C3CF-4E37-AC4D-2500A0BFC32C}"/>
    <cellStyle name="常规 10 4 3" xfId="11190" xr:uid="{7BE8488C-FF76-47B4-BFF4-B4510CCFC46D}"/>
    <cellStyle name="常规 10 4 3 10" xfId="11191" xr:uid="{EB18CAEE-361D-4F3F-A514-E164DD7ACC3F}"/>
    <cellStyle name="常规 10 4 3 2" xfId="11192" xr:uid="{403CA738-1207-49F9-A388-7B465BE16CC5}"/>
    <cellStyle name="常规 10 4 3 2 2" xfId="11193" xr:uid="{414B2150-BFE5-4E29-8052-9555AFF67B1D}"/>
    <cellStyle name="常规 10 4 3 2 2 2" xfId="11194" xr:uid="{05C9DF39-AF11-4FAE-B757-01B96049C97E}"/>
    <cellStyle name="常规 10 4 3 2 2 2 2" xfId="11195" xr:uid="{B6B60749-0E24-4195-9F5B-D89BC78A53F7}"/>
    <cellStyle name="常规 10 4 3 2 2 2 2 2" xfId="11196" xr:uid="{F8351809-3785-4A84-8C30-A25A94B1DDD5}"/>
    <cellStyle name="常规 10 4 3 2 2 2 2 3" xfId="11197" xr:uid="{AA71E679-2DB2-412F-9EA8-E1121CB632C6}"/>
    <cellStyle name="常规 10 4 3 2 2 2 3" xfId="11198" xr:uid="{0713AA6C-AA7C-479C-B643-549F89533BEB}"/>
    <cellStyle name="常规 10 4 3 2 2 2 3 2" xfId="11199" xr:uid="{65E992AB-2ACC-41C2-90E7-8FBD0068436E}"/>
    <cellStyle name="常规 10 4 3 2 2 2 4" xfId="11200" xr:uid="{C94C4DC0-CF5A-43BD-83FF-1FC758748290}"/>
    <cellStyle name="常规 10 4 3 2 2 2 4 2" xfId="11201" xr:uid="{93B954C1-902C-4248-954A-984B81F2BC9A}"/>
    <cellStyle name="常规 10 4 3 2 2 2 4 3" xfId="33681" xr:uid="{1D8BF474-B1C7-4FFB-A0B9-5E28DBEBCB6B}"/>
    <cellStyle name="常规 10 4 3 2 2 2 5" xfId="11202" xr:uid="{FDFDEDFF-82CB-4E7B-84C5-8F262B6D4FE9}"/>
    <cellStyle name="常规 10 4 3 2 2 2 6" xfId="11203" xr:uid="{C6C14B76-B70B-46D6-8974-E4893FBE12D2}"/>
    <cellStyle name="常规 10 4 3 2 2 2 7" xfId="11204" xr:uid="{BF5DE2B3-CAEB-44EC-9D59-A8F0FCE4A05F}"/>
    <cellStyle name="常规 10 4 3 2 2 3" xfId="11205" xr:uid="{8FD1C522-B1E4-4301-A2FC-783326DB1816}"/>
    <cellStyle name="常规 10 4 3 2 2 3 2" xfId="11206" xr:uid="{61650321-08CB-42A4-AD8E-5F96C63C1882}"/>
    <cellStyle name="常规 10 4 3 2 2 3 3" xfId="11207" xr:uid="{46363221-3D72-41E0-A1D3-08805A5C98C3}"/>
    <cellStyle name="常规 10 4 3 2 2 4" xfId="11208" xr:uid="{57FC4620-EC7D-413B-9206-30FF0983265E}"/>
    <cellStyle name="常规 10 4 3 2 2 4 2" xfId="11209" xr:uid="{D9503EC8-DF8C-4899-8091-9DCB44C59391}"/>
    <cellStyle name="常规 10 4 3 2 2 5" xfId="11210" xr:uid="{4D320A8E-B6F6-4A32-8D33-80C19774457D}"/>
    <cellStyle name="常规 10 4 3 2 2 5 2" xfId="11211" xr:uid="{1A31B85B-9DF3-4514-A95A-9DC9D31D33EE}"/>
    <cellStyle name="常规 10 4 3 2 2 5 3" xfId="33682" xr:uid="{1074977D-E475-41C5-82A4-71AEC35C5787}"/>
    <cellStyle name="常规 10 4 3 2 2 6" xfId="11212" xr:uid="{6FB39976-8234-44C9-A5D9-8822486A6394}"/>
    <cellStyle name="常规 10 4 3 2 2 7" xfId="11213" xr:uid="{04DA7888-7B6C-4066-B328-14317F2C4A48}"/>
    <cellStyle name="常规 10 4 3 2 2 8" xfId="11214" xr:uid="{2D57E17B-26BA-41E4-9AEA-A1766E477195}"/>
    <cellStyle name="常规 10 4 3 2 3" xfId="11215" xr:uid="{90710C3A-E090-4F13-A8B6-6A23CF10AEED}"/>
    <cellStyle name="常规 10 4 3 2 3 2" xfId="11216" xr:uid="{36DC33E8-B4BE-4FD0-9CF6-CE6090CA1263}"/>
    <cellStyle name="常规 10 4 3 2 3 2 2" xfId="11217" xr:uid="{54FAD262-22D0-43D8-958E-A355FC91CD8F}"/>
    <cellStyle name="常规 10 4 3 2 3 2 3" xfId="11218" xr:uid="{56292ADE-B37B-4370-9326-A7D32A33B869}"/>
    <cellStyle name="常规 10 4 3 2 3 3" xfId="11219" xr:uid="{D32BEB7E-1CD6-4A6E-8DB7-5763BAA41F5A}"/>
    <cellStyle name="常规 10 4 3 2 3 3 2" xfId="11220" xr:uid="{9C99ECF2-2823-4AF5-8A22-D0DB43EA0DF8}"/>
    <cellStyle name="常规 10 4 3 2 3 4" xfId="11221" xr:uid="{82520AD9-F024-4664-99DF-EFCB7D11A922}"/>
    <cellStyle name="常规 10 4 3 2 3 4 2" xfId="11222" xr:uid="{FD311B19-CA11-48F8-8037-39C35BB5C1C9}"/>
    <cellStyle name="常规 10 4 3 2 3 4 3" xfId="33683" xr:uid="{151D294D-4862-4F36-B278-CC07DA7437CE}"/>
    <cellStyle name="常规 10 4 3 2 3 5" xfId="11223" xr:uid="{49DBBA6B-C027-45E4-A5FB-8A80552FBD3E}"/>
    <cellStyle name="常规 10 4 3 2 3 6" xfId="11224" xr:uid="{1C8F49CE-8A31-45A7-AF83-C88B0173BE6D}"/>
    <cellStyle name="常规 10 4 3 2 3 7" xfId="11225" xr:uid="{41BF3540-5A94-4F25-82B9-08F9CCFEB4E7}"/>
    <cellStyle name="常规 10 4 3 2 4" xfId="11226" xr:uid="{4D2409E9-2466-41CD-88AD-81C818B65F0B}"/>
    <cellStyle name="常规 10 4 3 2 4 2" xfId="11227" xr:uid="{0FFEA5A3-18D2-49EA-841B-9FF033776C0C}"/>
    <cellStyle name="常规 10 4 3 2 4 3" xfId="11228" xr:uid="{B966D1CD-3FC1-47F6-A2D6-743FDB300164}"/>
    <cellStyle name="常规 10 4 3 2 5" xfId="11229" xr:uid="{BB9E0DAC-8F9F-4801-8911-96A08FDAFAB0}"/>
    <cellStyle name="常规 10 4 3 2 5 2" xfId="11230" xr:uid="{24481171-AEBE-48CE-9C55-8EB7D4ED7B6F}"/>
    <cellStyle name="常规 10 4 3 2 6" xfId="11231" xr:uid="{87FB4976-ACCE-4FA1-AC41-C40A12B8267E}"/>
    <cellStyle name="常规 10 4 3 2 6 2" xfId="11232" xr:uid="{85CDC28F-F9E3-4AF8-BA3C-81A30AD57A0D}"/>
    <cellStyle name="常规 10 4 3 2 6 3" xfId="33684" xr:uid="{FC63E246-7E3D-421F-B46D-9D2704A1E697}"/>
    <cellStyle name="常规 10 4 3 2 7" xfId="11233" xr:uid="{374AA040-DB71-44E9-8DF8-DB32F5CB7662}"/>
    <cellStyle name="常规 10 4 3 2 8" xfId="11234" xr:uid="{E2363F90-64B5-4838-8A20-FA2E1D445AD4}"/>
    <cellStyle name="常规 10 4 3 2 9" xfId="11235" xr:uid="{DFCD5023-3CF3-417A-949C-EE94F1219AB3}"/>
    <cellStyle name="常规 10 4 3 3" xfId="11236" xr:uid="{F994F3B7-22C5-4C59-B02C-EB141A8835E3}"/>
    <cellStyle name="常规 10 4 3 3 2" xfId="11237" xr:uid="{63970FD4-9EF8-439A-B2CF-6017C7CEA4E3}"/>
    <cellStyle name="常规 10 4 3 3 2 2" xfId="11238" xr:uid="{B6207F55-A12B-4DC9-AC74-3DFD6392190A}"/>
    <cellStyle name="常规 10 4 3 3 2 2 2" xfId="11239" xr:uid="{A15CAF81-CD09-4552-B100-1902E5F3B58D}"/>
    <cellStyle name="常规 10 4 3 3 2 2 3" xfId="11240" xr:uid="{EB53025E-7B6F-4C80-AA4F-78731B5078F9}"/>
    <cellStyle name="常规 10 4 3 3 2 3" xfId="11241" xr:uid="{D810B4F8-0A0F-4E47-AF4C-E3C2BD0902A0}"/>
    <cellStyle name="常规 10 4 3 3 2 3 2" xfId="11242" xr:uid="{12913F53-18DF-4E0A-ACEC-A80D88FC8FB2}"/>
    <cellStyle name="常规 10 4 3 3 2 4" xfId="11243" xr:uid="{D45CBAE0-62BC-4CA0-822A-8E4DD72247A1}"/>
    <cellStyle name="常规 10 4 3 3 2 4 2" xfId="11244" xr:uid="{1466A224-22A0-41E9-9CF8-E2902F88490C}"/>
    <cellStyle name="常规 10 4 3 3 2 4 3" xfId="33685" xr:uid="{A640F037-DB71-4422-A896-88B046602E57}"/>
    <cellStyle name="常规 10 4 3 3 2 5" xfId="11245" xr:uid="{75F5378A-9AAA-4AEA-9EAD-3680CA0FB084}"/>
    <cellStyle name="常规 10 4 3 3 2 6" xfId="11246" xr:uid="{172DA270-FC4E-4061-BCC0-61079C6CB64F}"/>
    <cellStyle name="常规 10 4 3 3 2 7" xfId="11247" xr:uid="{565CF308-4CE6-4C6D-B89E-DC43B4990DC7}"/>
    <cellStyle name="常规 10 4 3 3 3" xfId="11248" xr:uid="{3873CC6A-BA55-433E-BC19-ABB950985878}"/>
    <cellStyle name="常规 10 4 3 3 3 2" xfId="11249" xr:uid="{3F70A6AF-6155-4060-8AC6-2C742698BA68}"/>
    <cellStyle name="常规 10 4 3 3 3 3" xfId="11250" xr:uid="{F699F989-BD6E-4FD2-A85A-2BB0AEAEE9DF}"/>
    <cellStyle name="常规 10 4 3 3 4" xfId="11251" xr:uid="{BFE51C1C-9FB5-4BE7-BE08-5D8D37892350}"/>
    <cellStyle name="常规 10 4 3 3 4 2" xfId="11252" xr:uid="{38BADF75-FEE7-471B-9063-BC9F6A27FC93}"/>
    <cellStyle name="常规 10 4 3 3 5" xfId="11253" xr:uid="{7A208170-E2DA-40CE-B74B-1A9284985994}"/>
    <cellStyle name="常规 10 4 3 3 5 2" xfId="11254" xr:uid="{157B5BB7-DBDA-44F0-9E46-B2D9CAC764F5}"/>
    <cellStyle name="常规 10 4 3 3 5 3" xfId="33686" xr:uid="{37677F83-09C1-4512-BBCA-2581E11A724B}"/>
    <cellStyle name="常规 10 4 3 3 6" xfId="11255" xr:uid="{A5665159-169A-422B-BC09-05A4655D4ED8}"/>
    <cellStyle name="常规 10 4 3 3 7" xfId="11256" xr:uid="{C6FB6CC2-BEF9-43FC-A900-C33015C2947C}"/>
    <cellStyle name="常规 10 4 3 3 8" xfId="11257" xr:uid="{47672996-2D20-4078-B02E-6841D68CEF36}"/>
    <cellStyle name="常规 10 4 3 4" xfId="11258" xr:uid="{5CCDF3A1-54A7-4689-B68C-E712F834FBBF}"/>
    <cellStyle name="常规 10 4 3 4 2" xfId="11259" xr:uid="{FFAE325F-2913-4E77-A083-73B2C1F72C81}"/>
    <cellStyle name="常规 10 4 3 4 2 2" xfId="11260" xr:uid="{6741AC56-18F1-486E-8AA7-0182C219325F}"/>
    <cellStyle name="常规 10 4 3 4 2 3" xfId="11261" xr:uid="{E11E7657-D8B1-41A4-8948-38716903132D}"/>
    <cellStyle name="常规 10 4 3 4 3" xfId="11262" xr:uid="{AE227BB5-6D82-4EB4-8B17-7FB1DB9FB1CC}"/>
    <cellStyle name="常规 10 4 3 4 3 2" xfId="11263" xr:uid="{0B8428FB-C006-44E7-A51F-EF779FFA619D}"/>
    <cellStyle name="常规 10 4 3 4 4" xfId="11264" xr:uid="{47338C33-D63B-41BE-844D-348C41BC63A5}"/>
    <cellStyle name="常规 10 4 3 4 4 2" xfId="11265" xr:uid="{F37A0043-1A7D-4DB4-AF99-3FE8F89797E7}"/>
    <cellStyle name="常规 10 4 3 4 4 3" xfId="33687" xr:uid="{8B09B674-FFC2-4AA9-AB50-2FA821F83CF5}"/>
    <cellStyle name="常规 10 4 3 4 5" xfId="11266" xr:uid="{5E8E1DBC-2F89-4C3C-91D4-CDBE5B0B2C07}"/>
    <cellStyle name="常规 10 4 3 4 6" xfId="11267" xr:uid="{99EC8EE8-7C18-4B43-BDF3-431081450BFC}"/>
    <cellStyle name="常规 10 4 3 4 7" xfId="11268" xr:uid="{967D7E4B-9C31-45E2-B6F1-D814086F5CEF}"/>
    <cellStyle name="常规 10 4 3 5" xfId="11269" xr:uid="{79160A3A-2E0B-4C5F-8049-38E7D9A76236}"/>
    <cellStyle name="常规 10 4 3 5 2" xfId="11270" xr:uid="{30074E1A-DFAB-4E15-9333-95CF41D7C613}"/>
    <cellStyle name="常规 10 4 3 5 2 2" xfId="11271" xr:uid="{243229D3-69EB-43F9-92D4-596C151C01C9}"/>
    <cellStyle name="常规 10 4 3 5 3" xfId="11272" xr:uid="{B0255364-0543-4359-A8A0-330BD7F4CD2B}"/>
    <cellStyle name="常规 10 4 3 5 4" xfId="11273" xr:uid="{9B870B43-56B4-46F8-9082-B881AB3BA4F5}"/>
    <cellStyle name="常规 10 4 3 5 4 2" xfId="33688" xr:uid="{6A96F7FC-F80D-408F-931F-F3A64862ED24}"/>
    <cellStyle name="常规 10 4 3 5 5" xfId="11274" xr:uid="{D2187C6A-D4F4-42FB-968E-E06D3EA30AE6}"/>
    <cellStyle name="常规 10 4 3 6" xfId="11275" xr:uid="{A9FF7798-F5FE-43B3-8D44-2CBCC9F12744}"/>
    <cellStyle name="常规 10 4 3 6 2" xfId="11276" xr:uid="{C3374A87-A891-48A5-88B3-7E7617C20B92}"/>
    <cellStyle name="常规 10 4 3 6 3" xfId="11277" xr:uid="{FC25D75D-990A-4D60-B8C6-7AAB61F84E97}"/>
    <cellStyle name="常规 10 4 3 7" xfId="11278" xr:uid="{182B20AC-5ED9-4FCD-8A42-48C76B14E334}"/>
    <cellStyle name="常规 10 4 3 7 2" xfId="11279" xr:uid="{98EA760D-FACB-470D-A47A-9769DB846E02}"/>
    <cellStyle name="常规 10 4 3 8" xfId="11280" xr:uid="{A97873FC-9B29-4836-AE96-24599B586CC8}"/>
    <cellStyle name="常规 10 4 3 8 2" xfId="11281" xr:uid="{C79C2DD2-937B-45D2-926D-491F5B82862E}"/>
    <cellStyle name="常规 10 4 3 8 3" xfId="33689" xr:uid="{36CDF67E-40C6-4C59-800B-4DFE9E3B7892}"/>
    <cellStyle name="常规 10 4 3 9" xfId="11282" xr:uid="{EF9481C2-31EE-4C59-BC68-DBAA2AD684C7}"/>
    <cellStyle name="常规 10 4 4" xfId="11283" xr:uid="{9CFC9B18-AC1F-41B1-8746-C692DE9D739E}"/>
    <cellStyle name="常规 10 4 4 2" xfId="11284" xr:uid="{6B78F2A3-2AA0-4DE2-BD36-4E7EC6BAA05D}"/>
    <cellStyle name="常规 10 4 4 2 2" xfId="11285" xr:uid="{7EAE8FDD-194D-4C22-AF22-AEAE2E5E70EF}"/>
    <cellStyle name="常规 10 4 4 2 2 2" xfId="11286" xr:uid="{7629DD30-08D3-4B4D-9488-7E8BE8E27000}"/>
    <cellStyle name="常规 10 4 4 2 2 2 2" xfId="11287" xr:uid="{C9917FB5-E9BE-486D-B136-E0E57F1273D3}"/>
    <cellStyle name="常规 10 4 4 2 2 2 2 2" xfId="11288" xr:uid="{A83DA93C-ACEF-4B48-8DF0-0D4FE0E7A90F}"/>
    <cellStyle name="常规 10 4 4 2 2 2 3" xfId="11289" xr:uid="{4F991516-4835-4EEE-B9EE-AB5F396F94F4}"/>
    <cellStyle name="常规 10 4 4 2 2 2 4" xfId="11290" xr:uid="{484F930E-97FB-4994-9234-FB1DB01708E1}"/>
    <cellStyle name="常规 10 4 4 2 2 2 4 2" xfId="33690" xr:uid="{BD5682F5-C626-4BC3-BF18-33E3F4B71607}"/>
    <cellStyle name="常规 10 4 4 2 2 3" xfId="11291" xr:uid="{C36B2C66-D127-4322-8CA0-F80C9023902D}"/>
    <cellStyle name="常规 10 4 4 2 2 3 2" xfId="11292" xr:uid="{04361149-56AF-4236-B788-070E02951813}"/>
    <cellStyle name="常规 10 4 4 2 2 4" xfId="11293" xr:uid="{CF9BB03A-B513-4449-A098-C03365B5D896}"/>
    <cellStyle name="常规 10 4 4 2 2 5" xfId="11294" xr:uid="{8595FFDD-435C-474C-B556-F65241CE8D9F}"/>
    <cellStyle name="常规 10 4 4 2 2 5 2" xfId="33691" xr:uid="{21AD41B8-ACF9-449B-91CB-787B80107323}"/>
    <cellStyle name="常规 10 4 4 2 3" xfId="11295" xr:uid="{FDC6AC3D-1A15-4F7F-88BC-E45A28813BD1}"/>
    <cellStyle name="常规 10 4 4 2 3 2" xfId="11296" xr:uid="{453E096C-E63A-4321-8945-89E4D60A210D}"/>
    <cellStyle name="常规 10 4 4 2 3 2 2" xfId="11297" xr:uid="{D19153C0-BAAA-4597-B707-2BA7A9E6B9AD}"/>
    <cellStyle name="常规 10 4 4 2 3 3" xfId="11298" xr:uid="{DDBB17B1-DAC4-40C8-85D1-4D1651BF54CC}"/>
    <cellStyle name="常规 10 4 4 2 3 4" xfId="11299" xr:uid="{834FE447-A4A2-4642-9648-4F463F34A070}"/>
    <cellStyle name="常规 10 4 4 2 3 4 2" xfId="33692" xr:uid="{56DB98FB-5699-48C7-92BA-19D48EEE2158}"/>
    <cellStyle name="常规 10 4 4 2 4" xfId="11300" xr:uid="{A67CDEC5-B2D4-4629-8062-E54CA0A44905}"/>
    <cellStyle name="常规 10 4 4 2 4 2" xfId="11301" xr:uid="{B1B3B8EE-DD0F-43E2-900C-06E96821BAF0}"/>
    <cellStyle name="常规 10 4 4 2 5" xfId="11302" xr:uid="{AFC81D7F-65F7-4F69-88BA-A5FE85969900}"/>
    <cellStyle name="常规 10 4 4 2 6" xfId="11303" xr:uid="{4C7097CB-ACF4-451D-B12C-FBBEA0B70C70}"/>
    <cellStyle name="常规 10 4 4 2 6 2" xfId="33693" xr:uid="{2243F900-032F-480E-8B63-BC695AD1B04F}"/>
    <cellStyle name="常规 10 4 4 3" xfId="11304" xr:uid="{EC9CB21F-B165-41A1-9430-14113CCE83FB}"/>
    <cellStyle name="常规 10 4 4 3 2" xfId="11305" xr:uid="{EF6CE465-133C-41B9-9A15-5246F053C318}"/>
    <cellStyle name="常规 10 4 4 3 2 2" xfId="11306" xr:uid="{60E5A1F2-271D-4E5F-BCD0-6A39AFC9AC61}"/>
    <cellStyle name="常规 10 4 4 3 2 2 2" xfId="11307" xr:uid="{9A24D290-33DC-495E-BB3F-C2DD767912AB}"/>
    <cellStyle name="常规 10 4 4 3 2 3" xfId="11308" xr:uid="{A2DAB84C-9E07-4FD0-99AB-DBA0E5ACC30C}"/>
    <cellStyle name="常规 10 4 4 3 2 4" xfId="11309" xr:uid="{6DCA317D-C1AF-4D37-8CA8-D10422361DF2}"/>
    <cellStyle name="常规 10 4 4 3 2 4 2" xfId="33694" xr:uid="{2005304E-729D-4BC4-B1E0-9B3CDAA557AD}"/>
    <cellStyle name="常规 10 4 4 3 3" xfId="11310" xr:uid="{F61FFEBF-CA28-4E21-A5BF-F4A43DA3DC0D}"/>
    <cellStyle name="常规 10 4 4 3 3 2" xfId="11311" xr:uid="{79DB179E-3FD8-4A46-9DF9-4039790C6CD1}"/>
    <cellStyle name="常规 10 4 4 3 4" xfId="11312" xr:uid="{19560195-02CF-41FD-9243-9054828BD9D9}"/>
    <cellStyle name="常规 10 4 4 3 5" xfId="11313" xr:uid="{A7340DA4-9D69-47FD-86E7-85AA746735DB}"/>
    <cellStyle name="常规 10 4 4 3 5 2" xfId="33695" xr:uid="{3DD470C8-E243-4CB7-AB3C-F41AF3EF15F1}"/>
    <cellStyle name="常规 10 4 4 4" xfId="11314" xr:uid="{387CFAE2-91A5-4D8F-97A4-1459E569C002}"/>
    <cellStyle name="常规 10 4 4 4 2" xfId="11315" xr:uid="{E2C08064-0ED9-48B9-8111-767685EAF3C3}"/>
    <cellStyle name="常规 10 4 4 4 2 2" xfId="11316" xr:uid="{8D3553EC-578B-47DB-84E9-A249A3738FF6}"/>
    <cellStyle name="常规 10 4 4 4 3" xfId="11317" xr:uid="{5E5B43F9-1BFC-4251-B426-92FD472688BC}"/>
    <cellStyle name="常规 10 4 4 4 4" xfId="11318" xr:uid="{1509F1B0-68ED-477C-9D6B-9881C9542E73}"/>
    <cellStyle name="常规 10 4 4 4 4 2" xfId="33696" xr:uid="{D5A5A720-E993-453C-9F13-14657D1860D7}"/>
    <cellStyle name="常规 10 4 4 5" xfId="11319" xr:uid="{9902133A-510F-4A9D-B77E-DF8210979DE1}"/>
    <cellStyle name="常规 10 4 4 5 2" xfId="11320" xr:uid="{94E7BA68-D65E-4730-BB3A-7816A86CC9C8}"/>
    <cellStyle name="常规 10 4 4 6" xfId="11321" xr:uid="{621AF0F2-0BEF-41C6-A68C-EF4F882AF4FD}"/>
    <cellStyle name="常规 10 4 4 7" xfId="11322" xr:uid="{A3236781-8A7F-464D-BC51-57286545DDE9}"/>
    <cellStyle name="常规 10 4 4 7 2" xfId="33697" xr:uid="{A39EE951-9E74-4505-874C-22B6C7A26267}"/>
    <cellStyle name="常规 10 4 4 8" xfId="11323" xr:uid="{08A110BD-930B-4519-8B06-B676D13A8F6F}"/>
    <cellStyle name="常规 10 4 5" xfId="11324" xr:uid="{6C3DCDED-8FD5-4D6B-9800-C610E7F3142E}"/>
    <cellStyle name="常规 10 4 5 2" xfId="11325" xr:uid="{1B7CC57E-BAFC-481E-9DBD-90144A87CD17}"/>
    <cellStyle name="常规 10 4 5 2 2" xfId="11326" xr:uid="{A2BEF441-D8F3-4837-A0FE-5A6C43AF4F15}"/>
    <cellStyle name="常规 10 4 5 2 2 2" xfId="11327" xr:uid="{CCC52FFD-B517-46B8-9CD7-B212A1E4B7BF}"/>
    <cellStyle name="常规 10 4 5 2 2 2 2" xfId="11328" xr:uid="{E2E4E038-90D6-42EF-B043-E6E9923EEAE8}"/>
    <cellStyle name="常规 10 4 5 2 2 2 2 2" xfId="11329" xr:uid="{88E2B67B-61F2-461E-AD1C-DDD650880ADB}"/>
    <cellStyle name="常规 10 4 5 2 2 2 3" xfId="11330" xr:uid="{4110BFE0-981F-4452-8DE7-CE6066375636}"/>
    <cellStyle name="常规 10 4 5 2 2 2 4" xfId="11331" xr:uid="{94FD3619-9FD7-44BE-9969-92E9D843E8B0}"/>
    <cellStyle name="常规 10 4 5 2 2 2 4 2" xfId="33698" xr:uid="{BC76FDCA-D9C1-465B-B642-CB3D97D5AB43}"/>
    <cellStyle name="常规 10 4 5 2 2 3" xfId="11332" xr:uid="{1EA2D9B3-E802-4B86-BD5E-1637B444DF14}"/>
    <cellStyle name="常规 10 4 5 2 2 3 2" xfId="11333" xr:uid="{EA5FBDA0-B4FC-4565-9C7F-52AEE7DFE2EA}"/>
    <cellStyle name="常规 10 4 5 2 2 4" xfId="11334" xr:uid="{C42F6ECA-8468-4429-ADAD-8FC1E7EB078C}"/>
    <cellStyle name="常规 10 4 5 2 2 5" xfId="11335" xr:uid="{5E9E260C-48F7-45F2-985C-62A811592AE9}"/>
    <cellStyle name="常规 10 4 5 2 2 5 2" xfId="33699" xr:uid="{CB18286F-B0E1-4EA9-809C-AD6C98FDDF26}"/>
    <cellStyle name="常规 10 4 5 2 3" xfId="11336" xr:uid="{3D299090-6A67-46FD-8D54-EFE2BAD60F14}"/>
    <cellStyle name="常规 10 4 5 2 3 2" xfId="11337" xr:uid="{C958588E-1943-4D26-AB78-D50C4C096CFF}"/>
    <cellStyle name="常规 10 4 5 2 3 2 2" xfId="11338" xr:uid="{DC765033-2C13-4BF0-886D-4B9C3E543D06}"/>
    <cellStyle name="常规 10 4 5 2 3 3" xfId="11339" xr:uid="{14A74267-64C3-4F97-8676-51AC1FB20C8A}"/>
    <cellStyle name="常规 10 4 5 2 3 4" xfId="11340" xr:uid="{52D490DB-7447-41BE-8AE7-094122C6CD42}"/>
    <cellStyle name="常规 10 4 5 2 3 4 2" xfId="33700" xr:uid="{5EFC1AC9-F95D-46A4-AB57-E103B60A1B11}"/>
    <cellStyle name="常规 10 4 5 2 4" xfId="11341" xr:uid="{EC73CD85-04EB-4736-B81F-4AD5FF670C0C}"/>
    <cellStyle name="常规 10 4 5 2 4 2" xfId="11342" xr:uid="{C4271592-DAB4-4DFF-8415-376FA84DF84C}"/>
    <cellStyle name="常规 10 4 5 2 5" xfId="11343" xr:uid="{C197FB14-1381-4056-9AE1-7D587615A7E4}"/>
    <cellStyle name="常规 10 4 5 2 6" xfId="11344" xr:uid="{294D87F0-5AE2-427E-9198-E88124F46877}"/>
    <cellStyle name="常规 10 4 5 2 6 2" xfId="33701" xr:uid="{8DD67645-2FB9-4558-B59E-AE645FCEAE6A}"/>
    <cellStyle name="常规 10 4 5 3" xfId="11345" xr:uid="{A0302960-8E05-451B-AC07-EBC321CCADF6}"/>
    <cellStyle name="常规 10 4 5 3 2" xfId="11346" xr:uid="{BCE8EF53-5B3B-423C-A4F5-3DB0BD091ABD}"/>
    <cellStyle name="常规 10 4 5 3 2 2" xfId="11347" xr:uid="{4C3826AE-484F-4846-86D3-24AE812225D0}"/>
    <cellStyle name="常规 10 4 5 3 2 2 2" xfId="11348" xr:uid="{DA41EF1E-B438-4C85-80DA-6EF620434D9C}"/>
    <cellStyle name="常规 10 4 5 3 2 3" xfId="11349" xr:uid="{6979BB9F-CC8E-4B16-81E9-B967991219AD}"/>
    <cellStyle name="常规 10 4 5 3 2 4" xfId="11350" xr:uid="{CC6D29A1-D868-40A2-A921-C4317EEE6832}"/>
    <cellStyle name="常规 10 4 5 3 2 4 2" xfId="33702" xr:uid="{40FBCA70-C4B0-4F42-A4F5-B3071987E9E9}"/>
    <cellStyle name="常规 10 4 5 3 3" xfId="11351" xr:uid="{C4AD0AD5-ACDC-4EDC-9EC0-03743CB126F7}"/>
    <cellStyle name="常规 10 4 5 3 3 2" xfId="11352" xr:uid="{AE1D1EA2-D8D3-4BD7-822F-742E9CE0D1C2}"/>
    <cellStyle name="常规 10 4 5 3 4" xfId="11353" xr:uid="{4E50CACE-9209-44A2-A4CA-B2BCD13F2C8F}"/>
    <cellStyle name="常规 10 4 5 3 5" xfId="11354" xr:uid="{B3059433-E8E0-4550-8385-84007D1860CE}"/>
    <cellStyle name="常规 10 4 5 3 5 2" xfId="33703" xr:uid="{9DB543D0-94F5-43B7-AA6D-EFA9801BBDBC}"/>
    <cellStyle name="常规 10 4 5 4" xfId="11355" xr:uid="{4ED829E3-6D16-4009-9AC0-6C59D8D618EF}"/>
    <cellStyle name="常规 10 4 5 4 2" xfId="11356" xr:uid="{CA63B184-542C-4BDD-8F5F-CCEF2EB3C672}"/>
    <cellStyle name="常规 10 4 5 4 2 2" xfId="11357" xr:uid="{88AC886A-7537-4351-8B51-18E435C2DD7F}"/>
    <cellStyle name="常规 10 4 5 4 3" xfId="11358" xr:uid="{9F72C637-9DA2-414C-A24C-F5C6D96884FC}"/>
    <cellStyle name="常规 10 4 5 4 4" xfId="11359" xr:uid="{8240DAC5-32B6-4876-B444-315B7579D198}"/>
    <cellStyle name="常规 10 4 5 4 4 2" xfId="33704" xr:uid="{98672826-649A-4CA4-B7DF-805C31B96DA7}"/>
    <cellStyle name="常规 10 4 5 5" xfId="11360" xr:uid="{6050749E-79EA-42C7-8DDA-8F83D9984EE0}"/>
    <cellStyle name="常规 10 4 5 5 2" xfId="11361" xr:uid="{77C687A7-C7D4-4835-ACE0-941FBAFE0972}"/>
    <cellStyle name="常规 10 4 5 6" xfId="11362" xr:uid="{6F9BA2AB-1672-4B15-B962-A3A87BFFDBEF}"/>
    <cellStyle name="常规 10 4 5 7" xfId="11363" xr:uid="{E50042BC-CBE5-4FED-83FA-B28544AC63A1}"/>
    <cellStyle name="常规 10 4 5 7 2" xfId="33705" xr:uid="{762EC4B0-BA05-4B5E-98D7-17A0B51D762C}"/>
    <cellStyle name="常规 10 4 6" xfId="11364" xr:uid="{16EE1E49-AD54-4E5F-98B0-130998A1B54B}"/>
    <cellStyle name="常规 10 4 6 2" xfId="11365" xr:uid="{8FFC3AB6-8989-411A-A871-83362D64FA62}"/>
    <cellStyle name="常规 10 4 6 2 2" xfId="11366" xr:uid="{1013ED46-324B-486D-9ADB-FA3FD9FE3207}"/>
    <cellStyle name="常规 10 4 6 2 2 2" xfId="11367" xr:uid="{223EBF85-A76A-48DD-867D-43EEDD262BE3}"/>
    <cellStyle name="常规 10 4 6 2 2 2 2" xfId="11368" xr:uid="{C53F53C0-8B70-4554-B700-94CA20525E0D}"/>
    <cellStyle name="常规 10 4 6 2 2 3" xfId="11369" xr:uid="{C438B9C3-1031-43E0-95CD-E0A85A39BB0E}"/>
    <cellStyle name="常规 10 4 6 2 2 4" xfId="11370" xr:uid="{42D0AF57-214E-400C-84D3-9FA12E83A593}"/>
    <cellStyle name="常规 10 4 6 2 2 4 2" xfId="33706" xr:uid="{515545E5-C09E-4B12-9053-16F7AFBBDCCF}"/>
    <cellStyle name="常规 10 4 6 2 3" xfId="11371" xr:uid="{843D8A09-B1CD-402C-908F-A635ACAACCC5}"/>
    <cellStyle name="常规 10 4 6 2 3 2" xfId="11372" xr:uid="{7B7BE89A-A3EB-49DE-ADD0-DD3EDAAFA59D}"/>
    <cellStyle name="常规 10 4 6 2 4" xfId="11373" xr:uid="{749A27F4-9E16-4045-BCEB-7302DC1ACE2F}"/>
    <cellStyle name="常规 10 4 6 2 5" xfId="11374" xr:uid="{1867194B-3386-4709-9246-90DE549E191A}"/>
    <cellStyle name="常规 10 4 6 2 5 2" xfId="33707" xr:uid="{D9FA4B99-52DB-4597-BED9-F603A6F4B458}"/>
    <cellStyle name="常规 10 4 6 3" xfId="11375" xr:uid="{D367FEEF-EA43-4D9C-AF28-721CFFA56CC8}"/>
    <cellStyle name="常规 10 4 6 3 2" xfId="11376" xr:uid="{434FABED-AD83-4DF7-9925-1139D977F802}"/>
    <cellStyle name="常规 10 4 6 3 2 2" xfId="11377" xr:uid="{21BDDE64-2D31-4A44-A0A7-D492B9E5716D}"/>
    <cellStyle name="常规 10 4 6 3 3" xfId="11378" xr:uid="{76666643-4A34-4452-B676-08A47262B7A6}"/>
    <cellStyle name="常规 10 4 6 3 4" xfId="11379" xr:uid="{7E3F9CA2-6A95-4EAC-BD1F-138C46254835}"/>
    <cellStyle name="常规 10 4 6 3 4 2" xfId="33708" xr:uid="{F4EB2A48-EEA1-485E-B88F-A1BE15EF1A0A}"/>
    <cellStyle name="常规 10 4 6 4" xfId="11380" xr:uid="{CCA3473C-90E1-4ECA-9840-877DBCC4E470}"/>
    <cellStyle name="常规 10 4 6 4 2" xfId="11381" xr:uid="{3E197007-35CC-4FC3-8D35-ECE80287DD09}"/>
    <cellStyle name="常规 10 4 6 5" xfId="11382" xr:uid="{FC6D9B5D-9E39-4A86-86E0-E8442CB1E318}"/>
    <cellStyle name="常规 10 4 6 6" xfId="11383" xr:uid="{38CF76DF-0E48-4654-AEAB-7EDE3AE67C58}"/>
    <cellStyle name="常规 10 4 6 6 2" xfId="33709" xr:uid="{3C2C5DD7-F202-400D-875E-152A3D7E05B5}"/>
    <cellStyle name="常规 10 4 7" xfId="11384" xr:uid="{E0211B05-6F17-4DBD-B397-201383E9D9DA}"/>
    <cellStyle name="常规 10 4 7 2" xfId="11385" xr:uid="{106E7CB4-6F4E-4CCB-A7FA-A5C435B8134C}"/>
    <cellStyle name="常规 10 4 7 2 2" xfId="11386" xr:uid="{A603D31E-E42D-4761-B905-CE52F1F08EDD}"/>
    <cellStyle name="常规 10 4 7 2 2 2" xfId="11387" xr:uid="{7B57DA38-AAA9-49C2-A659-2BB1BE239DBF}"/>
    <cellStyle name="常规 10 4 7 2 3" xfId="11388" xr:uid="{A9441DEC-335C-4898-B13C-036E1437B7E0}"/>
    <cellStyle name="常规 10 4 7 2 4" xfId="11389" xr:uid="{0397EE38-378D-4755-8EF3-F57E8326226D}"/>
    <cellStyle name="常规 10 4 7 2 4 2" xfId="33710" xr:uid="{96C153F5-AE51-43ED-B037-CA44B1097393}"/>
    <cellStyle name="常规 10 4 7 3" xfId="11390" xr:uid="{AC37DDB3-3750-4CD2-95B8-613BC6F1E812}"/>
    <cellStyle name="常规 10 4 7 3 2" xfId="11391" xr:uid="{24A98DF9-E6D2-4621-878E-CB7B992E0C4B}"/>
    <cellStyle name="常规 10 4 7 4" xfId="11392" xr:uid="{61839B5C-F7FD-4D96-B582-007B695E8A79}"/>
    <cellStyle name="常规 10 4 7 5" xfId="11393" xr:uid="{39620983-C7C1-4D42-8F01-6D5796EC5A5C}"/>
    <cellStyle name="常规 10 4 7 5 2" xfId="33711" xr:uid="{414FD07A-8AE7-472E-968D-4990F1A257E0}"/>
    <cellStyle name="常规 10 4 8" xfId="11394" xr:uid="{37255B1D-F571-41A5-8565-A6ED85EDACEE}"/>
    <cellStyle name="常规 10 4 8 2" xfId="11395" xr:uid="{B747969B-3F16-43ED-A1CF-FA17634B699C}"/>
    <cellStyle name="常规 10 4 8 2 2" xfId="11396" xr:uid="{1D310E26-D3C5-4520-A966-C9795E2E1399}"/>
    <cellStyle name="常规 10 4 8 2 2 2" xfId="11397" xr:uid="{0ADC3C5A-FE14-41A6-88F0-4F20526EC3D3}"/>
    <cellStyle name="常规 10 4 8 2 3" xfId="11398" xr:uid="{CADAB075-5BD0-4EBF-B2EB-22C9CBC1C854}"/>
    <cellStyle name="常规 10 4 8 2 4" xfId="11399" xr:uid="{82B5C25C-563E-4C4A-815F-501BD3417309}"/>
    <cellStyle name="常规 10 4 8 2 4 2" xfId="33712" xr:uid="{93E4C81D-D51D-45AE-A6D9-698E28D22D15}"/>
    <cellStyle name="常规 10 4 8 3" xfId="11400" xr:uid="{8914EFDC-EB23-467A-A32C-B275B7406CF1}"/>
    <cellStyle name="常规 10 4 8 3 2" xfId="11401" xr:uid="{A26EE6F9-B6B8-4DA9-9D5E-70280261760E}"/>
    <cellStyle name="常规 10 4 8 4" xfId="11402" xr:uid="{4CE1D122-C02B-4BBE-B809-7F59965D30E5}"/>
    <cellStyle name="常规 10 4 8 5" xfId="11403" xr:uid="{7C3A0303-13F6-4495-ACB2-92FB3C67BE1E}"/>
    <cellStyle name="常规 10 4 8 5 2" xfId="33713" xr:uid="{206A4274-0F84-49E8-8E84-13D23F77E7EB}"/>
    <cellStyle name="常规 10 4 9" xfId="11404" xr:uid="{CA594D5C-A390-4204-888B-41349F7D88E6}"/>
    <cellStyle name="常规 10 4 9 2" xfId="11405" xr:uid="{DA7D07D2-1929-4DEE-B062-FCE27E5ADA4D}"/>
    <cellStyle name="常规 10 4 9 2 2" xfId="11406" xr:uid="{7E38516E-8FBB-4ED0-B5F9-EB4E6D41CB3D}"/>
    <cellStyle name="常规 10 4 9 3" xfId="11407" xr:uid="{D71034DB-A454-4DFF-9987-04157D401176}"/>
    <cellStyle name="常规 10 4 9 4" xfId="11408" xr:uid="{0F64E49A-FEEB-4F15-9D86-7011FF5DC483}"/>
    <cellStyle name="常规 10 4 9 4 2" xfId="33714" xr:uid="{29A301E5-EA63-424D-B7C5-F562F2C2C1B1}"/>
    <cellStyle name="常规 10 5" xfId="11409" xr:uid="{0F5C0932-2B71-4303-A2A3-46BEC8FE525F}"/>
    <cellStyle name="常规 10 5 10" xfId="11410" xr:uid="{7EA8B4A2-CD93-4ED6-896F-2FF3BB8BBC23}"/>
    <cellStyle name="常规 10 5 2" xfId="11411" xr:uid="{97CFA890-A74A-45F9-A392-E53F51ACE107}"/>
    <cellStyle name="常规 10 5 2 2" xfId="11412" xr:uid="{86EB160A-6735-45E3-8B09-27FE64EF1A00}"/>
    <cellStyle name="常规 10 5 2 2 2" xfId="11413" xr:uid="{6AB0DEE2-62CB-4616-91BC-D6DA6FFEC6D8}"/>
    <cellStyle name="常规 10 5 2 2 2 2" xfId="11414" xr:uid="{B7F8C1C8-57B6-4F02-958B-08D9A0C78EA5}"/>
    <cellStyle name="常规 10 5 2 2 2 2 2" xfId="11415" xr:uid="{E0C7E7B8-5731-4A3A-8981-B3CD5A5D9237}"/>
    <cellStyle name="常规 10 5 2 2 2 2 2 2" xfId="11416" xr:uid="{4249BBCA-1E29-492C-B36A-79973A0739AC}"/>
    <cellStyle name="常规 10 5 2 2 2 2 3" xfId="11417" xr:uid="{3124C353-427D-47F6-9B57-83987CB1DC47}"/>
    <cellStyle name="常规 10 5 2 2 2 2 4" xfId="11418" xr:uid="{35DCAF06-0712-4BBC-9732-F6B875E47FCF}"/>
    <cellStyle name="常规 10 5 2 2 2 2 4 2" xfId="33715" xr:uid="{42C97321-D6F7-4F5A-8ACE-C7AAE7768F6D}"/>
    <cellStyle name="常规 10 5 2 2 2 2 5" xfId="11419" xr:uid="{30447E98-6BA1-4475-ACD2-7D214950E38D}"/>
    <cellStyle name="常规 10 5 2 2 2 3" xfId="11420" xr:uid="{3CE11F4A-4409-485F-B0D5-9D4B79C6819E}"/>
    <cellStyle name="常规 10 5 2 2 2 3 2" xfId="11421" xr:uid="{405FD54B-C2C6-4FB3-9B79-6CB0C0A5605B}"/>
    <cellStyle name="常规 10 5 2 2 2 3 3" xfId="11422" xr:uid="{DFFDDA85-B48D-4EAF-B6EA-D03D6ADC87B2}"/>
    <cellStyle name="常规 10 5 2 2 2 4" xfId="11423" xr:uid="{6EE806F4-4E00-4501-9A0D-2475237E7533}"/>
    <cellStyle name="常规 10 5 2 2 2 4 2" xfId="11424" xr:uid="{65DC9FF9-40A5-4679-B1F9-5BE52FAFF2A4}"/>
    <cellStyle name="常规 10 5 2 2 2 5" xfId="11425" xr:uid="{3861D5F0-D498-4349-AEF2-D5B0EAD2B2EC}"/>
    <cellStyle name="常规 10 5 2 2 2 5 2" xfId="11426" xr:uid="{5020BA04-A715-413D-B49C-5E1E5C0D1368}"/>
    <cellStyle name="常规 10 5 2 2 2 5 3" xfId="33716" xr:uid="{86904D5A-2D29-465D-9C9C-95794C4D3203}"/>
    <cellStyle name="常规 10 5 2 2 2 6" xfId="11427" xr:uid="{56559285-C92E-48B6-9A47-93AC8C70E2D4}"/>
    <cellStyle name="常规 10 5 2 2 2 7" xfId="11428" xr:uid="{9AC6A9E8-1F86-4531-B9D0-16EFB2BD60C7}"/>
    <cellStyle name="常规 10 5 2 2 3" xfId="11429" xr:uid="{D72B5018-D160-4F07-A287-CEAB6C710D9C}"/>
    <cellStyle name="常规 10 5 2 2 3 2" xfId="11430" xr:uid="{66ACC98D-5D15-4D21-8F2A-2F43B5FB1C66}"/>
    <cellStyle name="常规 10 5 2 2 3 2 2" xfId="11431" xr:uid="{78DFBDF5-3919-40A2-B1BA-20828F9054BC}"/>
    <cellStyle name="常规 10 5 2 2 3 3" xfId="11432" xr:uid="{7921D183-3701-4F27-A579-772640C2051C}"/>
    <cellStyle name="常规 10 5 2 2 3 4" xfId="11433" xr:uid="{1F345170-7E72-43DB-980A-1103B17D780F}"/>
    <cellStyle name="常规 10 5 2 2 3 4 2" xfId="33717" xr:uid="{D6B4E625-9C26-4C32-A1B3-E31F2DE3DE14}"/>
    <cellStyle name="常规 10 5 2 2 3 5" xfId="11434" xr:uid="{00A48F2D-175A-49ED-A21B-F6D499C85AC6}"/>
    <cellStyle name="常规 10 5 2 2 4" xfId="11435" xr:uid="{CD36DD21-B5C2-43AB-AA95-EB6474D9CA19}"/>
    <cellStyle name="常规 10 5 2 2 4 2" xfId="11436" xr:uid="{87C08DD4-B39A-47C4-97C0-C2DC03957362}"/>
    <cellStyle name="常规 10 5 2 2 4 3" xfId="11437" xr:uid="{A67D8E82-7713-490D-A6F0-E02ECCE5BFF1}"/>
    <cellStyle name="常规 10 5 2 2 5" xfId="11438" xr:uid="{DC0D7801-C2E0-40FF-A449-8196D33D4563}"/>
    <cellStyle name="常规 10 5 2 2 5 2" xfId="11439" xr:uid="{1B7FDE46-4788-4587-B722-E91BF7926352}"/>
    <cellStyle name="常规 10 5 2 2 6" xfId="11440" xr:uid="{F102D711-C9E7-4498-B040-F7A8EA457FF5}"/>
    <cellStyle name="常规 10 5 2 2 6 2" xfId="11441" xr:uid="{BEF6BBC3-24AE-4C98-8A80-2831E9AC1556}"/>
    <cellStyle name="常规 10 5 2 2 6 3" xfId="33718" xr:uid="{4203B7FB-6FB9-4771-BD67-4A857FCC985C}"/>
    <cellStyle name="常规 10 5 2 2 7" xfId="11442" xr:uid="{C7948710-7945-4DD1-8DEF-E98671DACE46}"/>
    <cellStyle name="常规 10 5 2 2 8" xfId="11443" xr:uid="{29B1218E-94F6-445D-A344-C2F4B69D12FE}"/>
    <cellStyle name="常规 10 5 2 3" xfId="11444" xr:uid="{DE692AC7-7456-4301-980C-FED6DC0B7D66}"/>
    <cellStyle name="常规 10 5 2 3 2" xfId="11445" xr:uid="{84207B2C-BCDC-40D8-A778-4A28678E8672}"/>
    <cellStyle name="常规 10 5 2 3 2 2" xfId="11446" xr:uid="{A95494F7-02A2-4405-A3BE-A1C93BE10E78}"/>
    <cellStyle name="常规 10 5 2 3 2 2 2" xfId="11447" xr:uid="{31F3BD17-7093-4350-8678-189DDA63B39B}"/>
    <cellStyle name="常规 10 5 2 3 2 3" xfId="11448" xr:uid="{0B1E19AD-DF16-4661-8756-885F9D9199C5}"/>
    <cellStyle name="常规 10 5 2 3 2 4" xfId="11449" xr:uid="{FE93E811-69BA-4C62-87AE-E9394FA7B2CC}"/>
    <cellStyle name="常规 10 5 2 3 2 4 2" xfId="33719" xr:uid="{793EC4D3-5D35-4CB0-AB00-E30C7EAD670B}"/>
    <cellStyle name="常规 10 5 2 3 2 5" xfId="11450" xr:uid="{C39EE9F3-5CFE-4422-86D2-7B9A844E2D37}"/>
    <cellStyle name="常规 10 5 2 3 3" xfId="11451" xr:uid="{DA28D434-CD99-472F-AC78-0A8BA5CA6A41}"/>
    <cellStyle name="常规 10 5 2 3 3 2" xfId="11452" xr:uid="{54A9718B-0E20-4089-B204-26670187E922}"/>
    <cellStyle name="常规 10 5 2 3 3 3" xfId="11453" xr:uid="{3D687782-A7BD-48CB-A865-C26AC95D0C09}"/>
    <cellStyle name="常规 10 5 2 3 4" xfId="11454" xr:uid="{27E904FC-AAB9-4268-91CF-3C15B9FDCAB9}"/>
    <cellStyle name="常规 10 5 2 3 4 2" xfId="11455" xr:uid="{58D1D0C4-9637-4B72-A553-AB1E4F43B00D}"/>
    <cellStyle name="常规 10 5 2 3 5" xfId="11456" xr:uid="{877F5935-7B42-4A74-865C-C8BE2055DEAA}"/>
    <cellStyle name="常规 10 5 2 3 5 2" xfId="11457" xr:uid="{652C3FCB-1C9F-4504-BA31-B1F01F3F95C0}"/>
    <cellStyle name="常规 10 5 2 3 5 3" xfId="33720" xr:uid="{355DA9C6-57C8-4BC9-94FC-336632AC859B}"/>
    <cellStyle name="常规 10 5 2 3 6" xfId="11458" xr:uid="{B43DD30D-8419-4DAC-9824-AB737DB5AE6A}"/>
    <cellStyle name="常规 10 5 2 3 7" xfId="11459" xr:uid="{4213D434-487B-4420-8335-B54CF6C04223}"/>
    <cellStyle name="常规 10 5 2 4" xfId="11460" xr:uid="{1768415F-F8C5-4B1F-8803-E323FF560247}"/>
    <cellStyle name="常规 10 5 2 4 2" xfId="11461" xr:uid="{B968EA88-4530-42B7-9071-4C95418C7B6F}"/>
    <cellStyle name="常规 10 5 2 4 2 2" xfId="11462" xr:uid="{FB1317E8-3E1B-41DE-A3FC-0C5476D207AC}"/>
    <cellStyle name="常规 10 5 2 4 3" xfId="11463" xr:uid="{2A31CB1D-2EE1-4FBC-8496-DC0732C38EFC}"/>
    <cellStyle name="常规 10 5 2 4 4" xfId="11464" xr:uid="{246B1366-574B-4B9A-9437-40DBBD44E90D}"/>
    <cellStyle name="常规 10 5 2 4 4 2" xfId="33721" xr:uid="{CF23FD80-0F71-484F-9FD0-85E23DBABCF6}"/>
    <cellStyle name="常规 10 5 2 4 5" xfId="11465" xr:uid="{83DE4C46-41F6-4F4C-BFBB-6C9CA144D407}"/>
    <cellStyle name="常规 10 5 2 5" xfId="11466" xr:uid="{CB490E09-1EBE-41E5-A1EC-7699E86AEC45}"/>
    <cellStyle name="常规 10 5 2 5 2" xfId="11467" xr:uid="{07798EC4-BDBD-4C90-B531-D37881BFF35D}"/>
    <cellStyle name="常规 10 5 2 5 2 2" xfId="11468" xr:uid="{36F4B2DF-A477-4DAF-ADF4-C66BDA32CA35}"/>
    <cellStyle name="常规 10 5 2 5 3" xfId="11469" xr:uid="{5908CA08-4E3A-480C-B265-BDD92CB8B628}"/>
    <cellStyle name="常规 10 5 2 5 4" xfId="11470" xr:uid="{EA6EC6C0-FB57-4052-831C-34C18ED81A94}"/>
    <cellStyle name="常规 10 5 2 5 4 2" xfId="33722" xr:uid="{F0935F30-D1D0-4377-8D9B-05639E127AB1}"/>
    <cellStyle name="常规 10 5 2 5 5" xfId="11471" xr:uid="{DEB810BD-05F7-4391-AA9B-84755C139C97}"/>
    <cellStyle name="常规 10 5 2 6" xfId="11472" xr:uid="{CF88D041-D48D-4747-A43A-113E2FF24B1B}"/>
    <cellStyle name="常规 10 5 2 6 2" xfId="11473" xr:uid="{39AFD5BA-1BB8-4194-99F7-30E37D5AF71F}"/>
    <cellStyle name="常规 10 5 2 6 3" xfId="11474" xr:uid="{EA628DB7-3DA6-4C37-884A-A6AC001E149B}"/>
    <cellStyle name="常规 10 5 2 7" xfId="11475" xr:uid="{027B4F4C-00FA-4821-84DA-588E743B28CD}"/>
    <cellStyle name="常规 10 5 2 7 2" xfId="11476" xr:uid="{4900BB59-862A-44FE-8E83-DD034FD9AF67}"/>
    <cellStyle name="常规 10 5 2 8" xfId="11477" xr:uid="{FBEF528E-93A7-4582-B40A-1256A1A6129B}"/>
    <cellStyle name="常规 10 5 2 8 2" xfId="11478" xr:uid="{8E14766F-411A-4A05-B675-C34546A69899}"/>
    <cellStyle name="常规 10 5 2 8 3" xfId="33723" xr:uid="{4AD2780A-854B-44A2-942A-15E8C9C96D0E}"/>
    <cellStyle name="常规 10 5 2 9" xfId="11479" xr:uid="{0DE00229-5519-4842-9BE2-87F62BE1032F}"/>
    <cellStyle name="常规 10 5 3" xfId="11480" xr:uid="{9E170D04-9BA2-4094-A52C-81E9A1A97837}"/>
    <cellStyle name="常规 10 5 3 2" xfId="11481" xr:uid="{B78DF6AA-0447-41AA-A6FB-DFC58F6CF098}"/>
    <cellStyle name="常规 10 5 3 2 2" xfId="11482" xr:uid="{61AD909C-245F-40E5-9FE8-CE85F049346C}"/>
    <cellStyle name="常规 10 5 3 2 2 2" xfId="11483" xr:uid="{54955959-33A3-4743-A7CC-BBA17F9C7812}"/>
    <cellStyle name="常规 10 5 3 2 2 2 2" xfId="11484" xr:uid="{4EE9A5E1-2072-4D6E-90E0-51D1D97A51BF}"/>
    <cellStyle name="常规 10 5 3 2 2 3" xfId="11485" xr:uid="{047E8263-E6BF-4034-A6B2-E7494F8720C8}"/>
    <cellStyle name="常规 10 5 3 2 2 4" xfId="11486" xr:uid="{A3AFB224-965A-4E85-BF57-E60A3C02884B}"/>
    <cellStyle name="常规 10 5 3 2 2 4 2" xfId="33724" xr:uid="{EB87312B-129E-415F-962C-EA720A4A3158}"/>
    <cellStyle name="常规 10 5 3 2 2 5" xfId="11487" xr:uid="{FD22A33F-A1F0-43E5-A821-C57DD65680E3}"/>
    <cellStyle name="常规 10 5 3 2 3" xfId="11488" xr:uid="{20515D1F-3276-45F9-B391-CA9AE7967E82}"/>
    <cellStyle name="常规 10 5 3 2 3 2" xfId="11489" xr:uid="{E4D6E084-3D10-4F34-BCD0-3825F3679EDF}"/>
    <cellStyle name="常规 10 5 3 2 3 3" xfId="11490" xr:uid="{A848D6F7-6C4F-4BD2-A046-D3166B9A11EB}"/>
    <cellStyle name="常规 10 5 3 2 4" xfId="11491" xr:uid="{918FB620-40C0-41E1-8365-C192C02F7CF4}"/>
    <cellStyle name="常规 10 5 3 2 4 2" xfId="11492" xr:uid="{529BDAE5-E650-4B5A-B850-46B4E1D3CCAD}"/>
    <cellStyle name="常规 10 5 3 2 5" xfId="11493" xr:uid="{91EE7913-5BAF-4736-B003-483A948CABC4}"/>
    <cellStyle name="常规 10 5 3 2 5 2" xfId="11494" xr:uid="{993CBED5-2DA7-41E9-A0FD-ED6BB4E42E41}"/>
    <cellStyle name="常规 10 5 3 2 5 3" xfId="33725" xr:uid="{A000C72E-ADFC-4C3B-885E-A58D11CAA152}"/>
    <cellStyle name="常规 10 5 3 2 6" xfId="11495" xr:uid="{87DA4991-CDC1-422C-B495-9CE99131319A}"/>
    <cellStyle name="常规 10 5 3 2 7" xfId="11496" xr:uid="{D9D64EC3-F601-418D-B0F2-79D4E59D303E}"/>
    <cellStyle name="常规 10 5 3 3" xfId="11497" xr:uid="{C093ED6A-FF1C-4592-83F2-FFBBD773D1BB}"/>
    <cellStyle name="常规 10 5 3 3 2" xfId="11498" xr:uid="{C703F33A-0E47-4323-84E9-A48426DA1EF1}"/>
    <cellStyle name="常规 10 5 3 3 2 2" xfId="11499" xr:uid="{9718350A-666A-4342-98AD-A8C0CE13C9BC}"/>
    <cellStyle name="常规 10 5 3 3 3" xfId="11500" xr:uid="{B29DF64B-0042-4BC4-BFC6-96B2428E279F}"/>
    <cellStyle name="常规 10 5 3 3 4" xfId="11501" xr:uid="{8EEF3584-B3D4-475E-98C0-08ED297A08FB}"/>
    <cellStyle name="常规 10 5 3 3 4 2" xfId="33726" xr:uid="{B3349D74-DDF8-441C-AA53-09011784183D}"/>
    <cellStyle name="常规 10 5 3 3 5" xfId="11502" xr:uid="{4615A925-33B1-4774-9AD6-29A1C9F32907}"/>
    <cellStyle name="常规 10 5 3 4" xfId="11503" xr:uid="{369BD00A-D72E-43B6-9B91-26C901F0F314}"/>
    <cellStyle name="常规 10 5 3 4 2" xfId="11504" xr:uid="{E0AED3F7-CA80-4CCD-A137-F61BC0D3BA1E}"/>
    <cellStyle name="常规 10 5 3 4 3" xfId="11505" xr:uid="{7940B662-6D7F-4AF9-9202-6341750A57A2}"/>
    <cellStyle name="常规 10 5 3 5" xfId="11506" xr:uid="{D6228A87-6A03-46B9-BDE4-0AD4DB139500}"/>
    <cellStyle name="常规 10 5 3 5 2" xfId="11507" xr:uid="{7E948102-250F-44FB-B351-2EBBE32ACB45}"/>
    <cellStyle name="常规 10 5 3 6" xfId="11508" xr:uid="{09476C2A-A98F-40D9-86ED-238A3CE64001}"/>
    <cellStyle name="常规 10 5 3 6 2" xfId="11509" xr:uid="{BE152405-B717-4661-A850-DF49DF4243D5}"/>
    <cellStyle name="常规 10 5 3 6 3" xfId="33727" xr:uid="{C87C28DD-B67C-47E3-AF99-E072BF287212}"/>
    <cellStyle name="常规 10 5 3 7" xfId="11510" xr:uid="{04AC84A8-2BF7-42B2-9EA7-D4E419F0133F}"/>
    <cellStyle name="常规 10 5 3 8" xfId="11511" xr:uid="{C933BBB9-FD26-4A2B-AF29-4D08C47006F3}"/>
    <cellStyle name="常规 10 5 4" xfId="11512" xr:uid="{FC894A9A-168E-4E97-BA79-B21CB76B4D2A}"/>
    <cellStyle name="常规 10 5 4 2" xfId="11513" xr:uid="{2FB435CA-3ECC-4D04-9311-F1333CC8CAB9}"/>
    <cellStyle name="常规 10 5 4 2 2" xfId="11514" xr:uid="{00EC05A4-EF14-4FAB-8902-9460DB9EF924}"/>
    <cellStyle name="常规 10 5 4 2 2 2" xfId="11515" xr:uid="{5435CBBB-DEA7-4110-816A-CF35214232AF}"/>
    <cellStyle name="常规 10 5 4 2 3" xfId="11516" xr:uid="{EB27EAE0-2500-409C-9890-39901AE6C175}"/>
    <cellStyle name="常规 10 5 4 2 4" xfId="11517" xr:uid="{E4ED2C3C-8023-4CCA-BEFF-1FD7CDAA20B0}"/>
    <cellStyle name="常规 10 5 4 2 4 2" xfId="33728" xr:uid="{342F29B2-91CD-4D9E-A5D2-5E334671EE77}"/>
    <cellStyle name="常规 10 5 4 2 5" xfId="11518" xr:uid="{D78457FB-386E-4E18-B0C9-4E4FF91927D3}"/>
    <cellStyle name="常规 10 5 4 3" xfId="11519" xr:uid="{9315447C-6FC4-4D47-A399-E98FE4D42F30}"/>
    <cellStyle name="常规 10 5 4 3 2" xfId="11520" xr:uid="{612B1DD1-8858-46D2-B18A-F36DDC0A6E1C}"/>
    <cellStyle name="常规 10 5 4 3 3" xfId="11521" xr:uid="{668D9D49-24AC-49FF-8922-B127DE393249}"/>
    <cellStyle name="常规 10 5 4 4" xfId="11522" xr:uid="{5F02DE31-BAF0-4765-A1D4-FCA5CE09ABA6}"/>
    <cellStyle name="常规 10 5 4 4 2" xfId="11523" xr:uid="{1A9237D2-4139-4A06-BC28-8172F4F59D42}"/>
    <cellStyle name="常规 10 5 4 5" xfId="11524" xr:uid="{429960AA-3515-4C52-8AB5-250AD4FD04F9}"/>
    <cellStyle name="常规 10 5 4 5 2" xfId="11525" xr:uid="{C32B6B71-E0B2-4894-A483-5630EEB78F2D}"/>
    <cellStyle name="常规 10 5 4 5 3" xfId="33729" xr:uid="{31F65EB2-92F2-41B5-BDFB-20D8D33971F8}"/>
    <cellStyle name="常规 10 5 4 6" xfId="11526" xr:uid="{C6B735AA-AB4F-4D5E-AD60-61ECF2A8C926}"/>
    <cellStyle name="常规 10 5 4 7" xfId="11527" xr:uid="{7D63DED4-00A5-40D1-A2F3-EC1BAA4C47F6}"/>
    <cellStyle name="常规 10 5 5" xfId="11528" xr:uid="{BD133EFF-5BCE-422E-BDA5-907B47C2BB21}"/>
    <cellStyle name="常规 10 5 5 2" xfId="11529" xr:uid="{628965F0-03CD-4B5C-8496-535466F3D76D}"/>
    <cellStyle name="常规 10 5 5 2 2" xfId="11530" xr:uid="{E59C32F7-F16F-4153-BABB-88F8D226BA91}"/>
    <cellStyle name="常规 10 5 5 3" xfId="11531" xr:uid="{57CA843E-EEFA-47B0-AD20-29F1EE62F302}"/>
    <cellStyle name="常规 10 5 5 4" xfId="11532" xr:uid="{AE3BBDA0-3A40-4C95-B966-D7B916942658}"/>
    <cellStyle name="常规 10 5 5 4 2" xfId="33730" xr:uid="{75737D23-2D0D-48CF-A4A3-FD594DC5A93A}"/>
    <cellStyle name="常规 10 5 5 5" xfId="11533" xr:uid="{1632A7D0-9122-441F-9539-360A17410B2B}"/>
    <cellStyle name="常规 10 5 6" xfId="11534" xr:uid="{3E7B2040-3EFF-4AF5-A3D3-ABB3440BFD7C}"/>
    <cellStyle name="常规 10 5 6 2" xfId="11535" xr:uid="{8CB27A0D-918C-425E-94A8-C1C411E17F40}"/>
    <cellStyle name="常规 10 5 6 2 2" xfId="11536" xr:uid="{9E6114D3-25EF-4F9E-9E56-8CD6BA08013D}"/>
    <cellStyle name="常规 10 5 6 3" xfId="11537" xr:uid="{2C7DDA20-E540-4BB3-8323-1902B39CF724}"/>
    <cellStyle name="常规 10 5 6 4" xfId="11538" xr:uid="{1AD64069-FB2E-4B6B-BF00-C6B5971BC9AA}"/>
    <cellStyle name="常规 10 5 6 4 2" xfId="33731" xr:uid="{9FA39CC9-E247-4BC8-9C0B-D24A6AE72B68}"/>
    <cellStyle name="常规 10 5 6 5" xfId="11539" xr:uid="{45F1944E-FB20-43CB-A740-45BF47D38942}"/>
    <cellStyle name="常规 10 5 7" xfId="11540" xr:uid="{B346C4DE-47E6-41E5-827F-CE560E7DD250}"/>
    <cellStyle name="常规 10 5 7 2" xfId="11541" xr:uid="{76D10148-01A0-42F7-9AF7-B7EDFC161FFB}"/>
    <cellStyle name="常规 10 5 7 3" xfId="11542" xr:uid="{1832BC7D-7A9E-4F8F-82A1-9EB8195F2152}"/>
    <cellStyle name="常规 10 5 8" xfId="11543" xr:uid="{08C3ED87-2CCA-40FB-BF0D-02F7AAB8F01E}"/>
    <cellStyle name="常规 10 5 8 2" xfId="11544" xr:uid="{CDBA37F7-E252-42D3-B88F-7BEB31C07B7D}"/>
    <cellStyle name="常规 10 5 9" xfId="11545" xr:uid="{DB89B1FF-B0B4-4014-B7B5-FBC4D53E7762}"/>
    <cellStyle name="常规 10 5 9 2" xfId="11546" xr:uid="{7C613204-BFC2-4FF2-ADCC-668CA54F8E2A}"/>
    <cellStyle name="常规 10 5 9 3" xfId="33732" xr:uid="{E3B4B41B-1161-48E5-A819-F6D9B58FC144}"/>
    <cellStyle name="常规 10 6" xfId="11547" xr:uid="{E5571E37-FB60-4E72-AD5B-AF52DC0BFF88}"/>
    <cellStyle name="常规 10 6 2" xfId="11548" xr:uid="{19F408AE-1F6C-471C-AADD-02C508F23021}"/>
    <cellStyle name="常规 10 6 2 2" xfId="11549" xr:uid="{DE1DC0F3-423A-4236-994B-12C60A1B2AC4}"/>
    <cellStyle name="常规 10 6 2 2 2" xfId="11550" xr:uid="{F89D5697-278F-4AB3-A179-D43ACB68ED16}"/>
    <cellStyle name="常规 10 6 2 2 2 2" xfId="11551" xr:uid="{62E3D64A-760E-4C3B-B768-96BAB003132D}"/>
    <cellStyle name="常规 10 6 2 2 2 2 2" xfId="11552" xr:uid="{FEA03B82-A9C0-41B0-8EA6-B84866C4C62B}"/>
    <cellStyle name="常规 10 6 2 2 2 3" xfId="11553" xr:uid="{FE59E792-AC91-4635-B47C-FA67534999F8}"/>
    <cellStyle name="常规 10 6 2 2 2 4" xfId="11554" xr:uid="{801DF1B9-49AA-4346-B187-F63FA49E11D6}"/>
    <cellStyle name="常规 10 6 2 2 2 4 2" xfId="33733" xr:uid="{CA22D432-A176-4CF5-9B7F-D9AA602EFD09}"/>
    <cellStyle name="常规 10 6 2 2 3" xfId="11555" xr:uid="{321CAFAA-BDCF-4CF0-A7E2-3861D1D80CA8}"/>
    <cellStyle name="常规 10 6 2 2 3 2" xfId="11556" xr:uid="{08BC5C02-413D-493C-9FF5-3E199A911147}"/>
    <cellStyle name="常规 10 6 2 2 4" xfId="11557" xr:uid="{261D2EC1-B61C-4E35-BE6A-F1610A590DE9}"/>
    <cellStyle name="常规 10 6 2 2 5" xfId="11558" xr:uid="{385A8AB3-6353-437F-AF5A-086807BAEB9A}"/>
    <cellStyle name="常规 10 6 2 2 5 2" xfId="33734" xr:uid="{444FDE7E-FE62-474C-821E-83589B79B196}"/>
    <cellStyle name="常规 10 6 2 3" xfId="11559" xr:uid="{03BEACBA-A3EF-4BC7-81FD-CB80A6628E7E}"/>
    <cellStyle name="常规 10 6 2 3 2" xfId="11560" xr:uid="{5E6CF5F3-CFC1-456A-963D-0C06CAE0BA9B}"/>
    <cellStyle name="常规 10 6 2 3 2 2" xfId="11561" xr:uid="{D6C50F8D-DEA0-4337-91A8-6544A9931192}"/>
    <cellStyle name="常规 10 6 2 3 3" xfId="11562" xr:uid="{3B717C52-DC25-4C40-83D2-A720BBFE8BDB}"/>
    <cellStyle name="常规 10 6 2 3 4" xfId="11563" xr:uid="{A073D3C9-60DC-4394-BFAA-C9193487CEFC}"/>
    <cellStyle name="常规 10 6 2 3 4 2" xfId="33735" xr:uid="{C1FB8BCC-626D-478A-9C71-D33333A0102C}"/>
    <cellStyle name="常规 10 6 2 4" xfId="11564" xr:uid="{CBAD1203-752F-4D27-9158-10A42D0BCA8A}"/>
    <cellStyle name="常规 10 6 2 4 2" xfId="11565" xr:uid="{B2724BCF-9C55-492E-B92E-F0FB8DE23D1D}"/>
    <cellStyle name="常规 10 6 2 5" xfId="11566" xr:uid="{67E976FE-051D-446A-AE0B-148B1E40B55D}"/>
    <cellStyle name="常规 10 6 2 6" xfId="11567" xr:uid="{1A31FF49-D18D-4FEC-952E-080ACAC110F2}"/>
    <cellStyle name="常规 10 6 2 6 2" xfId="33736" xr:uid="{C58E384F-D505-4ED6-8C71-8856582FBF7C}"/>
    <cellStyle name="常规 10 6 3" xfId="11568" xr:uid="{C8743EEB-3FDE-48C4-8A99-56B5D79290CD}"/>
    <cellStyle name="常规 10 6 3 2" xfId="11569" xr:uid="{C69AF66B-6509-437E-8510-D214D17B1089}"/>
    <cellStyle name="常规 10 6 3 2 2" xfId="11570" xr:uid="{A87D3097-B2BE-42F8-B298-D672DDF9AE13}"/>
    <cellStyle name="常规 10 6 3 2 2 2" xfId="11571" xr:uid="{104C7389-BCE0-495A-A473-2AD5C34952E2}"/>
    <cellStyle name="常规 10 6 3 2 3" xfId="11572" xr:uid="{2E9B920F-51E3-41B8-A10F-E6A50E1EAD76}"/>
    <cellStyle name="常规 10 6 3 2 4" xfId="11573" xr:uid="{E1E6F944-174F-4CD5-BB55-81BC52CEDC99}"/>
    <cellStyle name="常规 10 6 3 2 4 2" xfId="33737" xr:uid="{E2B921AA-8F00-4A6F-8D2D-C3E2EEBB7BD0}"/>
    <cellStyle name="常规 10 6 3 3" xfId="11574" xr:uid="{F650BAA4-36AB-48D3-BBDA-60E38BBD98A3}"/>
    <cellStyle name="常规 10 6 3 3 2" xfId="11575" xr:uid="{7028B1C6-0208-46B6-B079-0E011B6E80DD}"/>
    <cellStyle name="常规 10 6 3 4" xfId="11576" xr:uid="{1446D27A-FD92-4D31-BE93-3014F68578A6}"/>
    <cellStyle name="常规 10 6 3 5" xfId="11577" xr:uid="{468098E4-A4FB-4E4B-8F25-EEF5984ED733}"/>
    <cellStyle name="常规 10 6 3 5 2" xfId="33738" xr:uid="{33955823-B4B5-49B2-A815-B9FDA88B7BA5}"/>
    <cellStyle name="常规 10 6 4" xfId="11578" xr:uid="{614EC7E5-3853-4118-8B11-AED5F2F2569E}"/>
    <cellStyle name="常规 10 6 4 2" xfId="11579" xr:uid="{E3C7E5B2-6BD4-4D2D-924A-900F8E3CF405}"/>
    <cellStyle name="常规 10 6 4 2 2" xfId="11580" xr:uid="{648E83C7-BB18-41A5-862C-E82566A92AAD}"/>
    <cellStyle name="常规 10 6 4 3" xfId="11581" xr:uid="{C5744A43-DAA6-4E3C-B2A8-646873F2B2A4}"/>
    <cellStyle name="常规 10 6 4 4" xfId="11582" xr:uid="{EE64F63B-2226-49A3-86F1-A04092D2F42D}"/>
    <cellStyle name="常规 10 6 4 4 2" xfId="33739" xr:uid="{089C344B-96E5-4244-A58A-F1E0B77A7DEA}"/>
    <cellStyle name="常规 10 6 5" xfId="11583" xr:uid="{C6A43AB1-D856-4BB6-A5E5-1AD69D8ECF57}"/>
    <cellStyle name="常规 10 6 5 2" xfId="11584" xr:uid="{D5A5B858-1780-4A23-88E7-BB2CA4F296F5}"/>
    <cellStyle name="常规 10 6 5 2 2" xfId="11585" xr:uid="{2B9F5068-E4A1-4FC1-AD35-271F55F7B502}"/>
    <cellStyle name="常规 10 6 5 3" xfId="11586" xr:uid="{7DFA1CE4-AFD9-449B-BF5A-3D7D17D8F89B}"/>
    <cellStyle name="常规 10 6 5 4" xfId="11587" xr:uid="{80965F02-70A2-4910-A135-0C98B731471F}"/>
    <cellStyle name="常规 10 6 5 4 2" xfId="33740" xr:uid="{8F907A47-4E2A-4852-8136-C70E2118C3E1}"/>
    <cellStyle name="常规 10 6 6" xfId="11588" xr:uid="{4351A287-3F81-4AD6-AAC5-799928291751}"/>
    <cellStyle name="常规 10 6 6 2" xfId="11589" xr:uid="{05C93520-DBA5-4DC9-A794-2CD717525320}"/>
    <cellStyle name="常规 10 6 7" xfId="11590" xr:uid="{93E1AA4C-C30B-43B3-A8D3-A0E050200D67}"/>
    <cellStyle name="常规 10 6 8" xfId="11591" xr:uid="{9AAAD1A8-04AE-462E-837E-D28C70F6FB15}"/>
    <cellStyle name="常规 10 6 8 2" xfId="33741" xr:uid="{2C732DF5-BD92-411F-A438-DF5EBC6A5D1F}"/>
    <cellStyle name="常规 10 6 9" xfId="11592" xr:uid="{DA1D97EC-D3EE-4E5B-9447-7E95913B989B}"/>
    <cellStyle name="常规 10 7" xfId="11593" xr:uid="{BED93F9A-0924-4C99-BA2E-A6777025070A}"/>
    <cellStyle name="常规 10 7 2" xfId="11594" xr:uid="{BF7C64FF-B234-4098-A1B2-CFC481513F6B}"/>
    <cellStyle name="常规 10 7 2 2" xfId="11595" xr:uid="{F6FC03AF-A2D6-457B-868D-7A07F11E00B3}"/>
    <cellStyle name="常规 10 7 2 2 2" xfId="11596" xr:uid="{BEDF3260-E827-4A11-A374-B965EFF18885}"/>
    <cellStyle name="常规 10 7 2 2 2 2" xfId="11597" xr:uid="{6A3F4F46-7A2B-408E-A7BB-4E6D176D5CFA}"/>
    <cellStyle name="常规 10 7 2 2 2 2 2" xfId="11598" xr:uid="{C97B14BB-2970-401E-ADF9-ABDCAD6C06DA}"/>
    <cellStyle name="常规 10 7 2 2 2 3" xfId="11599" xr:uid="{DB7EAE1C-79D4-45B2-892D-D5BF2B6D9D63}"/>
    <cellStyle name="常规 10 7 2 2 2 4" xfId="11600" xr:uid="{5C8E40FA-EBDE-4B7E-8116-856F2045EAA7}"/>
    <cellStyle name="常规 10 7 2 2 2 4 2" xfId="33742" xr:uid="{509E85F5-2549-4824-BE12-8BD14C720F77}"/>
    <cellStyle name="常规 10 7 2 2 3" xfId="11601" xr:uid="{05785290-5FD9-4565-9C56-22C7868B0C1A}"/>
    <cellStyle name="常规 10 7 2 2 3 2" xfId="11602" xr:uid="{052B349B-7B5D-4F63-BD03-DF21A609082D}"/>
    <cellStyle name="常规 10 7 2 2 4" xfId="11603" xr:uid="{64972E47-D46D-4340-8382-0B53DB56344F}"/>
    <cellStyle name="常规 10 7 2 2 5" xfId="11604" xr:uid="{AA135002-BB36-455A-964F-913945C5802A}"/>
    <cellStyle name="常规 10 7 2 2 5 2" xfId="33743" xr:uid="{B1BAC974-D48A-4BCE-B4FF-19E56CA23C2B}"/>
    <cellStyle name="常规 10 7 2 3" xfId="11605" xr:uid="{68339CBE-E3DF-4DE7-8BC3-F5711A4C74BA}"/>
    <cellStyle name="常规 10 7 2 3 2" xfId="11606" xr:uid="{64933A53-58A8-4EF5-9148-46520EA92BA7}"/>
    <cellStyle name="常规 10 7 2 3 2 2" xfId="11607" xr:uid="{0ADEF9E4-87FF-4C7F-ADC5-16B02F299FED}"/>
    <cellStyle name="常规 10 7 2 3 3" xfId="11608" xr:uid="{6D30CFCD-4DC7-4F06-B28C-DCEDCD29EF81}"/>
    <cellStyle name="常规 10 7 2 3 4" xfId="11609" xr:uid="{30D6840B-B755-40A3-A34A-3C93FAF0DDEA}"/>
    <cellStyle name="常规 10 7 2 3 4 2" xfId="33744" xr:uid="{0BF567E1-E67E-47EC-B69F-1DFA256913B9}"/>
    <cellStyle name="常规 10 7 2 4" xfId="11610" xr:uid="{8A3C7C05-6887-4562-9F20-5328435798E7}"/>
    <cellStyle name="常规 10 7 2 4 2" xfId="11611" xr:uid="{8EEFF7CF-45E5-4A76-9F0D-514658893479}"/>
    <cellStyle name="常规 10 7 2 5" xfId="11612" xr:uid="{D67E363B-6B01-44A4-B426-93BD38FDB6DF}"/>
    <cellStyle name="常规 10 7 2 6" xfId="11613" xr:uid="{5E31807A-E8C5-4EEC-BBA1-740C36E2ED4E}"/>
    <cellStyle name="常规 10 7 2 6 2" xfId="33745" xr:uid="{5BAC6BFC-57DE-4F67-9286-7FD9F3532DE2}"/>
    <cellStyle name="常规 10 7 3" xfId="11614" xr:uid="{38C22828-5959-4067-A6A8-317B894574C7}"/>
    <cellStyle name="常规 10 7 3 2" xfId="11615" xr:uid="{7760E97E-3545-40F1-A723-A70C1FEF1E31}"/>
    <cellStyle name="常规 10 7 3 2 2" xfId="11616" xr:uid="{D7AC2C3F-EE18-4AC4-9679-A043B7E22A91}"/>
    <cellStyle name="常规 10 7 3 2 2 2" xfId="11617" xr:uid="{C06F0204-A2AC-4D2D-AD8A-6866768F813B}"/>
    <cellStyle name="常规 10 7 3 2 3" xfId="11618" xr:uid="{16A77078-DECF-432E-92B9-E1AB45CF23D9}"/>
    <cellStyle name="常规 10 7 3 2 4" xfId="11619" xr:uid="{1731D400-B344-4909-A7F4-30720463D9E9}"/>
    <cellStyle name="常规 10 7 3 2 4 2" xfId="33746" xr:uid="{CE6D1C93-16BD-4D78-A277-0D2895E71D4D}"/>
    <cellStyle name="常规 10 7 3 3" xfId="11620" xr:uid="{F551E952-6840-4E63-A0CD-749B9A843B09}"/>
    <cellStyle name="常规 10 7 3 3 2" xfId="11621" xr:uid="{35E2F83B-8C1A-4965-AFB0-63D53F0F151F}"/>
    <cellStyle name="常规 10 7 3 4" xfId="11622" xr:uid="{2B3C0B25-4AEE-4A01-9FB5-B39596A24D77}"/>
    <cellStyle name="常规 10 7 3 5" xfId="11623" xr:uid="{CC9ECCB3-FF35-4356-8D53-9C8B4F9D2CA7}"/>
    <cellStyle name="常规 10 7 3 5 2" xfId="33747" xr:uid="{A67A93AA-A0B6-454E-A048-CD080BD2667E}"/>
    <cellStyle name="常规 10 7 4" xfId="11624" xr:uid="{5E63CA56-DC48-4CE4-BF83-1BB43CA257C7}"/>
    <cellStyle name="常规 10 7 4 2" xfId="11625" xr:uid="{52155D48-2EE0-4584-B336-DB53E743DFF6}"/>
    <cellStyle name="常规 10 7 4 2 2" xfId="11626" xr:uid="{A3F58B88-4EE4-4410-87C2-9C535BB4B941}"/>
    <cellStyle name="常规 10 7 4 3" xfId="11627" xr:uid="{0082BBE3-878E-46A5-B5B8-F0D20D022F8A}"/>
    <cellStyle name="常规 10 7 4 4" xfId="11628" xr:uid="{B461C397-17BA-45C9-BF6D-1FBF876E0880}"/>
    <cellStyle name="常规 10 7 4 4 2" xfId="33748" xr:uid="{E1CB1385-0095-42E4-8196-DC2642C8A1BB}"/>
    <cellStyle name="常规 10 7 5" xfId="11629" xr:uid="{638B74C1-949D-4DC4-8C80-6BF116DECD6F}"/>
    <cellStyle name="常规 10 7 5 2" xfId="11630" xr:uid="{E7CFE21D-DEF3-49B1-8152-365246CEDE00}"/>
    <cellStyle name="常规 10 7 5 2 2" xfId="11631" xr:uid="{DAACE8CE-B750-4E0D-88B6-63A74118DA57}"/>
    <cellStyle name="常规 10 7 5 3" xfId="11632" xr:uid="{3148AC21-5310-4B87-96FE-D243858D67AE}"/>
    <cellStyle name="常规 10 7 5 4" xfId="11633" xr:uid="{0B1FA878-BAB3-4F8D-B035-FA743D48CCE0}"/>
    <cellStyle name="常规 10 7 5 4 2" xfId="33749" xr:uid="{FC660D05-E6F7-4043-892E-DF33A3FFA730}"/>
    <cellStyle name="常规 10 7 6" xfId="11634" xr:uid="{FE19FD64-D3CE-49AB-8175-B1841D39F667}"/>
    <cellStyle name="常规 10 7 6 2" xfId="11635" xr:uid="{8B8E3A76-B0C4-45D6-9ABB-D1E22B5D68D1}"/>
    <cellStyle name="常规 10 7 7" xfId="11636" xr:uid="{7D4DA805-2510-4359-A178-520CDA420DAA}"/>
    <cellStyle name="常规 10 7 8" xfId="11637" xr:uid="{BC89FEAC-754D-46E2-A264-AADED9C7E42E}"/>
    <cellStyle name="常规 10 7 8 2" xfId="33750" xr:uid="{A166DB71-D718-490D-9842-1880B40CC756}"/>
    <cellStyle name="常规 10 7 9" xfId="11638" xr:uid="{21185888-6241-4F30-9034-16B7663D95AE}"/>
    <cellStyle name="常规 10 8" xfId="11639" xr:uid="{96F725BB-1531-4C14-97C9-D04E0E829C1E}"/>
    <cellStyle name="常规 10 8 2" xfId="11640" xr:uid="{A3217A87-D914-41D8-A4FD-64638E269031}"/>
    <cellStyle name="常规 10 8 2 2" xfId="11641" xr:uid="{9AB6C75E-C88C-4E40-9414-AA46B0A80F2B}"/>
    <cellStyle name="常规 10 8 2 2 2" xfId="11642" xr:uid="{87623027-5C56-4CF8-A4C9-A2C880A27429}"/>
    <cellStyle name="常规 10 8 2 2 2 2" xfId="11643" xr:uid="{49E1F69C-F440-42D3-BAA3-0A65C88C0DB7}"/>
    <cellStyle name="常规 10 8 2 2 2 2 2" xfId="11644" xr:uid="{F0D0FFBD-E19E-4617-B0EF-1B692D32BDDF}"/>
    <cellStyle name="常规 10 8 2 2 2 3" xfId="11645" xr:uid="{EC9889CE-977A-4BCA-AC3A-9BDF39AEE582}"/>
    <cellStyle name="常规 10 8 2 2 2 4" xfId="11646" xr:uid="{01E1860D-847D-4D4A-8E68-DCD0421F6D4B}"/>
    <cellStyle name="常规 10 8 2 2 2 4 2" xfId="33751" xr:uid="{946075F8-43BA-45B6-9098-0983429CB225}"/>
    <cellStyle name="常规 10 8 2 2 3" xfId="11647" xr:uid="{23766441-2D3E-4A10-BAB8-31829A850F45}"/>
    <cellStyle name="常规 10 8 2 2 3 2" xfId="11648" xr:uid="{CBA51CFC-447D-4F6F-9CCD-4731A5DC32BB}"/>
    <cellStyle name="常规 10 8 2 2 4" xfId="11649" xr:uid="{0AC8B139-CFBF-4ABA-A4C6-6578ED969A74}"/>
    <cellStyle name="常规 10 8 2 2 5" xfId="11650" xr:uid="{BD07E44D-2FB5-46D5-90CA-9995300FFF6C}"/>
    <cellStyle name="常规 10 8 2 2 5 2" xfId="33752" xr:uid="{F96AA1DD-7782-4868-ACBD-5E43AE13F306}"/>
    <cellStyle name="常规 10 8 2 3" xfId="11651" xr:uid="{08DFC5DD-142D-418F-B1FC-7423106A4554}"/>
    <cellStyle name="常规 10 8 2 3 2" xfId="11652" xr:uid="{8A103BDA-0A50-4BF0-9C40-344B6AF152F6}"/>
    <cellStyle name="常规 10 8 2 3 2 2" xfId="11653" xr:uid="{5E7761F1-41C6-4E87-86F5-CDF974A62F3F}"/>
    <cellStyle name="常规 10 8 2 3 3" xfId="11654" xr:uid="{AB422390-FC4F-4CDA-9D91-4567D0507623}"/>
    <cellStyle name="常规 10 8 2 3 4" xfId="11655" xr:uid="{B13C42CC-8180-4483-8276-D99E20EF6E01}"/>
    <cellStyle name="常规 10 8 2 3 4 2" xfId="33753" xr:uid="{8D85EC25-478A-4581-9C4D-207442F0F58F}"/>
    <cellStyle name="常规 10 8 2 4" xfId="11656" xr:uid="{433D0FAF-51BC-470A-A886-D00D969C0909}"/>
    <cellStyle name="常规 10 8 2 4 2" xfId="11657" xr:uid="{425F0375-89B4-4246-8464-7131684C3DAF}"/>
    <cellStyle name="常规 10 8 2 5" xfId="11658" xr:uid="{DB562D0E-C368-46CC-A313-877E4A12BA5D}"/>
    <cellStyle name="常规 10 8 2 6" xfId="11659" xr:uid="{5284A06F-05E9-4FFA-ACEE-4D79035F9484}"/>
    <cellStyle name="常规 10 8 2 6 2" xfId="33754" xr:uid="{EFABA20C-CF9A-4590-A1A6-F0808EA397C6}"/>
    <cellStyle name="常规 10 8 3" xfId="11660" xr:uid="{171DBEA0-807C-4BBE-A142-C744AD0B15C8}"/>
    <cellStyle name="常规 10 8 3 2" xfId="11661" xr:uid="{461C351F-E6A6-4BEE-85D5-ABA6CB2C1A94}"/>
    <cellStyle name="常规 10 8 3 2 2" xfId="11662" xr:uid="{177ADAE2-36D0-4F62-8FB9-13CBE3E67E17}"/>
    <cellStyle name="常规 10 8 3 2 2 2" xfId="11663" xr:uid="{4752B93B-AA9B-4EAC-AED7-2BC92DAFE6F3}"/>
    <cellStyle name="常规 10 8 3 2 3" xfId="11664" xr:uid="{E9975F03-659D-48C2-A11F-F7641019257A}"/>
    <cellStyle name="常规 10 8 3 2 4" xfId="11665" xr:uid="{A43CF29E-728B-4049-B808-6EF050121F81}"/>
    <cellStyle name="常规 10 8 3 2 4 2" xfId="33755" xr:uid="{2B92866B-94A5-4804-88EE-C9009469A8EB}"/>
    <cellStyle name="常规 10 8 3 3" xfId="11666" xr:uid="{F6A1303F-5769-4B0D-9AB8-C1B91450B4D4}"/>
    <cellStyle name="常规 10 8 3 3 2" xfId="11667" xr:uid="{865F8763-62CC-43A5-95F6-3AF2B70D1548}"/>
    <cellStyle name="常规 10 8 3 4" xfId="11668" xr:uid="{EC327C3B-DC12-4D42-B2E0-7C1E79E5BE05}"/>
    <cellStyle name="常规 10 8 3 5" xfId="11669" xr:uid="{052D48D8-B96A-408D-BD27-2BDCEAC9B695}"/>
    <cellStyle name="常规 10 8 3 5 2" xfId="33756" xr:uid="{931F07ED-E684-4DE5-8B57-B62E55258819}"/>
    <cellStyle name="常规 10 8 4" xfId="11670" xr:uid="{3790F90B-0DA4-4423-9053-8E82CEF9E32A}"/>
    <cellStyle name="常规 10 8 4 2" xfId="11671" xr:uid="{82F8A55A-8FBB-41A7-A942-0C620BB85CC5}"/>
    <cellStyle name="常规 10 8 4 2 2" xfId="11672" xr:uid="{A89BE5BD-B243-4156-84CA-B50606AD2E57}"/>
    <cellStyle name="常规 10 8 4 3" xfId="11673" xr:uid="{47CDF4A6-83BC-4EC2-96C6-4AAAA4277C16}"/>
    <cellStyle name="常规 10 8 4 4" xfId="11674" xr:uid="{E9E8EFDE-A7D0-4CE4-8C12-C351E0EB223D}"/>
    <cellStyle name="常规 10 8 4 4 2" xfId="33757" xr:uid="{C098343C-B168-44AB-BD23-5266962A7803}"/>
    <cellStyle name="常规 10 8 5" xfId="11675" xr:uid="{4A4B76DE-2345-495C-BAE5-046C8A015C40}"/>
    <cellStyle name="常规 10 8 5 2" xfId="11676" xr:uid="{44C05A00-254F-4D10-ACF0-770B469B9458}"/>
    <cellStyle name="常规 10 8 6" xfId="11677" xr:uid="{68F3C96F-9F6B-4FC4-99B6-9685E9CE02E7}"/>
    <cellStyle name="常规 10 8 7" xfId="11678" xr:uid="{321756AD-A11D-4C36-957D-203C042241F5}"/>
    <cellStyle name="常规 10 8 7 2" xfId="33758" xr:uid="{27CDEB6B-691C-4739-A285-E70742A38630}"/>
    <cellStyle name="常规 10 8 8" xfId="11679" xr:uid="{3E42F65C-C0C9-4E76-91FB-3E7AE295A501}"/>
    <cellStyle name="常规 10 9" xfId="11680" xr:uid="{79CAF54D-A30D-4C63-AD27-A2AB0356CC6E}"/>
    <cellStyle name="常规 10 9 2" xfId="11681" xr:uid="{58BAB5C4-DA72-4BB2-A088-7607A829E532}"/>
    <cellStyle name="常规 10 9 2 2" xfId="11682" xr:uid="{9E4257F5-7D00-48C5-AD83-93329B2A2B72}"/>
    <cellStyle name="常规 10 9 2 2 2" xfId="11683" xr:uid="{A38ACA1D-393B-4808-8835-5EEFFFFCE5AD}"/>
    <cellStyle name="常规 10 9 2 2 2 2" xfId="11684" xr:uid="{E591ADC5-0160-449D-BD72-A8CDB26F6C4B}"/>
    <cellStyle name="常规 10 9 2 2 3" xfId="11685" xr:uid="{64EFC0CE-554A-4E43-BC88-6C6CB8D429B1}"/>
    <cellStyle name="常规 10 9 2 2 4" xfId="11686" xr:uid="{879D937D-4874-435B-AB65-9C52143007BE}"/>
    <cellStyle name="常规 10 9 2 2 4 2" xfId="33759" xr:uid="{265F6250-C6C5-444D-BBF9-63967A0BF737}"/>
    <cellStyle name="常规 10 9 2 3" xfId="11687" xr:uid="{36A7F6C9-F0E7-4E58-9A59-DFCDC6315F08}"/>
    <cellStyle name="常规 10 9 2 3 2" xfId="11688" xr:uid="{43B08CEB-4D78-4AED-9120-249590B099A8}"/>
    <cellStyle name="常规 10 9 2 4" xfId="11689" xr:uid="{50D16BB7-68EE-4AED-91BA-63C683D5E94F}"/>
    <cellStyle name="常规 10 9 2 5" xfId="11690" xr:uid="{F4493CDF-62F8-41D8-A480-CCB224B445EE}"/>
    <cellStyle name="常规 10 9 2 5 2" xfId="33760" xr:uid="{5BD3D0EF-D3DF-4C14-8B04-B0F1D0E8E92F}"/>
    <cellStyle name="常规 10 9 3" xfId="11691" xr:uid="{AD0F6DF0-72E8-480B-B06A-08B943DD58B1}"/>
    <cellStyle name="常规 10 9 3 2" xfId="11692" xr:uid="{E897F9F5-C302-4F9B-A4EA-6FB1B84EE7BD}"/>
    <cellStyle name="常规 10 9 3 2 2" xfId="11693" xr:uid="{C13118EC-4C63-448B-978B-71EFAD706510}"/>
    <cellStyle name="常规 10 9 3 3" xfId="11694" xr:uid="{2E7D8981-C232-403F-932D-45EDF25048F9}"/>
    <cellStyle name="常规 10 9 3 4" xfId="11695" xr:uid="{A4E89573-0360-4D0B-A76E-99F2893F009D}"/>
    <cellStyle name="常规 10 9 3 4 2" xfId="33761" xr:uid="{99669E4C-5657-4A18-A669-46E5305497CA}"/>
    <cellStyle name="常规 10 9 4" xfId="11696" xr:uid="{B28B4802-5713-4F38-A7D6-3481A9C19784}"/>
    <cellStyle name="常规 10 9 4 2" xfId="11697" xr:uid="{CF5794F0-161E-427B-A341-EF4C2712D410}"/>
    <cellStyle name="常规 10 9 5" xfId="11698" xr:uid="{2D99EFDF-646B-454D-A58B-91B956388A2B}"/>
    <cellStyle name="常规 10 9 6" xfId="11699" xr:uid="{1B07CF44-177C-4AA8-A0FD-FCD01432CAB4}"/>
    <cellStyle name="常规 10 9 6 2" xfId="33762" xr:uid="{0BE90216-1616-4AD3-9A5F-29661723969A}"/>
    <cellStyle name="常规 10 9 7" xfId="11700" xr:uid="{E5E49199-8B20-4BC6-B3C9-3C3348CEDB52}"/>
    <cellStyle name="常规 100" xfId="11701" xr:uid="{EA23C7BE-3EEF-4EA1-9F46-946E2F9D8DE0}"/>
    <cellStyle name="常规 101" xfId="11702" xr:uid="{754DBB7B-FA8A-4346-BEC0-A8F78351E64A}"/>
    <cellStyle name="常规 101 2" xfId="11703" xr:uid="{822085A2-3BFE-40A7-B8A1-E7163C2F2F61}"/>
    <cellStyle name="常规 102" xfId="11704" xr:uid="{2E141C6A-EF99-4C7F-9C4A-C98D31949D08}"/>
    <cellStyle name="常规 102 2" xfId="11705" xr:uid="{A1564D63-9FB7-4D56-8BD6-12B67ED476DA}"/>
    <cellStyle name="常规 102 3" xfId="11706" xr:uid="{7580CB71-C23D-47BB-ADA7-6EC619E770DE}"/>
    <cellStyle name="常规 102 4" xfId="33763" xr:uid="{A60B1670-5942-4B81-A093-4DD3A801BF1F}"/>
    <cellStyle name="常规 103" xfId="11707" xr:uid="{566D1C0D-F5BD-46DB-B611-7E7320C82D92}"/>
    <cellStyle name="常规 103 2" xfId="11708" xr:uid="{8DE8F011-E10F-4C9C-8EF8-81BE24CB579D}"/>
    <cellStyle name="常规 103 3" xfId="33764" xr:uid="{5DF964A6-D065-4882-BD55-6AA3E18CD5C7}"/>
    <cellStyle name="常规 104" xfId="11709" xr:uid="{B5651F97-271D-4EF0-BA19-CCC1CD5471B2}"/>
    <cellStyle name="常规 105" xfId="11710" xr:uid="{FDCAA65F-872D-43A9-96A7-AFCE9C3B65F5}"/>
    <cellStyle name="常规 105 2" xfId="33765" xr:uid="{C1B940C8-6B37-43C2-A82B-2F7A3B45782C}"/>
    <cellStyle name="常规 106" xfId="11711" xr:uid="{C94D90A4-B553-4C16-ACC4-BE0BA2E9DBA4}"/>
    <cellStyle name="常规 107" xfId="11712" xr:uid="{22709B6A-9D67-42A6-9E09-D88C208ADE26}"/>
    <cellStyle name="常规 107 2" xfId="11713" xr:uid="{AFDCEFE9-F5AB-4D14-9042-4811A8CBF8B7}"/>
    <cellStyle name="常规 108" xfId="11714" xr:uid="{48E6A051-A598-48E9-B5FB-3148CC4C4461}"/>
    <cellStyle name="常规 108 2" xfId="11715" xr:uid="{759ECDD8-7B50-4D29-A26F-B4E808465AE5}"/>
    <cellStyle name="常规 108 3" xfId="11716" xr:uid="{88CA5D1B-CA90-4AA3-AD8C-D61BF7294197}"/>
    <cellStyle name="常规 109" xfId="11717" xr:uid="{8E33E5DA-F3DB-487B-B4EA-5E4B333D0C7B}"/>
    <cellStyle name="常规 11" xfId="11718" xr:uid="{E81AF8B3-38DF-41A6-90D7-01799DF2FE9D}"/>
    <cellStyle name="常规 11 10" xfId="11719" xr:uid="{9D99D7F6-83D6-43BE-8B66-C3E512DDE0AB}"/>
    <cellStyle name="常规 11 10 10" xfId="11720" xr:uid="{DC4D936C-A603-4668-B656-BBD981125C31}"/>
    <cellStyle name="常规 11 10 2" xfId="11721" xr:uid="{784AA29A-604B-4737-A1BC-E315E5D6ABC7}"/>
    <cellStyle name="常规 11 10 2 2" xfId="11722" xr:uid="{2DC1B51D-F50A-4747-9DAA-8D4B47A82AB4}"/>
    <cellStyle name="常规 11 10 2 2 2" xfId="11723" xr:uid="{F208DE76-3812-4418-82FF-1BDA21AA6CEA}"/>
    <cellStyle name="常规 11 10 2 2 3" xfId="11724" xr:uid="{474FAD31-A613-4FBE-B1C2-7D09BC749070}"/>
    <cellStyle name="常规 11 10 2 2 4" xfId="11725" xr:uid="{21D1EF6E-B34D-4B83-9FBE-7D6A9C845787}"/>
    <cellStyle name="常规 11 10 2 2 5" xfId="11726" xr:uid="{E29A36D2-2DD3-485C-8F70-62F268150D87}"/>
    <cellStyle name="常规 11 10 2 2 6" xfId="11727" xr:uid="{CD6D6294-2920-413D-9CE8-57D60A018FAA}"/>
    <cellStyle name="常规 11 10 2 3" xfId="11728" xr:uid="{ABF964D5-555E-43F5-BCDB-329E93B9FAE3}"/>
    <cellStyle name="常规 11 10 2 4" xfId="11729" xr:uid="{D96FC643-2E5E-4476-9ED5-9119065A0BD5}"/>
    <cellStyle name="常规 11 10 2 5" xfId="11730" xr:uid="{7DBB6603-1F5E-4D07-A726-09A600D2853E}"/>
    <cellStyle name="常规 11 10 2 6" xfId="11731" xr:uid="{04F840C5-FCD3-4A82-BF9A-48C4756624B1}"/>
    <cellStyle name="常规 11 10 2 7" xfId="11732" xr:uid="{A5A91132-1556-4E8D-9E61-4253E6CA0BAC}"/>
    <cellStyle name="常规 11 10 3" xfId="11733" xr:uid="{2F1B7552-97DA-44AE-97DD-7829D79C860D}"/>
    <cellStyle name="常规 11 10 3 2" xfId="11734" xr:uid="{9748D8C5-356B-4819-86F9-4ABD202E3527}"/>
    <cellStyle name="常规 11 10 3 2 2" xfId="11735" xr:uid="{F2FE3CC1-2CFB-4E87-8692-5E50615002C8}"/>
    <cellStyle name="常规 11 10 3 2 3" xfId="11736" xr:uid="{3062E0EB-CB24-4A30-BE1E-6CCEE35947A2}"/>
    <cellStyle name="常规 11 10 3 2 4" xfId="11737" xr:uid="{D0B72444-AB9A-42FF-A6A7-C75786069B1C}"/>
    <cellStyle name="常规 11 10 3 2 5" xfId="11738" xr:uid="{1DF23E93-CCF8-43C4-87EE-3E15406C3FDF}"/>
    <cellStyle name="常规 11 10 3 2 6" xfId="11739" xr:uid="{8655349D-54C8-476E-AF89-DF9E99745133}"/>
    <cellStyle name="常规 11 10 3 3" xfId="11740" xr:uid="{317A569C-67E7-4420-9774-DF2E95FA58B2}"/>
    <cellStyle name="常规 11 10 3 4" xfId="11741" xr:uid="{16B50F50-18F3-40E6-A168-DB4AB11DC341}"/>
    <cellStyle name="常规 11 10 3 5" xfId="11742" xr:uid="{76DFE8D7-1320-4A6A-857F-BFEFBD8F54C7}"/>
    <cellStyle name="常规 11 10 3 6" xfId="11743" xr:uid="{5BBC9E17-724D-44D7-97DD-41919515B5FE}"/>
    <cellStyle name="常规 11 10 3 7" xfId="11744" xr:uid="{3E80827F-D190-4BF0-9BA8-E4BA2E15D12D}"/>
    <cellStyle name="常规 11 10 4" xfId="11745" xr:uid="{3D795712-E3C9-490B-8F3D-0AF35ABA42C5}"/>
    <cellStyle name="常规 11 10 4 2" xfId="11746" xr:uid="{C0EEF64B-D88F-46D3-8E4B-A6F71495AB18}"/>
    <cellStyle name="常规 11 10 4 2 2" xfId="11747" xr:uid="{8E16CBF0-776B-4F0F-B7BC-AA2751A0A4CE}"/>
    <cellStyle name="常规 11 10 4 2 3" xfId="11748" xr:uid="{3AE68600-F4D9-4296-AF90-45B3F7E4BB5E}"/>
    <cellStyle name="常规 11 10 4 2 4" xfId="11749" xr:uid="{F8BCB885-8A72-414C-A7E1-E534A781E01B}"/>
    <cellStyle name="常规 11 10 4 2 5" xfId="11750" xr:uid="{3A1DB5E4-9B83-4624-8FE8-41CCD0DB9BCE}"/>
    <cellStyle name="常规 11 10 4 2 6" xfId="11751" xr:uid="{F9A92066-6028-4706-B551-0E3AB512C5C3}"/>
    <cellStyle name="常规 11 10 4 3" xfId="11752" xr:uid="{9BBD1AD2-7AC8-4913-843D-4E181F920529}"/>
    <cellStyle name="常规 11 10 4 4" xfId="11753" xr:uid="{5A9F8D66-E441-4300-A8DB-19B09047411E}"/>
    <cellStyle name="常规 11 10 4 5" xfId="11754" xr:uid="{8129704C-9CE1-4DFE-992E-227AC44CFA7D}"/>
    <cellStyle name="常规 11 10 4 6" xfId="11755" xr:uid="{7AFC751F-15A9-4F3C-BF67-40CDEDCDD628}"/>
    <cellStyle name="常规 11 10 4 7" xfId="11756" xr:uid="{CE592B36-B246-4661-A6EF-BBC936E689E8}"/>
    <cellStyle name="常规 11 10 5" xfId="11757" xr:uid="{7151A588-598A-4C52-B40E-77FA1E37C0E9}"/>
    <cellStyle name="常规 11 10 5 2" xfId="11758" xr:uid="{A29ECDD0-C29D-4AF2-8913-F18387868464}"/>
    <cellStyle name="常规 11 10 5 3" xfId="11759" xr:uid="{8F5A435E-197E-4C4D-B215-ABEF19F2F924}"/>
    <cellStyle name="常规 11 10 5 4" xfId="11760" xr:uid="{8337AC81-7692-4412-B926-A5D4B086B66B}"/>
    <cellStyle name="常规 11 10 5 5" xfId="11761" xr:uid="{FB7997F3-10C9-419F-BBCD-B8C56A69D4C7}"/>
    <cellStyle name="常规 11 10 5 6" xfId="11762" xr:uid="{3198549F-D845-408A-9ECB-7DE376EEFDCE}"/>
    <cellStyle name="常规 11 10 6" xfId="11763" xr:uid="{CC04B2C5-5C9B-4AF9-BCAE-6F18FD0D8F51}"/>
    <cellStyle name="常规 11 10 7" xfId="11764" xr:uid="{1EEDC5BB-DB2A-481E-9225-D378BA9B9AC3}"/>
    <cellStyle name="常规 11 10 8" xfId="11765" xr:uid="{550AAE37-9306-4913-BCC5-506174A075A5}"/>
    <cellStyle name="常规 11 10 9" xfId="11766" xr:uid="{49ACAE54-4DE4-4EA7-8ED8-186E12DFCFFE}"/>
    <cellStyle name="常规 11 11" xfId="11767" xr:uid="{32C3DDAF-7180-493B-8832-DEC65B471B77}"/>
    <cellStyle name="常规 11 11 2" xfId="11768" xr:uid="{8C416F2C-57E2-4D13-A4BC-791B8CA6F2B1}"/>
    <cellStyle name="常规 11 11 2 2" xfId="11769" xr:uid="{F359E0A4-5B39-4DEF-BA6F-8EEFC12BC9A0}"/>
    <cellStyle name="常规 11 11 2 2 2" xfId="11770" xr:uid="{526F2AF5-2A53-41D8-A7C2-91EEB4DBCE55}"/>
    <cellStyle name="常规 11 11 2 2 3" xfId="11771" xr:uid="{70485669-41CC-44E8-99DB-2223A229E7F6}"/>
    <cellStyle name="常规 11 11 2 2 4" xfId="11772" xr:uid="{52313818-CCE4-44F0-A623-D52F693094AA}"/>
    <cellStyle name="常规 11 11 2 2 5" xfId="11773" xr:uid="{E244D9B3-A38E-4DCE-8D5D-0CB75BC9EFB5}"/>
    <cellStyle name="常规 11 11 2 2 6" xfId="11774" xr:uid="{25D18BC0-4460-475A-95A8-E3A243AC45B4}"/>
    <cellStyle name="常规 11 11 2 3" xfId="11775" xr:uid="{5340062D-492F-4658-A180-06CA664DF416}"/>
    <cellStyle name="常规 11 11 2 4" xfId="11776" xr:uid="{2DB614A4-626D-48E3-AA9F-A748EA4491FE}"/>
    <cellStyle name="常规 11 11 2 5" xfId="11777" xr:uid="{CFEC0FE2-FFE9-434A-B077-B73D2CB38C24}"/>
    <cellStyle name="常规 11 11 2 6" xfId="11778" xr:uid="{BC0F0C18-D4DB-42D2-B322-94F5EC12501E}"/>
    <cellStyle name="常规 11 11 2 7" xfId="11779" xr:uid="{4880CB85-C5F6-41FC-8F09-6E44A14CB384}"/>
    <cellStyle name="常规 11 11 3" xfId="11780" xr:uid="{4EE8EF71-19D7-487F-80D5-699707356D42}"/>
    <cellStyle name="常规 11 11 3 2" xfId="11781" xr:uid="{24394BAF-C93F-4E6E-A80C-A1464800EF8C}"/>
    <cellStyle name="常规 11 11 3 2 2" xfId="11782" xr:uid="{673B0613-E9C9-4465-89DC-FBC1DF3286F6}"/>
    <cellStyle name="常规 11 11 3 2 3" xfId="11783" xr:uid="{7D1F47A3-FFB4-462C-B45B-255031ACF0E4}"/>
    <cellStyle name="常规 11 11 3 2 4" xfId="11784" xr:uid="{96A94F32-D866-4626-808B-4F05F0F305ED}"/>
    <cellStyle name="常规 11 11 3 2 5" xfId="11785" xr:uid="{4BED40AF-A24D-4253-9D2C-3BE17EEC05BA}"/>
    <cellStyle name="常规 11 11 3 2 6" xfId="11786" xr:uid="{DB6A02AE-AB8C-4D4B-9D40-1183769F2582}"/>
    <cellStyle name="常规 11 11 3 3" xfId="11787" xr:uid="{3D2D787E-5C7F-4BBE-AB07-E412F978EB92}"/>
    <cellStyle name="常规 11 11 3 4" xfId="11788" xr:uid="{2C64E3CD-8B91-47C7-9F82-93096C31DC0B}"/>
    <cellStyle name="常规 11 11 3 5" xfId="11789" xr:uid="{BAE432C3-25C6-4858-A9D1-EDF80DB8869F}"/>
    <cellStyle name="常规 11 11 3 6" xfId="11790" xr:uid="{DC8757A9-2252-49A7-94DF-32A22B3710A9}"/>
    <cellStyle name="常规 11 11 3 7" xfId="11791" xr:uid="{95DA7157-A976-4274-BEE6-FBDEF09E27FE}"/>
    <cellStyle name="常规 11 11 4" xfId="11792" xr:uid="{88259424-F39A-47E4-A303-C2DF98BC4895}"/>
    <cellStyle name="常规 11 11 4 2" xfId="11793" xr:uid="{CCF8E1DE-9362-4783-8F60-1B0D00BB0FE2}"/>
    <cellStyle name="常规 11 11 4 3" xfId="11794" xr:uid="{8356C228-88DF-4462-B8F7-70FB119BCF2E}"/>
    <cellStyle name="常规 11 11 4 4" xfId="11795" xr:uid="{C811C3E9-FC6B-494F-BCDA-5964418C1963}"/>
    <cellStyle name="常规 11 11 4 5" xfId="11796" xr:uid="{8F0CC9DE-9BAA-4C1A-96E5-3B87064D5B15}"/>
    <cellStyle name="常规 11 11 4 6" xfId="11797" xr:uid="{0C25D932-97B5-4E88-9214-DC65EB535A56}"/>
    <cellStyle name="常规 11 11 5" xfId="11798" xr:uid="{C3F22CE3-C99E-4F5A-A7DD-516951BA217F}"/>
    <cellStyle name="常规 11 11 6" xfId="11799" xr:uid="{2CD569BB-D850-482B-AE1E-7D2A3BB64EDF}"/>
    <cellStyle name="常规 11 11 7" xfId="11800" xr:uid="{0E913102-B85A-442F-91A8-232B66D50E0B}"/>
    <cellStyle name="常规 11 11 8" xfId="11801" xr:uid="{211A9BC6-25B1-4A49-AA94-F96108FE03A3}"/>
    <cellStyle name="常规 11 11 9" xfId="11802" xr:uid="{BC1E5756-A183-4A0C-8802-3D1F8A281573}"/>
    <cellStyle name="常规 11 12" xfId="11803" xr:uid="{5FD5830B-9D26-4759-9053-78ABF140D298}"/>
    <cellStyle name="常规 11 12 2" xfId="11804" xr:uid="{727BAABB-6D8D-4ACB-A5EA-D0E59459CA89}"/>
    <cellStyle name="常规 11 12 2 2" xfId="11805" xr:uid="{A0052CB9-89A0-4435-A151-6D44349149B3}"/>
    <cellStyle name="常规 11 12 2 2 2" xfId="11806" xr:uid="{AAE06BB5-ACF4-4CBB-9901-8A8AAFA617F8}"/>
    <cellStyle name="常规 11 12 2 2 3" xfId="11807" xr:uid="{F7EAB58D-9015-4C59-809E-432C867A9BC2}"/>
    <cellStyle name="常规 11 12 2 2 4" xfId="11808" xr:uid="{9976AA9E-3C38-4FA2-942E-5901C12A7AC3}"/>
    <cellStyle name="常规 11 12 2 2 5" xfId="11809" xr:uid="{CFEAF64C-7C15-496D-908B-0567B3352FF1}"/>
    <cellStyle name="常规 11 12 2 2 6" xfId="11810" xr:uid="{E26F1A06-8E7C-41B5-B2E3-F00E8C41CDCB}"/>
    <cellStyle name="常规 11 12 2 3" xfId="11811" xr:uid="{D1952123-D640-47C8-9F01-97730A2EDE3A}"/>
    <cellStyle name="常规 11 12 2 4" xfId="11812" xr:uid="{1F0DA1A9-730F-4FF9-8FDD-F276CCB1C2E1}"/>
    <cellStyle name="常规 11 12 2 5" xfId="11813" xr:uid="{AD298E6F-467A-4AD5-91BD-A012C04672CB}"/>
    <cellStyle name="常规 11 12 2 6" xfId="11814" xr:uid="{9AFC6D8C-79C4-4624-B0E5-0FEA7127FC3A}"/>
    <cellStyle name="常规 11 12 2 7" xfId="11815" xr:uid="{2EA961A4-730D-4CA3-BCF4-BE4842D9F789}"/>
    <cellStyle name="常规 11 12 3" xfId="11816" xr:uid="{DCE25DBF-ABE5-4F4D-BFED-DE2A230C9D84}"/>
    <cellStyle name="常规 11 12 3 2" xfId="11817" xr:uid="{142C6A64-AAA0-42B9-BC93-20422897FA67}"/>
    <cellStyle name="常规 11 12 3 3" xfId="11818" xr:uid="{1261CC45-0ACF-4C56-8C9C-AB539C596CEC}"/>
    <cellStyle name="常规 11 12 3 4" xfId="11819" xr:uid="{9A92E944-058F-4F08-9A9A-F9F66AA84622}"/>
    <cellStyle name="常规 11 12 3 5" xfId="11820" xr:uid="{3D74C8BD-A61E-4236-AAAB-32FAA575AF17}"/>
    <cellStyle name="常规 11 12 3 6" xfId="11821" xr:uid="{11550F93-2E2C-4C52-BBE2-75F8B2B4FA4C}"/>
    <cellStyle name="常规 11 12 4" xfId="11822" xr:uid="{173E0DA7-4302-4674-959B-D51982B64282}"/>
    <cellStyle name="常规 11 12 5" xfId="11823" xr:uid="{2137E9CC-4D50-4FA9-A66C-98A4AE36296A}"/>
    <cellStyle name="常规 11 12 6" xfId="11824" xr:uid="{E180CBDF-BF63-47DA-9B9C-7131EB392EDF}"/>
    <cellStyle name="常规 11 12 7" xfId="11825" xr:uid="{FCFE7D05-9BF4-4112-A62B-120B12657D9F}"/>
    <cellStyle name="常规 11 12 8" xfId="11826" xr:uid="{E38A7CEC-54F1-4DC2-819E-8BA3F4B6B4C1}"/>
    <cellStyle name="常规 11 13" xfId="11827" xr:uid="{73B5D65D-C9F1-41FA-818B-74D2E31442E3}"/>
    <cellStyle name="常规 11 13 2" xfId="11828" xr:uid="{1292CAF9-B87F-4E20-BD7E-6FC5856831E4}"/>
    <cellStyle name="常规 11 13 2 2" xfId="11829" xr:uid="{D9EEA4B2-EB18-4CAB-A2B2-38FB6101ABC5}"/>
    <cellStyle name="常规 11 13 2 2 2" xfId="11830" xr:uid="{83AA3E7B-167F-443F-9F4D-C1F772DCF92F}"/>
    <cellStyle name="常规 11 13 2 2 3" xfId="11831" xr:uid="{E334D7A8-F154-4C85-9696-A40B7B14ED1A}"/>
    <cellStyle name="常规 11 13 2 2 4" xfId="11832" xr:uid="{278A32B0-59E2-45C2-9331-9780194015DA}"/>
    <cellStyle name="常规 11 13 2 2 5" xfId="11833" xr:uid="{719FBCFD-85A8-4DCF-A319-8EA223D35FAA}"/>
    <cellStyle name="常规 11 13 2 2 6" xfId="11834" xr:uid="{C20B6CDF-B77C-4057-A1D6-5FB4961834EC}"/>
    <cellStyle name="常规 11 13 2 3" xfId="11835" xr:uid="{07505814-5713-4816-8C04-E625BC87D1A2}"/>
    <cellStyle name="常规 11 13 2 4" xfId="11836" xr:uid="{B0612AE8-4788-4030-B02E-009494DAE3BE}"/>
    <cellStyle name="常规 11 13 2 5" xfId="11837" xr:uid="{90788D4F-4A88-4618-8F96-C325FA88D96C}"/>
    <cellStyle name="常规 11 13 2 6" xfId="11838" xr:uid="{025E26FF-2742-4572-A41F-B264A7A52EB3}"/>
    <cellStyle name="常规 11 13 2 7" xfId="11839" xr:uid="{5631CA61-4691-467B-AAC4-78D8E870FC0F}"/>
    <cellStyle name="常规 11 13 3" xfId="11840" xr:uid="{41E082CE-1DB4-4C94-872F-9F5A7D9E3971}"/>
    <cellStyle name="常规 11 13 3 2" xfId="11841" xr:uid="{A13C7F40-1D1C-41B8-AA6A-622207A4899D}"/>
    <cellStyle name="常规 11 13 3 3" xfId="11842" xr:uid="{327B2673-2D30-4F72-89ED-033DF2794C62}"/>
    <cellStyle name="常规 11 13 3 4" xfId="11843" xr:uid="{B3A752A1-EAE9-4414-993B-82EAE5A5E03A}"/>
    <cellStyle name="常规 11 13 3 5" xfId="11844" xr:uid="{70FE6722-7E36-4C90-B0B3-2983E9BC0080}"/>
    <cellStyle name="常规 11 13 3 6" xfId="11845" xr:uid="{EE8D25F3-EBF3-4887-A6D4-53C494690166}"/>
    <cellStyle name="常规 11 13 4" xfId="11846" xr:uid="{A2950C50-407C-44D8-A8BA-815844D149E6}"/>
    <cellStyle name="常规 11 13 5" xfId="11847" xr:uid="{D5CE4B6B-371E-4BDC-8A21-F414A03E727C}"/>
    <cellStyle name="常规 11 13 6" xfId="11848" xr:uid="{44B70005-C667-4F60-B763-0EEBD50AA651}"/>
    <cellStyle name="常规 11 13 7" xfId="11849" xr:uid="{090881E7-3A16-4C34-80B7-4C4D2577BF79}"/>
    <cellStyle name="常规 11 13 8" xfId="11850" xr:uid="{23251A7C-CDC6-4D54-9415-75AF9EF17D98}"/>
    <cellStyle name="常规 11 14" xfId="11851" xr:uid="{413F440A-1328-4567-9EE9-73432240D8D1}"/>
    <cellStyle name="常规 11 14 2" xfId="11852" xr:uid="{FCEF16F7-5DD6-476D-B683-8A3A5FE39A1C}"/>
    <cellStyle name="常规 11 14 2 2" xfId="11853" xr:uid="{E1CFF834-34CA-4F3C-9248-26D8A2CFC2CF}"/>
    <cellStyle name="常规 11 14 2 2 2" xfId="11854" xr:uid="{4EB5ECDF-6D75-42B1-BA53-4ABB940A08A9}"/>
    <cellStyle name="常规 11 14 2 2 3" xfId="11855" xr:uid="{8E21CB72-25A8-4605-8249-092F4D6FBCAB}"/>
    <cellStyle name="常规 11 14 2 2 4" xfId="11856" xr:uid="{CA0AD5F9-CB8C-472E-8812-8F4F48DC1C15}"/>
    <cellStyle name="常规 11 14 2 2 5" xfId="11857" xr:uid="{7EA26022-C453-4F3A-B5A4-7DF9BE285A87}"/>
    <cellStyle name="常规 11 14 2 2 6" xfId="11858" xr:uid="{92BA2228-5F58-41E5-81C4-87593DD75213}"/>
    <cellStyle name="常规 11 14 2 3" xfId="11859" xr:uid="{982356F8-5A87-491C-8C66-CD308D8C90B1}"/>
    <cellStyle name="常规 11 14 2 4" xfId="11860" xr:uid="{17024D75-FBE1-4F06-842A-80F8090AB0BC}"/>
    <cellStyle name="常规 11 14 2 5" xfId="11861" xr:uid="{0C14AC57-9871-4A69-9ED3-0825426C5CE0}"/>
    <cellStyle name="常规 11 14 2 6" xfId="11862" xr:uid="{79D2BA94-9CB0-421A-B937-0E228D38F1DB}"/>
    <cellStyle name="常规 11 14 2 7" xfId="11863" xr:uid="{A7385E72-CF51-470A-9397-9CB9529F7DF5}"/>
    <cellStyle name="常规 11 14 3" xfId="11864" xr:uid="{67235441-4603-4CEA-ABFD-F3D2445F2ECA}"/>
    <cellStyle name="常规 11 14 3 2" xfId="11865" xr:uid="{DB257DDC-BD55-48B0-BB46-F2D0945A6690}"/>
    <cellStyle name="常规 11 14 3 3" xfId="11866" xr:uid="{64D36D70-081D-4B37-B965-2B9541F5E100}"/>
    <cellStyle name="常规 11 14 3 4" xfId="11867" xr:uid="{1EB5BA88-6F41-4DC1-A879-616FF7B0FB7B}"/>
    <cellStyle name="常规 11 14 3 5" xfId="11868" xr:uid="{BB6A8ADA-E487-4F6B-A368-4C8C675E17F5}"/>
    <cellStyle name="常规 11 14 3 6" xfId="11869" xr:uid="{B97B25FF-84AD-49F0-8FFB-324F0F052E1E}"/>
    <cellStyle name="常规 11 14 4" xfId="11870" xr:uid="{FB6F944B-1E0A-4B96-B734-832BDF87019B}"/>
    <cellStyle name="常规 11 14 5" xfId="11871" xr:uid="{045B6E11-08C6-4A82-ABAB-8C8B840E172C}"/>
    <cellStyle name="常规 11 14 6" xfId="11872" xr:uid="{94AE8503-0884-4205-B792-84BD6558AE2E}"/>
    <cellStyle name="常规 11 14 7" xfId="11873" xr:uid="{11EDE980-B240-4751-9A5B-BE3B5FDE2F0C}"/>
    <cellStyle name="常规 11 14 8" xfId="11874" xr:uid="{65342C46-199E-4078-B0B1-75BAE4756F08}"/>
    <cellStyle name="常规 11 15" xfId="11875" xr:uid="{D235F84E-086C-41DD-97D0-DB0753AE9E99}"/>
    <cellStyle name="常规 11 15 2" xfId="11876" xr:uid="{5B8BC5BA-C1B8-4BC1-8947-46FEFE035A1F}"/>
    <cellStyle name="常规 11 15 2 2" xfId="11877" xr:uid="{1445893B-6667-4E1F-AC44-23A8003B16F4}"/>
    <cellStyle name="常规 11 15 2 2 2" xfId="11878" xr:uid="{9FC18F19-86D2-4253-8AC1-14A09EA2BC5D}"/>
    <cellStyle name="常规 11 15 2 2 3" xfId="11879" xr:uid="{789BFA98-F522-46A6-95AA-33F112B4888E}"/>
    <cellStyle name="常规 11 15 2 2 4" xfId="11880" xr:uid="{5C66FFE3-6CAE-41A6-B5C0-FB041E2FC518}"/>
    <cellStyle name="常规 11 15 2 2 5" xfId="11881" xr:uid="{655CCBFF-F0E6-434F-A7D2-1B26551B03A4}"/>
    <cellStyle name="常规 11 15 2 2 6" xfId="11882" xr:uid="{30DA9C62-2959-49B2-945B-0D72C80CA07D}"/>
    <cellStyle name="常规 11 15 2 3" xfId="11883" xr:uid="{72CE8AD8-20F1-4DE2-BA0D-1D5C48E8B5CF}"/>
    <cellStyle name="常规 11 15 2 4" xfId="11884" xr:uid="{2D205303-61B6-4CCC-8D57-106CB283EEED}"/>
    <cellStyle name="常规 11 15 2 5" xfId="11885" xr:uid="{CEB45030-58F9-4E8C-8C71-97FBF8A7AF71}"/>
    <cellStyle name="常规 11 15 2 6" xfId="11886" xr:uid="{74117BD6-4499-4AFD-8C25-E5EFBD3FF687}"/>
    <cellStyle name="常规 11 15 2 7" xfId="11887" xr:uid="{320C44B8-0275-4E56-93C0-3C86AF9E4639}"/>
    <cellStyle name="常规 11 15 3" xfId="11888" xr:uid="{F578DD5C-9E4A-45CD-A277-5A6A817436E7}"/>
    <cellStyle name="常规 11 15 3 2" xfId="11889" xr:uid="{E5FFB52F-8E34-4E4D-AA7C-36B5F2AAC6C0}"/>
    <cellStyle name="常规 11 15 3 3" xfId="11890" xr:uid="{8A500FF5-6F9B-412C-BEAE-8EAB8DC97C7E}"/>
    <cellStyle name="常规 11 15 3 4" xfId="11891" xr:uid="{34AEE190-BB14-447F-BD95-008B4DBCACDB}"/>
    <cellStyle name="常规 11 15 3 5" xfId="11892" xr:uid="{EDBAF979-B7CC-4F7C-B6A6-A48FB124EEB6}"/>
    <cellStyle name="常规 11 15 3 6" xfId="11893" xr:uid="{914149D7-7751-4641-8539-99B21216791E}"/>
    <cellStyle name="常规 11 15 4" xfId="11894" xr:uid="{0C374D52-134C-439C-801A-92A9EFF99DA1}"/>
    <cellStyle name="常规 11 15 5" xfId="11895" xr:uid="{BAEF7E52-8709-4537-8433-9BCB33F6C6E2}"/>
    <cellStyle name="常规 11 15 6" xfId="11896" xr:uid="{AF2CF66E-822C-4C39-B1BC-38E21C58EFD4}"/>
    <cellStyle name="常规 11 15 7" xfId="11897" xr:uid="{E4308AB1-9849-4A19-8757-347126D79605}"/>
    <cellStyle name="常规 11 15 8" xfId="11898" xr:uid="{91C50D58-0D81-4FBB-AD30-6BA26317258C}"/>
    <cellStyle name="常规 11 16" xfId="11899" xr:uid="{B203246C-7E46-473E-9FA3-1C2280975B1B}"/>
    <cellStyle name="常规 11 16 2" xfId="11900" xr:uid="{20535498-DE24-47FA-91BA-1AE7A1222FFA}"/>
    <cellStyle name="常规 11 16 2 2" xfId="11901" xr:uid="{9F7919F3-DDEF-4C2B-8718-F7D52EDA2750}"/>
    <cellStyle name="常规 11 16 2 3" xfId="11902" xr:uid="{8D213A47-1D48-48B5-AB9C-F3080A92AA5F}"/>
    <cellStyle name="常规 11 16 2 4" xfId="11903" xr:uid="{130F7F30-7A70-4BFF-8AD2-F9FEEE1E6294}"/>
    <cellStyle name="常规 11 16 2 5" xfId="11904" xr:uid="{7AB7A1AC-611B-4004-8351-0069C6BF4197}"/>
    <cellStyle name="常规 11 16 2 6" xfId="11905" xr:uid="{A85343D0-69BA-47F7-9AEA-5A694CDE7F74}"/>
    <cellStyle name="常规 11 16 3" xfId="11906" xr:uid="{CAF81649-7214-45BB-BAE8-FD2A65066B0B}"/>
    <cellStyle name="常规 11 16 4" xfId="11907" xr:uid="{168B05EF-7F0C-4205-8216-4DBFB83A74D1}"/>
    <cellStyle name="常规 11 16 5" xfId="11908" xr:uid="{713F4F66-E178-4EEE-9EB1-C0541763DDC9}"/>
    <cellStyle name="常规 11 16 6" xfId="11909" xr:uid="{046CD479-F968-4423-B404-F61174C3A8A6}"/>
    <cellStyle name="常规 11 16 7" xfId="11910" xr:uid="{58E8693E-9AD2-4F08-A1E3-52EC3E991E68}"/>
    <cellStyle name="常规 11 17" xfId="11911" xr:uid="{F9A16534-A3A2-464B-90EE-E99836D457AD}"/>
    <cellStyle name="常规 11 17 2" xfId="11912" xr:uid="{82D6D172-4EEC-4C58-975E-6A36475E1131}"/>
    <cellStyle name="常规 11 17 2 2" xfId="11913" xr:uid="{904ADBDF-43FF-4654-B06F-6D376F082DD6}"/>
    <cellStyle name="常规 11 17 2 3" xfId="11914" xr:uid="{50D144E4-BD73-4B66-BD2C-703163E9DCFE}"/>
    <cellStyle name="常规 11 17 2 4" xfId="11915" xr:uid="{583A9724-4BE2-4FF8-A4EF-259954D68B17}"/>
    <cellStyle name="常规 11 17 2 5" xfId="11916" xr:uid="{EE4E32CD-9A99-4AD7-B13D-77894F1F9712}"/>
    <cellStyle name="常规 11 17 2 6" xfId="11917" xr:uid="{EA60A170-6899-48DE-B6E9-C6DE8FEDB4DE}"/>
    <cellStyle name="常规 11 17 3" xfId="11918" xr:uid="{3EA35CF1-6812-4C9B-B1BF-5B12BCED4BFF}"/>
    <cellStyle name="常规 11 17 4" xfId="11919" xr:uid="{A023C747-E76D-4000-9513-2E33BC57D582}"/>
    <cellStyle name="常规 11 17 5" xfId="11920" xr:uid="{BBCE4106-BA14-4FE0-820A-62115FB9B255}"/>
    <cellStyle name="常规 11 17 6" xfId="11921" xr:uid="{4C04EE5B-6DD7-4897-B1B5-FD97029BEB99}"/>
    <cellStyle name="常规 11 17 7" xfId="11922" xr:uid="{75EDCE8A-13B9-46EC-AE29-51214C86011C}"/>
    <cellStyle name="常规 11 18" xfId="11923" xr:uid="{6C192057-E0AB-48EF-A839-64817FE6A53D}"/>
    <cellStyle name="常规 11 18 2" xfId="11924" xr:uid="{118B5C7B-17CE-4068-BA23-C8CAD4CCB565}"/>
    <cellStyle name="常规 11 18 2 2" xfId="11925" xr:uid="{BCBF7EF7-55CF-4502-A729-5D3583B9B53C}"/>
    <cellStyle name="常规 11 18 2 3" xfId="11926" xr:uid="{0E2476F3-315E-4A2B-B13D-165853FB1321}"/>
    <cellStyle name="常规 11 18 2 4" xfId="11927" xr:uid="{DB4E79EC-A58A-4BAF-9F34-7E7E2C998461}"/>
    <cellStyle name="常规 11 18 2 5" xfId="11928" xr:uid="{09E51B10-23C4-45B9-8DC3-A3B29F276CD0}"/>
    <cellStyle name="常规 11 18 2 6" xfId="11929" xr:uid="{EEF308AE-BEC7-4BA5-8F39-806E2B8C87F2}"/>
    <cellStyle name="常规 11 18 3" xfId="11930" xr:uid="{D4564A7D-058A-4DA6-8F4D-F2FA4CA49F25}"/>
    <cellStyle name="常规 11 18 4" xfId="11931" xr:uid="{0DBE5502-B22E-4E53-903F-B533D891D947}"/>
    <cellStyle name="常规 11 18 5" xfId="11932" xr:uid="{FEF77FA9-613F-4CDA-81ED-26579C1FD4CB}"/>
    <cellStyle name="常规 11 18 6" xfId="11933" xr:uid="{FFDC4B89-60B5-403C-80BC-A84BEC9B32BF}"/>
    <cellStyle name="常规 11 18 7" xfId="11934" xr:uid="{49FA951A-A446-4622-A88F-22DAE8174E1F}"/>
    <cellStyle name="常规 11 19" xfId="11935" xr:uid="{2D75A766-8D3B-4272-8F75-7E5E757FE591}"/>
    <cellStyle name="常规 11 19 2" xfId="11936" xr:uid="{D92170DC-70A5-41E7-B1BC-EFE6C3FAB668}"/>
    <cellStyle name="常规 11 19 2 2" xfId="11937" xr:uid="{6F742D8F-D344-418B-9239-EA270697EB66}"/>
    <cellStyle name="常规 11 19 2 3" xfId="11938" xr:uid="{C7F2961F-E12C-4931-87ED-D4455610E0BF}"/>
    <cellStyle name="常规 11 19 2 4" xfId="11939" xr:uid="{A6FCABDF-EDBF-4217-B1CA-4317CC964F4A}"/>
    <cellStyle name="常规 11 19 2 5" xfId="11940" xr:uid="{78F379BB-AF99-4435-A421-66E223C0B4D3}"/>
    <cellStyle name="常规 11 19 2 6" xfId="11941" xr:uid="{188C1993-2FF5-4419-BB89-7E86F1479AF5}"/>
    <cellStyle name="常规 11 19 3" xfId="11942" xr:uid="{B30FCF09-3627-4349-92E0-3C8BB0CF6276}"/>
    <cellStyle name="常规 11 19 4" xfId="11943" xr:uid="{3C2462A8-8816-460C-8FE6-528D728F9145}"/>
    <cellStyle name="常规 11 19 5" xfId="11944" xr:uid="{D5A3A1EF-084B-44C1-9A92-4BDBE662FCE6}"/>
    <cellStyle name="常规 11 19 6" xfId="11945" xr:uid="{96CEC623-07AE-4A76-81A3-9B8CCDD9EBDC}"/>
    <cellStyle name="常规 11 19 7" xfId="11946" xr:uid="{04252307-B296-4E0B-93BD-6F5D4650DE2F}"/>
    <cellStyle name="常规 11 2" xfId="11947" xr:uid="{C8DE8F2A-E27F-4A76-8864-D75FBABF48EB}"/>
    <cellStyle name="常规 11 2 10" xfId="11948" xr:uid="{6D5E3979-3CD5-4FC6-84DF-6B6456D2936E}"/>
    <cellStyle name="常规 11 2 10 2" xfId="11949" xr:uid="{3B239D85-EEA8-4866-BECB-C7A434CD8742}"/>
    <cellStyle name="常规 11 2 10 2 2" xfId="11950" xr:uid="{02328027-BEF1-4D65-874E-793202EC4D9B}"/>
    <cellStyle name="常规 11 2 10 2 2 2" xfId="11951" xr:uid="{4D000AB1-625E-4E15-AB73-ED9927FEB577}"/>
    <cellStyle name="常规 11 2 10 2 2 3" xfId="11952" xr:uid="{AAF9E22C-B91D-4FA5-8A96-9D070EF835AE}"/>
    <cellStyle name="常规 11 2 10 2 2 4" xfId="11953" xr:uid="{5A6FD876-DD50-42FC-B212-9881BCA3B9BF}"/>
    <cellStyle name="常规 11 2 10 2 2 5" xfId="11954" xr:uid="{8672D073-5079-440D-8127-A4D06F64C72B}"/>
    <cellStyle name="常规 11 2 10 2 2 6" xfId="11955" xr:uid="{9CC8D2BF-FA75-43AA-B2E3-EB085E53E162}"/>
    <cellStyle name="常规 11 2 10 2 3" xfId="11956" xr:uid="{3EBA8550-0184-469B-90A9-4AFDBCC90B70}"/>
    <cellStyle name="常规 11 2 10 2 4" xfId="11957" xr:uid="{27F5C903-BB7D-441E-91B2-2846D41926B5}"/>
    <cellStyle name="常规 11 2 10 2 5" xfId="11958" xr:uid="{438AC6AD-BA79-485A-ABBB-30F13E80ADDE}"/>
    <cellStyle name="常规 11 2 10 2 6" xfId="11959" xr:uid="{11A79E4B-AAAC-4239-AFAE-F798DF769562}"/>
    <cellStyle name="常规 11 2 10 2 7" xfId="11960" xr:uid="{A25D1D62-BEC6-4A3F-BC38-26DAEDF8B3F5}"/>
    <cellStyle name="常规 11 2 10 3" xfId="11961" xr:uid="{35B381C3-3971-49A4-AE81-B36350A20A96}"/>
    <cellStyle name="常规 11 2 10 3 2" xfId="11962" xr:uid="{9C4154D6-987C-4328-BC32-BA80E8645978}"/>
    <cellStyle name="常规 11 2 10 3 2 2" xfId="11963" xr:uid="{F76EB17F-12B1-45C1-B456-864E8473F1E7}"/>
    <cellStyle name="常规 11 2 10 3 2 3" xfId="11964" xr:uid="{A823565D-FB3B-4320-9B0C-94BCEDFD62FE}"/>
    <cellStyle name="常规 11 2 10 3 2 4" xfId="11965" xr:uid="{449E3904-2A28-43DE-80B4-AB4D1705252E}"/>
    <cellStyle name="常规 11 2 10 3 2 5" xfId="11966" xr:uid="{5C140384-30F2-48AC-8668-DD74FC5C17C4}"/>
    <cellStyle name="常规 11 2 10 3 2 6" xfId="11967" xr:uid="{CE5594BC-7130-4D11-8B42-5E57DD47EE72}"/>
    <cellStyle name="常规 11 2 10 3 3" xfId="11968" xr:uid="{2AD63BB2-D8B5-43B8-BDA8-A9D2739C723E}"/>
    <cellStyle name="常规 11 2 10 3 4" xfId="11969" xr:uid="{C8F8400D-2D94-4988-9A06-8577EAC5B0C0}"/>
    <cellStyle name="常规 11 2 10 3 5" xfId="11970" xr:uid="{5ADFDEAC-891B-4274-95BE-0E63BEA657A0}"/>
    <cellStyle name="常规 11 2 10 3 6" xfId="11971" xr:uid="{1954D52A-55BF-4B14-87C8-934E89D941DE}"/>
    <cellStyle name="常规 11 2 10 3 7" xfId="11972" xr:uid="{7E77F418-797B-4531-9F70-F6EF09745C74}"/>
    <cellStyle name="常规 11 2 10 4" xfId="11973" xr:uid="{FCD0C385-6A74-4431-96D9-A2E5BB1E8C88}"/>
    <cellStyle name="常规 11 2 10 4 2" xfId="11974" xr:uid="{803F5B20-314F-4A03-8E42-002715044790}"/>
    <cellStyle name="常规 11 2 10 4 3" xfId="11975" xr:uid="{29FBAFBE-1EEC-4F14-98E9-AB4A8BF04B98}"/>
    <cellStyle name="常规 11 2 10 4 4" xfId="11976" xr:uid="{E8656424-D16E-40BA-B121-7EB4C50CAFD7}"/>
    <cellStyle name="常规 11 2 10 4 5" xfId="11977" xr:uid="{23BD4AEC-F54F-4C14-9751-31236E3D3949}"/>
    <cellStyle name="常规 11 2 10 4 6" xfId="11978" xr:uid="{F0D40891-668A-463B-B9E9-0CD2EFBD3FB5}"/>
    <cellStyle name="常规 11 2 10 5" xfId="11979" xr:uid="{59441263-ECFD-48C6-8CAF-0A6D60ED0DCF}"/>
    <cellStyle name="常规 11 2 10 6" xfId="11980" xr:uid="{BC6039AB-04FA-4A9B-8127-4ACBA9640042}"/>
    <cellStyle name="常规 11 2 10 7" xfId="11981" xr:uid="{2CB49AB8-526B-46B3-985D-CE029A0CEC81}"/>
    <cellStyle name="常规 11 2 10 8" xfId="11982" xr:uid="{9A8D38D2-B6E4-4774-8992-5A660FF2F23D}"/>
    <cellStyle name="常规 11 2 10 9" xfId="11983" xr:uid="{2993D4F4-9125-423C-8DE6-361D3255BF27}"/>
    <cellStyle name="常规 11 2 11" xfId="11984" xr:uid="{FD84065C-FDCF-4663-B519-D05B4E4F0B14}"/>
    <cellStyle name="常规 11 2 11 2" xfId="11985" xr:uid="{50380090-AD07-4B1F-B145-78DEDD78B4C5}"/>
    <cellStyle name="常规 11 2 11 2 2" xfId="11986" xr:uid="{611AAF59-85EF-4D7E-9C11-7B52F0B9C8D7}"/>
    <cellStyle name="常规 11 2 11 2 2 2" xfId="11987" xr:uid="{808889B4-A913-4194-ACAE-403D840E2CCA}"/>
    <cellStyle name="常规 11 2 11 2 2 3" xfId="11988" xr:uid="{098AF147-A035-4835-8352-5F659F09F0BB}"/>
    <cellStyle name="常规 11 2 11 2 2 4" xfId="11989" xr:uid="{57FB9750-8675-4095-BBC3-5E3B23085478}"/>
    <cellStyle name="常规 11 2 11 2 2 5" xfId="11990" xr:uid="{8FFDD737-3FC1-4D58-AFE2-0942FAC3FB41}"/>
    <cellStyle name="常规 11 2 11 2 2 6" xfId="11991" xr:uid="{9417C1B3-EA79-4B34-85BC-22E98C514E1B}"/>
    <cellStyle name="常规 11 2 11 2 3" xfId="11992" xr:uid="{F1D92F93-4E91-4C78-934D-59E61FBD54AF}"/>
    <cellStyle name="常规 11 2 11 2 4" xfId="11993" xr:uid="{971905A2-BCCC-41C9-AFE2-E85E6381C739}"/>
    <cellStyle name="常规 11 2 11 2 5" xfId="11994" xr:uid="{8AB10C8C-3DEF-454F-AC5D-7E2BD69451F8}"/>
    <cellStyle name="常规 11 2 11 2 6" xfId="11995" xr:uid="{BB3D0782-80D7-494A-934B-1CE7A509FA28}"/>
    <cellStyle name="常规 11 2 11 2 7" xfId="11996" xr:uid="{926E732F-9A5F-4128-961A-53CF1F0B5081}"/>
    <cellStyle name="常规 11 2 11 3" xfId="11997" xr:uid="{24F0866F-36E8-4474-BF6B-A9587FDA5B70}"/>
    <cellStyle name="常规 11 2 11 3 2" xfId="11998" xr:uid="{2A82E567-0895-46D3-A05D-3FE010D968A4}"/>
    <cellStyle name="常规 11 2 11 3 3" xfId="11999" xr:uid="{565600A1-5E97-4FAD-B663-03BBE9E3CEDE}"/>
    <cellStyle name="常规 11 2 11 3 4" xfId="12000" xr:uid="{046E4A41-F512-41E3-ADD7-CD442A24E91B}"/>
    <cellStyle name="常规 11 2 11 3 5" xfId="12001" xr:uid="{729F0530-B2EA-4556-B2E8-9D8A37D1BB4D}"/>
    <cellStyle name="常规 11 2 11 3 6" xfId="12002" xr:uid="{013DC37D-8CA7-43F8-8DE7-5415459DFFFF}"/>
    <cellStyle name="常规 11 2 11 4" xfId="12003" xr:uid="{5D075B17-CBB8-42B2-A653-F6442FC7161B}"/>
    <cellStyle name="常规 11 2 11 5" xfId="12004" xr:uid="{95A9FA2D-A2F9-406B-BBFE-A7DE094D23FD}"/>
    <cellStyle name="常规 11 2 11 6" xfId="12005" xr:uid="{C32CCD2D-3BAD-4E23-BA2F-2F8661EB8819}"/>
    <cellStyle name="常规 11 2 11 7" xfId="12006" xr:uid="{F5E30CB1-AAC4-4578-B21A-7AC8B276BEE7}"/>
    <cellStyle name="常规 11 2 11 8" xfId="12007" xr:uid="{A686D9E8-7291-4DB0-B1D7-B75250FE30C6}"/>
    <cellStyle name="常规 11 2 12" xfId="12008" xr:uid="{C0EC7DAC-556D-44EA-972B-6E3FD4DE6F4C}"/>
    <cellStyle name="常规 11 2 12 2" xfId="12009" xr:uid="{F6671C91-CC07-4734-A07D-E5B0BF55E688}"/>
    <cellStyle name="常规 11 2 12 2 2" xfId="12010" xr:uid="{9929CEE5-C851-45C1-B554-AE2E4D25C76F}"/>
    <cellStyle name="常规 11 2 12 2 2 2" xfId="12011" xr:uid="{E9BD3169-04C7-4B3E-A8B6-0673DE84C7D8}"/>
    <cellStyle name="常规 11 2 12 2 2 3" xfId="12012" xr:uid="{C5FBF4B2-526F-4696-A681-7A6ACE878455}"/>
    <cellStyle name="常规 11 2 12 2 2 4" xfId="12013" xr:uid="{E5B12203-5769-4B8C-A262-5C2D2E5D5DD6}"/>
    <cellStyle name="常规 11 2 12 2 2 5" xfId="12014" xr:uid="{F8E5E211-9E75-45FB-9FB4-2405404F7125}"/>
    <cellStyle name="常规 11 2 12 2 2 6" xfId="12015" xr:uid="{FF05BB05-68D8-4AB1-BE60-5FF352952FA3}"/>
    <cellStyle name="常规 11 2 12 2 3" xfId="12016" xr:uid="{3CAC97C3-68C9-43D4-BDE6-4E12DCBB0B59}"/>
    <cellStyle name="常规 11 2 12 2 4" xfId="12017" xr:uid="{D7B4BD60-8EB5-44B6-9FE5-953C96B8F05B}"/>
    <cellStyle name="常规 11 2 12 2 5" xfId="12018" xr:uid="{CC62DFAB-E818-4328-B085-6E510BD79FF9}"/>
    <cellStyle name="常规 11 2 12 2 6" xfId="12019" xr:uid="{8C68EFED-24B3-4DE6-8501-19202A5018D3}"/>
    <cellStyle name="常规 11 2 12 2 7" xfId="12020" xr:uid="{CC78D67D-02BD-4399-997A-47D75A39D698}"/>
    <cellStyle name="常规 11 2 12 3" xfId="12021" xr:uid="{F8F577FD-E38E-48F9-B705-5F2570AE633B}"/>
    <cellStyle name="常规 11 2 12 3 2" xfId="12022" xr:uid="{03E62C09-FF3A-4F1E-908E-C741C9EFF77D}"/>
    <cellStyle name="常规 11 2 12 3 3" xfId="12023" xr:uid="{94A522C5-049D-47CA-9474-A3FC6310F8C2}"/>
    <cellStyle name="常规 11 2 12 3 4" xfId="12024" xr:uid="{59438E3E-508B-4E6F-8F3E-9FDEA8ADEE1C}"/>
    <cellStyle name="常规 11 2 12 3 5" xfId="12025" xr:uid="{F7EA9919-492C-42F6-A67F-71F22355C4A4}"/>
    <cellStyle name="常规 11 2 12 3 6" xfId="12026" xr:uid="{D569A726-8F9A-465D-BCBE-1F1FB1FBC3E7}"/>
    <cellStyle name="常规 11 2 12 4" xfId="12027" xr:uid="{3BEF0F36-54B1-4E9C-8A36-D1397019F96F}"/>
    <cellStyle name="常规 11 2 12 5" xfId="12028" xr:uid="{42D9A53F-6C32-4896-A1DE-EF7249D899E3}"/>
    <cellStyle name="常规 11 2 12 6" xfId="12029" xr:uid="{A7EFA8D1-FCDD-4DCC-85FD-25460F3CCC46}"/>
    <cellStyle name="常规 11 2 12 7" xfId="12030" xr:uid="{661E01FC-BD68-45C3-86E9-78FD41D10C73}"/>
    <cellStyle name="常规 11 2 12 8" xfId="12031" xr:uid="{DD99C4DC-3AE1-4DF8-AEB3-007F232AB908}"/>
    <cellStyle name="常规 11 2 13" xfId="12032" xr:uid="{A5FD34E9-6BAD-4C59-A25E-A21804854EC2}"/>
    <cellStyle name="常规 11 2 13 2" xfId="12033" xr:uid="{EBDB8AD0-1DF1-4C2E-BCA0-E8150990ED35}"/>
    <cellStyle name="常规 11 2 13 2 2" xfId="12034" xr:uid="{3ACE7FD9-353F-4FDD-A997-6FBEFEA7FD8C}"/>
    <cellStyle name="常规 11 2 13 2 2 2" xfId="12035" xr:uid="{074B3132-3B7D-4061-93F0-34268A2220E2}"/>
    <cellStyle name="常规 11 2 13 2 2 3" xfId="12036" xr:uid="{115CA702-445B-4806-8506-C6FD8B8C8721}"/>
    <cellStyle name="常规 11 2 13 2 2 4" xfId="12037" xr:uid="{2FBDAF0B-0E01-4FD5-A3C3-CA4B202FEE24}"/>
    <cellStyle name="常规 11 2 13 2 2 5" xfId="12038" xr:uid="{B28F88DE-7922-4924-AD73-649D9B78F7ED}"/>
    <cellStyle name="常规 11 2 13 2 2 6" xfId="12039" xr:uid="{BAEFE06F-7A5C-4BAC-AB84-99A0BC7A58E8}"/>
    <cellStyle name="常规 11 2 13 2 3" xfId="12040" xr:uid="{1A5351ED-A2CB-4B09-8F0E-C4FEA9FC9DC1}"/>
    <cellStyle name="常规 11 2 13 2 4" xfId="12041" xr:uid="{94435BE7-9967-4791-89E9-73732A53C3E9}"/>
    <cellStyle name="常规 11 2 13 2 5" xfId="12042" xr:uid="{6E1F3F9D-5EE8-4F6D-A689-8604358ECCD9}"/>
    <cellStyle name="常规 11 2 13 2 6" xfId="12043" xr:uid="{5A5A627B-84B0-4277-84A4-2B6C31A8051F}"/>
    <cellStyle name="常规 11 2 13 2 7" xfId="12044" xr:uid="{4A3889DB-169A-4FCF-BCD2-B051B4ACF2E8}"/>
    <cellStyle name="常规 11 2 13 3" xfId="12045" xr:uid="{561D4225-9358-44A1-9396-EABE912FC00B}"/>
    <cellStyle name="常规 11 2 13 3 2" xfId="12046" xr:uid="{14A8FD7F-9CAF-4752-83D1-61EAD2949BB9}"/>
    <cellStyle name="常规 11 2 13 3 3" xfId="12047" xr:uid="{388C73E2-E435-4FC2-B699-4037862F7E6D}"/>
    <cellStyle name="常规 11 2 13 3 4" xfId="12048" xr:uid="{483936C7-5B9A-4F3D-8D5E-58BA86EFE367}"/>
    <cellStyle name="常规 11 2 13 3 5" xfId="12049" xr:uid="{0BFC0A20-2CC7-4636-8FF7-49A6826545C8}"/>
    <cellStyle name="常规 11 2 13 3 6" xfId="12050" xr:uid="{F93DFB0C-08FD-47C9-9757-6C158ED189F9}"/>
    <cellStyle name="常规 11 2 13 4" xfId="12051" xr:uid="{6CA613A6-8B1E-4EFC-96FC-CB3630CDFBFC}"/>
    <cellStyle name="常规 11 2 13 5" xfId="12052" xr:uid="{E7D89654-3B7A-4305-A12D-06B856D4C6C2}"/>
    <cellStyle name="常规 11 2 13 6" xfId="12053" xr:uid="{19949C8A-F96E-471B-8681-D103BA41E058}"/>
    <cellStyle name="常规 11 2 13 7" xfId="12054" xr:uid="{5DF7ACF2-A623-47D9-9AD8-886211F1B64A}"/>
    <cellStyle name="常规 11 2 13 8" xfId="12055" xr:uid="{3D9C4494-7788-48D4-ACF5-5C2F8818041E}"/>
    <cellStyle name="常规 11 2 14" xfId="12056" xr:uid="{684D5127-19FA-4CCF-926F-8678C534E338}"/>
    <cellStyle name="常规 11 2 14 2" xfId="12057" xr:uid="{E428405D-4F9D-479D-8A75-0FBD7CE871F3}"/>
    <cellStyle name="常规 11 2 14 2 2" xfId="12058" xr:uid="{E324ED10-CB76-456A-B21C-8C2D9815C26E}"/>
    <cellStyle name="常规 11 2 14 2 2 2" xfId="12059" xr:uid="{167D1A8E-CD31-4D1F-BDE7-60C5496B4B25}"/>
    <cellStyle name="常规 11 2 14 2 2 3" xfId="12060" xr:uid="{AB2E3087-57E8-4675-90AF-ACC89B8B3C7F}"/>
    <cellStyle name="常规 11 2 14 2 2 4" xfId="12061" xr:uid="{62F82D5A-1356-4E50-BAF5-78D5353A2954}"/>
    <cellStyle name="常规 11 2 14 2 2 5" xfId="12062" xr:uid="{6753A068-301F-4F5A-A28F-47A860BE5B86}"/>
    <cellStyle name="常规 11 2 14 2 2 6" xfId="12063" xr:uid="{315F747D-A2EA-4E6B-8F21-168C1510569A}"/>
    <cellStyle name="常规 11 2 14 2 3" xfId="12064" xr:uid="{153A5703-A460-497F-91B9-37D7233B7A7F}"/>
    <cellStyle name="常规 11 2 14 2 4" xfId="12065" xr:uid="{C4EB3D45-A25B-4FF4-A9C5-C31CEE9DCC0B}"/>
    <cellStyle name="常规 11 2 14 2 5" xfId="12066" xr:uid="{1284FFC8-88E5-469A-9245-D8C7841EBE88}"/>
    <cellStyle name="常规 11 2 14 2 6" xfId="12067" xr:uid="{72816AA5-A7A9-4A4F-B2D8-D12954E6BF3A}"/>
    <cellStyle name="常规 11 2 14 2 7" xfId="12068" xr:uid="{214F4537-4F2D-46C4-90B6-0E6AC0837958}"/>
    <cellStyle name="常规 11 2 14 3" xfId="12069" xr:uid="{ADEABE85-4263-49F9-9A9F-C0AEFCD5813F}"/>
    <cellStyle name="常规 11 2 14 3 2" xfId="12070" xr:uid="{FD00763A-21D5-4779-A478-4147011BC97F}"/>
    <cellStyle name="常规 11 2 14 3 3" xfId="12071" xr:uid="{61369F3C-9EE0-480C-9B53-7A7B1526E908}"/>
    <cellStyle name="常规 11 2 14 3 4" xfId="12072" xr:uid="{111A1FCA-8C12-4A90-853F-AC3362BDC89D}"/>
    <cellStyle name="常规 11 2 14 3 5" xfId="12073" xr:uid="{01D010DF-DACC-4CF4-8E1B-56ABC7D85512}"/>
    <cellStyle name="常规 11 2 14 3 6" xfId="12074" xr:uid="{DBE7B6F3-9550-43C7-BB09-C5785535A1D7}"/>
    <cellStyle name="常规 11 2 14 4" xfId="12075" xr:uid="{E831EDD2-8CE4-4D2B-8E5B-4BAD28BFB138}"/>
    <cellStyle name="常规 11 2 14 5" xfId="12076" xr:uid="{1298D43C-F356-4846-82F1-0A6F9ECA6257}"/>
    <cellStyle name="常规 11 2 14 6" xfId="12077" xr:uid="{80F5997F-8ED8-4890-A929-A4787B129E5B}"/>
    <cellStyle name="常规 11 2 14 7" xfId="12078" xr:uid="{FE9B1A49-32AE-4EE1-BBFD-BBFD6CF4C719}"/>
    <cellStyle name="常规 11 2 14 8" xfId="12079" xr:uid="{5E8AAD26-EABE-4F3F-90FB-BCBDE7A6CF92}"/>
    <cellStyle name="常规 11 2 15" xfId="12080" xr:uid="{A904AA1A-AD3D-4FE1-9A73-2E86976CFC1D}"/>
    <cellStyle name="常规 11 2 15 2" xfId="12081" xr:uid="{A0BAD25A-7CEA-4A07-8A15-6E3632731A97}"/>
    <cellStyle name="常规 11 2 15 2 2" xfId="12082" xr:uid="{81562C2D-F092-4C8A-BF2A-ECC544EC777C}"/>
    <cellStyle name="常规 11 2 15 2 3" xfId="12083" xr:uid="{E561C9B5-A62A-43A3-AE85-99C07D11A7C4}"/>
    <cellStyle name="常规 11 2 15 2 4" xfId="12084" xr:uid="{C7770E4A-7F90-43C0-8FF8-20EC2079A046}"/>
    <cellStyle name="常规 11 2 15 2 5" xfId="12085" xr:uid="{DA09BF35-1B44-4C28-9577-1D66516ADAB6}"/>
    <cellStyle name="常规 11 2 15 2 6" xfId="12086" xr:uid="{93CF300B-F780-43F6-B802-FECDAAF7A92C}"/>
    <cellStyle name="常规 11 2 15 3" xfId="12087" xr:uid="{94764F4C-FF0E-450D-AA60-BA15E3D902D8}"/>
    <cellStyle name="常规 11 2 15 4" xfId="12088" xr:uid="{CE0E2B36-911B-4AA1-9398-78B143FCEBA1}"/>
    <cellStyle name="常规 11 2 15 5" xfId="12089" xr:uid="{49CF0802-D225-49E9-99A2-3F4431A0F0A6}"/>
    <cellStyle name="常规 11 2 15 6" xfId="12090" xr:uid="{B743963C-5DE2-464C-B028-031ACA4947A9}"/>
    <cellStyle name="常规 11 2 15 7" xfId="12091" xr:uid="{4E9424B8-9F5F-4399-A248-F414F2CA9D04}"/>
    <cellStyle name="常规 11 2 16" xfId="12092" xr:uid="{61E2BCCA-518B-4F7C-8499-82FFB0F82DA5}"/>
    <cellStyle name="常规 11 2 17" xfId="12093" xr:uid="{F9C75EE5-EBBF-4DEA-A80F-0DCA00A8107D}"/>
    <cellStyle name="常规 11 2 18" xfId="12094" xr:uid="{82C2D3C5-44D4-4F31-AB6F-CF72AE750EA4}"/>
    <cellStyle name="常规 11 2 19" xfId="33766" xr:uid="{5E6E6586-A1A8-4FBF-964F-A1528D0C1E41}"/>
    <cellStyle name="常规 11 2 2" xfId="12095" xr:uid="{DF916A99-D629-493A-9A3C-9FA84AE1CED1}"/>
    <cellStyle name="常规 11 2 2 10" xfId="12096" xr:uid="{24241F73-F58A-4591-AE76-318532CCB391}"/>
    <cellStyle name="常规 11 2 2 10 2" xfId="12097" xr:uid="{1D2BB06D-DDE5-480E-AAF9-D4BFBB0C9D61}"/>
    <cellStyle name="常规 11 2 2 10 2 2" xfId="12098" xr:uid="{3EE7A8AA-91BE-462E-A48A-ACB6EBEF8316}"/>
    <cellStyle name="常规 11 2 2 10 2 3" xfId="12099" xr:uid="{C29F4940-BC5E-4AF5-BF6A-994F1FFBF619}"/>
    <cellStyle name="常规 11 2 2 10 2 4" xfId="12100" xr:uid="{0326976D-A443-41E8-B2F6-F622580488F9}"/>
    <cellStyle name="常规 11 2 2 10 2 5" xfId="12101" xr:uid="{C110EF7E-6740-4435-97CC-E94DA9781037}"/>
    <cellStyle name="常规 11 2 2 10 2 6" xfId="12102" xr:uid="{F2ACE591-FEAC-41EA-A09A-A1AF43049696}"/>
    <cellStyle name="常规 11 2 2 10 3" xfId="12103" xr:uid="{C81FCBBE-291F-4F4A-8FD1-48D1D7A92215}"/>
    <cellStyle name="常规 11 2 2 10 4" xfId="12104" xr:uid="{88409934-9C68-4C4F-BCED-BAD762303D35}"/>
    <cellStyle name="常规 11 2 2 10 5" xfId="12105" xr:uid="{D369CF5A-F141-41DC-B5B0-7787F0DAC2DE}"/>
    <cellStyle name="常规 11 2 2 10 6" xfId="12106" xr:uid="{4B208A96-2060-4A18-ABFD-464E96192B89}"/>
    <cellStyle name="常规 11 2 2 10 7" xfId="12107" xr:uid="{CE242B9D-CF6A-4005-AA2F-F4ABDADCF691}"/>
    <cellStyle name="常规 11 2 2 11" xfId="12108" xr:uid="{1EF81523-4EFE-4BC9-85C6-7600F3FDC98D}"/>
    <cellStyle name="常规 11 2 2 11 2" xfId="12109" xr:uid="{40096A62-78FE-4880-8552-D5C37447B85A}"/>
    <cellStyle name="常规 11 2 2 11 3" xfId="12110" xr:uid="{0824B169-3A15-469E-BCAF-A7CFF797BE5B}"/>
    <cellStyle name="常规 11 2 2 11 4" xfId="12111" xr:uid="{C6976A87-0897-44F9-895A-DC0F36419092}"/>
    <cellStyle name="常规 11 2 2 11 5" xfId="12112" xr:uid="{D5F8EFE4-2C00-44DC-AA1B-7F1F0B8B0825}"/>
    <cellStyle name="常规 11 2 2 11 6" xfId="12113" xr:uid="{AE2F8C2F-0041-41F5-892E-94831946047D}"/>
    <cellStyle name="常规 11 2 2 12" xfId="12114" xr:uid="{A40551D4-20F8-4FEC-ACB6-B1BF0B4F039B}"/>
    <cellStyle name="常规 11 2 2 13" xfId="12115" xr:uid="{359534FD-C25B-4885-A5C7-E71517376668}"/>
    <cellStyle name="常规 11 2 2 14" xfId="12116" xr:uid="{686FA463-8F9B-449A-B87B-9415AE455B75}"/>
    <cellStyle name="常规 11 2 2 15" xfId="12117" xr:uid="{1371EBF4-F3FD-4A95-97E5-160E1EB3640E}"/>
    <cellStyle name="常规 11 2 2 16" xfId="12118" xr:uid="{4DD78E99-6BAA-41B5-B79B-BBF97480D617}"/>
    <cellStyle name="常规 11 2 2 2" xfId="12119" xr:uid="{44EB4E0E-30F3-4D75-8F27-39A43B8624CF}"/>
    <cellStyle name="常规 11 2 2 2 2" xfId="12120" xr:uid="{881BF83A-5385-430D-B5B5-B8917D7C2942}"/>
    <cellStyle name="常规 11 2 2 2 2 2" xfId="12121" xr:uid="{7D82E3CD-02F2-4B10-81CF-9F111BF1C74F}"/>
    <cellStyle name="常规 11 2 2 2 2 3" xfId="12122" xr:uid="{39B04B6C-227F-4839-B0BE-0B78D818CC94}"/>
    <cellStyle name="常规 11 2 2 2 2 4" xfId="12123" xr:uid="{A556A5C1-B388-4410-A8EF-36321E44AA60}"/>
    <cellStyle name="常规 11 2 2 2 2 5" xfId="12124" xr:uid="{07353DC4-0531-4B97-BD60-DC93FA986198}"/>
    <cellStyle name="常规 11 2 2 2 2 6" xfId="12125" xr:uid="{D1B4D0A1-04C8-4659-BCBE-25B278B9B4A7}"/>
    <cellStyle name="常规 11 2 2 2 3" xfId="12126" xr:uid="{EE2D2033-EAB8-4A4A-9772-26B679471F1E}"/>
    <cellStyle name="常规 11 2 2 2 4" xfId="12127" xr:uid="{0187661E-011C-42B2-B54B-19D48B88B241}"/>
    <cellStyle name="常规 11 2 2 2 5" xfId="12128" xr:uid="{54C275FF-930E-4972-AFE6-989F0C02BA85}"/>
    <cellStyle name="常规 11 2 2 2 6" xfId="12129" xr:uid="{0E2FE3F5-5361-4FAF-951F-4BF7D4C5CD95}"/>
    <cellStyle name="常规 11 2 2 2 7" xfId="12130" xr:uid="{6E94217D-D2B1-4D26-9F5B-31E98EADDB4D}"/>
    <cellStyle name="常规 11 2 2 3" xfId="12131" xr:uid="{C8CC37AC-646F-434C-81AE-49D57B7FFD78}"/>
    <cellStyle name="常规 11 2 2 3 2" xfId="12132" xr:uid="{7A5724BF-0B4F-4C16-842B-F1997F12189A}"/>
    <cellStyle name="常规 11 2 2 3 2 2" xfId="12133" xr:uid="{D1074EA8-ED1B-4058-BB61-DA2C774B7386}"/>
    <cellStyle name="常规 11 2 2 3 2 3" xfId="12134" xr:uid="{7C1CC7C5-1157-49A0-A370-416FAD9396AE}"/>
    <cellStyle name="常规 11 2 2 3 2 4" xfId="12135" xr:uid="{333E3C12-777C-4AEE-9039-0829F0F4256B}"/>
    <cellStyle name="常规 11 2 2 3 2 5" xfId="12136" xr:uid="{EC680D8E-1A91-4F4C-866D-BF769A48A6C9}"/>
    <cellStyle name="常规 11 2 2 3 2 6" xfId="12137" xr:uid="{5C24C738-8024-4758-8F28-424021116719}"/>
    <cellStyle name="常规 11 2 2 3 3" xfId="12138" xr:uid="{17580D93-444D-4979-93A7-A11FBC0A3BCB}"/>
    <cellStyle name="常规 11 2 2 3 4" xfId="12139" xr:uid="{5B8F3AF8-030B-4573-B451-0141C24F049A}"/>
    <cellStyle name="常规 11 2 2 3 5" xfId="12140" xr:uid="{E61AD4A2-6EDC-4420-A776-896FAF97057F}"/>
    <cellStyle name="常规 11 2 2 3 6" xfId="12141" xr:uid="{153BA330-AED6-4054-8FCD-028F903751B8}"/>
    <cellStyle name="常规 11 2 2 3 7" xfId="12142" xr:uid="{69F9652D-E632-48C7-88D6-CF9AA30CFC29}"/>
    <cellStyle name="常规 11 2 2 4" xfId="12143" xr:uid="{935FCBFB-52B8-4BE8-BC91-B95C68DF38C7}"/>
    <cellStyle name="常规 11 2 2 4 2" xfId="12144" xr:uid="{5DB6FE5D-9D7E-4AC3-811E-AFFA5DB033C9}"/>
    <cellStyle name="常规 11 2 2 4 2 2" xfId="12145" xr:uid="{0F1BB537-7839-4403-B101-46ACEA0D018F}"/>
    <cellStyle name="常规 11 2 2 4 2 3" xfId="12146" xr:uid="{5D32C3C6-5634-4D2A-9EA8-8B33E36A9154}"/>
    <cellStyle name="常规 11 2 2 4 2 4" xfId="12147" xr:uid="{17C70B64-5826-4F0D-8CC6-A045F5F54790}"/>
    <cellStyle name="常规 11 2 2 4 2 5" xfId="12148" xr:uid="{D19162A4-E175-4EAC-BE9B-2108EB95EE32}"/>
    <cellStyle name="常规 11 2 2 4 2 6" xfId="12149" xr:uid="{10B394C8-1053-467A-83B9-37D9B3DAAC54}"/>
    <cellStyle name="常规 11 2 2 4 3" xfId="12150" xr:uid="{A0C2085A-98C7-4829-B4AA-4A96D7F93D7A}"/>
    <cellStyle name="常规 11 2 2 4 4" xfId="12151" xr:uid="{88F84A6A-F19D-4DB9-BA70-CEB00860F197}"/>
    <cellStyle name="常规 11 2 2 4 5" xfId="12152" xr:uid="{2BA843A4-AE6F-4C52-B28A-3946A928523D}"/>
    <cellStyle name="常规 11 2 2 4 6" xfId="12153" xr:uid="{1130ABD5-5938-4BB6-85C5-15CD7D6EEDF0}"/>
    <cellStyle name="常规 11 2 2 4 7" xfId="12154" xr:uid="{4A393283-C465-4308-8FC7-5460AE91B3AB}"/>
    <cellStyle name="常规 11 2 2 5" xfId="12155" xr:uid="{AAE77B83-7E78-4789-AF55-FABD65349503}"/>
    <cellStyle name="常规 11 2 2 5 2" xfId="12156" xr:uid="{A539D4A8-C38A-4337-8D72-B89276160A3E}"/>
    <cellStyle name="常规 11 2 2 5 2 2" xfId="12157" xr:uid="{E026AA12-4F76-4011-9E4A-99125E67714B}"/>
    <cellStyle name="常规 11 2 2 5 2 3" xfId="12158" xr:uid="{76C213B3-48BD-4EE2-8279-11345E472A09}"/>
    <cellStyle name="常规 11 2 2 5 2 4" xfId="12159" xr:uid="{B5100F65-4268-44C1-B27A-C15A46020F0D}"/>
    <cellStyle name="常规 11 2 2 5 2 5" xfId="12160" xr:uid="{30A00A24-1538-4F94-86E8-9FC6C5132054}"/>
    <cellStyle name="常规 11 2 2 5 2 6" xfId="12161" xr:uid="{429E790C-B5A0-4D4F-A7BF-5D73325D14B2}"/>
    <cellStyle name="常规 11 2 2 5 3" xfId="12162" xr:uid="{1E4DF60C-23A4-482D-BD30-AB014DA1F4AF}"/>
    <cellStyle name="常规 11 2 2 5 4" xfId="12163" xr:uid="{14B3BE12-9D29-43D2-920F-4D42136F34FE}"/>
    <cellStyle name="常规 11 2 2 5 5" xfId="12164" xr:uid="{AA6A2A9E-61E9-472F-98E1-87830F982F33}"/>
    <cellStyle name="常规 11 2 2 5 6" xfId="12165" xr:uid="{BEF03385-DF75-4D74-B866-34814BBCB6F6}"/>
    <cellStyle name="常规 11 2 2 5 7" xfId="12166" xr:uid="{73AA36DB-C496-4A02-BE1B-24A86A6755A3}"/>
    <cellStyle name="常规 11 2 2 6" xfId="12167" xr:uid="{AC60F8EE-9FF3-49F8-87FF-1998BF315B59}"/>
    <cellStyle name="常规 11 2 2 6 2" xfId="12168" xr:uid="{F7F289C8-D59E-4142-9A01-842D8872EBA4}"/>
    <cellStyle name="常规 11 2 2 6 2 2" xfId="12169" xr:uid="{79D95AC1-E4D4-4DED-9E4D-BA4C421A88D3}"/>
    <cellStyle name="常规 11 2 2 6 2 3" xfId="12170" xr:uid="{9620E3AD-3EC0-4F7A-9136-32CA06F268CB}"/>
    <cellStyle name="常规 11 2 2 6 2 4" xfId="12171" xr:uid="{1CFF5BB6-F90E-47FE-85CA-DF1DCD95744F}"/>
    <cellStyle name="常规 11 2 2 6 2 5" xfId="12172" xr:uid="{12A9DF80-409C-4847-9138-4B52FB153F1E}"/>
    <cellStyle name="常规 11 2 2 6 2 6" xfId="12173" xr:uid="{F4C2D1A2-0156-40A1-9485-CC5260449102}"/>
    <cellStyle name="常规 11 2 2 6 3" xfId="12174" xr:uid="{73317FD2-9591-43E1-83B6-67429F09897E}"/>
    <cellStyle name="常规 11 2 2 6 4" xfId="12175" xr:uid="{09BF4F20-70B8-4F32-8EC6-41595C131B09}"/>
    <cellStyle name="常规 11 2 2 6 5" xfId="12176" xr:uid="{45B2D9CD-B1B2-44B4-B2EC-379B6074FE17}"/>
    <cellStyle name="常规 11 2 2 6 6" xfId="12177" xr:uid="{1C1F58EF-07CC-4722-A1BA-A3A66A859B40}"/>
    <cellStyle name="常规 11 2 2 6 7" xfId="12178" xr:uid="{05BCD7BA-E317-42FA-8A7D-4BDA6EA25826}"/>
    <cellStyle name="常规 11 2 2 7" xfId="12179" xr:uid="{CD61B8C4-B24C-4A50-A057-55E4BE54BA56}"/>
    <cellStyle name="常规 11 2 2 7 2" xfId="12180" xr:uid="{1E00E810-A73B-43A9-A4A4-89C87E109BC5}"/>
    <cellStyle name="常规 11 2 2 7 2 2" xfId="12181" xr:uid="{45F3729D-8583-4525-8545-C566B3CDA324}"/>
    <cellStyle name="常规 11 2 2 7 2 3" xfId="12182" xr:uid="{4CF019CE-B1CB-4AA9-9349-4E663F35E0C1}"/>
    <cellStyle name="常规 11 2 2 7 2 4" xfId="12183" xr:uid="{16C7B624-E56D-44D1-AFC7-291A58A32384}"/>
    <cellStyle name="常规 11 2 2 7 2 5" xfId="12184" xr:uid="{D0E905AD-380B-4A5B-89C9-DEDF71C2F70A}"/>
    <cellStyle name="常规 11 2 2 7 2 6" xfId="12185" xr:uid="{292FBE04-2076-4F18-8791-78DDEAD095D9}"/>
    <cellStyle name="常规 11 2 2 7 3" xfId="12186" xr:uid="{182A03D7-06F5-4A1F-9E63-5DBDFB176339}"/>
    <cellStyle name="常规 11 2 2 7 4" xfId="12187" xr:uid="{2129E439-EB28-425C-92F1-AB9D01ABE061}"/>
    <cellStyle name="常规 11 2 2 7 5" xfId="12188" xr:uid="{5EF404FD-C356-482A-948C-7D4F5D2DBC0C}"/>
    <cellStyle name="常规 11 2 2 7 6" xfId="12189" xr:uid="{D27DE317-6200-476D-81AA-1C123FE88E68}"/>
    <cellStyle name="常规 11 2 2 7 7" xfId="12190" xr:uid="{8CA921B1-732D-4AF8-B37E-731D1DA21268}"/>
    <cellStyle name="常规 11 2 2 8" xfId="12191" xr:uid="{4A292715-8094-4CEE-8A71-A6EC5D60B964}"/>
    <cellStyle name="常规 11 2 2 8 2" xfId="12192" xr:uid="{96567651-4C3D-4B1F-BF2D-6BBEF6501AFA}"/>
    <cellStyle name="常规 11 2 2 8 2 2" xfId="12193" xr:uid="{005FA5E1-7339-4589-92EC-75D1ED0D9E48}"/>
    <cellStyle name="常规 11 2 2 8 2 3" xfId="12194" xr:uid="{6C0E99C1-A792-41D8-A415-34751FAFF423}"/>
    <cellStyle name="常规 11 2 2 8 2 4" xfId="12195" xr:uid="{E89DF497-FE9F-43B0-9CDD-BA08F46CC5BC}"/>
    <cellStyle name="常规 11 2 2 8 2 5" xfId="12196" xr:uid="{94FFA03C-DE1C-4741-86B7-DAE5466E7B87}"/>
    <cellStyle name="常规 11 2 2 8 2 6" xfId="12197" xr:uid="{72450A7A-7439-45BC-92F9-9537657618FA}"/>
    <cellStyle name="常规 11 2 2 8 3" xfId="12198" xr:uid="{43A9BF88-7DE4-4C83-A5A0-41B04F668837}"/>
    <cellStyle name="常规 11 2 2 8 4" xfId="12199" xr:uid="{ED8B3211-2246-4A4C-93A3-EF4412BD8DAE}"/>
    <cellStyle name="常规 11 2 2 8 5" xfId="12200" xr:uid="{7CE0A7C3-D6AF-409B-8F95-EA84D3776D59}"/>
    <cellStyle name="常规 11 2 2 8 6" xfId="12201" xr:uid="{C50E5BF8-CC47-4DBC-9A6F-13C56EE47E01}"/>
    <cellStyle name="常规 11 2 2 8 7" xfId="12202" xr:uid="{339DC415-27F7-4200-A3EF-E3D1CBD35A4D}"/>
    <cellStyle name="常规 11 2 2 9" xfId="12203" xr:uid="{8C81F319-6D74-4E72-9D06-191FB948BD7E}"/>
    <cellStyle name="常规 11 2 2 9 2" xfId="12204" xr:uid="{841C807F-8BFF-4A0C-B784-2F3ACA3C0A87}"/>
    <cellStyle name="常规 11 2 2 9 2 2" xfId="12205" xr:uid="{025C9E40-C72E-499F-A063-9F6E5977F721}"/>
    <cellStyle name="常规 11 2 2 9 2 3" xfId="12206" xr:uid="{EA07F477-47E5-4A7F-8338-B8BE15CA3F60}"/>
    <cellStyle name="常规 11 2 2 9 2 4" xfId="12207" xr:uid="{532B0748-5A06-4DA5-B354-7316DB05615C}"/>
    <cellStyle name="常规 11 2 2 9 2 5" xfId="12208" xr:uid="{95057888-A192-48B8-A62E-81CE0C96B13C}"/>
    <cellStyle name="常规 11 2 2 9 2 6" xfId="12209" xr:uid="{4C540291-BEF1-4B78-A848-6943FB5BCC98}"/>
    <cellStyle name="常规 11 2 2 9 3" xfId="12210" xr:uid="{6C8FC6AD-A407-4E50-8C36-7022472DDC1E}"/>
    <cellStyle name="常规 11 2 2 9 4" xfId="12211" xr:uid="{4E77FF3A-7C90-45BF-A01C-5C973353C544}"/>
    <cellStyle name="常规 11 2 2 9 5" xfId="12212" xr:uid="{5C28401F-59D1-4E12-A3D6-0FE37AB0EAE4}"/>
    <cellStyle name="常规 11 2 2 9 6" xfId="12213" xr:uid="{1759013B-A394-4EB6-9760-5B6565D6BFF3}"/>
    <cellStyle name="常规 11 2 2 9 7" xfId="12214" xr:uid="{685BB2E8-93DE-40F2-89A8-70A71424AC50}"/>
    <cellStyle name="常规 11 2 3" xfId="12215" xr:uid="{10A0C3E0-2764-42A6-9CEC-8B1AB93004E5}"/>
    <cellStyle name="常规 11 2 3 10" xfId="12216" xr:uid="{6798CC7C-6C99-481A-9A57-2B92607FADDF}"/>
    <cellStyle name="常规 11 2 3 10 2" xfId="12217" xr:uid="{570737A9-CC64-46B0-AEDE-655DD73F13E4}"/>
    <cellStyle name="常规 11 2 3 10 3" xfId="12218" xr:uid="{6633553D-A5A2-4D54-A09E-AAF8A41BC437}"/>
    <cellStyle name="常规 11 2 3 10 4" xfId="12219" xr:uid="{E5801CA2-3AD1-4BEC-A013-1B8663995D4E}"/>
    <cellStyle name="常规 11 2 3 10 5" xfId="12220" xr:uid="{EADFD831-454F-4C5D-8D4A-F3FBE175EEFE}"/>
    <cellStyle name="常规 11 2 3 10 6" xfId="12221" xr:uid="{6C9F1130-A670-4BF8-97A0-E269D02563C7}"/>
    <cellStyle name="常规 11 2 3 11" xfId="12222" xr:uid="{4358CD13-6EB6-4F8F-930F-FB8551492537}"/>
    <cellStyle name="常规 11 2 3 12" xfId="12223" xr:uid="{3EEE0B63-6821-4927-BC3C-551A42BB4355}"/>
    <cellStyle name="常规 11 2 3 13" xfId="12224" xr:uid="{4A326095-14C1-416A-B66E-268D99EC0C02}"/>
    <cellStyle name="常规 11 2 3 14" xfId="12225" xr:uid="{7ABF28B2-BDEC-4A05-ACB8-E023042532FE}"/>
    <cellStyle name="常规 11 2 3 15" xfId="12226" xr:uid="{1D6D43D4-D30C-4432-BB4B-8EF95DEBF1D0}"/>
    <cellStyle name="常规 11 2 3 2" xfId="12227" xr:uid="{96265287-C5BC-4C90-A34E-00002149308B}"/>
    <cellStyle name="常规 11 2 3 2 2" xfId="12228" xr:uid="{E30623AE-0766-4E94-8B34-4F070B2970F4}"/>
    <cellStyle name="常规 11 2 3 2 2 2" xfId="12229" xr:uid="{D1B66FFB-7F05-439C-863E-B9D5152799A1}"/>
    <cellStyle name="常规 11 2 3 2 2 3" xfId="12230" xr:uid="{BB49A18D-4E15-4CE6-B565-44B77B4260EC}"/>
    <cellStyle name="常规 11 2 3 2 2 4" xfId="12231" xr:uid="{B1477AEC-D5CE-4E61-B0DE-FFC207E41F63}"/>
    <cellStyle name="常规 11 2 3 2 2 5" xfId="12232" xr:uid="{4FC3C005-AF48-4EA7-B041-B136A08E288B}"/>
    <cellStyle name="常规 11 2 3 2 2 6" xfId="12233" xr:uid="{3F644CB4-841A-4484-B875-5F3CC83C3689}"/>
    <cellStyle name="常规 11 2 3 2 3" xfId="12234" xr:uid="{BFB79E40-0A3A-4B15-ACF6-014BD0C9DF03}"/>
    <cellStyle name="常规 11 2 3 2 4" xfId="12235" xr:uid="{E6F363E3-0734-4981-B9E2-0BF47E1CD22F}"/>
    <cellStyle name="常规 11 2 3 2 5" xfId="12236" xr:uid="{EBD3C01E-DD5D-4A2B-8DC8-B6B56C9283F4}"/>
    <cellStyle name="常规 11 2 3 2 6" xfId="12237" xr:uid="{CF00F7D1-4BEE-41E1-89CF-BAC423E86320}"/>
    <cellStyle name="常规 11 2 3 2 7" xfId="12238" xr:uid="{C5EDB975-05D1-40FB-8C79-091E5E98B959}"/>
    <cellStyle name="常规 11 2 3 3" xfId="12239" xr:uid="{8CA1AC46-652A-4877-8DC7-56F63D50DB06}"/>
    <cellStyle name="常规 11 2 3 3 2" xfId="12240" xr:uid="{CD741BE1-B1CD-42D6-A216-56481ACEB4BA}"/>
    <cellStyle name="常规 11 2 3 3 2 2" xfId="12241" xr:uid="{8C99FDF8-BF3A-49AC-A380-E424D7E29DEE}"/>
    <cellStyle name="常规 11 2 3 3 2 3" xfId="12242" xr:uid="{80D9532D-4C2F-4990-8062-6037F52F4CC7}"/>
    <cellStyle name="常规 11 2 3 3 2 4" xfId="12243" xr:uid="{4B62F113-D420-4C8E-B657-96C0F5A4C9CD}"/>
    <cellStyle name="常规 11 2 3 3 2 5" xfId="12244" xr:uid="{B665BA46-BC4B-4959-975E-44C445D71500}"/>
    <cellStyle name="常规 11 2 3 3 2 6" xfId="12245" xr:uid="{781C74D5-830D-4EC8-90E0-B80D9308C185}"/>
    <cellStyle name="常规 11 2 3 3 3" xfId="12246" xr:uid="{C59BFB71-C271-4683-A8B3-0FAAC31E0C99}"/>
    <cellStyle name="常规 11 2 3 3 4" xfId="12247" xr:uid="{1C82C45D-D8E9-49FC-9907-A96D77ADD361}"/>
    <cellStyle name="常规 11 2 3 3 5" xfId="12248" xr:uid="{3B0A63DE-BB96-4931-8014-956C685DA8B9}"/>
    <cellStyle name="常规 11 2 3 3 6" xfId="12249" xr:uid="{984433FC-60AB-47F6-B1F9-BD8E050F4EC1}"/>
    <cellStyle name="常规 11 2 3 3 7" xfId="12250" xr:uid="{97F2F7B3-6C51-4185-95A9-B184B6868035}"/>
    <cellStyle name="常规 11 2 3 4" xfId="12251" xr:uid="{D2904C25-2644-45D8-8A34-FA18FA8E51E4}"/>
    <cellStyle name="常规 11 2 3 4 2" xfId="12252" xr:uid="{72001581-530A-4BAF-8AA2-F6EDFD3B98E2}"/>
    <cellStyle name="常规 11 2 3 4 2 2" xfId="12253" xr:uid="{3283063A-CA9F-4E5D-B95F-D8CDF29DEE9E}"/>
    <cellStyle name="常规 11 2 3 4 2 3" xfId="12254" xr:uid="{440F5735-762C-41CF-9FC6-B96DF84A699F}"/>
    <cellStyle name="常规 11 2 3 4 2 4" xfId="12255" xr:uid="{3924FB8E-D9C8-4C8D-A861-98FDA4C23268}"/>
    <cellStyle name="常规 11 2 3 4 2 5" xfId="12256" xr:uid="{9BCB33A2-7B82-4992-82C7-219EEDEAF77E}"/>
    <cellStyle name="常规 11 2 3 4 2 6" xfId="12257" xr:uid="{759F266F-D944-457C-8A06-3A627EF43281}"/>
    <cellStyle name="常规 11 2 3 4 3" xfId="12258" xr:uid="{95BE1704-B7BA-4DEF-ADF2-065007021A91}"/>
    <cellStyle name="常规 11 2 3 4 4" xfId="12259" xr:uid="{4AAC6124-45DD-4AC3-BA27-1F596EEBDB06}"/>
    <cellStyle name="常规 11 2 3 4 5" xfId="12260" xr:uid="{B8083035-93EA-472C-9EF3-420BD6E27436}"/>
    <cellStyle name="常规 11 2 3 4 6" xfId="12261" xr:uid="{6F5454F8-D6EF-4BF1-9E39-698F194395D1}"/>
    <cellStyle name="常规 11 2 3 4 7" xfId="12262" xr:uid="{4DED1D75-E9F7-4191-90A2-F2C53B22B0AA}"/>
    <cellStyle name="常规 11 2 3 5" xfId="12263" xr:uid="{0CAC1BB5-6C82-4D8F-8579-860A05B695F6}"/>
    <cellStyle name="常规 11 2 3 5 2" xfId="12264" xr:uid="{4A630A15-B43C-4326-879D-36CEF6373670}"/>
    <cellStyle name="常规 11 2 3 5 2 2" xfId="12265" xr:uid="{6D418B35-A220-45DD-ABF3-B00C7278C035}"/>
    <cellStyle name="常规 11 2 3 5 2 3" xfId="12266" xr:uid="{54EE904F-718E-412F-BED1-9D29D477C403}"/>
    <cellStyle name="常规 11 2 3 5 2 4" xfId="12267" xr:uid="{864A55DA-F226-48D2-9441-02E29C461ADC}"/>
    <cellStyle name="常规 11 2 3 5 2 5" xfId="12268" xr:uid="{E759016B-611A-4042-9E46-AAF52DC91D00}"/>
    <cellStyle name="常规 11 2 3 5 2 6" xfId="12269" xr:uid="{6FA32C7F-8504-441C-9549-712DCBE33218}"/>
    <cellStyle name="常规 11 2 3 5 3" xfId="12270" xr:uid="{5D4552FC-A235-435D-B481-30934A5C750D}"/>
    <cellStyle name="常规 11 2 3 5 4" xfId="12271" xr:uid="{CB55E04C-02A9-4AF7-B4BA-ABFF73415DA1}"/>
    <cellStyle name="常规 11 2 3 5 5" xfId="12272" xr:uid="{CCB0D224-49BC-475A-9514-A77E57159C27}"/>
    <cellStyle name="常规 11 2 3 5 6" xfId="12273" xr:uid="{846AF31A-0665-4392-937C-F3DFE9029A40}"/>
    <cellStyle name="常规 11 2 3 5 7" xfId="12274" xr:uid="{DE6F32D8-1CF5-4D49-BDBD-D4A5EF47BC09}"/>
    <cellStyle name="常规 11 2 3 6" xfId="12275" xr:uid="{1259C68C-8E1A-452D-9301-A356C2196E70}"/>
    <cellStyle name="常规 11 2 3 6 2" xfId="12276" xr:uid="{7B338915-C6AE-47EB-AB18-061E1A9787F8}"/>
    <cellStyle name="常规 11 2 3 6 2 2" xfId="12277" xr:uid="{10917607-FFA9-4872-B75F-A58AADA4C016}"/>
    <cellStyle name="常规 11 2 3 6 2 3" xfId="12278" xr:uid="{CED3FF4F-D240-4C22-AD52-96FD2DE82CBE}"/>
    <cellStyle name="常规 11 2 3 6 2 4" xfId="12279" xr:uid="{60BA2847-29DC-46F1-B453-1DFE30D9CBBF}"/>
    <cellStyle name="常规 11 2 3 6 2 5" xfId="12280" xr:uid="{85B59F7B-35A3-4462-B441-6B6DD904CC2F}"/>
    <cellStyle name="常规 11 2 3 6 2 6" xfId="12281" xr:uid="{BCB8CEF8-8644-48D1-8837-C909B43EF468}"/>
    <cellStyle name="常规 11 2 3 6 3" xfId="12282" xr:uid="{0748DB88-273D-4790-B0D1-9E5A8808E5FC}"/>
    <cellStyle name="常规 11 2 3 6 4" xfId="12283" xr:uid="{AD07C6A7-19B1-4B8A-BA3A-DFB338ED200A}"/>
    <cellStyle name="常规 11 2 3 6 5" xfId="12284" xr:uid="{9FD605E7-D7A3-4097-B81D-97211C7532E9}"/>
    <cellStyle name="常规 11 2 3 6 6" xfId="12285" xr:uid="{FEC92FC9-DD76-4152-BC0A-441A532EEFC6}"/>
    <cellStyle name="常规 11 2 3 6 7" xfId="12286" xr:uid="{933CA3F6-1597-44AF-8C53-4D8CCCAEB118}"/>
    <cellStyle name="常规 11 2 3 7" xfId="12287" xr:uid="{FD06F38D-5F13-4786-80D3-408EF2C2F382}"/>
    <cellStyle name="常规 11 2 3 7 2" xfId="12288" xr:uid="{9183AE48-4C1A-472D-A79A-576BBD2E537B}"/>
    <cellStyle name="常规 11 2 3 7 2 2" xfId="12289" xr:uid="{9170FAF6-AC7B-472A-95CC-5519D2DDAE41}"/>
    <cellStyle name="常规 11 2 3 7 2 3" xfId="12290" xr:uid="{E9CC35E3-2FA7-461D-85A5-0CFE59B7690A}"/>
    <cellStyle name="常规 11 2 3 7 2 4" xfId="12291" xr:uid="{D7628862-207E-4D8D-BC54-F010B9320045}"/>
    <cellStyle name="常规 11 2 3 7 2 5" xfId="12292" xr:uid="{33B2D39F-9B97-48B7-8C80-6425EC5B2B86}"/>
    <cellStyle name="常规 11 2 3 7 2 6" xfId="12293" xr:uid="{A64DB13C-7522-43AE-9617-668BAA1CF6C7}"/>
    <cellStyle name="常规 11 2 3 7 3" xfId="12294" xr:uid="{50EC0286-E1CA-426A-89B5-EE8A3AF964EE}"/>
    <cellStyle name="常规 11 2 3 7 4" xfId="12295" xr:uid="{D1C0E86C-2258-48BE-A186-8230981CE6C6}"/>
    <cellStyle name="常规 11 2 3 7 5" xfId="12296" xr:uid="{332491FB-1E4D-459A-8B25-F29BA21BF0F7}"/>
    <cellStyle name="常规 11 2 3 7 6" xfId="12297" xr:uid="{749BCC8F-B0A6-41CE-817B-755CBA844015}"/>
    <cellStyle name="常规 11 2 3 7 7" xfId="12298" xr:uid="{C4AFD7D4-3AEE-4AA0-ABF6-D2CAC02E5D5F}"/>
    <cellStyle name="常规 11 2 3 8" xfId="12299" xr:uid="{AD37D18B-A92E-4B74-94B1-FF7AE2CFC734}"/>
    <cellStyle name="常规 11 2 3 8 2" xfId="12300" xr:uid="{06716D6B-DCD2-4308-AD70-C5BC26CD7186}"/>
    <cellStyle name="常规 11 2 3 8 2 2" xfId="12301" xr:uid="{3AFA04A6-0D05-4A48-9AF2-031C3490FC6B}"/>
    <cellStyle name="常规 11 2 3 8 2 3" xfId="12302" xr:uid="{5D0F5564-B4DE-42E6-AAC3-839E4BA5C9DC}"/>
    <cellStyle name="常规 11 2 3 8 2 4" xfId="12303" xr:uid="{3AE7CBC6-4EEB-433B-9F36-0BA05CC32080}"/>
    <cellStyle name="常规 11 2 3 8 2 5" xfId="12304" xr:uid="{474640CD-C0FB-46B3-870A-57669CF40D83}"/>
    <cellStyle name="常规 11 2 3 8 2 6" xfId="12305" xr:uid="{E5BDDE4E-2D32-4E97-A9F3-067969318586}"/>
    <cellStyle name="常规 11 2 3 8 3" xfId="12306" xr:uid="{9C2546EC-65D3-4615-B4C3-A60F1BEFC675}"/>
    <cellStyle name="常规 11 2 3 8 4" xfId="12307" xr:uid="{58950076-20F8-4354-A147-D347B3F5A1C0}"/>
    <cellStyle name="常规 11 2 3 8 5" xfId="12308" xr:uid="{46313A38-1665-4873-89B4-1725354531E0}"/>
    <cellStyle name="常规 11 2 3 8 6" xfId="12309" xr:uid="{EF4BD77F-7583-4F4E-AB45-A96142CE643D}"/>
    <cellStyle name="常规 11 2 3 8 7" xfId="12310" xr:uid="{CA1CCC88-7B57-4C83-BE16-4C6EB726AA96}"/>
    <cellStyle name="常规 11 2 3 9" xfId="12311" xr:uid="{5474B036-1EE2-4B74-A49C-2897CD47B3E6}"/>
    <cellStyle name="常规 11 2 3 9 2" xfId="12312" xr:uid="{72C3B863-B2D7-4ED0-9433-759AA15228A6}"/>
    <cellStyle name="常规 11 2 3 9 2 2" xfId="12313" xr:uid="{C6EB57B3-FC34-4928-91E4-D517861963C9}"/>
    <cellStyle name="常规 11 2 3 9 2 3" xfId="12314" xr:uid="{8882D239-028A-40F5-BED0-39724F632E4A}"/>
    <cellStyle name="常规 11 2 3 9 2 4" xfId="12315" xr:uid="{4429F411-6F63-44A8-9F91-68302E23372A}"/>
    <cellStyle name="常规 11 2 3 9 2 5" xfId="12316" xr:uid="{DEE9263B-8AD5-4D4F-9FA4-9DE65025633E}"/>
    <cellStyle name="常规 11 2 3 9 2 6" xfId="12317" xr:uid="{9692B187-B9BF-4D4A-B3EB-F58D4CDDA154}"/>
    <cellStyle name="常规 11 2 3 9 3" xfId="12318" xr:uid="{1CC4E6F2-1090-44E6-BAF1-B50210A40A19}"/>
    <cellStyle name="常规 11 2 3 9 4" xfId="12319" xr:uid="{30F4CE11-8AB0-42EF-A349-92918CC21E85}"/>
    <cellStyle name="常规 11 2 3 9 5" xfId="12320" xr:uid="{7211EF9E-077A-49FF-BFE8-471BFF2CC31C}"/>
    <cellStyle name="常规 11 2 3 9 6" xfId="12321" xr:uid="{5756CAA2-ED53-41C5-A31D-CD71D568C998}"/>
    <cellStyle name="常规 11 2 3 9 7" xfId="12322" xr:uid="{DEAC0036-63D4-4CAF-9E6F-2A104A44D831}"/>
    <cellStyle name="常规 11 2 4" xfId="12323" xr:uid="{DD89A8CC-2E89-4DB5-B6DB-DC13C83550D4}"/>
    <cellStyle name="常规 11 2 4 10" xfId="12324" xr:uid="{6DD9AFDA-8964-4724-94B6-CD71DCF525D6}"/>
    <cellStyle name="常规 11 2 4 10 2" xfId="12325" xr:uid="{80712120-AE78-45B5-93F1-863D322201C3}"/>
    <cellStyle name="常规 11 2 4 10 3" xfId="12326" xr:uid="{073C6B52-47D7-4D88-AB84-48A91690A784}"/>
    <cellStyle name="常规 11 2 4 10 4" xfId="12327" xr:uid="{E7FA01E2-E851-4922-8583-8B72A0B28BD8}"/>
    <cellStyle name="常规 11 2 4 10 5" xfId="12328" xr:uid="{C93921D4-83A6-4DF5-AF3C-B22A27E20622}"/>
    <cellStyle name="常规 11 2 4 10 6" xfId="12329" xr:uid="{CACBDDEF-B2CF-4834-A56C-51F90B39E3D1}"/>
    <cellStyle name="常规 11 2 4 11" xfId="12330" xr:uid="{7588CB0F-A400-44AD-8110-A928D04E286C}"/>
    <cellStyle name="常规 11 2 4 12" xfId="12331" xr:uid="{5018EAF3-F944-4174-9023-D1D09AF7FD01}"/>
    <cellStyle name="常规 11 2 4 13" xfId="12332" xr:uid="{2F8B0193-7EB8-4E12-8623-14189AF3218E}"/>
    <cellStyle name="常规 11 2 4 14" xfId="12333" xr:uid="{584D5A32-A854-4D34-898A-7E90530D375A}"/>
    <cellStyle name="常规 11 2 4 15" xfId="12334" xr:uid="{4A2B0F0C-A960-457D-9A31-9E767BDD5201}"/>
    <cellStyle name="常规 11 2 4 2" xfId="12335" xr:uid="{73C3E6EF-EF79-4497-8B59-02B8C03E4114}"/>
    <cellStyle name="常规 11 2 4 2 2" xfId="12336" xr:uid="{2D4A410D-DA3C-4A2B-85B6-E3670A138DC1}"/>
    <cellStyle name="常规 11 2 4 2 2 2" xfId="12337" xr:uid="{728AA467-8E9E-4515-A065-C6CAFABB6F34}"/>
    <cellStyle name="常规 11 2 4 2 2 3" xfId="12338" xr:uid="{9168027C-1F2F-40C5-978F-09E15CD4D319}"/>
    <cellStyle name="常规 11 2 4 2 2 4" xfId="12339" xr:uid="{0D01C7CA-0027-4B02-9616-6177532E6288}"/>
    <cellStyle name="常规 11 2 4 2 2 5" xfId="12340" xr:uid="{337196E0-705F-4C51-8391-1823BDF154C0}"/>
    <cellStyle name="常规 11 2 4 2 2 6" xfId="12341" xr:uid="{B9EC55EB-20E5-4DF8-8F21-464636927E5D}"/>
    <cellStyle name="常规 11 2 4 2 3" xfId="12342" xr:uid="{E5DFD801-A729-4217-92A4-6AE88F25D47B}"/>
    <cellStyle name="常规 11 2 4 2 4" xfId="12343" xr:uid="{78E100C3-648D-43A4-BC00-97570A6D6874}"/>
    <cellStyle name="常规 11 2 4 2 5" xfId="12344" xr:uid="{44B758B3-44CC-414D-9C73-C28027D69B3B}"/>
    <cellStyle name="常规 11 2 4 2 6" xfId="12345" xr:uid="{E27CD7C5-B8C0-4662-A5E9-322E00537E03}"/>
    <cellStyle name="常规 11 2 4 2 7" xfId="12346" xr:uid="{C7197F26-028B-422B-8AED-2D3DA1035D0D}"/>
    <cellStyle name="常规 11 2 4 3" xfId="12347" xr:uid="{9A236C56-2DD9-4DFE-9E55-C2F338614C43}"/>
    <cellStyle name="常规 11 2 4 3 2" xfId="12348" xr:uid="{B8B0A286-026F-43FE-A4F4-F211CA143064}"/>
    <cellStyle name="常规 11 2 4 3 2 2" xfId="12349" xr:uid="{C94C0C31-474C-49B7-92B2-25C8AB65D0C1}"/>
    <cellStyle name="常规 11 2 4 3 2 3" xfId="12350" xr:uid="{16B03381-180A-49C3-8746-9E21A5CD5F12}"/>
    <cellStyle name="常规 11 2 4 3 2 4" xfId="12351" xr:uid="{893A990B-044D-49B5-872F-47911550AC5C}"/>
    <cellStyle name="常规 11 2 4 3 2 5" xfId="12352" xr:uid="{81556231-80EE-4AE1-90D2-739F6E40357C}"/>
    <cellStyle name="常规 11 2 4 3 2 6" xfId="12353" xr:uid="{2BA9E333-1FD1-45B4-9D99-5F10F9C5CD86}"/>
    <cellStyle name="常规 11 2 4 3 3" xfId="12354" xr:uid="{3F056B62-09D0-424C-AD1B-93A1BBB3E970}"/>
    <cellStyle name="常规 11 2 4 3 4" xfId="12355" xr:uid="{EAFD491B-0CFB-48C3-87AB-0EBCFECADCCE}"/>
    <cellStyle name="常规 11 2 4 3 5" xfId="12356" xr:uid="{FECEFE28-46F5-4293-9E6B-844D4E1ED5DC}"/>
    <cellStyle name="常规 11 2 4 3 6" xfId="12357" xr:uid="{3B8C28D1-3DAA-4A0B-9644-AF28369398A9}"/>
    <cellStyle name="常规 11 2 4 3 7" xfId="12358" xr:uid="{E35A944E-7FB5-4188-96B3-303218322606}"/>
    <cellStyle name="常规 11 2 4 4" xfId="12359" xr:uid="{7ED9EBEA-EE83-4D26-A6D6-96AE2DB011ED}"/>
    <cellStyle name="常规 11 2 4 4 2" xfId="12360" xr:uid="{CD6E7F71-3DCB-44AB-AF1C-3718F13BB2CD}"/>
    <cellStyle name="常规 11 2 4 4 2 2" xfId="12361" xr:uid="{6417FB9D-97AA-4077-A708-76ED96C8278A}"/>
    <cellStyle name="常规 11 2 4 4 2 3" xfId="12362" xr:uid="{ED351D62-0BC9-42F4-A87A-23698E21D0EC}"/>
    <cellStyle name="常规 11 2 4 4 2 4" xfId="12363" xr:uid="{3D878CB0-3158-486E-8291-70BA47C8EC91}"/>
    <cellStyle name="常规 11 2 4 4 2 5" xfId="12364" xr:uid="{230BDB7D-A782-4E48-88F0-0DDDB90C1B4E}"/>
    <cellStyle name="常规 11 2 4 4 2 6" xfId="12365" xr:uid="{DD61A4B5-6649-4692-9362-4150A1855751}"/>
    <cellStyle name="常规 11 2 4 4 3" xfId="12366" xr:uid="{D975F5AD-875A-412D-B785-FB7957B32172}"/>
    <cellStyle name="常规 11 2 4 4 4" xfId="12367" xr:uid="{83F83A11-F232-4890-8EFE-79D03DA0EBEF}"/>
    <cellStyle name="常规 11 2 4 4 5" xfId="12368" xr:uid="{AD113C37-D0F9-43A7-A9D8-1F85046C8455}"/>
    <cellStyle name="常规 11 2 4 4 6" xfId="12369" xr:uid="{DAAAFE1A-E2EB-4625-9215-903E536FE794}"/>
    <cellStyle name="常规 11 2 4 4 7" xfId="12370" xr:uid="{83C4C153-377D-418A-83FB-054CD3107437}"/>
    <cellStyle name="常规 11 2 4 5" xfId="12371" xr:uid="{A7E0A585-C220-46B4-96E5-F90681837F4D}"/>
    <cellStyle name="常规 11 2 4 5 2" xfId="12372" xr:uid="{BB8E63A8-6D31-4F5C-8D5D-2CCFCD84A284}"/>
    <cellStyle name="常规 11 2 4 5 2 2" xfId="12373" xr:uid="{8900471F-762B-4D7D-9197-372D94F28E73}"/>
    <cellStyle name="常规 11 2 4 5 2 3" xfId="12374" xr:uid="{00BD6804-FAA1-43A3-BF0C-B3819EDFD835}"/>
    <cellStyle name="常规 11 2 4 5 2 4" xfId="12375" xr:uid="{6275EFDD-A5EF-4B30-89FA-B0071C07C300}"/>
    <cellStyle name="常规 11 2 4 5 2 5" xfId="12376" xr:uid="{18A991C1-9C7C-4C2F-AC40-6630BDF47925}"/>
    <cellStyle name="常规 11 2 4 5 2 6" xfId="12377" xr:uid="{E9B2DBBA-1B43-4E9F-B6B7-7622AC29CDB8}"/>
    <cellStyle name="常规 11 2 4 5 3" xfId="12378" xr:uid="{57746D43-0C30-485F-A049-A2F9E5D2C4E9}"/>
    <cellStyle name="常规 11 2 4 5 4" xfId="12379" xr:uid="{A8C8B411-C35C-407D-A4E4-27E740054F77}"/>
    <cellStyle name="常规 11 2 4 5 5" xfId="12380" xr:uid="{1E634945-7350-4F95-8690-21E7432E2273}"/>
    <cellStyle name="常规 11 2 4 5 6" xfId="12381" xr:uid="{846DC416-0BC9-48DC-AD07-BF3341A7BC72}"/>
    <cellStyle name="常规 11 2 4 5 7" xfId="12382" xr:uid="{B0EFC6BF-8933-45BD-B731-8DC402CC5D34}"/>
    <cellStyle name="常规 11 2 4 6" xfId="12383" xr:uid="{7A71AED0-3FAE-4818-AADA-D174582EE1E5}"/>
    <cellStyle name="常规 11 2 4 6 2" xfId="12384" xr:uid="{D9635B65-2D0F-48D5-AECF-085B65429C48}"/>
    <cellStyle name="常规 11 2 4 6 2 2" xfId="12385" xr:uid="{8B9A8F3D-05FC-4552-B34F-971093F3BFDD}"/>
    <cellStyle name="常规 11 2 4 6 2 3" xfId="12386" xr:uid="{319FACBA-1BB7-4239-A438-D8314450520D}"/>
    <cellStyle name="常规 11 2 4 6 2 4" xfId="12387" xr:uid="{9A937FF0-719A-4DDE-AD45-5EA1EE0FC47E}"/>
    <cellStyle name="常规 11 2 4 6 2 5" xfId="12388" xr:uid="{E0F30C44-4BCE-4EA9-BC33-19B4003EB793}"/>
    <cellStyle name="常规 11 2 4 6 2 6" xfId="12389" xr:uid="{9E989309-00AC-4EE5-B204-992DADE2A92D}"/>
    <cellStyle name="常规 11 2 4 6 3" xfId="12390" xr:uid="{A2975368-4EAE-4C5B-B94B-C262AACE408D}"/>
    <cellStyle name="常规 11 2 4 6 4" xfId="12391" xr:uid="{D94E9E0F-C356-45C0-B1C9-16BC382A6769}"/>
    <cellStyle name="常规 11 2 4 6 5" xfId="12392" xr:uid="{193074B9-9574-4863-8C40-98208EBE294B}"/>
    <cellStyle name="常规 11 2 4 6 6" xfId="12393" xr:uid="{A8A85591-0CF8-4159-A495-5B2838471616}"/>
    <cellStyle name="常规 11 2 4 6 7" xfId="12394" xr:uid="{A98C0560-30A7-4E54-B36C-42AC31CEF17F}"/>
    <cellStyle name="常规 11 2 4 7" xfId="12395" xr:uid="{FC0AA088-EA4F-4981-AA5D-493AFA2FF3C5}"/>
    <cellStyle name="常规 11 2 4 7 2" xfId="12396" xr:uid="{29B7FBEA-FF94-4E34-9047-30DFD49E10E0}"/>
    <cellStyle name="常规 11 2 4 7 2 2" xfId="12397" xr:uid="{5C16443D-998C-421C-A934-F3CCDB77E60D}"/>
    <cellStyle name="常规 11 2 4 7 2 3" xfId="12398" xr:uid="{E44545B3-EDFF-4E73-855F-3796C3F21CB3}"/>
    <cellStyle name="常规 11 2 4 7 2 4" xfId="12399" xr:uid="{9AD495F0-41EF-4877-866C-681D2EB23016}"/>
    <cellStyle name="常规 11 2 4 7 2 5" xfId="12400" xr:uid="{D0731CEB-13AB-49EB-A429-C99F2F5689D4}"/>
    <cellStyle name="常规 11 2 4 7 2 6" xfId="12401" xr:uid="{85AA4051-2C3C-4BFA-8BD5-4CEB158487ED}"/>
    <cellStyle name="常规 11 2 4 7 3" xfId="12402" xr:uid="{EB30B6F8-FBBA-491E-8A86-15EE0F191765}"/>
    <cellStyle name="常规 11 2 4 7 4" xfId="12403" xr:uid="{35A5DB7D-C1B3-4BC2-AE18-6F6E9E57EDCE}"/>
    <cellStyle name="常规 11 2 4 7 5" xfId="12404" xr:uid="{1271C4C3-1C1D-4AC9-9511-20B75C455C99}"/>
    <cellStyle name="常规 11 2 4 7 6" xfId="12405" xr:uid="{61AD9481-7AD7-4F11-87EB-3308FA48BA3A}"/>
    <cellStyle name="常规 11 2 4 7 7" xfId="12406" xr:uid="{3FF8297B-F88E-4EF7-9F58-6C3127D840BE}"/>
    <cellStyle name="常规 11 2 4 8" xfId="12407" xr:uid="{ADB5BC40-C4D5-484A-ABF0-DBE3AE7A4C1E}"/>
    <cellStyle name="常规 11 2 4 8 2" xfId="12408" xr:uid="{254D711E-5005-4EA9-9BCF-1BB04D6022FB}"/>
    <cellStyle name="常规 11 2 4 8 2 2" xfId="12409" xr:uid="{F77F7863-9D76-4AE1-8702-64B20D78142D}"/>
    <cellStyle name="常规 11 2 4 8 2 3" xfId="12410" xr:uid="{2F988104-48BB-481F-8EA8-F50C5B56A196}"/>
    <cellStyle name="常规 11 2 4 8 2 4" xfId="12411" xr:uid="{18E56123-7FAD-49B1-9197-A8716FD678A1}"/>
    <cellStyle name="常规 11 2 4 8 2 5" xfId="12412" xr:uid="{F82A08FF-BF4B-4469-A367-CC69AE0D353C}"/>
    <cellStyle name="常规 11 2 4 8 2 6" xfId="12413" xr:uid="{AB062D25-6CAC-4E53-848E-BB5E49AD8DDC}"/>
    <cellStyle name="常规 11 2 4 8 3" xfId="12414" xr:uid="{96D51799-27D0-429E-B6FF-33D927DE769C}"/>
    <cellStyle name="常规 11 2 4 8 4" xfId="12415" xr:uid="{CFBC472F-40D0-4FD3-8EC8-4F4C0E94AB10}"/>
    <cellStyle name="常规 11 2 4 8 5" xfId="12416" xr:uid="{BA09AF1E-A5AA-444E-89C1-F2FD888D2C8A}"/>
    <cellStyle name="常规 11 2 4 8 6" xfId="12417" xr:uid="{DE8E8840-9A45-4866-899A-5D6543918F88}"/>
    <cellStyle name="常规 11 2 4 8 7" xfId="12418" xr:uid="{0A4F4BB7-84F6-4B4A-AB92-FD1790A7F3F0}"/>
    <cellStyle name="常规 11 2 4 9" xfId="12419" xr:uid="{D05D3AB3-3DC7-4CFD-999E-49DD99D51C2C}"/>
    <cellStyle name="常规 11 2 4 9 2" xfId="12420" xr:uid="{8CC256EA-5C30-4A2B-B591-9ED839848F03}"/>
    <cellStyle name="常规 11 2 4 9 2 2" xfId="12421" xr:uid="{55528466-057D-4065-877E-C3B2F5293517}"/>
    <cellStyle name="常规 11 2 4 9 2 3" xfId="12422" xr:uid="{142E9EEA-F48D-4A88-AE6C-A186FFA4513D}"/>
    <cellStyle name="常规 11 2 4 9 2 4" xfId="12423" xr:uid="{EB2DCF8D-1C13-4DE5-88DE-D5A435D9E2FF}"/>
    <cellStyle name="常规 11 2 4 9 2 5" xfId="12424" xr:uid="{E05CF532-DEAF-4D6C-9FB4-A9DB25B58D15}"/>
    <cellStyle name="常规 11 2 4 9 2 6" xfId="12425" xr:uid="{4623F344-2DA6-460C-A6DF-424DFFD30213}"/>
    <cellStyle name="常规 11 2 4 9 3" xfId="12426" xr:uid="{E1ED4B9C-DFCB-4916-B14E-EAFE4B8E7AB7}"/>
    <cellStyle name="常规 11 2 4 9 4" xfId="12427" xr:uid="{EA85B04C-F1AE-44EF-AAA7-A6CA83C57087}"/>
    <cellStyle name="常规 11 2 4 9 5" xfId="12428" xr:uid="{446E8E16-CBE8-4F4F-975A-B9F0D1F2B54F}"/>
    <cellStyle name="常规 11 2 4 9 6" xfId="12429" xr:uid="{A9081684-961C-4CA7-A26E-56F079831FDF}"/>
    <cellStyle name="常规 11 2 4 9 7" xfId="12430" xr:uid="{A6F4C1F8-FFAA-4181-BC0A-9E8DBCA5C843}"/>
    <cellStyle name="常规 11 2 5" xfId="12431" xr:uid="{BB588691-F0BA-4AE3-AF92-11CE7C3E9B26}"/>
    <cellStyle name="常规 11 2 5 10" xfId="12432" xr:uid="{3A8D3567-759E-427F-8EC9-1933A42FBE54}"/>
    <cellStyle name="常规 11 2 5 11" xfId="12433" xr:uid="{E6132379-F615-4F53-9339-34C91918EE18}"/>
    <cellStyle name="常规 11 2 5 12" xfId="12434" xr:uid="{D94C212F-C551-417B-B7C1-1624939801D4}"/>
    <cellStyle name="常规 11 2 5 13" xfId="12435" xr:uid="{B955713D-7605-434C-9BFD-307B95274793}"/>
    <cellStyle name="常规 11 2 5 14" xfId="12436" xr:uid="{5FDDBBE9-6623-420B-BF56-7DE582176B15}"/>
    <cellStyle name="常规 11 2 5 2" xfId="12437" xr:uid="{06D3036D-9027-4259-9BFA-AEEA7180921F}"/>
    <cellStyle name="常规 11 2 5 2 2" xfId="12438" xr:uid="{9CB15BCA-79A8-40F0-8F1C-2A237DB796A1}"/>
    <cellStyle name="常规 11 2 5 2 2 2" xfId="12439" xr:uid="{F5374607-87F8-42C0-816B-A1FA802AED2F}"/>
    <cellStyle name="常规 11 2 5 2 2 3" xfId="12440" xr:uid="{23CC1DB3-AF53-4AC8-AA63-6EB6FE8B7BB0}"/>
    <cellStyle name="常规 11 2 5 2 2 4" xfId="12441" xr:uid="{18A19D91-B9EF-48D7-ACE2-6B6FC3EBD4D3}"/>
    <cellStyle name="常规 11 2 5 2 2 5" xfId="12442" xr:uid="{ABD278D2-0C83-42AF-8842-5DF1B3B4168E}"/>
    <cellStyle name="常规 11 2 5 2 2 6" xfId="12443" xr:uid="{A7D3876B-02B6-470A-9C5D-1D80FD906334}"/>
    <cellStyle name="常规 11 2 5 2 3" xfId="12444" xr:uid="{E2EAB6ED-105C-4C56-B61E-59F1925A9F09}"/>
    <cellStyle name="常规 11 2 5 2 4" xfId="12445" xr:uid="{B3F070B4-8CCB-4022-B53A-B6CAA0BD77DA}"/>
    <cellStyle name="常规 11 2 5 2 5" xfId="12446" xr:uid="{C6889393-4F9D-4718-B102-1089F21C4A76}"/>
    <cellStyle name="常规 11 2 5 2 6" xfId="12447" xr:uid="{AF35EF74-7CCE-4BDB-9E77-5A1818C850F2}"/>
    <cellStyle name="常规 11 2 5 2 7" xfId="12448" xr:uid="{1F513189-A0E2-46F0-8AA7-880C67EE94FE}"/>
    <cellStyle name="常规 11 2 5 3" xfId="12449" xr:uid="{A61AF11A-0BEC-4DB5-A095-27E42F49B64A}"/>
    <cellStyle name="常规 11 2 5 3 2" xfId="12450" xr:uid="{C2861D51-0188-41F8-B54F-972D75634188}"/>
    <cellStyle name="常规 11 2 5 3 2 2" xfId="12451" xr:uid="{9B135D71-1563-4703-8B07-A1C60C21718A}"/>
    <cellStyle name="常规 11 2 5 3 2 3" xfId="12452" xr:uid="{C0DBF356-0199-4891-9E92-6085870E0949}"/>
    <cellStyle name="常规 11 2 5 3 2 4" xfId="12453" xr:uid="{F5D05B67-C042-4273-8E76-03EE413F7C96}"/>
    <cellStyle name="常规 11 2 5 3 2 5" xfId="12454" xr:uid="{B8B374E8-F644-47A4-9DD9-28B667D7A088}"/>
    <cellStyle name="常规 11 2 5 3 2 6" xfId="12455" xr:uid="{2B1F5999-12F6-48A8-8E64-4A9655682CA5}"/>
    <cellStyle name="常规 11 2 5 3 3" xfId="12456" xr:uid="{27E0B225-81AD-48BC-B9CA-8D4C1B2BBE4B}"/>
    <cellStyle name="常规 11 2 5 3 4" xfId="12457" xr:uid="{BCABA93C-6B0A-4112-9C58-7C0643E9E6AD}"/>
    <cellStyle name="常规 11 2 5 3 5" xfId="12458" xr:uid="{7EC933D5-32FB-4503-BF70-34767B8E9243}"/>
    <cellStyle name="常规 11 2 5 3 6" xfId="12459" xr:uid="{C504B129-1FEB-443A-8DA5-361E739181DE}"/>
    <cellStyle name="常规 11 2 5 3 7" xfId="12460" xr:uid="{6C849D6F-E957-4AF3-BB35-5DFCD6D41929}"/>
    <cellStyle name="常规 11 2 5 4" xfId="12461" xr:uid="{55773D41-BE50-4EF2-8F3F-C55DE376FFAB}"/>
    <cellStyle name="常规 11 2 5 4 2" xfId="12462" xr:uid="{3BF6CD58-AA1E-48F2-B4D7-58861682CDD2}"/>
    <cellStyle name="常规 11 2 5 4 2 2" xfId="12463" xr:uid="{FBE1FEBB-B603-477E-8908-E80573C8FEC8}"/>
    <cellStyle name="常规 11 2 5 4 2 3" xfId="12464" xr:uid="{168D4259-B84B-4B22-BC25-68E343E75E56}"/>
    <cellStyle name="常规 11 2 5 4 2 4" xfId="12465" xr:uid="{36161B06-3371-406A-9FEC-5E8EEBBD68AF}"/>
    <cellStyle name="常规 11 2 5 4 2 5" xfId="12466" xr:uid="{86032D7B-F8FB-42E8-B7FC-70282D4A6A24}"/>
    <cellStyle name="常规 11 2 5 4 2 6" xfId="12467" xr:uid="{FEFC8EA2-87A9-4026-8121-0A25C85736ED}"/>
    <cellStyle name="常规 11 2 5 4 3" xfId="12468" xr:uid="{2587C22C-6DA7-4170-A35D-D42E3CB24DA6}"/>
    <cellStyle name="常规 11 2 5 4 4" xfId="12469" xr:uid="{E3BDD5C5-3471-458F-A42C-4BFD2354EEC7}"/>
    <cellStyle name="常规 11 2 5 4 5" xfId="12470" xr:uid="{FBA23965-E5AD-4B6E-BA6B-52750D232E58}"/>
    <cellStyle name="常规 11 2 5 4 6" xfId="12471" xr:uid="{B48D44F7-A98E-467D-80E8-FEEF3A37DBF2}"/>
    <cellStyle name="常规 11 2 5 4 7" xfId="12472" xr:uid="{1FFC7D46-0CBA-448A-8399-B85EA1ED88C1}"/>
    <cellStyle name="常规 11 2 5 5" xfId="12473" xr:uid="{E8CB94DE-30CE-4D69-8C39-21CA391A4124}"/>
    <cellStyle name="常规 11 2 5 5 2" xfId="12474" xr:uid="{0DDBA0A3-E71B-4DBA-81D8-E5155DA49830}"/>
    <cellStyle name="常规 11 2 5 5 2 2" xfId="12475" xr:uid="{AA7947AD-8C27-442E-9B69-F362A5DFA90A}"/>
    <cellStyle name="常规 11 2 5 5 2 3" xfId="12476" xr:uid="{87093EB6-ED59-4D8E-8DD1-68D0F6BAFB21}"/>
    <cellStyle name="常规 11 2 5 5 2 4" xfId="12477" xr:uid="{A2415C1E-7687-47FF-AEA8-70E839902873}"/>
    <cellStyle name="常规 11 2 5 5 2 5" xfId="12478" xr:uid="{52B34102-1806-4C25-B9C3-DBA0DF1BEA06}"/>
    <cellStyle name="常规 11 2 5 5 2 6" xfId="12479" xr:uid="{B0EEC456-C8FD-4034-A580-1746CF968952}"/>
    <cellStyle name="常规 11 2 5 5 3" xfId="12480" xr:uid="{C04AC426-26B0-4B64-81FD-311875D852ED}"/>
    <cellStyle name="常规 11 2 5 5 4" xfId="12481" xr:uid="{31D3C980-02E7-4BA6-945F-61B50D132238}"/>
    <cellStyle name="常规 11 2 5 5 5" xfId="12482" xr:uid="{4CF1A5E9-BAB6-4DED-9537-55E5DA3963F7}"/>
    <cellStyle name="常规 11 2 5 5 6" xfId="12483" xr:uid="{180D97EB-E78F-4094-9857-391571310B71}"/>
    <cellStyle name="常规 11 2 5 5 7" xfId="12484" xr:uid="{F8B2C45A-B9BE-4966-8488-F5371840FB0A}"/>
    <cellStyle name="常规 11 2 5 6" xfId="12485" xr:uid="{8DFCEEE2-B60A-4E31-871B-6945EA8F9D43}"/>
    <cellStyle name="常规 11 2 5 6 2" xfId="12486" xr:uid="{23668DAF-CB0C-4F78-9F57-5479C6B3A552}"/>
    <cellStyle name="常规 11 2 5 6 2 2" xfId="12487" xr:uid="{F7114727-880F-4455-80C8-929F6F6AB822}"/>
    <cellStyle name="常规 11 2 5 6 2 3" xfId="12488" xr:uid="{6A297B3B-25CF-478D-8BD9-AC30AC4A7303}"/>
    <cellStyle name="常规 11 2 5 6 2 4" xfId="12489" xr:uid="{250D6E5C-5790-475F-A211-ADCC9CD25928}"/>
    <cellStyle name="常规 11 2 5 6 2 5" xfId="12490" xr:uid="{46BE2312-8411-4DEC-AAC9-5B012EC6E975}"/>
    <cellStyle name="常规 11 2 5 6 2 6" xfId="12491" xr:uid="{B853F07C-BA14-4AD2-BB8A-46A0EDBE6A62}"/>
    <cellStyle name="常规 11 2 5 6 3" xfId="12492" xr:uid="{9B029F11-C0B6-4312-8CF0-8F796A5D223C}"/>
    <cellStyle name="常规 11 2 5 6 4" xfId="12493" xr:uid="{1149D532-4E2A-4E42-AF8F-F16E5A43C2EC}"/>
    <cellStyle name="常规 11 2 5 6 5" xfId="12494" xr:uid="{2A63E779-F1E2-4B37-B26A-0BBC855C8BB8}"/>
    <cellStyle name="常规 11 2 5 6 6" xfId="12495" xr:uid="{DE4EC2BD-42CE-4D75-8DFB-07F51564C2E4}"/>
    <cellStyle name="常规 11 2 5 6 7" xfId="12496" xr:uid="{B9D74CA2-69D3-44DD-B592-7F0031585030}"/>
    <cellStyle name="常规 11 2 5 7" xfId="12497" xr:uid="{685CF531-32D7-4B6A-A29F-145968390012}"/>
    <cellStyle name="常规 11 2 5 7 2" xfId="12498" xr:uid="{D2C240E8-9F69-4638-8925-26C1D3402808}"/>
    <cellStyle name="常规 11 2 5 7 2 2" xfId="12499" xr:uid="{65AD068C-933B-42FF-92C0-E12A40C5CC5B}"/>
    <cellStyle name="常规 11 2 5 7 2 3" xfId="12500" xr:uid="{BD0C16BB-7211-4C6B-9326-45FBAF319F69}"/>
    <cellStyle name="常规 11 2 5 7 2 4" xfId="12501" xr:uid="{0445849B-029C-45B3-A23B-DE9268C28632}"/>
    <cellStyle name="常规 11 2 5 7 2 5" xfId="12502" xr:uid="{F0AE3FDF-DDD7-4B30-811E-AF03416D053F}"/>
    <cellStyle name="常规 11 2 5 7 2 6" xfId="12503" xr:uid="{5D25E4B2-A809-454C-B989-D5E5A329148C}"/>
    <cellStyle name="常规 11 2 5 7 3" xfId="12504" xr:uid="{F947B5F3-50AB-409A-A73E-6E4A20B596DA}"/>
    <cellStyle name="常规 11 2 5 7 4" xfId="12505" xr:uid="{5B655D9D-42E9-43DF-B213-96FD9D70B979}"/>
    <cellStyle name="常规 11 2 5 7 5" xfId="12506" xr:uid="{C0813A30-0252-41FA-B9C6-77B1A3F0AAE2}"/>
    <cellStyle name="常规 11 2 5 7 6" xfId="12507" xr:uid="{83ABB506-E033-4574-BD33-549694780036}"/>
    <cellStyle name="常规 11 2 5 7 7" xfId="12508" xr:uid="{26DA3918-9C09-4263-B15B-F5C05936C9AD}"/>
    <cellStyle name="常规 11 2 5 8" xfId="12509" xr:uid="{82DD3EA8-A0AE-45B7-85E3-84899E41DAC0}"/>
    <cellStyle name="常规 11 2 5 8 2" xfId="12510" xr:uid="{8989F737-411F-4406-8E7B-595615FB7A8F}"/>
    <cellStyle name="常规 11 2 5 8 2 2" xfId="12511" xr:uid="{8A9CC539-C63B-417B-B147-4DA42EE398C8}"/>
    <cellStyle name="常规 11 2 5 8 2 3" xfId="12512" xr:uid="{693B7412-751E-4312-8601-06284164DC91}"/>
    <cellStyle name="常规 11 2 5 8 2 4" xfId="12513" xr:uid="{49EF1A03-AAB2-4E26-BB06-7858E8336EB6}"/>
    <cellStyle name="常规 11 2 5 8 2 5" xfId="12514" xr:uid="{CFCFAA0B-BAD7-49AF-9FE6-83369BCE89EF}"/>
    <cellStyle name="常规 11 2 5 8 2 6" xfId="12515" xr:uid="{94A5291C-BAAA-4A9C-8E26-D9F881FA267B}"/>
    <cellStyle name="常规 11 2 5 8 3" xfId="12516" xr:uid="{372360A1-2BB0-4FBC-8233-1F2B1927069C}"/>
    <cellStyle name="常规 11 2 5 8 4" xfId="12517" xr:uid="{DB9C98F3-F7B6-4073-9A9C-EC8BAAF5B686}"/>
    <cellStyle name="常规 11 2 5 8 5" xfId="12518" xr:uid="{3D8186D5-DA10-4EC6-B42B-134FE8BBE99F}"/>
    <cellStyle name="常规 11 2 5 8 6" xfId="12519" xr:uid="{30882BE2-5CEA-46B9-92AE-00984CCF5192}"/>
    <cellStyle name="常规 11 2 5 8 7" xfId="12520" xr:uid="{F114FAA6-CC50-4E05-8B9F-D378EFFB7601}"/>
    <cellStyle name="常规 11 2 5 9" xfId="12521" xr:uid="{6A60319D-C84D-4B9D-B746-98E245CB68E7}"/>
    <cellStyle name="常规 11 2 5 9 2" xfId="12522" xr:uid="{F8356556-57C5-4CBD-B31F-F934B168DC5F}"/>
    <cellStyle name="常规 11 2 5 9 3" xfId="12523" xr:uid="{516EFA09-E9B2-4185-BAFE-38D8E0C498CC}"/>
    <cellStyle name="常规 11 2 5 9 4" xfId="12524" xr:uid="{3B92A607-CA0B-47A8-A27C-536A756B43E9}"/>
    <cellStyle name="常规 11 2 5 9 5" xfId="12525" xr:uid="{F8226DC6-76D2-4B93-A15A-7ADEE396D27C}"/>
    <cellStyle name="常规 11 2 5 9 6" xfId="12526" xr:uid="{E69DCA52-2F07-4C15-932C-3BE5FCC3B4B7}"/>
    <cellStyle name="常规 11 2 6" xfId="12527" xr:uid="{632AC24D-AED4-4E10-BD9E-84FCDB267CF4}"/>
    <cellStyle name="常规 11 2 6 10" xfId="12528" xr:uid="{5F63E182-5793-46A9-B553-A4E3C2C9CC69}"/>
    <cellStyle name="常规 11 2 6 11" xfId="12529" xr:uid="{BF075420-7E0B-4CB9-B079-28D35F07EF0F}"/>
    <cellStyle name="常规 11 2 6 12" xfId="12530" xr:uid="{8617935A-4918-4063-889A-8D0EFF1EC54C}"/>
    <cellStyle name="常规 11 2 6 13" xfId="12531" xr:uid="{113EBC2C-D2B5-43BD-AAFD-9DA518365761}"/>
    <cellStyle name="常规 11 2 6 2" xfId="12532" xr:uid="{0EA27371-72AC-4463-B39E-4D6471A43635}"/>
    <cellStyle name="常规 11 2 6 2 2" xfId="12533" xr:uid="{C83FB518-D704-49B4-8CFD-563DD5ECA9B1}"/>
    <cellStyle name="常规 11 2 6 2 2 2" xfId="12534" xr:uid="{B8EBF39D-448F-4AFC-8C8B-852C8E89B1D0}"/>
    <cellStyle name="常规 11 2 6 2 2 3" xfId="12535" xr:uid="{601CE6D0-84CA-409C-9C0B-904C5DEBD713}"/>
    <cellStyle name="常规 11 2 6 2 2 4" xfId="12536" xr:uid="{3ECE6CF9-C2F0-439C-8241-59713FE4F23D}"/>
    <cellStyle name="常规 11 2 6 2 2 5" xfId="12537" xr:uid="{67529C0C-FA46-41E3-AAE1-CAB6B578B09D}"/>
    <cellStyle name="常规 11 2 6 2 2 6" xfId="12538" xr:uid="{1114B887-0771-4B11-BE77-653F50FB146D}"/>
    <cellStyle name="常规 11 2 6 2 3" xfId="12539" xr:uid="{173EE27A-DD87-4C35-9A06-5F342F37B905}"/>
    <cellStyle name="常规 11 2 6 2 4" xfId="12540" xr:uid="{9DFD990B-8FDF-4A84-98FF-94C472E43717}"/>
    <cellStyle name="常规 11 2 6 2 5" xfId="12541" xr:uid="{2B7CC0D5-9ADD-497E-B8C6-D63E3CCA01A8}"/>
    <cellStyle name="常规 11 2 6 2 6" xfId="12542" xr:uid="{CAA6006E-CD3B-4A54-9EDD-FB3416740769}"/>
    <cellStyle name="常规 11 2 6 2 7" xfId="12543" xr:uid="{695EF093-419D-44D9-A601-22CF490557E3}"/>
    <cellStyle name="常规 11 2 6 3" xfId="12544" xr:uid="{625F39F1-8447-4D8D-A112-BB191B06525E}"/>
    <cellStyle name="常规 11 2 6 3 2" xfId="12545" xr:uid="{61BE1880-C8BF-406D-946B-F721F9CEDCC0}"/>
    <cellStyle name="常规 11 2 6 3 2 2" xfId="12546" xr:uid="{BC286E22-6384-4F38-9F68-0ADD3B194BD1}"/>
    <cellStyle name="常规 11 2 6 3 2 3" xfId="12547" xr:uid="{1C46ACE2-1920-4707-A9DE-69FB2BEA39B2}"/>
    <cellStyle name="常规 11 2 6 3 2 4" xfId="12548" xr:uid="{4EA213D5-1BFB-4BB3-838D-30179F5B7FC8}"/>
    <cellStyle name="常规 11 2 6 3 2 5" xfId="12549" xr:uid="{1E78A805-83EC-4CB8-99E9-5A1DA5B983F4}"/>
    <cellStyle name="常规 11 2 6 3 2 6" xfId="12550" xr:uid="{7771988C-A04C-488C-9354-166FDCED7FA6}"/>
    <cellStyle name="常规 11 2 6 3 3" xfId="12551" xr:uid="{59E66DAF-3521-4DA4-BA16-30E696C32533}"/>
    <cellStyle name="常规 11 2 6 3 4" xfId="12552" xr:uid="{CB57970F-62DC-408D-890A-25F7FD8A9BE7}"/>
    <cellStyle name="常规 11 2 6 3 5" xfId="12553" xr:uid="{412415C6-425C-4AA7-B353-5D044775871F}"/>
    <cellStyle name="常规 11 2 6 3 6" xfId="12554" xr:uid="{F593F151-01C5-4F85-90C0-C7C1318CCA3C}"/>
    <cellStyle name="常规 11 2 6 3 7" xfId="12555" xr:uid="{F6C502C2-C436-4F78-B036-6888AF7DBCFE}"/>
    <cellStyle name="常规 11 2 6 4" xfId="12556" xr:uid="{5436AF8D-A094-4CF7-9DE2-2E398DBF3734}"/>
    <cellStyle name="常规 11 2 6 4 2" xfId="12557" xr:uid="{160AAD2B-94CA-4B66-913A-8F4E401095E1}"/>
    <cellStyle name="常规 11 2 6 4 2 2" xfId="12558" xr:uid="{84DC58E8-ADB8-4B23-A518-6E9B04519F38}"/>
    <cellStyle name="常规 11 2 6 4 2 3" xfId="12559" xr:uid="{36092FEB-FE1E-4488-B696-C84842326357}"/>
    <cellStyle name="常规 11 2 6 4 2 4" xfId="12560" xr:uid="{3FD1E001-492D-4608-AE7E-CFCD1F145042}"/>
    <cellStyle name="常规 11 2 6 4 2 5" xfId="12561" xr:uid="{3CE700D2-BAB5-4C44-A16A-5CA1931E6BA2}"/>
    <cellStyle name="常规 11 2 6 4 2 6" xfId="12562" xr:uid="{EEAC8230-D553-4957-A6E5-26192025C1A6}"/>
    <cellStyle name="常规 11 2 6 4 3" xfId="12563" xr:uid="{90E2CF74-085D-4872-8D12-9EE0FC3C8EFF}"/>
    <cellStyle name="常规 11 2 6 4 4" xfId="12564" xr:uid="{5EEB18CD-0B7B-4A67-B682-B2DFDC83D600}"/>
    <cellStyle name="常规 11 2 6 4 5" xfId="12565" xr:uid="{3395B2F7-3798-41B8-B5E9-992FCA1EDF09}"/>
    <cellStyle name="常规 11 2 6 4 6" xfId="12566" xr:uid="{135C59D9-21B2-4672-92FA-F26D7655BEB2}"/>
    <cellStyle name="常规 11 2 6 4 7" xfId="12567" xr:uid="{CDCADB75-6B6D-4C41-9BAD-E7D64906D5A2}"/>
    <cellStyle name="常规 11 2 6 5" xfId="12568" xr:uid="{C4976843-A895-4925-A388-E3085F66DA1F}"/>
    <cellStyle name="常规 11 2 6 5 2" xfId="12569" xr:uid="{E8296FF6-41AC-48B5-A080-C2C4EA0045AA}"/>
    <cellStyle name="常规 11 2 6 5 2 2" xfId="12570" xr:uid="{50499D2B-37C1-413F-AB53-24C6C19BAE26}"/>
    <cellStyle name="常规 11 2 6 5 2 3" xfId="12571" xr:uid="{28D8712E-BB6F-4BF6-B745-0A02C31A09EE}"/>
    <cellStyle name="常规 11 2 6 5 2 4" xfId="12572" xr:uid="{D1772DB0-1C4A-4385-896F-0A3A51448024}"/>
    <cellStyle name="常规 11 2 6 5 2 5" xfId="12573" xr:uid="{D54ADD54-F446-4F6E-8918-A41D6CC63762}"/>
    <cellStyle name="常规 11 2 6 5 2 6" xfId="12574" xr:uid="{ED5532F0-24EB-4A28-A006-BAD039C882BC}"/>
    <cellStyle name="常规 11 2 6 5 3" xfId="12575" xr:uid="{2C1077B5-8C62-4A0C-B8C4-C1F6EA224574}"/>
    <cellStyle name="常规 11 2 6 5 4" xfId="12576" xr:uid="{3ED20BEF-9679-4308-8682-A104BFA59D9E}"/>
    <cellStyle name="常规 11 2 6 5 5" xfId="12577" xr:uid="{372EDE59-5080-4394-8615-86FEF9273882}"/>
    <cellStyle name="常规 11 2 6 5 6" xfId="12578" xr:uid="{02BA5F14-9C27-462E-878D-7514C139EB97}"/>
    <cellStyle name="常规 11 2 6 5 7" xfId="12579" xr:uid="{B6B0463A-4150-4B5D-AB1F-BD3DF8F90830}"/>
    <cellStyle name="常规 11 2 6 6" xfId="12580" xr:uid="{08F43655-0041-40E9-BFA8-F0864F59A9B9}"/>
    <cellStyle name="常规 11 2 6 6 2" xfId="12581" xr:uid="{C534CBDA-3739-4F9C-A512-3C57E2C57C37}"/>
    <cellStyle name="常规 11 2 6 6 2 2" xfId="12582" xr:uid="{1F3DC38E-1D95-416E-8470-2BA5425F0F0E}"/>
    <cellStyle name="常规 11 2 6 6 2 3" xfId="12583" xr:uid="{3F2898CB-9E58-405D-8D52-E8CC68EC0EBC}"/>
    <cellStyle name="常规 11 2 6 6 2 4" xfId="12584" xr:uid="{E070E64B-CE3D-4D03-AB32-7E202F9BC7CA}"/>
    <cellStyle name="常规 11 2 6 6 2 5" xfId="12585" xr:uid="{BC2FB4C6-9AB3-4673-8B2D-66BE07E258AB}"/>
    <cellStyle name="常规 11 2 6 6 2 6" xfId="12586" xr:uid="{EAA15544-9DE5-4EEF-9607-522C6D13775D}"/>
    <cellStyle name="常规 11 2 6 6 3" xfId="12587" xr:uid="{4447478B-89D8-4B3E-9BB8-28C0576B71D8}"/>
    <cellStyle name="常规 11 2 6 6 4" xfId="12588" xr:uid="{7D4E63D9-9A55-490D-BD3C-CDCA2013ADFF}"/>
    <cellStyle name="常规 11 2 6 6 5" xfId="12589" xr:uid="{65AFF64D-3C9A-478D-A379-0C24828DF852}"/>
    <cellStyle name="常规 11 2 6 6 6" xfId="12590" xr:uid="{82E56B3E-FB09-42EF-988B-294B4C5737B9}"/>
    <cellStyle name="常规 11 2 6 6 7" xfId="12591" xr:uid="{7AA92244-66DB-4362-B5E1-1CDC32F2F8DD}"/>
    <cellStyle name="常规 11 2 6 7" xfId="12592" xr:uid="{5BB1B3B2-2BF6-4071-9C11-A17BA3E08E18}"/>
    <cellStyle name="常规 11 2 6 7 2" xfId="12593" xr:uid="{583BFE99-8FB2-42ED-B4EE-6E1DFFE4D9AA}"/>
    <cellStyle name="常规 11 2 6 7 2 2" xfId="12594" xr:uid="{8EC4FB8E-44DA-4A67-8C62-DD2652BBA7F3}"/>
    <cellStyle name="常规 11 2 6 7 2 3" xfId="12595" xr:uid="{84E31E60-3BE4-42D9-BBE7-20C777C7EEB7}"/>
    <cellStyle name="常规 11 2 6 7 2 4" xfId="12596" xr:uid="{423CAF62-78E8-4F43-9940-04F6E33CE354}"/>
    <cellStyle name="常规 11 2 6 7 2 5" xfId="12597" xr:uid="{BA1BEE84-DCDC-410B-9BBC-F7F1DB2A4E60}"/>
    <cellStyle name="常规 11 2 6 7 2 6" xfId="12598" xr:uid="{03CA3AFC-637B-4478-99A6-923A862B5B22}"/>
    <cellStyle name="常规 11 2 6 7 3" xfId="12599" xr:uid="{76608015-48C2-4E62-BA72-32A6968BE9F2}"/>
    <cellStyle name="常规 11 2 6 7 4" xfId="12600" xr:uid="{E46D814F-1873-4397-B38E-5A1AE6C23002}"/>
    <cellStyle name="常规 11 2 6 7 5" xfId="12601" xr:uid="{DE7111AA-A31C-4028-ABB8-68EF3BCE238F}"/>
    <cellStyle name="常规 11 2 6 7 6" xfId="12602" xr:uid="{66B9079D-8CBE-4110-984E-66AD43978C54}"/>
    <cellStyle name="常规 11 2 6 7 7" xfId="12603" xr:uid="{BCAE853A-D779-4B2F-8084-EABE620C3CBA}"/>
    <cellStyle name="常规 11 2 6 8" xfId="12604" xr:uid="{281C033D-87D0-4A22-B5C4-E6150E869773}"/>
    <cellStyle name="常规 11 2 6 8 2" xfId="12605" xr:uid="{A35659EC-A712-4591-A7BB-BEE7A202D462}"/>
    <cellStyle name="常规 11 2 6 8 3" xfId="12606" xr:uid="{F51422A0-538E-4A64-B580-78666F71D60F}"/>
    <cellStyle name="常规 11 2 6 8 4" xfId="12607" xr:uid="{AA6753D8-9811-4D1B-8163-CAF81B2B9031}"/>
    <cellStyle name="常规 11 2 6 8 5" xfId="12608" xr:uid="{5202031C-5508-4266-AF0F-1C9F314ED833}"/>
    <cellStyle name="常规 11 2 6 8 6" xfId="12609" xr:uid="{7A81D9BF-A6DF-4D84-881B-441DF6F7E9ED}"/>
    <cellStyle name="常规 11 2 6 9" xfId="12610" xr:uid="{7A244A48-1A75-474D-A955-3DFADC2466F3}"/>
    <cellStyle name="常规 11 2 7" xfId="12611" xr:uid="{8C000967-6B49-45CD-8173-FC41F0A2080F}"/>
    <cellStyle name="常规 11 2 7 10" xfId="12612" xr:uid="{E50D2EE0-5551-4F67-9752-B9A459705C71}"/>
    <cellStyle name="常规 11 2 7 11" xfId="12613" xr:uid="{B5A11FCB-89C5-4BDC-8AE1-AF0E471A674B}"/>
    <cellStyle name="常规 11 2 7 12" xfId="12614" xr:uid="{52489815-36B1-4A86-B58E-54BEF16B3471}"/>
    <cellStyle name="常规 11 2 7 2" xfId="12615" xr:uid="{A4B370C4-BD34-4C87-B9AF-F3B2FE925340}"/>
    <cellStyle name="常规 11 2 7 2 2" xfId="12616" xr:uid="{673D72CA-F155-46A6-B16C-1F3B69BEF661}"/>
    <cellStyle name="常规 11 2 7 2 2 2" xfId="12617" xr:uid="{E1639631-4326-4ACA-9077-492858682F42}"/>
    <cellStyle name="常规 11 2 7 2 2 3" xfId="12618" xr:uid="{CFD7BB6F-0FA0-455A-8C21-5A5421663801}"/>
    <cellStyle name="常规 11 2 7 2 2 4" xfId="12619" xr:uid="{79E4DB3A-597A-4053-8C05-F7A88EFAA6BF}"/>
    <cellStyle name="常规 11 2 7 2 2 5" xfId="12620" xr:uid="{F84CAC10-05E8-420B-AC7F-1DBA4CAC3222}"/>
    <cellStyle name="常规 11 2 7 2 2 6" xfId="12621" xr:uid="{3DE44DF3-588C-405D-9586-A3DBA5631E08}"/>
    <cellStyle name="常规 11 2 7 2 3" xfId="12622" xr:uid="{64D04ACB-B780-4F25-85A4-FD5F638BD469}"/>
    <cellStyle name="常规 11 2 7 2 4" xfId="12623" xr:uid="{B75A2E7B-1161-4691-9A9C-66125287B15D}"/>
    <cellStyle name="常规 11 2 7 2 5" xfId="12624" xr:uid="{CCDDD17F-D2B8-41DF-8AF3-2386780135DB}"/>
    <cellStyle name="常规 11 2 7 2 6" xfId="12625" xr:uid="{A6BA7F91-F328-4211-BEF5-CD8E4C10605A}"/>
    <cellStyle name="常规 11 2 7 2 7" xfId="12626" xr:uid="{66D0A9AE-E67C-42B9-ADE4-A5CDE3B124BC}"/>
    <cellStyle name="常规 11 2 7 3" xfId="12627" xr:uid="{5D74002A-7149-45B7-972D-D1FDF2C00E1D}"/>
    <cellStyle name="常规 11 2 7 3 2" xfId="12628" xr:uid="{C39C27E5-CD60-471D-9591-ADE426D0FFBF}"/>
    <cellStyle name="常规 11 2 7 3 2 2" xfId="12629" xr:uid="{B40FC6A7-8659-4942-9EC6-0FC735E5217D}"/>
    <cellStyle name="常规 11 2 7 3 2 3" xfId="12630" xr:uid="{DCE99070-2A24-4532-82C4-FCDA01E1671C}"/>
    <cellStyle name="常规 11 2 7 3 2 4" xfId="12631" xr:uid="{A8EE8249-5165-4610-A848-36533E989DB0}"/>
    <cellStyle name="常规 11 2 7 3 2 5" xfId="12632" xr:uid="{90D02AB1-0018-4EFA-B3F3-859848586E18}"/>
    <cellStyle name="常规 11 2 7 3 2 6" xfId="12633" xr:uid="{0C17BAA9-8C01-4012-A0A9-406EAC39832A}"/>
    <cellStyle name="常规 11 2 7 3 3" xfId="12634" xr:uid="{77C04ADE-BA9D-4F34-A770-0401D9A482A8}"/>
    <cellStyle name="常规 11 2 7 3 4" xfId="12635" xr:uid="{D061A4AF-DFCD-4E02-8109-F18C2C5529B8}"/>
    <cellStyle name="常规 11 2 7 3 5" xfId="12636" xr:uid="{B7DEAAD5-AD2E-4629-A0F4-3EB77F0FDC37}"/>
    <cellStyle name="常规 11 2 7 3 6" xfId="12637" xr:uid="{306E900E-CB0B-4349-BA24-49EC716FB0DC}"/>
    <cellStyle name="常规 11 2 7 3 7" xfId="12638" xr:uid="{2BC1A4D4-2AB4-4E31-AD99-E1B3F0FBCE51}"/>
    <cellStyle name="常规 11 2 7 4" xfId="12639" xr:uid="{ED6EA61D-5C5C-4592-B691-7B0D7AFC87D8}"/>
    <cellStyle name="常规 11 2 7 4 2" xfId="12640" xr:uid="{DFF82B4F-E405-4578-A744-790603A245E8}"/>
    <cellStyle name="常规 11 2 7 4 2 2" xfId="12641" xr:uid="{FBA5E972-92DF-419B-B53F-AFA60C972FD3}"/>
    <cellStyle name="常规 11 2 7 4 2 3" xfId="12642" xr:uid="{9D3141DE-AABE-45CD-89C7-F84B8F37F376}"/>
    <cellStyle name="常规 11 2 7 4 2 4" xfId="12643" xr:uid="{00030FD5-4640-4BD3-9B3F-31880E13E866}"/>
    <cellStyle name="常规 11 2 7 4 2 5" xfId="12644" xr:uid="{116D1D80-B454-4EFD-86BE-E4EF58790B64}"/>
    <cellStyle name="常规 11 2 7 4 2 6" xfId="12645" xr:uid="{66C6F5A5-8736-4A71-A4D8-BA4ED9B3BDAD}"/>
    <cellStyle name="常规 11 2 7 4 3" xfId="12646" xr:uid="{E1033745-FCF8-4F59-B57F-F0F685857471}"/>
    <cellStyle name="常规 11 2 7 4 4" xfId="12647" xr:uid="{FC44E3EE-1EA4-497C-94FB-E1821B66ACCB}"/>
    <cellStyle name="常规 11 2 7 4 5" xfId="12648" xr:uid="{87026E6C-2BFE-4B68-BF9F-40E1F5817E06}"/>
    <cellStyle name="常规 11 2 7 4 6" xfId="12649" xr:uid="{78B9B5BE-F781-4962-A230-30149D9037F2}"/>
    <cellStyle name="常规 11 2 7 4 7" xfId="12650" xr:uid="{C759BF9B-D852-4239-AEA0-F66AD9623BC8}"/>
    <cellStyle name="常规 11 2 7 5" xfId="12651" xr:uid="{705073DD-14CD-4AD4-A72F-3E1FA6D6A7DB}"/>
    <cellStyle name="常规 11 2 7 5 2" xfId="12652" xr:uid="{D7845E7E-DA0C-412B-B3B5-8D9FD60EDC96}"/>
    <cellStyle name="常规 11 2 7 5 2 2" xfId="12653" xr:uid="{33C997E8-259A-4BAD-878D-4A595ED30BED}"/>
    <cellStyle name="常规 11 2 7 5 2 3" xfId="12654" xr:uid="{72769896-EDD9-4E3F-AB6F-F5A7DB005CFE}"/>
    <cellStyle name="常规 11 2 7 5 2 4" xfId="12655" xr:uid="{28C85F90-CF0A-4B82-8D8D-73A8157DF7AC}"/>
    <cellStyle name="常规 11 2 7 5 2 5" xfId="12656" xr:uid="{60E61A54-B2D3-43B8-8171-C644237A5966}"/>
    <cellStyle name="常规 11 2 7 5 2 6" xfId="12657" xr:uid="{DF722600-96C8-4B98-B280-1B112895E624}"/>
    <cellStyle name="常规 11 2 7 5 3" xfId="12658" xr:uid="{217FE7D7-6C42-422D-93E2-3E27F0AA65FE}"/>
    <cellStyle name="常规 11 2 7 5 4" xfId="12659" xr:uid="{12414276-8539-43A4-BF4B-8D53C6F83AC5}"/>
    <cellStyle name="常规 11 2 7 5 5" xfId="12660" xr:uid="{60CDF84E-57D9-4B9F-B9D4-059F558E558E}"/>
    <cellStyle name="常规 11 2 7 5 6" xfId="12661" xr:uid="{F09A3C2E-41C2-44DF-B715-586F439AEFEC}"/>
    <cellStyle name="常规 11 2 7 5 7" xfId="12662" xr:uid="{C3E015C8-E6F5-412E-8312-EB6E77D8FF2B}"/>
    <cellStyle name="常规 11 2 7 6" xfId="12663" xr:uid="{8804ED33-E331-4246-8E9B-75D47C1FE585}"/>
    <cellStyle name="常规 11 2 7 6 2" xfId="12664" xr:uid="{AC67B5E9-CD14-424A-B057-32F0391FF406}"/>
    <cellStyle name="常规 11 2 7 6 2 2" xfId="12665" xr:uid="{5AD38F93-1D48-4F06-ACA2-3C4ED3189DB9}"/>
    <cellStyle name="常规 11 2 7 6 2 3" xfId="12666" xr:uid="{A55EDFAD-861C-4218-AA4D-AB5E2A9CBAC0}"/>
    <cellStyle name="常规 11 2 7 6 2 4" xfId="12667" xr:uid="{5A73E8D6-3F8C-4EA1-AAD8-CF01CE5CBCA1}"/>
    <cellStyle name="常规 11 2 7 6 2 5" xfId="12668" xr:uid="{FD95CC25-9086-4EF5-AC7F-4863E43EBEF2}"/>
    <cellStyle name="常规 11 2 7 6 2 6" xfId="12669" xr:uid="{3B404D3E-9A3F-46A4-80FD-4FD99D2BAFBA}"/>
    <cellStyle name="常规 11 2 7 6 3" xfId="12670" xr:uid="{ABB51BD1-91BB-40B4-8A49-797148938AD6}"/>
    <cellStyle name="常规 11 2 7 6 4" xfId="12671" xr:uid="{CEE98216-2747-4FA1-92FA-E01989DDD509}"/>
    <cellStyle name="常规 11 2 7 6 5" xfId="12672" xr:uid="{0AEC926A-D316-483D-9244-28FE4548575C}"/>
    <cellStyle name="常规 11 2 7 6 6" xfId="12673" xr:uid="{73FCBC00-744B-4D62-AF16-E0EA5384BF54}"/>
    <cellStyle name="常规 11 2 7 6 7" xfId="12674" xr:uid="{E693A385-E2EC-4A6F-85D8-F4A0D789ED89}"/>
    <cellStyle name="常规 11 2 7 7" xfId="12675" xr:uid="{805B64E2-EC8A-4090-8272-E2B50636A838}"/>
    <cellStyle name="常规 11 2 7 7 2" xfId="12676" xr:uid="{648B1B2E-9861-40AB-9169-CF35CB04539B}"/>
    <cellStyle name="常规 11 2 7 7 3" xfId="12677" xr:uid="{CB0D444B-EBE2-45E6-9BC3-564D23901FC3}"/>
    <cellStyle name="常规 11 2 7 7 4" xfId="12678" xr:uid="{31FFB3ED-2ED1-450B-A4C8-4C7A25580E1B}"/>
    <cellStyle name="常规 11 2 7 7 5" xfId="12679" xr:uid="{8A3C35F9-5863-4A15-8955-612F05994D87}"/>
    <cellStyle name="常规 11 2 7 7 6" xfId="12680" xr:uid="{CB6C0C6D-6F0F-4DF1-9350-1D9EF1E9D721}"/>
    <cellStyle name="常规 11 2 7 8" xfId="12681" xr:uid="{8DAC4D72-B948-48AD-9AD7-B6A6AB58A474}"/>
    <cellStyle name="常规 11 2 7 9" xfId="12682" xr:uid="{6434C557-7BCF-4091-9C52-BADF238B6C29}"/>
    <cellStyle name="常规 11 2 8" xfId="12683" xr:uid="{D71F1548-8FEC-4362-9083-A0709D816368}"/>
    <cellStyle name="常规 11 2 8 10" xfId="12684" xr:uid="{FABE1D44-8183-4ED9-A42E-1D971C47FF76}"/>
    <cellStyle name="常规 11 2 8 11" xfId="12685" xr:uid="{E2A3ED01-CEDA-40EC-BC00-61ADBBA534D1}"/>
    <cellStyle name="常规 11 2 8 2" xfId="12686" xr:uid="{CAE31CE2-5EB9-4FE9-AE8E-D7FD6C4A8CD6}"/>
    <cellStyle name="常规 11 2 8 2 2" xfId="12687" xr:uid="{C4E79D61-A978-44C3-A557-4BE24B793910}"/>
    <cellStyle name="常规 11 2 8 2 2 2" xfId="12688" xr:uid="{9C9DAF96-11F5-4992-92D1-D4F092122219}"/>
    <cellStyle name="常规 11 2 8 2 2 3" xfId="12689" xr:uid="{E00465D5-9290-4742-B420-BF273A79CBB6}"/>
    <cellStyle name="常规 11 2 8 2 2 4" xfId="12690" xr:uid="{9A739B2C-635B-4703-A241-0709D33ECE79}"/>
    <cellStyle name="常规 11 2 8 2 2 5" xfId="12691" xr:uid="{0C523538-88AA-4208-9E4B-8A190151E329}"/>
    <cellStyle name="常规 11 2 8 2 2 6" xfId="12692" xr:uid="{5D22ABE6-309B-459E-82EF-FF1C4BD0DBAD}"/>
    <cellStyle name="常规 11 2 8 2 3" xfId="12693" xr:uid="{623C0136-8FDE-4C97-A279-3A8D336EE917}"/>
    <cellStyle name="常规 11 2 8 2 4" xfId="12694" xr:uid="{73722E8E-3856-4351-9B4B-4BA628CC7907}"/>
    <cellStyle name="常规 11 2 8 2 5" xfId="12695" xr:uid="{21BB0BA1-696E-47FF-ABF3-A0669998F672}"/>
    <cellStyle name="常规 11 2 8 2 6" xfId="12696" xr:uid="{39FC541E-CB12-4812-B013-8280CE294A61}"/>
    <cellStyle name="常规 11 2 8 2 7" xfId="12697" xr:uid="{2AD56DFC-5F8B-4E9F-B358-73C978ADAB46}"/>
    <cellStyle name="常规 11 2 8 3" xfId="12698" xr:uid="{84C4F300-B578-4D5A-84DA-CE0D298759FB}"/>
    <cellStyle name="常规 11 2 8 3 2" xfId="12699" xr:uid="{6D251470-EDC0-4C80-B9B9-49735F84590C}"/>
    <cellStyle name="常规 11 2 8 3 2 2" xfId="12700" xr:uid="{927FBB8F-23A5-49B2-BF28-A29FCA2C2BEA}"/>
    <cellStyle name="常规 11 2 8 3 2 3" xfId="12701" xr:uid="{F11C5880-F80B-48BA-881F-522568C7D861}"/>
    <cellStyle name="常规 11 2 8 3 2 4" xfId="12702" xr:uid="{2D7D9909-A8E3-4A61-BD63-E229BE98181D}"/>
    <cellStyle name="常规 11 2 8 3 2 5" xfId="12703" xr:uid="{773CAFCE-6785-4475-93E0-7C0F2271C237}"/>
    <cellStyle name="常规 11 2 8 3 2 6" xfId="12704" xr:uid="{DB1F6A98-9E97-4AFE-8B17-6E9769DBBBDD}"/>
    <cellStyle name="常规 11 2 8 3 3" xfId="12705" xr:uid="{7D521B4B-EE3A-4554-BCC6-C97362502CB3}"/>
    <cellStyle name="常规 11 2 8 3 4" xfId="12706" xr:uid="{C8434EBA-FC0C-4799-B9F9-451F1BC11AE5}"/>
    <cellStyle name="常规 11 2 8 3 5" xfId="12707" xr:uid="{642D10D0-1B91-493E-82B5-47C1ED57BB16}"/>
    <cellStyle name="常规 11 2 8 3 6" xfId="12708" xr:uid="{61DE8456-B750-4F28-9E07-ECFAF5E6B754}"/>
    <cellStyle name="常规 11 2 8 3 7" xfId="12709" xr:uid="{732D975E-7237-4C3F-8103-C33A0A87F101}"/>
    <cellStyle name="常规 11 2 8 4" xfId="12710" xr:uid="{2679336C-8B62-4DD2-87DB-49874E3CE091}"/>
    <cellStyle name="常规 11 2 8 4 2" xfId="12711" xr:uid="{11569078-8718-464F-95B5-5454499F5689}"/>
    <cellStyle name="常规 11 2 8 4 2 2" xfId="12712" xr:uid="{79A34209-6947-468F-A73E-674BFA7B1C4E}"/>
    <cellStyle name="常规 11 2 8 4 2 3" xfId="12713" xr:uid="{4DEB9837-B189-45DC-89DC-B04FFE62DCE2}"/>
    <cellStyle name="常规 11 2 8 4 2 4" xfId="12714" xr:uid="{1EEE7B7F-5246-42C0-B860-D4C0840B0402}"/>
    <cellStyle name="常规 11 2 8 4 2 5" xfId="12715" xr:uid="{7F33418F-8E9F-48E2-943D-805795D7A604}"/>
    <cellStyle name="常规 11 2 8 4 2 6" xfId="12716" xr:uid="{8DA0C49B-90B8-4982-9864-F19578AF68B0}"/>
    <cellStyle name="常规 11 2 8 4 3" xfId="12717" xr:uid="{50216D4C-2C8C-4C87-A564-51005973E54A}"/>
    <cellStyle name="常规 11 2 8 4 4" xfId="12718" xr:uid="{2D961741-D664-4674-ADC0-B33B9DDA5FD8}"/>
    <cellStyle name="常规 11 2 8 4 5" xfId="12719" xr:uid="{C8121277-78D7-4519-AA23-94506981BBC5}"/>
    <cellStyle name="常规 11 2 8 4 6" xfId="12720" xr:uid="{2431BD80-D294-41B0-8604-62B05A6B8914}"/>
    <cellStyle name="常规 11 2 8 4 7" xfId="12721" xr:uid="{54F57B31-4571-46A1-8769-E348CB130211}"/>
    <cellStyle name="常规 11 2 8 5" xfId="12722" xr:uid="{F7D9F65E-0CC7-4B1D-A987-16AA1B9E0BCF}"/>
    <cellStyle name="常规 11 2 8 5 2" xfId="12723" xr:uid="{9775D813-5F8C-4127-9BEB-412776233B0E}"/>
    <cellStyle name="常规 11 2 8 5 2 2" xfId="12724" xr:uid="{A7A3F825-05C4-40CB-B5CC-866CD974079F}"/>
    <cellStyle name="常规 11 2 8 5 2 3" xfId="12725" xr:uid="{1252C03D-D803-4A9A-AB67-99533901DB33}"/>
    <cellStyle name="常规 11 2 8 5 2 4" xfId="12726" xr:uid="{5D19A0ED-9977-43AB-A78F-ABA69F565A53}"/>
    <cellStyle name="常规 11 2 8 5 2 5" xfId="12727" xr:uid="{298EF888-A532-4029-8274-3BABF2400C15}"/>
    <cellStyle name="常规 11 2 8 5 2 6" xfId="12728" xr:uid="{85D7EDED-E122-44AC-8019-3B065C197039}"/>
    <cellStyle name="常规 11 2 8 5 3" xfId="12729" xr:uid="{157F5343-CFB2-4A73-841B-8F6FE4A9FA45}"/>
    <cellStyle name="常规 11 2 8 5 4" xfId="12730" xr:uid="{FF53F4E4-C9B0-4CFF-A961-5501B6297FE8}"/>
    <cellStyle name="常规 11 2 8 5 5" xfId="12731" xr:uid="{C0E42240-5DE3-43F5-A3A0-64EEA5D0C891}"/>
    <cellStyle name="常规 11 2 8 5 6" xfId="12732" xr:uid="{812CCA35-901A-4E47-A026-33E70CB465EF}"/>
    <cellStyle name="常规 11 2 8 5 7" xfId="12733" xr:uid="{E70D29A5-4F88-41CB-9198-825CE81E64EA}"/>
    <cellStyle name="常规 11 2 8 6" xfId="12734" xr:uid="{98FBA8A7-B812-4A6B-A98C-EBCD73452B16}"/>
    <cellStyle name="常规 11 2 8 6 2" xfId="12735" xr:uid="{B457E58C-EC57-4F19-ABD6-483B62BA33FC}"/>
    <cellStyle name="常规 11 2 8 6 3" xfId="12736" xr:uid="{8BCD308E-044C-46D8-868A-12B60F7F3ECE}"/>
    <cellStyle name="常规 11 2 8 6 4" xfId="12737" xr:uid="{CDF49BD1-049F-4A2B-9F29-03276CB64563}"/>
    <cellStyle name="常规 11 2 8 6 5" xfId="12738" xr:uid="{46CE5A26-273A-4048-8E1E-FCB9C1C1C304}"/>
    <cellStyle name="常规 11 2 8 6 6" xfId="12739" xr:uid="{5C32287E-4734-4233-B4C8-45F0EE4569E1}"/>
    <cellStyle name="常规 11 2 8 7" xfId="12740" xr:uid="{008D145F-0DA0-4CEA-BBA5-9D9FABF1ED45}"/>
    <cellStyle name="常规 11 2 8 8" xfId="12741" xr:uid="{930DEE19-EFFB-4599-B8F5-737DA7F0F983}"/>
    <cellStyle name="常规 11 2 8 9" xfId="12742" xr:uid="{9DA18DDE-4B1A-4617-BC43-32CD6FFAFCFF}"/>
    <cellStyle name="常规 11 2 9" xfId="12743" xr:uid="{22139489-D041-4AA4-914B-622BCD740ECB}"/>
    <cellStyle name="常规 11 2 9 10" xfId="12744" xr:uid="{27805F1D-460E-4850-B6AE-9C1BBC2C78CF}"/>
    <cellStyle name="常规 11 2 9 2" xfId="12745" xr:uid="{92EC9914-2149-44E1-9CA2-2D36839002BF}"/>
    <cellStyle name="常规 11 2 9 2 2" xfId="12746" xr:uid="{70704FEF-102E-4EA2-B1A6-8A0950C3ADE0}"/>
    <cellStyle name="常规 11 2 9 2 2 2" xfId="12747" xr:uid="{AF217896-86D1-442C-8B2D-8CEE4CFF5296}"/>
    <cellStyle name="常规 11 2 9 2 2 3" xfId="12748" xr:uid="{0F35A108-BD94-4ADC-857E-C28EAC745A5A}"/>
    <cellStyle name="常规 11 2 9 2 2 4" xfId="12749" xr:uid="{ECB4B137-0CA3-4A3D-AEFB-33C05F95C32F}"/>
    <cellStyle name="常规 11 2 9 2 2 5" xfId="12750" xr:uid="{01CD839B-B6AF-4923-A261-F9A71509D776}"/>
    <cellStyle name="常规 11 2 9 2 2 6" xfId="12751" xr:uid="{C3F4E782-B6BC-47F5-B3AE-9E93E7C589AD}"/>
    <cellStyle name="常规 11 2 9 2 3" xfId="12752" xr:uid="{13B1562C-9EB2-404B-BF3F-5E997B3332B9}"/>
    <cellStyle name="常规 11 2 9 2 4" xfId="12753" xr:uid="{F472880E-AFB7-45C1-9630-C183A9B8920B}"/>
    <cellStyle name="常规 11 2 9 2 5" xfId="12754" xr:uid="{529242FA-25C8-4985-96A7-24736328380E}"/>
    <cellStyle name="常规 11 2 9 2 6" xfId="12755" xr:uid="{2610A451-7BA6-4E80-9F0A-5544BAA368FB}"/>
    <cellStyle name="常规 11 2 9 2 7" xfId="12756" xr:uid="{3553BA86-FA06-48FD-87B8-FB719756E7A2}"/>
    <cellStyle name="常规 11 2 9 3" xfId="12757" xr:uid="{9C404943-1285-42C6-972F-43AA850F68A1}"/>
    <cellStyle name="常规 11 2 9 3 2" xfId="12758" xr:uid="{1F3746DF-47F8-47AD-B93A-8F51CC5C3CA5}"/>
    <cellStyle name="常规 11 2 9 3 2 2" xfId="12759" xr:uid="{16BC67CA-509A-4A91-A136-3D88248CA2E0}"/>
    <cellStyle name="常规 11 2 9 3 2 3" xfId="12760" xr:uid="{7432A571-5AE0-4450-A3E2-0DF67B216B41}"/>
    <cellStyle name="常规 11 2 9 3 2 4" xfId="12761" xr:uid="{0F79F73A-55D7-4117-B878-1B2B5749A73C}"/>
    <cellStyle name="常规 11 2 9 3 2 5" xfId="12762" xr:uid="{61636EB9-6601-4964-B019-7876304F232F}"/>
    <cellStyle name="常规 11 2 9 3 2 6" xfId="12763" xr:uid="{3FF4C20E-8B9C-4696-B00A-406B84DED82A}"/>
    <cellStyle name="常规 11 2 9 3 3" xfId="12764" xr:uid="{4FDEE01E-9625-40BB-A08B-13E666E6AE94}"/>
    <cellStyle name="常规 11 2 9 3 4" xfId="12765" xr:uid="{B4A8E157-90F1-4263-BD29-137F039AE21A}"/>
    <cellStyle name="常规 11 2 9 3 5" xfId="12766" xr:uid="{1D47D852-E975-469F-A339-68E2437AC8EB}"/>
    <cellStyle name="常规 11 2 9 3 6" xfId="12767" xr:uid="{50DA5925-F093-4FC4-8DC8-7B51080D5610}"/>
    <cellStyle name="常规 11 2 9 3 7" xfId="12768" xr:uid="{0E6117F3-0C41-4F6D-BE54-5B0E88F8914E}"/>
    <cellStyle name="常规 11 2 9 4" xfId="12769" xr:uid="{08C41D53-7F89-4CBB-9EE8-3021C62EA275}"/>
    <cellStyle name="常规 11 2 9 4 2" xfId="12770" xr:uid="{F7FAA95C-6E35-4E88-AD66-2CE91E8D54A0}"/>
    <cellStyle name="常规 11 2 9 4 2 2" xfId="12771" xr:uid="{FC14E0FA-39B6-4962-9C38-E62FB16581A9}"/>
    <cellStyle name="常规 11 2 9 4 2 3" xfId="12772" xr:uid="{B77FC52C-A013-4036-9BD3-8C4DBF42ACCD}"/>
    <cellStyle name="常规 11 2 9 4 2 4" xfId="12773" xr:uid="{438FF270-8807-450F-B18D-E06F6519B142}"/>
    <cellStyle name="常规 11 2 9 4 2 5" xfId="12774" xr:uid="{1D3E1F13-A1E2-470B-BA23-18A378A3EDEA}"/>
    <cellStyle name="常规 11 2 9 4 2 6" xfId="12775" xr:uid="{5B0779B1-E46D-45B6-B68B-5CF3D8385A9B}"/>
    <cellStyle name="常规 11 2 9 4 3" xfId="12776" xr:uid="{369093A7-AF03-4A79-9D9A-BB0DC24920D1}"/>
    <cellStyle name="常规 11 2 9 4 4" xfId="12777" xr:uid="{B2D56D86-9D08-42BD-9620-0F489081ACE6}"/>
    <cellStyle name="常规 11 2 9 4 5" xfId="12778" xr:uid="{0B2C53DF-8B6D-49A6-9F03-FC9030EB34F9}"/>
    <cellStyle name="常规 11 2 9 4 6" xfId="12779" xr:uid="{0F7CD81D-4309-4565-AC6E-22F16C82950A}"/>
    <cellStyle name="常规 11 2 9 4 7" xfId="12780" xr:uid="{FFA044C2-A454-4051-8D8B-1040A7DE4EAC}"/>
    <cellStyle name="常规 11 2 9 5" xfId="12781" xr:uid="{A7428393-9548-4A98-A8B9-E1FAB6BB597F}"/>
    <cellStyle name="常规 11 2 9 5 2" xfId="12782" xr:uid="{1CC41252-B8A2-46CA-A163-17852CD71F4C}"/>
    <cellStyle name="常规 11 2 9 5 3" xfId="12783" xr:uid="{9E3F6B88-245C-4D7F-9339-F2E36A274420}"/>
    <cellStyle name="常规 11 2 9 5 4" xfId="12784" xr:uid="{2161C18D-4F1F-489F-BAF1-E20320884589}"/>
    <cellStyle name="常规 11 2 9 5 5" xfId="12785" xr:uid="{7686BE18-4851-4FBA-83F8-1F1C9871A91B}"/>
    <cellStyle name="常规 11 2 9 5 6" xfId="12786" xr:uid="{05742353-CAC4-4959-AE23-DD9DDF8674DE}"/>
    <cellStyle name="常规 11 2 9 6" xfId="12787" xr:uid="{0CC95584-FE9A-4933-B462-16E67E08F107}"/>
    <cellStyle name="常规 11 2 9 7" xfId="12788" xr:uid="{5BC41075-6F41-4A5A-B5DF-F041814FD4FE}"/>
    <cellStyle name="常规 11 2 9 8" xfId="12789" xr:uid="{54306F0A-581C-4DD9-84B2-5F715463CB67}"/>
    <cellStyle name="常规 11 2 9 9" xfId="12790" xr:uid="{405457C5-9F68-4B48-B518-2AF0417C4419}"/>
    <cellStyle name="常规 11 20" xfId="12791" xr:uid="{7D20692E-08BD-43F2-AA76-F135B5B3E2AD}"/>
    <cellStyle name="常规 11 21" xfId="12792" xr:uid="{64F40F04-CF99-418F-9B37-0C6C335F534A}"/>
    <cellStyle name="常规 11 22" xfId="12793" xr:uid="{6082C58B-6970-4ADB-8613-06A306BC449F}"/>
    <cellStyle name="常规 11 23" xfId="12794" xr:uid="{A7F6ABAB-5D23-4D1A-B585-0A0272C68995}"/>
    <cellStyle name="常规 11 24" xfId="33767" xr:uid="{004619AE-71DA-42B1-99D5-19FDB90E1F08}"/>
    <cellStyle name="常规 11 3" xfId="12795" xr:uid="{FB0147E3-2B41-498E-BD61-8C1BE48DF0C0}"/>
    <cellStyle name="常规 11 3 10" xfId="12796" xr:uid="{D82C5B7F-4BDB-4BAA-8EFA-F9332762AC96}"/>
    <cellStyle name="常规 11 3 10 2" xfId="12797" xr:uid="{86C025A0-FE67-4A3F-A5FD-4F5312B1AF33}"/>
    <cellStyle name="常规 11 3 10 2 2" xfId="12798" xr:uid="{AE77961C-140D-4DD1-90BB-8515321D2039}"/>
    <cellStyle name="常规 11 3 10 2 3" xfId="12799" xr:uid="{CD967622-1F86-44B0-AA8B-9D857B42DB84}"/>
    <cellStyle name="常规 11 3 10 2 4" xfId="12800" xr:uid="{84DBC257-C7CD-4975-819E-3BCF66DB8F7C}"/>
    <cellStyle name="常规 11 3 10 2 5" xfId="12801" xr:uid="{71F24666-9BCB-44F1-924C-7C0DC6001314}"/>
    <cellStyle name="常规 11 3 10 2 6" xfId="12802" xr:uid="{928E96B9-F07D-4D2B-A856-3CD9261D59CC}"/>
    <cellStyle name="常规 11 3 10 3" xfId="12803" xr:uid="{7BF86E20-EB7A-4042-87C0-13B4F566F4B1}"/>
    <cellStyle name="常规 11 3 10 4" xfId="12804" xr:uid="{393EA287-13F1-448A-90C0-EA1C73B7F4A8}"/>
    <cellStyle name="常规 11 3 10 5" xfId="12805" xr:uid="{10D4894E-8114-4ACC-8179-6BCED2E0D3AA}"/>
    <cellStyle name="常规 11 3 10 6" xfId="12806" xr:uid="{95AF66E1-7734-4449-8930-56A02F35D191}"/>
    <cellStyle name="常规 11 3 10 7" xfId="12807" xr:uid="{1ABB16D4-20A3-4647-9011-F53EF780B5A6}"/>
    <cellStyle name="常规 11 3 11" xfId="12808" xr:uid="{28605D7A-2DBE-406E-9F04-BA6608567293}"/>
    <cellStyle name="常规 11 3 2" xfId="12809" xr:uid="{9DC6D0F1-FF1F-405E-A3D8-5D0B7E4276EE}"/>
    <cellStyle name="常规 11 3 2 2" xfId="12810" xr:uid="{DD808A2B-68D5-45A8-92E3-B8C4F72206D3}"/>
    <cellStyle name="常规 11 3 2 2 2" xfId="12811" xr:uid="{85CFDEE7-ED36-493F-8E77-9AA7B09225E3}"/>
    <cellStyle name="常规 11 3 2 2 3" xfId="12812" xr:uid="{FF7864DD-DD97-4320-B19A-42B4C30B2FE9}"/>
    <cellStyle name="常规 11 3 2 2 4" xfId="12813" xr:uid="{9D9233ED-F268-49F5-8282-0DE69CADE954}"/>
    <cellStyle name="常规 11 3 2 2 5" xfId="12814" xr:uid="{1AA624E3-357F-4866-B921-F80E26B8C18B}"/>
    <cellStyle name="常规 11 3 2 2 6" xfId="12815" xr:uid="{F3E9C324-C977-4CA0-B3EE-7E95FAB9B834}"/>
    <cellStyle name="常规 11 3 2 3" xfId="12816" xr:uid="{C62681C4-A05E-46CC-8BFC-D884A1705262}"/>
    <cellStyle name="常规 11 3 2 4" xfId="12817" xr:uid="{A36C2759-8AAC-4481-BE70-4992BEB3C671}"/>
    <cellStyle name="常规 11 3 2 5" xfId="12818" xr:uid="{D7AC723C-804B-4D03-ADB0-4BC58A93585C}"/>
    <cellStyle name="常规 11 3 2 6" xfId="12819" xr:uid="{1303D659-C0E5-414F-B7CC-35F18A7CDD8C}"/>
    <cellStyle name="常规 11 3 2 7" xfId="12820" xr:uid="{CBC581D2-D1E2-43D1-8EEF-DFB5C036D55C}"/>
    <cellStyle name="常规 11 3 2 8" xfId="12821" xr:uid="{116AD324-4351-44B2-A073-5ABB25EB1D9A}"/>
    <cellStyle name="常规 11 3 3" xfId="12822" xr:uid="{6C9716AC-1BEB-45D5-B4AB-A2BFA3141001}"/>
    <cellStyle name="常规 11 3 3 2" xfId="12823" xr:uid="{CFB3B87D-4D80-4BD0-B903-2E8B9F876477}"/>
    <cellStyle name="常规 11 3 3 2 2" xfId="12824" xr:uid="{1BE3A6A0-1224-45D0-B114-D23365A7FA28}"/>
    <cellStyle name="常规 11 3 3 2 3" xfId="12825" xr:uid="{B521B34B-193B-453F-9731-691C9A7BF3C3}"/>
    <cellStyle name="常规 11 3 3 2 4" xfId="12826" xr:uid="{C0631CF0-4668-48BE-9405-7DE9271F583A}"/>
    <cellStyle name="常规 11 3 3 2 5" xfId="12827" xr:uid="{433FB5D2-09DE-4A8A-AAD5-10FA25024B86}"/>
    <cellStyle name="常规 11 3 3 2 6" xfId="12828" xr:uid="{DE990EA6-C05B-4435-A7E1-A429E5C6C2EE}"/>
    <cellStyle name="常规 11 3 3 3" xfId="12829" xr:uid="{4E897D34-9BB1-4CFF-95D0-873AE2786442}"/>
    <cellStyle name="常规 11 3 3 4" xfId="12830" xr:uid="{2AC76FB7-B1C8-4FA9-A3C4-1D151D16DAAE}"/>
    <cellStyle name="常规 11 3 3 5" xfId="12831" xr:uid="{1159EF0F-E1CC-4A14-93BB-A96A72E6FFAB}"/>
    <cellStyle name="常规 11 3 3 6" xfId="12832" xr:uid="{71EBF598-FE6E-424E-8783-75F5CEF0B187}"/>
    <cellStyle name="常规 11 3 3 7" xfId="12833" xr:uid="{9FF57E34-6263-4FDA-8C3A-AE5CABAC608B}"/>
    <cellStyle name="常规 11 3 4" xfId="12834" xr:uid="{643533A7-B3AB-41C9-8349-C33F542FE6EF}"/>
    <cellStyle name="常规 11 3 4 2" xfId="12835" xr:uid="{51AAB84A-4AD3-4D75-BC74-BBD069E63455}"/>
    <cellStyle name="常规 11 3 4 2 2" xfId="12836" xr:uid="{8AD16B74-4301-4D2C-95DC-96A48879EA81}"/>
    <cellStyle name="常规 11 3 4 2 3" xfId="12837" xr:uid="{9C57CBCD-51D3-4E3F-974E-E5E9E622AAD7}"/>
    <cellStyle name="常规 11 3 4 2 4" xfId="12838" xr:uid="{1776B8B9-84E3-4C97-BF93-FBC7DCA9B963}"/>
    <cellStyle name="常规 11 3 4 2 5" xfId="12839" xr:uid="{0650EC2C-57DF-435E-8F73-EEA8D61608CE}"/>
    <cellStyle name="常规 11 3 4 2 6" xfId="12840" xr:uid="{0B665E16-1470-45BA-93FE-C495F8D6F112}"/>
    <cellStyle name="常规 11 3 4 3" xfId="12841" xr:uid="{3EBF8981-CE4B-4791-BAFC-683A06CBC815}"/>
    <cellStyle name="常规 11 3 4 4" xfId="12842" xr:uid="{3E01B919-13AF-4E7F-A8C8-42E0F1342586}"/>
    <cellStyle name="常规 11 3 4 5" xfId="12843" xr:uid="{144B7A4F-7B9E-4098-91D8-93B8956FF11D}"/>
    <cellStyle name="常规 11 3 4 6" xfId="12844" xr:uid="{57557977-ACA3-4DD2-9784-8CAA4A837D07}"/>
    <cellStyle name="常规 11 3 4 7" xfId="12845" xr:uid="{45404F4C-E0BC-47E6-A926-ACCC781A0162}"/>
    <cellStyle name="常规 11 3 5" xfId="12846" xr:uid="{418F8AF0-B783-472E-A283-6C614463F6B0}"/>
    <cellStyle name="常规 11 3 5 2" xfId="12847" xr:uid="{1E77D6C7-785A-432E-A39F-5147C890A2BC}"/>
    <cellStyle name="常规 11 3 5 2 2" xfId="12848" xr:uid="{22B39AD4-5263-469A-9979-BC4B104ED41C}"/>
    <cellStyle name="常规 11 3 5 2 3" xfId="12849" xr:uid="{74F7E314-1F30-4AB1-918A-B40CF984C4C1}"/>
    <cellStyle name="常规 11 3 5 2 4" xfId="12850" xr:uid="{9F921B02-CC9C-4003-947E-ED7D31249AD6}"/>
    <cellStyle name="常规 11 3 5 2 5" xfId="12851" xr:uid="{8679B7F9-7892-4D93-BDBA-13F2F402B279}"/>
    <cellStyle name="常规 11 3 5 2 6" xfId="12852" xr:uid="{C3E96876-D66A-4F21-9980-58ECCF36A160}"/>
    <cellStyle name="常规 11 3 5 3" xfId="12853" xr:uid="{5198D81A-70A1-4A2B-AD02-7F97ADEE9E23}"/>
    <cellStyle name="常规 11 3 5 4" xfId="12854" xr:uid="{EF198535-91AC-4662-AF68-17276A8C2DFF}"/>
    <cellStyle name="常规 11 3 5 5" xfId="12855" xr:uid="{BB63DEEA-AD23-4E22-8405-18D57E3E0B37}"/>
    <cellStyle name="常规 11 3 5 6" xfId="12856" xr:uid="{0A0B823C-A687-4F62-8566-3A754134FFFD}"/>
    <cellStyle name="常规 11 3 5 7" xfId="12857" xr:uid="{1271FF7B-E909-4714-9AA9-4B3EE5D4332F}"/>
    <cellStyle name="常规 11 3 6" xfId="12858" xr:uid="{1892BAA9-70D7-4B62-8876-589DBD5FABCA}"/>
    <cellStyle name="常规 11 3 6 2" xfId="12859" xr:uid="{F96AF8C9-EDB7-416C-AC53-95FE97154238}"/>
    <cellStyle name="常规 11 3 6 2 2" xfId="12860" xr:uid="{7D8340F0-C345-4291-899B-227F3AD4D740}"/>
    <cellStyle name="常规 11 3 6 2 3" xfId="12861" xr:uid="{AD5874B9-BC2A-49F7-9493-D1253A711B31}"/>
    <cellStyle name="常规 11 3 6 2 4" xfId="12862" xr:uid="{41423E03-B3C9-43A8-A064-8BA1AAAC66CC}"/>
    <cellStyle name="常规 11 3 6 2 5" xfId="12863" xr:uid="{A7ACD7BA-01B9-4BBB-BAF8-111571384470}"/>
    <cellStyle name="常规 11 3 6 2 6" xfId="12864" xr:uid="{4E773170-CC62-491D-AAAB-B24F0764E4B7}"/>
    <cellStyle name="常规 11 3 6 3" xfId="12865" xr:uid="{A99ABE3C-3CA4-4EDD-9C8B-47B3BE492E9D}"/>
    <cellStyle name="常规 11 3 6 4" xfId="12866" xr:uid="{1AEB88F4-4C6A-4FB5-8C49-DDB700C23B5C}"/>
    <cellStyle name="常规 11 3 6 5" xfId="12867" xr:uid="{1E6590D6-5239-4102-A5EE-680D21D36B8A}"/>
    <cellStyle name="常规 11 3 6 6" xfId="12868" xr:uid="{81D35447-E12B-4B05-B74E-6B240A1AC66F}"/>
    <cellStyle name="常规 11 3 6 7" xfId="12869" xr:uid="{C0D296D6-5070-4BD5-846C-5B1027849BE0}"/>
    <cellStyle name="常规 11 3 7" xfId="12870" xr:uid="{98561EB2-0FC6-4267-98B7-23F925F392A8}"/>
    <cellStyle name="常规 11 3 7 2" xfId="12871" xr:uid="{74282ECA-4B45-4251-9A7A-2E3B2443FCDA}"/>
    <cellStyle name="常规 11 3 7 2 2" xfId="12872" xr:uid="{4608152D-1789-4FB2-9BE9-C0FB27B798A8}"/>
    <cellStyle name="常规 11 3 7 2 3" xfId="12873" xr:uid="{74CD491D-314B-4036-AFC2-03F3C36E6A36}"/>
    <cellStyle name="常规 11 3 7 2 4" xfId="12874" xr:uid="{BCE2C349-5EF3-4EB2-A8C7-9A25808E27B5}"/>
    <cellStyle name="常规 11 3 7 2 5" xfId="12875" xr:uid="{3EB2DE62-C125-4DC9-A563-0867B88B624A}"/>
    <cellStyle name="常规 11 3 7 2 6" xfId="12876" xr:uid="{54FBA3E0-7546-407E-AD1F-B1B4F90173F9}"/>
    <cellStyle name="常规 11 3 7 3" xfId="12877" xr:uid="{F46014FD-CD47-421E-9CA5-995102253889}"/>
    <cellStyle name="常规 11 3 7 4" xfId="12878" xr:uid="{DB312F20-FC45-409F-9DE0-AD87A79572B4}"/>
    <cellStyle name="常规 11 3 7 5" xfId="12879" xr:uid="{E4DF6BFD-62E0-4B8B-93EB-07788B39D5FF}"/>
    <cellStyle name="常规 11 3 7 6" xfId="12880" xr:uid="{F9FA5D45-5A67-441A-BFC3-927A2FFEC5EE}"/>
    <cellStyle name="常规 11 3 7 7" xfId="12881" xr:uid="{541F7FFE-8CFE-4487-A52A-BF3AF4D1A672}"/>
    <cellStyle name="常规 11 3 8" xfId="12882" xr:uid="{A0404F9B-2E47-4897-8E3F-A2888CAC7D34}"/>
    <cellStyle name="常规 11 3 8 2" xfId="12883" xr:uid="{81D75E58-32B2-4471-8831-DA7D404CC380}"/>
    <cellStyle name="常规 11 3 8 2 2" xfId="12884" xr:uid="{90769B93-D729-4293-B34C-67DBA9C9F349}"/>
    <cellStyle name="常规 11 3 8 2 3" xfId="12885" xr:uid="{6A5CA6E6-7EB4-4ABA-BA2A-7AF1E5E7994E}"/>
    <cellStyle name="常规 11 3 8 2 4" xfId="12886" xr:uid="{1E957AC3-D581-435F-B559-441DC0DD0EDD}"/>
    <cellStyle name="常规 11 3 8 2 5" xfId="12887" xr:uid="{03F0D4FE-6BE9-471D-BB9C-05C9977D2ED2}"/>
    <cellStyle name="常规 11 3 8 2 6" xfId="12888" xr:uid="{9A113FAD-D300-46A8-99AC-F35622362865}"/>
    <cellStyle name="常规 11 3 8 3" xfId="12889" xr:uid="{D0F43E9E-076E-49D2-B5EF-38ED82937606}"/>
    <cellStyle name="常规 11 3 8 4" xfId="12890" xr:uid="{FFA99CEF-6EBC-4A8F-8F63-CB7253558095}"/>
    <cellStyle name="常规 11 3 8 5" xfId="12891" xr:uid="{B54C65F5-BF72-4221-A5DF-EED2425C4410}"/>
    <cellStyle name="常规 11 3 8 6" xfId="12892" xr:uid="{20629FC0-8726-49FD-8049-2F21A3E43204}"/>
    <cellStyle name="常规 11 3 8 7" xfId="12893" xr:uid="{EF9C2D24-581D-421A-BDB5-28F69CE45E6F}"/>
    <cellStyle name="常规 11 3 9" xfId="12894" xr:uid="{2D13EC9F-E34F-4FF1-AD28-7E2845DF2995}"/>
    <cellStyle name="常规 11 3 9 2" xfId="12895" xr:uid="{938A9102-B80E-4D8D-85EB-462610680B2E}"/>
    <cellStyle name="常规 11 3 9 2 2" xfId="12896" xr:uid="{D6B964F9-C23E-4C1A-9FE5-655E4F467913}"/>
    <cellStyle name="常规 11 3 9 2 3" xfId="12897" xr:uid="{FA8C717D-FDA4-4789-8E68-EE4EC86A3FEE}"/>
    <cellStyle name="常规 11 3 9 2 4" xfId="12898" xr:uid="{36DFD40C-A1F7-4FF2-9120-9DE032ECD406}"/>
    <cellStyle name="常规 11 3 9 2 5" xfId="12899" xr:uid="{49F3ECB1-D4F1-48AF-9418-0C11078B05A2}"/>
    <cellStyle name="常规 11 3 9 2 6" xfId="12900" xr:uid="{7C74646B-27A2-49C5-B5CF-C22F20088C57}"/>
    <cellStyle name="常规 11 3 9 3" xfId="12901" xr:uid="{0A3AC73E-78BD-4F10-B5A3-CE4F6D0DF2CC}"/>
    <cellStyle name="常规 11 3 9 4" xfId="12902" xr:uid="{746DED37-4ADE-416B-8732-D5E3CF4AC891}"/>
    <cellStyle name="常规 11 3 9 5" xfId="12903" xr:uid="{E331363B-14A7-40D3-85E8-09EEFBE68DBF}"/>
    <cellStyle name="常规 11 3 9 6" xfId="12904" xr:uid="{60E29A4F-FECB-4597-9143-445395D5B362}"/>
    <cellStyle name="常规 11 3 9 7" xfId="12905" xr:uid="{B5F15DCC-F44D-4602-A624-F5EFF07F681F}"/>
    <cellStyle name="常规 11 4" xfId="12906" xr:uid="{3688B71B-208E-4AE8-85C4-EDBA2F07F38A}"/>
    <cellStyle name="常规 11 4 10" xfId="12907" xr:uid="{3CC6621C-7B14-45C3-B068-B34D8D11CA0B}"/>
    <cellStyle name="常规 11 4 2" xfId="12908" xr:uid="{A20AE4F1-01F4-42D8-ADFC-7C356EBEEF8B}"/>
    <cellStyle name="常规 11 4 2 2" xfId="12909" xr:uid="{49240EEE-AD72-456F-851D-810B17825E2E}"/>
    <cellStyle name="常规 11 4 2 2 2" xfId="12910" xr:uid="{DAD3BD35-0A44-4F33-9068-C169534924D0}"/>
    <cellStyle name="常规 11 4 2 2 3" xfId="12911" xr:uid="{B7736E72-16C0-4EC4-84B6-98ED7AC278C4}"/>
    <cellStyle name="常规 11 4 2 2 4" xfId="12912" xr:uid="{CC0569BD-D548-4C30-ADE9-E2EF8895BBFB}"/>
    <cellStyle name="常规 11 4 2 2 5" xfId="12913" xr:uid="{ACC74D40-1BE7-4695-A367-79C6248E73A8}"/>
    <cellStyle name="常规 11 4 2 2 6" xfId="12914" xr:uid="{05AB82FC-ECCE-4B59-A7FD-CFBB83F8B467}"/>
    <cellStyle name="常规 11 4 2 3" xfId="12915" xr:uid="{A3B5389C-7232-4E55-BB30-A6077D3EC86B}"/>
    <cellStyle name="常规 11 4 2 4" xfId="12916" xr:uid="{2FD098AC-FD62-448B-BAD2-B03FC0E1CE4B}"/>
    <cellStyle name="常规 11 4 2 5" xfId="12917" xr:uid="{12CB1779-F8DF-4EE0-9B8D-EAE41E3728F6}"/>
    <cellStyle name="常规 11 4 2 6" xfId="12918" xr:uid="{B1E09D06-BEFD-45C4-8A5B-A9294439D123}"/>
    <cellStyle name="常规 11 4 2 7" xfId="12919" xr:uid="{293FB360-E72E-4852-993D-2B3BFAFB489A}"/>
    <cellStyle name="常规 11 4 3" xfId="12920" xr:uid="{3D68B6AB-5389-403B-BB1E-8FDB7C78F884}"/>
    <cellStyle name="常规 11 4 3 2" xfId="12921" xr:uid="{C8C1770C-19A1-45BB-BB9E-1BA31467D9F7}"/>
    <cellStyle name="常规 11 4 3 2 2" xfId="12922" xr:uid="{ED8E441C-D679-453F-B355-B3A1C905A859}"/>
    <cellStyle name="常规 11 4 3 2 3" xfId="12923" xr:uid="{ADC17DF7-422B-40E3-A5AB-3581C4DECB85}"/>
    <cellStyle name="常规 11 4 3 2 4" xfId="12924" xr:uid="{E6CEA903-2E3D-40B7-8610-B28FD7A141E5}"/>
    <cellStyle name="常规 11 4 3 2 5" xfId="12925" xr:uid="{17AE2E40-41BC-431A-A32B-7C795B4C5AD6}"/>
    <cellStyle name="常规 11 4 3 2 6" xfId="12926" xr:uid="{562D796B-6230-4EEB-BAD8-2AD718B96DD8}"/>
    <cellStyle name="常规 11 4 3 3" xfId="12927" xr:uid="{1E64648D-952C-43BC-B561-2404E24F5ED9}"/>
    <cellStyle name="常规 11 4 3 4" xfId="12928" xr:uid="{F1846F30-190C-4AD9-9E98-412A578A70B3}"/>
    <cellStyle name="常规 11 4 3 5" xfId="12929" xr:uid="{6B22EA65-D700-454F-A805-F8C9A1E82DAE}"/>
    <cellStyle name="常规 11 4 3 6" xfId="12930" xr:uid="{FCA0C3E3-A30C-4DA4-841F-7C4340B36FE4}"/>
    <cellStyle name="常规 11 4 3 7" xfId="12931" xr:uid="{A2460A31-7572-4AFF-A8D7-0512F6F7F167}"/>
    <cellStyle name="常规 11 4 4" xfId="12932" xr:uid="{8F765CA3-B70D-4F2A-B9FE-EF4CFB06135E}"/>
    <cellStyle name="常规 11 4 4 2" xfId="12933" xr:uid="{12849574-AA9F-44E8-955E-BB6457A9A13D}"/>
    <cellStyle name="常规 11 4 4 2 2" xfId="12934" xr:uid="{0A41DC64-AC6D-4864-BFAC-FA264DC30F39}"/>
    <cellStyle name="常规 11 4 4 2 3" xfId="12935" xr:uid="{8274085A-8852-4C05-9559-87A705C4F23C}"/>
    <cellStyle name="常规 11 4 4 2 4" xfId="12936" xr:uid="{AEDF0E8D-5DD0-4410-AD17-10BFF6D33BF2}"/>
    <cellStyle name="常规 11 4 4 2 5" xfId="12937" xr:uid="{04B54609-8C14-4CB2-8BF4-5581A2917115}"/>
    <cellStyle name="常规 11 4 4 2 6" xfId="12938" xr:uid="{B2906DE7-49FE-427A-A321-9347E2BE1BEE}"/>
    <cellStyle name="常规 11 4 4 3" xfId="12939" xr:uid="{19088DCA-01C9-4AE4-B7D1-B36EF2A7D275}"/>
    <cellStyle name="常规 11 4 4 4" xfId="12940" xr:uid="{1312ECF4-A6D3-4FFD-9372-D3237D720527}"/>
    <cellStyle name="常规 11 4 4 5" xfId="12941" xr:uid="{ED718005-15DB-4CD3-BCA8-43E22BEF3610}"/>
    <cellStyle name="常规 11 4 4 6" xfId="12942" xr:uid="{B54651E9-07F1-4C95-84BF-DC1CCF88C280}"/>
    <cellStyle name="常规 11 4 4 7" xfId="12943" xr:uid="{ECFFC473-4F9D-4FCF-93E9-A1F3CBB7633C}"/>
    <cellStyle name="常规 11 4 5" xfId="12944" xr:uid="{7BEF31D1-F761-4993-89FD-D0E4912F573D}"/>
    <cellStyle name="常规 11 4 5 2" xfId="12945" xr:uid="{126F45A8-5FBE-4E2B-AF4A-72AD07300AFB}"/>
    <cellStyle name="常规 11 4 5 2 2" xfId="12946" xr:uid="{83709E27-3B77-449B-A134-4C6E05EA150D}"/>
    <cellStyle name="常规 11 4 5 2 3" xfId="12947" xr:uid="{30D45FEC-6FD9-4DF3-ACC2-A3169007011B}"/>
    <cellStyle name="常规 11 4 5 2 4" xfId="12948" xr:uid="{0C188075-451F-4F8B-A049-FDBCAAD99A6C}"/>
    <cellStyle name="常规 11 4 5 2 5" xfId="12949" xr:uid="{3CC12E77-0D7C-487F-A201-7C6D2A7815ED}"/>
    <cellStyle name="常规 11 4 5 2 6" xfId="12950" xr:uid="{C614BFD3-0F07-4F12-9D6A-2C79A8DFCEF6}"/>
    <cellStyle name="常规 11 4 5 3" xfId="12951" xr:uid="{C6F926FC-83AD-48A1-B412-F28A0AC52259}"/>
    <cellStyle name="常规 11 4 5 4" xfId="12952" xr:uid="{3FBDE0B3-E802-447A-AE0C-B150AA14FE08}"/>
    <cellStyle name="常规 11 4 5 5" xfId="12953" xr:uid="{DA039B84-05B3-4702-B053-7C8E370DAEE2}"/>
    <cellStyle name="常规 11 4 5 6" xfId="12954" xr:uid="{F63434AA-E920-4435-A30E-15BC63CAF041}"/>
    <cellStyle name="常规 11 4 5 7" xfId="12955" xr:uid="{9EEF9DAB-A4F5-4AC6-A6C0-F9E99C20C654}"/>
    <cellStyle name="常规 11 4 6" xfId="12956" xr:uid="{814CD7E0-6F63-4A80-83B6-39A9F88F0972}"/>
    <cellStyle name="常规 11 4 6 2" xfId="12957" xr:uid="{8B2B6FC0-B32F-4030-9875-ADC4F8A09D93}"/>
    <cellStyle name="常规 11 4 6 2 2" xfId="12958" xr:uid="{1BC32BAC-88D5-4CF3-ADE8-C3069FBCA135}"/>
    <cellStyle name="常规 11 4 6 2 3" xfId="12959" xr:uid="{8F5AB837-EAE3-40CF-9002-B3ED36CE4E7F}"/>
    <cellStyle name="常规 11 4 6 2 4" xfId="12960" xr:uid="{3B191B7C-67EC-4F06-B470-ABBE273DC47D}"/>
    <cellStyle name="常规 11 4 6 2 5" xfId="12961" xr:uid="{C3563B5D-7BBE-4356-B44A-15C426A44CD8}"/>
    <cellStyle name="常规 11 4 6 2 6" xfId="12962" xr:uid="{74FF60E3-4DF1-4F44-A230-4186E1ADCB32}"/>
    <cellStyle name="常规 11 4 6 3" xfId="12963" xr:uid="{763A5125-8AC4-472A-B22C-2AFECC6202A8}"/>
    <cellStyle name="常规 11 4 6 4" xfId="12964" xr:uid="{AF9B4909-8971-4F54-A959-88D8F99183A3}"/>
    <cellStyle name="常规 11 4 6 5" xfId="12965" xr:uid="{F9EDC097-9787-4601-A495-D865CC9FABE9}"/>
    <cellStyle name="常规 11 4 6 6" xfId="12966" xr:uid="{DEF86AEB-9A84-4F6B-9894-044E98466F36}"/>
    <cellStyle name="常规 11 4 6 7" xfId="12967" xr:uid="{A765AB89-1918-4D19-A71C-AAA820493F27}"/>
    <cellStyle name="常规 11 4 7" xfId="12968" xr:uid="{90BCAACA-67A7-4DFC-A94E-B30ED5258731}"/>
    <cellStyle name="常规 11 4 7 2" xfId="12969" xr:uid="{C2DA2620-5420-425B-AD79-4AD687089B61}"/>
    <cellStyle name="常规 11 4 7 2 2" xfId="12970" xr:uid="{5E8261AA-5851-4371-A97C-5764AB4F5264}"/>
    <cellStyle name="常规 11 4 7 2 3" xfId="12971" xr:uid="{46EFCB5E-2FDB-4451-BD6F-5D363683565F}"/>
    <cellStyle name="常规 11 4 7 2 4" xfId="12972" xr:uid="{34A1A192-15E1-4C18-8145-A9B376137D2C}"/>
    <cellStyle name="常规 11 4 7 2 5" xfId="12973" xr:uid="{3B72C8ED-E14E-4A5D-90B4-B491E1A109D6}"/>
    <cellStyle name="常规 11 4 7 2 6" xfId="12974" xr:uid="{FCD64CDC-EA50-4301-82B8-06A1E4242800}"/>
    <cellStyle name="常规 11 4 7 3" xfId="12975" xr:uid="{2281A654-30CE-4CE2-9C6E-E2CE87BA44F0}"/>
    <cellStyle name="常规 11 4 7 4" xfId="12976" xr:uid="{B9860A3E-832A-45EF-8AED-304179B2938F}"/>
    <cellStyle name="常规 11 4 7 5" xfId="12977" xr:uid="{88CA10E2-847B-4DE6-AEBB-A52BE13FE385}"/>
    <cellStyle name="常规 11 4 7 6" xfId="12978" xr:uid="{16A97A39-9C20-46B8-9D51-C4521D0C8A40}"/>
    <cellStyle name="常规 11 4 7 7" xfId="12979" xr:uid="{8DBCAD0F-8846-4D12-B167-30D347248AFF}"/>
    <cellStyle name="常规 11 4 8" xfId="12980" xr:uid="{12F80032-468A-4F22-A2C2-04D88A0E52F7}"/>
    <cellStyle name="常规 11 4 8 2" xfId="12981" xr:uid="{B3002746-E2D9-434C-83D1-AF80FC079782}"/>
    <cellStyle name="常规 11 4 8 2 2" xfId="12982" xr:uid="{D437A281-C9CA-40A7-8B72-624B1EE19770}"/>
    <cellStyle name="常规 11 4 8 2 3" xfId="12983" xr:uid="{58D2978C-0400-49E7-B9A1-573AF032C566}"/>
    <cellStyle name="常规 11 4 8 2 4" xfId="12984" xr:uid="{EF9349EB-63BB-4E1A-9A40-1307E2FEE3D6}"/>
    <cellStyle name="常规 11 4 8 2 5" xfId="12985" xr:uid="{761A9E57-6610-4B7B-9D13-5F9E4FAE691D}"/>
    <cellStyle name="常规 11 4 8 2 6" xfId="12986" xr:uid="{897D90E0-57A2-48B1-B998-C02032EFBFD7}"/>
    <cellStyle name="常规 11 4 8 3" xfId="12987" xr:uid="{F34DE8CF-D07F-4940-A8BE-3F86D37B02CE}"/>
    <cellStyle name="常规 11 4 8 4" xfId="12988" xr:uid="{43099C86-87AE-405A-AAB7-4D134FD4EA70}"/>
    <cellStyle name="常规 11 4 8 5" xfId="12989" xr:uid="{1F735749-39F7-48B7-A6B1-99BAC2CC0526}"/>
    <cellStyle name="常规 11 4 8 6" xfId="12990" xr:uid="{EE24C950-A4CE-410F-9B7E-16B4F67B642F}"/>
    <cellStyle name="常规 11 4 8 7" xfId="12991" xr:uid="{5970EBD7-0BC2-470B-847A-76375D4344D6}"/>
    <cellStyle name="常规 11 4 9" xfId="12992" xr:uid="{073820E0-BD41-44D9-B856-EEA1219FE0F8}"/>
    <cellStyle name="常规 11 4 9 2" xfId="12993" xr:uid="{D4FEE18A-0C57-4603-B97C-16581629F69E}"/>
    <cellStyle name="常规 11 4 9 2 2" xfId="12994" xr:uid="{D2250469-E15D-40B4-90B3-7D4934A67A60}"/>
    <cellStyle name="常规 11 4 9 2 3" xfId="12995" xr:uid="{89732E48-2204-4ED6-B08F-F38868EA1729}"/>
    <cellStyle name="常规 11 4 9 2 4" xfId="12996" xr:uid="{E6E2E393-F5F7-4A3D-AB69-6B1FD342BCB7}"/>
    <cellStyle name="常规 11 4 9 2 5" xfId="12997" xr:uid="{F2459160-BA42-47CE-8211-F7B95E1D5524}"/>
    <cellStyle name="常规 11 4 9 2 6" xfId="12998" xr:uid="{053D54B1-98FE-47A7-9713-64CED2516C4E}"/>
    <cellStyle name="常规 11 4 9 3" xfId="12999" xr:uid="{77F70769-3582-426E-9EF8-A2425A2574B2}"/>
    <cellStyle name="常规 11 4 9 4" xfId="13000" xr:uid="{69A664CB-9120-4DA5-9F27-37CCD7435F30}"/>
    <cellStyle name="常规 11 4 9 5" xfId="13001" xr:uid="{FE8E215B-3C3F-49CA-8EE1-C3B1AA7EF69D}"/>
    <cellStyle name="常规 11 4 9 6" xfId="13002" xr:uid="{6FE4C0F0-A889-4A35-B77C-91FCAB217973}"/>
    <cellStyle name="常规 11 4 9 7" xfId="13003" xr:uid="{3621965F-B6F8-42DC-A7DE-E65DAC86C1A4}"/>
    <cellStyle name="常规 11 5" xfId="13004" xr:uid="{9D41C462-7DCF-433A-B1F1-E41C956952A8}"/>
    <cellStyle name="常规 11 5 2" xfId="13005" xr:uid="{B679935A-567F-43E1-AE4C-A8A17B270DC1}"/>
    <cellStyle name="常规 11 5 2 2" xfId="13006" xr:uid="{DD8E08E2-CDF5-40CA-8C02-8D4CACF16834}"/>
    <cellStyle name="常规 11 5 2 2 2" xfId="13007" xr:uid="{9267CF16-1C07-475A-AA5B-92524885DE82}"/>
    <cellStyle name="常规 11 5 2 2 3" xfId="13008" xr:uid="{48301B6F-0181-44DC-B775-5FD7F7659BCA}"/>
    <cellStyle name="常规 11 5 2 2 4" xfId="13009" xr:uid="{F265F794-A522-454B-89B0-66F1DB2A1AD4}"/>
    <cellStyle name="常规 11 5 2 2 5" xfId="13010" xr:uid="{A3D723DA-3CFA-45E9-AC6A-BB8FAA670D2D}"/>
    <cellStyle name="常规 11 5 2 2 6" xfId="13011" xr:uid="{5F846B37-A357-456B-86B8-A410FFF95614}"/>
    <cellStyle name="常规 11 5 2 3" xfId="13012" xr:uid="{1F38D4A6-88A8-4CF0-96B9-919AE4A445F8}"/>
    <cellStyle name="常规 11 5 2 4" xfId="13013" xr:uid="{C2AEE283-5D67-42AB-B7D0-1D255B3E8FF5}"/>
    <cellStyle name="常规 11 5 2 5" xfId="13014" xr:uid="{FDC8E8E5-3BA6-4F4D-A341-B40B74AE53A7}"/>
    <cellStyle name="常规 11 5 2 6" xfId="13015" xr:uid="{3D8995E5-BD1D-4FC9-B8C1-FA162824574C}"/>
    <cellStyle name="常规 11 5 2 7" xfId="13016" xr:uid="{8D8816D6-0C15-4CEA-908B-9FB9A991F53F}"/>
    <cellStyle name="常规 11 5 3" xfId="13017" xr:uid="{9E3AFCD4-B692-4A19-8C47-486B9288EED7}"/>
    <cellStyle name="常规 11 5 3 2" xfId="13018" xr:uid="{4436F2CC-E94B-46FA-9648-1AF3E4FBE3CE}"/>
    <cellStyle name="常规 11 5 3 2 2" xfId="13019" xr:uid="{6F4B1C98-9DE2-4247-A7DB-71503C9B833F}"/>
    <cellStyle name="常规 11 5 3 2 3" xfId="13020" xr:uid="{649A1492-CF08-4124-AE9B-66BC7A38887A}"/>
    <cellStyle name="常规 11 5 3 2 4" xfId="13021" xr:uid="{69BCADA0-DC85-4BB3-ACFC-AB63EE4CC084}"/>
    <cellStyle name="常规 11 5 3 2 5" xfId="13022" xr:uid="{AEC20466-2CB4-45FC-95D6-D843C9215EE3}"/>
    <cellStyle name="常规 11 5 3 2 6" xfId="13023" xr:uid="{F366B1D3-3B5B-402E-926C-AEB75BDC2535}"/>
    <cellStyle name="常规 11 5 3 3" xfId="13024" xr:uid="{3E0F4450-CFDE-49E6-8DB2-F46B57EA09A1}"/>
    <cellStyle name="常规 11 5 3 4" xfId="13025" xr:uid="{39686C06-10E3-4829-81D1-02482CB23124}"/>
    <cellStyle name="常规 11 5 3 5" xfId="13026" xr:uid="{3B77894F-8F0E-4F5A-9F4B-489B930CAFA7}"/>
    <cellStyle name="常规 11 5 3 6" xfId="13027" xr:uid="{18148CA8-07C2-489F-84F9-87B981378020}"/>
    <cellStyle name="常规 11 5 3 7" xfId="13028" xr:uid="{5E3A9BCE-69EC-41CF-94FF-4CBA76E75E5C}"/>
    <cellStyle name="常规 11 5 4" xfId="13029" xr:uid="{4FE065F1-7678-4082-B22A-EA551FB83D52}"/>
    <cellStyle name="常规 11 5 4 2" xfId="13030" xr:uid="{AE29B2B5-42BE-408D-B8C7-E3712705DDDE}"/>
    <cellStyle name="常规 11 5 4 2 2" xfId="13031" xr:uid="{0D214765-B81D-4EDF-8029-3A4EF7E64086}"/>
    <cellStyle name="常规 11 5 4 2 3" xfId="13032" xr:uid="{C3B4E2CC-ACA4-4550-9CBD-16C4CFFFA050}"/>
    <cellStyle name="常规 11 5 4 2 4" xfId="13033" xr:uid="{B4E91090-99A8-4BE7-8400-5598F438599E}"/>
    <cellStyle name="常规 11 5 4 2 5" xfId="13034" xr:uid="{77393938-345F-477D-9558-5856E10721D2}"/>
    <cellStyle name="常规 11 5 4 2 6" xfId="13035" xr:uid="{EDA9AA06-B84B-4A39-83DD-1CC6EEC8D570}"/>
    <cellStyle name="常规 11 5 4 3" xfId="13036" xr:uid="{8E8D2308-C215-43F1-BD5A-2E55D33B9633}"/>
    <cellStyle name="常规 11 5 4 4" xfId="13037" xr:uid="{6CB8F030-2AFD-45C2-AFEF-EECE7B0041EA}"/>
    <cellStyle name="常规 11 5 4 5" xfId="13038" xr:uid="{748F2448-D8D7-48EB-96D6-2B00A99089B4}"/>
    <cellStyle name="常规 11 5 4 6" xfId="13039" xr:uid="{EE9118FA-EA71-4295-80CA-BA98707D3CF5}"/>
    <cellStyle name="常规 11 5 4 7" xfId="13040" xr:uid="{7E31361F-F56C-4B22-87CB-56CBDFE8C47E}"/>
    <cellStyle name="常规 11 5 5" xfId="13041" xr:uid="{9ED3839F-3305-402B-A75A-C17A73C0A473}"/>
    <cellStyle name="常规 11 5 5 2" xfId="13042" xr:uid="{A50BE4BE-32D9-490B-963F-B00B995DCF99}"/>
    <cellStyle name="常规 11 5 5 2 2" xfId="13043" xr:uid="{EDB41A78-875C-49D2-A06B-1EE470441018}"/>
    <cellStyle name="常规 11 5 5 2 3" xfId="13044" xr:uid="{8AFB95A1-DF01-44D2-BF18-8F1320CFA94C}"/>
    <cellStyle name="常规 11 5 5 2 4" xfId="13045" xr:uid="{59CC48CE-D5D9-4595-99B0-7DA46725C9DE}"/>
    <cellStyle name="常规 11 5 5 2 5" xfId="13046" xr:uid="{9DA11AF9-E607-47AF-BBFE-6D484AC1FF65}"/>
    <cellStyle name="常规 11 5 5 2 6" xfId="13047" xr:uid="{74839ED7-ABE7-4A97-A5A1-65EDC8343545}"/>
    <cellStyle name="常规 11 5 5 3" xfId="13048" xr:uid="{9BFCDFAE-511F-4918-862E-5CB2C9B8EB7D}"/>
    <cellStyle name="常规 11 5 5 4" xfId="13049" xr:uid="{D5354C06-24CA-4508-BE6B-68E16C46409C}"/>
    <cellStyle name="常规 11 5 5 5" xfId="13050" xr:uid="{7EDA22A3-796C-4F60-8EFC-3A64D1330243}"/>
    <cellStyle name="常规 11 5 5 6" xfId="13051" xr:uid="{23234F92-6C87-42AF-8BEF-2686B10CC724}"/>
    <cellStyle name="常规 11 5 5 7" xfId="13052" xr:uid="{0583FF7A-521C-4485-BD86-CBF1AA95A3AC}"/>
    <cellStyle name="常规 11 5 6" xfId="13053" xr:uid="{B53AD91A-8BE3-4CD9-9651-78B7A6E024BE}"/>
    <cellStyle name="常规 11 5 6 2" xfId="13054" xr:uid="{BAB1D193-56B4-415D-A045-3EA80CC86B77}"/>
    <cellStyle name="常规 11 5 6 2 2" xfId="13055" xr:uid="{CD9B8EAC-F560-42BD-B594-FF8474298688}"/>
    <cellStyle name="常规 11 5 6 2 3" xfId="13056" xr:uid="{80191FE9-063B-441B-8FAA-ACDEA68D1786}"/>
    <cellStyle name="常规 11 5 6 2 4" xfId="13057" xr:uid="{DB17B2C9-FBC3-4FF8-B0E0-E1D2017DAC52}"/>
    <cellStyle name="常规 11 5 6 2 5" xfId="13058" xr:uid="{D157E673-DDC6-4EDE-BD3A-D44F705ADB7E}"/>
    <cellStyle name="常规 11 5 6 2 6" xfId="13059" xr:uid="{3BE2C968-684B-4BC8-8F27-74958FA6E979}"/>
    <cellStyle name="常规 11 5 6 3" xfId="13060" xr:uid="{C6062D4A-EA65-4A08-BE89-FC59996CA5E6}"/>
    <cellStyle name="常规 11 5 6 4" xfId="13061" xr:uid="{D70E03C1-248F-4910-820B-89177B1DBBB5}"/>
    <cellStyle name="常规 11 5 6 5" xfId="13062" xr:uid="{11E66EF3-6973-4895-88D4-EF4E71414549}"/>
    <cellStyle name="常规 11 5 6 6" xfId="13063" xr:uid="{AAA68A14-FA45-414E-8E94-74F8D39368D2}"/>
    <cellStyle name="常规 11 5 6 7" xfId="13064" xr:uid="{867AAA59-C704-4140-A01C-D35C643AE490}"/>
    <cellStyle name="常规 11 5 7" xfId="13065" xr:uid="{914B55F7-6F09-468A-9DD9-C52572FB93E9}"/>
    <cellStyle name="常规 11 5 7 2" xfId="13066" xr:uid="{FEFF139D-7B0B-4A95-AD7B-D7DE506DF2B6}"/>
    <cellStyle name="常规 11 5 7 2 2" xfId="13067" xr:uid="{E4A1BBDC-BF1E-4C3C-B9A5-BD671C751637}"/>
    <cellStyle name="常规 11 5 7 2 3" xfId="13068" xr:uid="{5D9EA0DD-00C2-4589-854B-C9561B794125}"/>
    <cellStyle name="常规 11 5 7 2 4" xfId="13069" xr:uid="{82581686-8F52-47FC-BEF4-5D04BE5E67E4}"/>
    <cellStyle name="常规 11 5 7 2 5" xfId="13070" xr:uid="{1CE0B275-75BA-4A5E-8930-577816ACE8CD}"/>
    <cellStyle name="常规 11 5 7 2 6" xfId="13071" xr:uid="{E54D4794-A5F8-466E-8C68-AA1F40AFAF26}"/>
    <cellStyle name="常规 11 5 7 3" xfId="13072" xr:uid="{92070187-06C6-4771-AD7F-71C83D7A3296}"/>
    <cellStyle name="常规 11 5 7 4" xfId="13073" xr:uid="{E672DBB6-DDE0-4DDB-B3F3-77D7B237CED1}"/>
    <cellStyle name="常规 11 5 7 5" xfId="13074" xr:uid="{E7732686-AC77-45E7-9998-332F891B6A5B}"/>
    <cellStyle name="常规 11 5 7 6" xfId="13075" xr:uid="{AF8E4FBE-C2A4-4FC0-91A9-E324B95167FC}"/>
    <cellStyle name="常规 11 5 7 7" xfId="13076" xr:uid="{18523291-554F-4862-AE1E-F6453AACD934}"/>
    <cellStyle name="常规 11 5 8" xfId="13077" xr:uid="{88017B04-BFD8-4BDC-9DD8-705091E353DB}"/>
    <cellStyle name="常规 11 5 8 2" xfId="13078" xr:uid="{8ADBD964-00AD-4816-9E89-1161AD9D9FD1}"/>
    <cellStyle name="常规 11 5 8 2 2" xfId="13079" xr:uid="{21971BB1-14F8-4A6E-BC04-5362A7AF32C1}"/>
    <cellStyle name="常规 11 5 8 2 3" xfId="13080" xr:uid="{00D3F86B-F100-48AD-971A-46BFEC477B61}"/>
    <cellStyle name="常规 11 5 8 2 4" xfId="13081" xr:uid="{E43E515E-7EE5-4EED-8C94-D95BB58DA8E0}"/>
    <cellStyle name="常规 11 5 8 2 5" xfId="13082" xr:uid="{59DED85F-467E-4E35-9F5B-FEE6A7C0F09A}"/>
    <cellStyle name="常规 11 5 8 2 6" xfId="13083" xr:uid="{475E7C3F-481D-41BB-8172-9B1AF5D8BF03}"/>
    <cellStyle name="常规 11 5 8 3" xfId="13084" xr:uid="{231DB6AE-806D-4C61-9F06-4A9E4CC06B16}"/>
    <cellStyle name="常规 11 5 8 4" xfId="13085" xr:uid="{853B46EF-F20A-4C03-A554-7B93A185D050}"/>
    <cellStyle name="常规 11 5 8 5" xfId="13086" xr:uid="{6049520F-3DE1-4905-BFB2-42E0B0DD46C0}"/>
    <cellStyle name="常规 11 5 8 6" xfId="13087" xr:uid="{768D7B26-E400-403A-BBF4-811C218FD49E}"/>
    <cellStyle name="常规 11 5 8 7" xfId="13088" xr:uid="{B2D14ABA-5C21-4757-97E8-A026EDCCC4A2}"/>
    <cellStyle name="常规 11 5 9" xfId="13089" xr:uid="{99E674C0-412B-4F9E-8AB4-BF85C8861EFB}"/>
    <cellStyle name="常规 11 5 9 2" xfId="13090" xr:uid="{BD8C2817-1D7D-488F-8CBE-E7CC36A39CC8}"/>
    <cellStyle name="常规 11 5 9 2 2" xfId="13091" xr:uid="{1AC548AE-3523-417D-B6B7-AF928BDFB553}"/>
    <cellStyle name="常规 11 5 9 2 3" xfId="13092" xr:uid="{9ADFD862-DF80-4B62-864A-785D21BDB3F7}"/>
    <cellStyle name="常规 11 5 9 2 4" xfId="13093" xr:uid="{E021D987-577C-4F04-9DB5-F0F0EAB00392}"/>
    <cellStyle name="常规 11 5 9 2 5" xfId="13094" xr:uid="{7AAA63C8-72E1-4CF3-80F8-3EBDFF715863}"/>
    <cellStyle name="常规 11 5 9 2 6" xfId="13095" xr:uid="{A6B93FA8-F5E6-446A-81A4-305C4CEF425E}"/>
    <cellStyle name="常规 11 5 9 3" xfId="13096" xr:uid="{64102C40-88A9-4CC7-A86B-BB9BF35A209B}"/>
    <cellStyle name="常规 11 5 9 4" xfId="13097" xr:uid="{819B126A-4240-48C1-B65A-39D4A7D1C083}"/>
    <cellStyle name="常规 11 5 9 5" xfId="13098" xr:uid="{0524D7B0-2418-4877-97F3-16F5012B0EDD}"/>
    <cellStyle name="常规 11 5 9 6" xfId="13099" xr:uid="{C1493128-EC3F-464E-B03D-3E3AE60FEDC3}"/>
    <cellStyle name="常规 11 5 9 7" xfId="13100" xr:uid="{88A8DBB3-AA46-4F62-BBBA-2D3B3B415CEE}"/>
    <cellStyle name="常规 11 6" xfId="13101" xr:uid="{ED971615-BF2D-42DB-9DBA-7105E4D987E9}"/>
    <cellStyle name="常规 11 6 10" xfId="13102" xr:uid="{A3E51023-C562-4D07-AEB2-8A2424191BF9}"/>
    <cellStyle name="常规 11 6 11" xfId="13103" xr:uid="{C8B9FA95-C253-4AB6-9731-6B0EE23B94D0}"/>
    <cellStyle name="常规 11 6 12" xfId="13104" xr:uid="{5BF0B062-13C3-4664-8165-3C94DED4EBBD}"/>
    <cellStyle name="常规 11 6 13" xfId="13105" xr:uid="{E3DDC1DB-0889-40AB-A032-EAA21337D367}"/>
    <cellStyle name="常规 11 6 14" xfId="13106" xr:uid="{48D1DC2E-B6D0-4B56-AE43-AF15D5C9B46A}"/>
    <cellStyle name="常规 11 6 2" xfId="13107" xr:uid="{B1EA9F4A-972D-41AD-8F7B-438845F806B4}"/>
    <cellStyle name="常规 11 6 2 2" xfId="13108" xr:uid="{C0275872-B047-4150-B594-B3F5C70D7DEB}"/>
    <cellStyle name="常规 11 6 2 2 2" xfId="13109" xr:uid="{710B3C4D-1DDC-48DA-8A5C-043007401EF7}"/>
    <cellStyle name="常规 11 6 2 2 3" xfId="13110" xr:uid="{5CC3AD6E-DB68-49F9-B57E-1C1FE8190A67}"/>
    <cellStyle name="常规 11 6 2 2 4" xfId="13111" xr:uid="{31A26E72-64B2-4784-AA91-6FC7B8C98D73}"/>
    <cellStyle name="常规 11 6 2 2 5" xfId="13112" xr:uid="{586E1DCA-174D-487E-ADBF-53646E738D84}"/>
    <cellStyle name="常规 11 6 2 2 6" xfId="13113" xr:uid="{26202879-D5EE-43A3-AB7E-0BC632784662}"/>
    <cellStyle name="常规 11 6 2 3" xfId="13114" xr:uid="{BB4743D9-F360-40C5-9CBE-5774E9CAC56A}"/>
    <cellStyle name="常规 11 6 2 4" xfId="13115" xr:uid="{23E6BAC1-A921-487F-8444-7E1BB20458CE}"/>
    <cellStyle name="常规 11 6 2 5" xfId="13116" xr:uid="{873E9771-6646-40EE-A047-A0CBC786AA4F}"/>
    <cellStyle name="常规 11 6 2 6" xfId="13117" xr:uid="{F77DB832-DB42-4EB4-B56C-A4745303E42E}"/>
    <cellStyle name="常规 11 6 2 7" xfId="13118" xr:uid="{DE2AAF45-F7F7-4157-8358-2EE9A21DD47F}"/>
    <cellStyle name="常规 11 6 3" xfId="13119" xr:uid="{24B8802A-E0C7-4663-AB8B-1A49C83B01D8}"/>
    <cellStyle name="常规 11 6 3 2" xfId="13120" xr:uid="{4219C58A-A2BC-4D7D-9A33-022B0E65E481}"/>
    <cellStyle name="常规 11 6 3 2 2" xfId="13121" xr:uid="{9115DEB0-FCA1-44CB-A7C4-BC9DCFEFAE78}"/>
    <cellStyle name="常规 11 6 3 2 3" xfId="13122" xr:uid="{F43C8FA1-005C-4B6F-9298-11ACAA140B08}"/>
    <cellStyle name="常规 11 6 3 2 4" xfId="13123" xr:uid="{37427447-78DD-404C-B409-522801000BB0}"/>
    <cellStyle name="常规 11 6 3 2 5" xfId="13124" xr:uid="{746C7104-823E-4F5E-A152-4D9A96A7112A}"/>
    <cellStyle name="常规 11 6 3 2 6" xfId="13125" xr:uid="{5A9385B5-540F-45DE-B9AB-5938EB9E080C}"/>
    <cellStyle name="常规 11 6 3 3" xfId="13126" xr:uid="{B2014EFB-1D10-4277-9433-21FA63F27743}"/>
    <cellStyle name="常规 11 6 3 4" xfId="13127" xr:uid="{4DA537FB-2B2D-49BB-AE63-BB7065F830DD}"/>
    <cellStyle name="常规 11 6 3 5" xfId="13128" xr:uid="{709E88EF-8F1C-47A0-B323-7100C84E74E2}"/>
    <cellStyle name="常规 11 6 3 6" xfId="13129" xr:uid="{103D7CBD-5073-4DDF-9153-3B3A92F90435}"/>
    <cellStyle name="常规 11 6 3 7" xfId="13130" xr:uid="{216C91AF-D9DE-42F8-A3DF-1DC7FAF5D2DD}"/>
    <cellStyle name="常规 11 6 4" xfId="13131" xr:uid="{BBC482E9-B3AA-4B8D-B47C-8C30512E4E55}"/>
    <cellStyle name="常规 11 6 4 2" xfId="13132" xr:uid="{BFAF66D6-3F35-4346-B518-2ED088F7E50F}"/>
    <cellStyle name="常规 11 6 4 2 2" xfId="13133" xr:uid="{F5418CB2-A420-470B-8FDB-87817F69F0D5}"/>
    <cellStyle name="常规 11 6 4 2 3" xfId="13134" xr:uid="{66C57E5F-0D0D-4393-A2CF-A65F747D40D3}"/>
    <cellStyle name="常规 11 6 4 2 4" xfId="13135" xr:uid="{29A3AAA8-822D-4020-8AA8-068F42519DD9}"/>
    <cellStyle name="常规 11 6 4 2 5" xfId="13136" xr:uid="{C13C9E13-52EF-4163-9C64-5A15DDD2DBA1}"/>
    <cellStyle name="常规 11 6 4 2 6" xfId="13137" xr:uid="{69691C24-F930-4E23-82FC-80EDAAB54D3D}"/>
    <cellStyle name="常规 11 6 4 3" xfId="13138" xr:uid="{709E1C19-C88C-4EF2-8446-62C0F5EBC824}"/>
    <cellStyle name="常规 11 6 4 4" xfId="13139" xr:uid="{D9F5C762-FDEB-4447-9E37-7F321D7C31E9}"/>
    <cellStyle name="常规 11 6 4 5" xfId="13140" xr:uid="{065FE75C-1B6F-486E-9501-75C71D4D4AD3}"/>
    <cellStyle name="常规 11 6 4 6" xfId="13141" xr:uid="{A4851462-ED00-434C-A0B5-75F7B3946D40}"/>
    <cellStyle name="常规 11 6 4 7" xfId="13142" xr:uid="{8B5E52E6-FC8A-4920-8FE8-8D86FF03D77C}"/>
    <cellStyle name="常规 11 6 5" xfId="13143" xr:uid="{8DF3A13F-BA13-4B2F-B409-0541B7E368C2}"/>
    <cellStyle name="常规 11 6 5 2" xfId="13144" xr:uid="{86569568-A0A5-4F35-A0BE-CD8D82860387}"/>
    <cellStyle name="常规 11 6 5 2 2" xfId="13145" xr:uid="{A2F9D05E-D3B2-4F48-9E66-30F7005D6F58}"/>
    <cellStyle name="常规 11 6 5 2 3" xfId="13146" xr:uid="{48F66BB8-49FC-4CB3-ABEF-2F48E8CA35C4}"/>
    <cellStyle name="常规 11 6 5 2 4" xfId="13147" xr:uid="{A3818EF1-CAFC-417B-9ADE-93D36AC39FA7}"/>
    <cellStyle name="常规 11 6 5 2 5" xfId="13148" xr:uid="{EF128F89-76AD-46F3-AACD-870CAC998059}"/>
    <cellStyle name="常规 11 6 5 2 6" xfId="13149" xr:uid="{1F95D7FE-537F-4A72-9529-2C843EE61530}"/>
    <cellStyle name="常规 11 6 5 3" xfId="13150" xr:uid="{239EA0EE-91BA-486E-9B2E-6F3484F13F18}"/>
    <cellStyle name="常规 11 6 5 4" xfId="13151" xr:uid="{C98435BC-8F40-48F0-930A-67A0C45529D6}"/>
    <cellStyle name="常规 11 6 5 5" xfId="13152" xr:uid="{D0DAEDC2-392B-4143-BE8B-20E3997DF3BA}"/>
    <cellStyle name="常规 11 6 5 6" xfId="13153" xr:uid="{83661DD4-9A46-43BA-AC5F-F65FCC8E5EE8}"/>
    <cellStyle name="常规 11 6 5 7" xfId="13154" xr:uid="{E154CA73-B284-499E-99A9-59C74C13E0B4}"/>
    <cellStyle name="常规 11 6 6" xfId="13155" xr:uid="{CF6F1B5F-8458-48FB-A853-9B4B3BC975B4}"/>
    <cellStyle name="常规 11 6 6 2" xfId="13156" xr:uid="{72AEDED7-A304-48CA-AE6E-9143D65B7CF1}"/>
    <cellStyle name="常规 11 6 6 2 2" xfId="13157" xr:uid="{1F7C7103-0A30-4307-ADB1-B709D27A8576}"/>
    <cellStyle name="常规 11 6 6 2 3" xfId="13158" xr:uid="{9C82CB9F-7C26-4152-92CB-CD8D293228A8}"/>
    <cellStyle name="常规 11 6 6 2 4" xfId="13159" xr:uid="{BCDBF686-6480-4227-84F9-2F09273557E2}"/>
    <cellStyle name="常规 11 6 6 2 5" xfId="13160" xr:uid="{A7BE3D2E-4E23-4668-9714-90262756C22A}"/>
    <cellStyle name="常规 11 6 6 2 6" xfId="13161" xr:uid="{E6893E95-4241-45F1-B2C3-D1508E3A2701}"/>
    <cellStyle name="常规 11 6 6 3" xfId="13162" xr:uid="{9EAC9C2B-5D51-4E7B-93F8-E6B0D2C295EB}"/>
    <cellStyle name="常规 11 6 6 4" xfId="13163" xr:uid="{CF1A2380-DBA5-45AE-990A-DB6C18750F79}"/>
    <cellStyle name="常规 11 6 6 5" xfId="13164" xr:uid="{5C60E322-28E5-4C79-9E7D-A080CBF35091}"/>
    <cellStyle name="常规 11 6 6 6" xfId="13165" xr:uid="{F443D6EE-0F24-49E9-824F-E2D8FA049791}"/>
    <cellStyle name="常规 11 6 6 7" xfId="13166" xr:uid="{C717EF27-6B27-489C-826E-F0342312EF91}"/>
    <cellStyle name="常规 11 6 7" xfId="13167" xr:uid="{9B45E364-C1BC-4996-846F-2E8022759FE5}"/>
    <cellStyle name="常规 11 6 7 2" xfId="13168" xr:uid="{511B816A-1729-45B8-B286-7EA604646581}"/>
    <cellStyle name="常规 11 6 7 2 2" xfId="13169" xr:uid="{48F614E7-94DE-4309-97AD-A1904675E6B4}"/>
    <cellStyle name="常规 11 6 7 2 3" xfId="13170" xr:uid="{FAFC7B86-AF29-4D93-965F-27A53636D9BD}"/>
    <cellStyle name="常规 11 6 7 2 4" xfId="13171" xr:uid="{511B71D0-CA8E-46C2-BC58-CA3724D5B8D3}"/>
    <cellStyle name="常规 11 6 7 2 5" xfId="13172" xr:uid="{7BF82117-8F1A-4CDA-A91E-E08588FCE057}"/>
    <cellStyle name="常规 11 6 7 2 6" xfId="13173" xr:uid="{4500FD57-BF9A-431E-A1B5-110EBAFBA20B}"/>
    <cellStyle name="常规 11 6 7 3" xfId="13174" xr:uid="{78D188B3-E712-47AE-96DF-AA8B5A58D062}"/>
    <cellStyle name="常规 11 6 7 4" xfId="13175" xr:uid="{B1CD5A14-D024-4550-BD0C-16E52A86421E}"/>
    <cellStyle name="常规 11 6 7 5" xfId="13176" xr:uid="{6CBC5E5A-46CB-4AD6-AF06-39FEF577DE2F}"/>
    <cellStyle name="常规 11 6 7 6" xfId="13177" xr:uid="{9FD1C5CC-BFFD-4843-BE95-08AB1BAD7B5C}"/>
    <cellStyle name="常规 11 6 7 7" xfId="13178" xr:uid="{1EC19064-F0EB-4D71-8380-C24F040C2F12}"/>
    <cellStyle name="常规 11 6 8" xfId="13179" xr:uid="{FFD09128-9C56-4C7B-9D36-06A616371BEF}"/>
    <cellStyle name="常规 11 6 8 2" xfId="13180" xr:uid="{F47CBD91-BA35-4BD1-8259-1535AB0294BC}"/>
    <cellStyle name="常规 11 6 8 2 2" xfId="13181" xr:uid="{08A00941-ADDD-45EE-8CCE-673A38EE9F13}"/>
    <cellStyle name="常规 11 6 8 2 3" xfId="13182" xr:uid="{06FA178D-803C-46F8-BBBB-5C8C75690E3A}"/>
    <cellStyle name="常规 11 6 8 2 4" xfId="13183" xr:uid="{FD213ED0-4571-4F64-842F-50394816D11A}"/>
    <cellStyle name="常规 11 6 8 2 5" xfId="13184" xr:uid="{50B93D4B-F5EE-490D-AA67-E2FE2962BBA8}"/>
    <cellStyle name="常规 11 6 8 2 6" xfId="13185" xr:uid="{5EBF231B-63C6-4079-A668-3E239E377401}"/>
    <cellStyle name="常规 11 6 8 3" xfId="13186" xr:uid="{32692B16-26B6-4B34-BC12-9F91536B3642}"/>
    <cellStyle name="常规 11 6 8 4" xfId="13187" xr:uid="{3EB9E7E0-2E0F-4BD7-905A-C952EC02655F}"/>
    <cellStyle name="常规 11 6 8 5" xfId="13188" xr:uid="{83C6F62E-E5D5-4A39-81A7-D5E1BD73A328}"/>
    <cellStyle name="常规 11 6 8 6" xfId="13189" xr:uid="{FBCF0DD5-1D8D-4035-B6D7-63A1D36AD2EF}"/>
    <cellStyle name="常规 11 6 8 7" xfId="13190" xr:uid="{3B58891D-5D91-4104-AF2D-720DC61517E3}"/>
    <cellStyle name="常规 11 6 9" xfId="13191" xr:uid="{FF44C833-48C2-4485-8A7D-D1A7D612B880}"/>
    <cellStyle name="常规 11 6 9 2" xfId="13192" xr:uid="{BFCA460F-953B-48C8-92B3-7A210697770F}"/>
    <cellStyle name="常规 11 6 9 3" xfId="13193" xr:uid="{E00D4BF5-DBA4-42B4-93A6-78222AAFF36F}"/>
    <cellStyle name="常规 11 6 9 4" xfId="13194" xr:uid="{41717E4A-57A1-4786-9F6B-1CEA937B13B3}"/>
    <cellStyle name="常规 11 6 9 5" xfId="13195" xr:uid="{97AFA6F6-16B8-4036-A995-73082E5C0F0A}"/>
    <cellStyle name="常规 11 6 9 6" xfId="13196" xr:uid="{E1E12179-1080-4E8B-9F96-A488A9ED9F3B}"/>
    <cellStyle name="常规 11 7" xfId="13197" xr:uid="{E757516E-CD8A-479A-8465-7116521E3BCD}"/>
    <cellStyle name="常规 11 7 10" xfId="13198" xr:uid="{BD662B17-E533-44E9-BFB1-02A5BF485D65}"/>
    <cellStyle name="常规 11 7 11" xfId="13199" xr:uid="{770D8FD6-5AAD-4FBB-A99B-CA80EAE14519}"/>
    <cellStyle name="常规 11 7 12" xfId="13200" xr:uid="{528F985C-2E8B-4B09-93F4-55B4A0532868}"/>
    <cellStyle name="常规 11 7 13" xfId="13201" xr:uid="{44687E15-634A-4245-BE15-EEA51BCC6A90}"/>
    <cellStyle name="常规 11 7 2" xfId="13202" xr:uid="{EEBD9003-8F3B-4C1F-A7C1-39E02230E7FE}"/>
    <cellStyle name="常规 11 7 2 2" xfId="13203" xr:uid="{ADA51F9A-E3E9-4F4F-892E-0A2496A63FCB}"/>
    <cellStyle name="常规 11 7 2 2 2" xfId="13204" xr:uid="{371AAC70-A0A3-4E1B-B09D-27E3A227BF83}"/>
    <cellStyle name="常规 11 7 2 2 3" xfId="13205" xr:uid="{9AD78272-F4DF-4832-A985-E0069C959FFB}"/>
    <cellStyle name="常规 11 7 2 2 4" xfId="13206" xr:uid="{26899763-E675-4906-95EB-3E2FD17D85FA}"/>
    <cellStyle name="常规 11 7 2 2 5" xfId="13207" xr:uid="{B6D248E2-0142-45EF-82F7-24B4BF475267}"/>
    <cellStyle name="常规 11 7 2 2 6" xfId="13208" xr:uid="{98E4EB8D-8B1F-4824-ACA4-543C8BFD7BCD}"/>
    <cellStyle name="常规 11 7 2 3" xfId="13209" xr:uid="{73F84526-A148-4515-A0CD-9D5582F3E353}"/>
    <cellStyle name="常规 11 7 2 4" xfId="13210" xr:uid="{188C518D-3737-4D3B-BE16-100154D883D6}"/>
    <cellStyle name="常规 11 7 2 5" xfId="13211" xr:uid="{D8FDDE7E-C3F8-45E5-B3C0-DDD4354A3B85}"/>
    <cellStyle name="常规 11 7 2 6" xfId="13212" xr:uid="{AA8B0D8C-44B1-466C-8454-DEAFAB6BAFAE}"/>
    <cellStyle name="常规 11 7 2 7" xfId="13213" xr:uid="{02C7BAFD-C4C7-4894-8729-EB9B25F0C622}"/>
    <cellStyle name="常规 11 7 3" xfId="13214" xr:uid="{44DEF06A-903F-4D58-AD27-2FDF40BC44ED}"/>
    <cellStyle name="常规 11 7 3 2" xfId="13215" xr:uid="{6AF3EA8D-96BD-4C15-B178-BE1E4372B1BE}"/>
    <cellStyle name="常规 11 7 3 2 2" xfId="13216" xr:uid="{A876579E-03A3-49FC-8F74-DBEBF06E49D8}"/>
    <cellStyle name="常规 11 7 3 2 3" xfId="13217" xr:uid="{03F299FA-10A4-408F-9D7C-19786C163A4A}"/>
    <cellStyle name="常规 11 7 3 2 4" xfId="13218" xr:uid="{5B63909F-312F-4BF7-95F1-B3BC72756633}"/>
    <cellStyle name="常规 11 7 3 2 5" xfId="13219" xr:uid="{6610C0E4-570F-4F8E-ABAA-53E866DF32D9}"/>
    <cellStyle name="常规 11 7 3 2 6" xfId="13220" xr:uid="{A3D0CD25-15BD-4A6B-A66D-A8C30030E4F8}"/>
    <cellStyle name="常规 11 7 3 3" xfId="13221" xr:uid="{57ED8415-1285-49A3-B9AC-D897C0A0DA0D}"/>
    <cellStyle name="常规 11 7 3 4" xfId="13222" xr:uid="{30D3CD6C-E3C7-4F0D-B508-DDBEA6259832}"/>
    <cellStyle name="常规 11 7 3 5" xfId="13223" xr:uid="{1DF02894-CD0D-4568-9DC5-0BE5B5AC297E}"/>
    <cellStyle name="常规 11 7 3 6" xfId="13224" xr:uid="{072C330A-4175-45B4-8C48-E7D4871192B8}"/>
    <cellStyle name="常规 11 7 3 7" xfId="13225" xr:uid="{A7DEE27A-CF98-479E-BD35-8D1DC30FD7EC}"/>
    <cellStyle name="常规 11 7 4" xfId="13226" xr:uid="{96C4A3D4-C717-41BA-8E3D-00A709C7132D}"/>
    <cellStyle name="常规 11 7 4 2" xfId="13227" xr:uid="{CECD3B91-79BC-4D41-A369-58BEE68500E2}"/>
    <cellStyle name="常规 11 7 4 2 2" xfId="13228" xr:uid="{23385174-54FB-4460-8317-7912F567E936}"/>
    <cellStyle name="常规 11 7 4 2 3" xfId="13229" xr:uid="{97FC69E9-AB52-49FA-9349-63B27A05E738}"/>
    <cellStyle name="常规 11 7 4 2 4" xfId="13230" xr:uid="{75BD2759-0333-47DF-B823-BF4979B1A7CD}"/>
    <cellStyle name="常规 11 7 4 2 5" xfId="13231" xr:uid="{444B5612-A4C5-4AD9-BC6A-86DBB7090651}"/>
    <cellStyle name="常规 11 7 4 2 6" xfId="13232" xr:uid="{8CA8CCAD-3147-4BA7-9DFB-F2080D22781A}"/>
    <cellStyle name="常规 11 7 4 3" xfId="13233" xr:uid="{B1E4D5A1-94D3-4C7F-A25F-04DDDD3D0D0C}"/>
    <cellStyle name="常规 11 7 4 4" xfId="13234" xr:uid="{466A7FEB-E6A5-4A84-AD5E-262FC260DDA3}"/>
    <cellStyle name="常规 11 7 4 5" xfId="13235" xr:uid="{66A98CE0-B15F-4FC0-BA7A-D583DFC6C1C9}"/>
    <cellStyle name="常规 11 7 4 6" xfId="13236" xr:uid="{ABE6DC62-8F0C-4FCC-8FAC-06087FDC1C44}"/>
    <cellStyle name="常规 11 7 4 7" xfId="13237" xr:uid="{260C3C5E-634D-480B-B0D9-D6AF7877651A}"/>
    <cellStyle name="常规 11 7 5" xfId="13238" xr:uid="{76F483AF-3826-4B86-BE22-111F364BC048}"/>
    <cellStyle name="常规 11 7 5 2" xfId="13239" xr:uid="{F672563A-C7D8-4045-A149-777FB0F6188C}"/>
    <cellStyle name="常规 11 7 5 2 2" xfId="13240" xr:uid="{40C14819-47B6-486A-9D80-6FADBF99484C}"/>
    <cellStyle name="常规 11 7 5 2 3" xfId="13241" xr:uid="{89FA178A-435C-4934-9CB5-B9D9D875D6B9}"/>
    <cellStyle name="常规 11 7 5 2 4" xfId="13242" xr:uid="{028C3B04-9FEC-4813-B476-E8EAD933B36F}"/>
    <cellStyle name="常规 11 7 5 2 5" xfId="13243" xr:uid="{87C4F332-6C3B-4084-844A-956F2C8233F3}"/>
    <cellStyle name="常规 11 7 5 2 6" xfId="13244" xr:uid="{54B9EB72-D756-4ADD-8C56-7DE9062A3BE2}"/>
    <cellStyle name="常规 11 7 5 3" xfId="13245" xr:uid="{983DCA7D-E2D4-41E4-9FCF-19B74C4016B1}"/>
    <cellStyle name="常规 11 7 5 4" xfId="13246" xr:uid="{E43B70AF-B1F8-4B1C-B01A-D3AD1FF592A2}"/>
    <cellStyle name="常规 11 7 5 5" xfId="13247" xr:uid="{09CDFB76-A2D4-43C4-8C6B-560D059331A8}"/>
    <cellStyle name="常规 11 7 5 6" xfId="13248" xr:uid="{12A731E3-E007-48A7-862C-90DA17040B8B}"/>
    <cellStyle name="常规 11 7 5 7" xfId="13249" xr:uid="{5A9CFD31-B14D-4EE2-9AFB-EA21C641D0FC}"/>
    <cellStyle name="常规 11 7 6" xfId="13250" xr:uid="{4D4D809F-0DC2-4DDC-8DC7-BEFBB9901082}"/>
    <cellStyle name="常规 11 7 6 2" xfId="13251" xr:uid="{FDEF1270-FB20-4454-B4A1-268789FB94D9}"/>
    <cellStyle name="常规 11 7 6 2 2" xfId="13252" xr:uid="{CAD2A7E9-AD07-4452-8CE5-3D7644DFC137}"/>
    <cellStyle name="常规 11 7 6 2 3" xfId="13253" xr:uid="{EFF19B61-A689-46B5-8C4C-B64B70929657}"/>
    <cellStyle name="常规 11 7 6 2 4" xfId="13254" xr:uid="{080B4AC4-A000-49B7-B7E2-80655E5F9574}"/>
    <cellStyle name="常规 11 7 6 2 5" xfId="13255" xr:uid="{55C3A1FB-8FED-41F9-9D2E-7A0226A3AE51}"/>
    <cellStyle name="常规 11 7 6 2 6" xfId="13256" xr:uid="{A12F5718-2422-4112-AF2B-7B08668FC368}"/>
    <cellStyle name="常规 11 7 6 3" xfId="13257" xr:uid="{62E73942-0CD3-4284-B858-B3B59BBABA43}"/>
    <cellStyle name="常规 11 7 6 4" xfId="13258" xr:uid="{9AC59920-A262-4C9B-879C-98921F0B8AA9}"/>
    <cellStyle name="常规 11 7 6 5" xfId="13259" xr:uid="{7C3176EA-D223-4655-A795-FA7CF5A64659}"/>
    <cellStyle name="常规 11 7 6 6" xfId="13260" xr:uid="{22DF4118-6432-4964-8C04-ACA0585F7210}"/>
    <cellStyle name="常规 11 7 6 7" xfId="13261" xr:uid="{43C64EA5-D075-48F9-8A3F-12FF0E753944}"/>
    <cellStyle name="常规 11 7 7" xfId="13262" xr:uid="{0B1A1688-98B3-4291-B81C-2BABEE9612E5}"/>
    <cellStyle name="常规 11 7 7 2" xfId="13263" xr:uid="{1D35F282-0CD0-4BF0-8C00-10D970CCF6BE}"/>
    <cellStyle name="常规 11 7 7 2 2" xfId="13264" xr:uid="{B6C18E5B-37D6-43CC-B6C2-89A9DDD33035}"/>
    <cellStyle name="常规 11 7 7 2 3" xfId="13265" xr:uid="{3489E8C7-B63E-4050-9BB0-719160387853}"/>
    <cellStyle name="常规 11 7 7 2 4" xfId="13266" xr:uid="{FF11C475-C918-4F5E-83E5-2939734F0600}"/>
    <cellStyle name="常规 11 7 7 2 5" xfId="13267" xr:uid="{5923E7DB-7E09-41A1-8C6C-C15B2FB9A0D5}"/>
    <cellStyle name="常规 11 7 7 2 6" xfId="13268" xr:uid="{606A2033-3D2B-45D8-B5DB-8AE3722CE56F}"/>
    <cellStyle name="常规 11 7 7 3" xfId="13269" xr:uid="{77F301D4-BBBF-4421-9BEF-227FB5FAB89A}"/>
    <cellStyle name="常规 11 7 7 4" xfId="13270" xr:uid="{8C7C327D-F492-4BFB-93F8-176A3CABAB55}"/>
    <cellStyle name="常规 11 7 7 5" xfId="13271" xr:uid="{65B540CD-8FF0-4534-B8DB-2A52AE476D07}"/>
    <cellStyle name="常规 11 7 7 6" xfId="13272" xr:uid="{61C746B1-E30E-4D56-8193-55E4BD2926C4}"/>
    <cellStyle name="常规 11 7 7 7" xfId="13273" xr:uid="{96AAA9E6-2CF2-4F55-BF79-E96B40C8DBFD}"/>
    <cellStyle name="常规 11 7 8" xfId="13274" xr:uid="{BB1DC699-F2B7-49D4-8515-1C4ED3B12481}"/>
    <cellStyle name="常规 11 7 8 2" xfId="13275" xr:uid="{C4F19088-D325-4850-8E22-4A7B8F478FD2}"/>
    <cellStyle name="常规 11 7 8 3" xfId="13276" xr:uid="{1B4D547D-60F9-4090-85D3-E5B235640CB9}"/>
    <cellStyle name="常规 11 7 8 4" xfId="13277" xr:uid="{B561B37A-9AA3-49A9-8B70-74D07FEF418B}"/>
    <cellStyle name="常规 11 7 8 5" xfId="13278" xr:uid="{43F58012-0AF9-4D33-988E-C507A79F9001}"/>
    <cellStyle name="常规 11 7 8 6" xfId="13279" xr:uid="{84595FBA-3A77-4D60-9EA0-F4F79FE2FAB0}"/>
    <cellStyle name="常规 11 7 9" xfId="13280" xr:uid="{442148D8-2D4A-4B0A-B010-A9088417FE5E}"/>
    <cellStyle name="常规 11 8" xfId="13281" xr:uid="{46F8F60E-2306-46D6-BC84-EAC0673171CC}"/>
    <cellStyle name="常规 11 8 10" xfId="13282" xr:uid="{31AF9CE6-B628-4059-8B96-A8C1A0BC94E9}"/>
    <cellStyle name="常规 11 8 11" xfId="13283" xr:uid="{B5CDBDC3-F71F-4149-9A1F-AC946257A002}"/>
    <cellStyle name="常规 11 8 12" xfId="13284" xr:uid="{3F7BB2EF-4957-4589-9F21-84B12F625C2A}"/>
    <cellStyle name="常规 11 8 2" xfId="13285" xr:uid="{BFBDED5B-64DB-4094-804E-030B4F7EA3DA}"/>
    <cellStyle name="常规 11 8 2 2" xfId="13286" xr:uid="{AE2670B0-BDE9-4E88-906E-F0A881BB745B}"/>
    <cellStyle name="常规 11 8 2 2 2" xfId="13287" xr:uid="{162FDE1A-9207-476D-9FC8-81EFEA419F3D}"/>
    <cellStyle name="常规 11 8 2 2 3" xfId="13288" xr:uid="{8FD778AA-F941-4D56-88EA-92738122B43C}"/>
    <cellStyle name="常规 11 8 2 2 4" xfId="13289" xr:uid="{3289C292-5604-4AF0-98AB-74E7D41CE487}"/>
    <cellStyle name="常规 11 8 2 2 5" xfId="13290" xr:uid="{1D8249E9-3839-40ED-B893-765BE09A6A21}"/>
    <cellStyle name="常规 11 8 2 2 6" xfId="13291" xr:uid="{89757C46-960C-48C4-A714-4BFBC7310BE4}"/>
    <cellStyle name="常规 11 8 2 3" xfId="13292" xr:uid="{251505AC-86C7-4F4D-BB25-1254CD454C34}"/>
    <cellStyle name="常规 11 8 2 4" xfId="13293" xr:uid="{432F7D3D-8700-43BD-9D43-8308E8DF8F03}"/>
    <cellStyle name="常规 11 8 2 5" xfId="13294" xr:uid="{EEBA7E22-E17D-4B0A-9C11-D3FE8087F1B2}"/>
    <cellStyle name="常规 11 8 2 6" xfId="13295" xr:uid="{4E78A3F7-9738-49CF-ADAC-95CB7F50C9CB}"/>
    <cellStyle name="常规 11 8 2 7" xfId="13296" xr:uid="{06197621-156B-4D55-A3B7-C3DBB8D5AE26}"/>
    <cellStyle name="常规 11 8 3" xfId="13297" xr:uid="{7B2FEE73-5F67-4948-A105-B5CBF67A5F70}"/>
    <cellStyle name="常规 11 8 3 2" xfId="13298" xr:uid="{42A3CF8C-19B6-4F86-A881-4B07CA5F5D4C}"/>
    <cellStyle name="常规 11 8 3 2 2" xfId="13299" xr:uid="{5536B999-2372-4804-9203-EACA397D9DA4}"/>
    <cellStyle name="常规 11 8 3 2 3" xfId="13300" xr:uid="{26DD5D1F-16DC-4E15-9382-8E7F3376E92F}"/>
    <cellStyle name="常规 11 8 3 2 4" xfId="13301" xr:uid="{F119586D-3B79-4346-BD1C-51F706309C71}"/>
    <cellStyle name="常规 11 8 3 2 5" xfId="13302" xr:uid="{10498108-095D-4EF9-9DB7-2EF65B01ED7C}"/>
    <cellStyle name="常规 11 8 3 2 6" xfId="13303" xr:uid="{75EAED49-08A1-468A-AD78-5B0CDEAFF0CE}"/>
    <cellStyle name="常规 11 8 3 3" xfId="13304" xr:uid="{3ABE6F23-A068-4E07-97D7-44C2A0D2FEF6}"/>
    <cellStyle name="常规 11 8 3 4" xfId="13305" xr:uid="{0ADD480A-53E2-43F7-8799-5C42CCF8253E}"/>
    <cellStyle name="常规 11 8 3 5" xfId="13306" xr:uid="{470B8F11-AAFE-40AD-AB57-11355232EC3D}"/>
    <cellStyle name="常规 11 8 3 6" xfId="13307" xr:uid="{6F5CC12D-C116-4372-ACCC-5686FDD4BF14}"/>
    <cellStyle name="常规 11 8 3 7" xfId="13308" xr:uid="{34D879A8-7B10-4965-8ED8-993EBB218C58}"/>
    <cellStyle name="常规 11 8 4" xfId="13309" xr:uid="{7DC1DD93-5136-44AE-A3AE-4DAAC2F92C95}"/>
    <cellStyle name="常规 11 8 4 2" xfId="13310" xr:uid="{29501D74-6229-432B-B3C7-BF9BD25B2578}"/>
    <cellStyle name="常规 11 8 4 2 2" xfId="13311" xr:uid="{74B1F4C3-81CC-42E0-82AD-C7E7E875501A}"/>
    <cellStyle name="常规 11 8 4 2 3" xfId="13312" xr:uid="{4893E623-84BD-469E-969F-89A897A62E4E}"/>
    <cellStyle name="常规 11 8 4 2 4" xfId="13313" xr:uid="{B90554F4-76AB-420C-B1FF-C8309701905B}"/>
    <cellStyle name="常规 11 8 4 2 5" xfId="13314" xr:uid="{501BA6AF-072E-4042-BB68-37BA0BCCC069}"/>
    <cellStyle name="常规 11 8 4 2 6" xfId="13315" xr:uid="{56C9FCC4-68CD-456C-AD6F-A40F020833EB}"/>
    <cellStyle name="常规 11 8 4 3" xfId="13316" xr:uid="{87D231A7-AF63-4F47-87A1-7FA8A9ECAF86}"/>
    <cellStyle name="常规 11 8 4 4" xfId="13317" xr:uid="{8B2981D5-E052-4AA3-B541-A8EE9AB9B9BA}"/>
    <cellStyle name="常规 11 8 4 5" xfId="13318" xr:uid="{2E2A6EA8-C8D5-41E8-8028-117A5ACBB121}"/>
    <cellStyle name="常规 11 8 4 6" xfId="13319" xr:uid="{7125ED61-D453-4E86-9AF7-0FF8521F2AAD}"/>
    <cellStyle name="常规 11 8 4 7" xfId="13320" xr:uid="{B2A5E3DC-8A15-43B2-862A-6E887A3CCD0B}"/>
    <cellStyle name="常规 11 8 5" xfId="13321" xr:uid="{4B5E31B6-F33F-446E-B24F-05321851D0C6}"/>
    <cellStyle name="常规 11 8 5 2" xfId="13322" xr:uid="{3FA66893-6847-429F-98BC-D4823D2F27D5}"/>
    <cellStyle name="常规 11 8 5 2 2" xfId="13323" xr:uid="{4739C82B-C3D1-48C0-876A-4B961F380903}"/>
    <cellStyle name="常规 11 8 5 2 3" xfId="13324" xr:uid="{E18F0539-ED79-432E-912D-7BC010183ABD}"/>
    <cellStyle name="常规 11 8 5 2 4" xfId="13325" xr:uid="{616ABBB8-DDE0-4A3B-B21C-F8684AF01523}"/>
    <cellStyle name="常规 11 8 5 2 5" xfId="13326" xr:uid="{EF8E1FF4-C12D-4651-83BF-96C76E5405B2}"/>
    <cellStyle name="常规 11 8 5 2 6" xfId="13327" xr:uid="{D8C9E68F-788B-48D0-AE81-6772474659B1}"/>
    <cellStyle name="常规 11 8 5 3" xfId="13328" xr:uid="{A4716453-852B-40FD-9A54-B0727A865C73}"/>
    <cellStyle name="常规 11 8 5 4" xfId="13329" xr:uid="{9493E47E-8627-4697-B205-F9FDAC0A0714}"/>
    <cellStyle name="常规 11 8 5 5" xfId="13330" xr:uid="{8100068E-460B-4B29-B9DF-2A7BCB20122B}"/>
    <cellStyle name="常规 11 8 5 6" xfId="13331" xr:uid="{FA64EAAE-8910-4641-A317-2A62855A31E6}"/>
    <cellStyle name="常规 11 8 5 7" xfId="13332" xr:uid="{603C2669-71B6-453F-8E9A-8533D8FBF093}"/>
    <cellStyle name="常规 11 8 6" xfId="13333" xr:uid="{CE3B28A3-A615-4965-81F0-939499ED7753}"/>
    <cellStyle name="常规 11 8 6 2" xfId="13334" xr:uid="{C0199D01-0DB0-4130-B121-3DB82E9E1482}"/>
    <cellStyle name="常规 11 8 6 2 2" xfId="13335" xr:uid="{92E0EDCE-E71A-4211-942D-560A89943711}"/>
    <cellStyle name="常规 11 8 6 2 3" xfId="13336" xr:uid="{5E398E9D-E28A-42C8-BB00-A1D30128CA98}"/>
    <cellStyle name="常规 11 8 6 2 4" xfId="13337" xr:uid="{2D6CD062-B0ED-44E2-92B2-CB3B55FF94C1}"/>
    <cellStyle name="常规 11 8 6 2 5" xfId="13338" xr:uid="{077CC1EF-04CF-496E-8656-4346A4C1FCAC}"/>
    <cellStyle name="常规 11 8 6 2 6" xfId="13339" xr:uid="{37CE07C8-D129-4F24-8FDC-8A66FC4AA949}"/>
    <cellStyle name="常规 11 8 6 3" xfId="13340" xr:uid="{49D98F8A-14E1-4C8D-B4F4-F6921DF94676}"/>
    <cellStyle name="常规 11 8 6 4" xfId="13341" xr:uid="{8E3AE98B-E898-4B9E-AA76-4AC0698CF551}"/>
    <cellStyle name="常规 11 8 6 5" xfId="13342" xr:uid="{A01BA31D-1F18-41B6-AC69-C9F0BD3BBC23}"/>
    <cellStyle name="常规 11 8 6 6" xfId="13343" xr:uid="{EBF1B045-D632-4F46-9C54-CBFA11460519}"/>
    <cellStyle name="常规 11 8 6 7" xfId="13344" xr:uid="{E546F24E-54A3-42D7-BDA2-EC779825B46E}"/>
    <cellStyle name="常规 11 8 7" xfId="13345" xr:uid="{4D3337A9-AD5F-413B-87DF-D2E06AFC1097}"/>
    <cellStyle name="常规 11 8 7 2" xfId="13346" xr:uid="{D594E723-014A-4A8C-AE7A-25BB0698BEF4}"/>
    <cellStyle name="常规 11 8 7 3" xfId="13347" xr:uid="{21627260-511B-409A-93A8-326044F7A021}"/>
    <cellStyle name="常规 11 8 7 4" xfId="13348" xr:uid="{B1FF1C71-0D39-43B1-9BE8-CD40D2039040}"/>
    <cellStyle name="常规 11 8 7 5" xfId="13349" xr:uid="{618D3EAA-539E-4DCD-8F10-EFB0691F3D23}"/>
    <cellStyle name="常规 11 8 7 6" xfId="13350" xr:uid="{A8D99B15-B805-4B46-A22A-C2F2FF632F29}"/>
    <cellStyle name="常规 11 8 8" xfId="13351" xr:uid="{9FF2F1E5-B303-4182-A870-4BF618DA5129}"/>
    <cellStyle name="常规 11 8 9" xfId="13352" xr:uid="{225BB598-37A1-418C-AA8C-A52B8CF71917}"/>
    <cellStyle name="常规 11 9" xfId="13353" xr:uid="{2CEFA281-377B-4EAF-96DB-B61CE5E77A4B}"/>
    <cellStyle name="常规 11 9 10" xfId="13354" xr:uid="{D4426213-BAFD-442E-9101-DC13A3B5D93A}"/>
    <cellStyle name="常规 11 9 11" xfId="13355" xr:uid="{948B8DCC-2EAA-4C8D-91FB-01FBE844046C}"/>
    <cellStyle name="常规 11 9 2" xfId="13356" xr:uid="{96811DEF-6D62-4353-B2EC-9385159DCE72}"/>
    <cellStyle name="常规 11 9 2 2" xfId="13357" xr:uid="{3FB72AE7-8461-4932-9CCF-3C2793BF2667}"/>
    <cellStyle name="常规 11 9 2 2 2" xfId="13358" xr:uid="{B5EF7B09-41B7-4B30-8DF2-5D9935172B59}"/>
    <cellStyle name="常规 11 9 2 2 3" xfId="13359" xr:uid="{E85AC5E9-35E6-4A7A-B117-D107B74F9B30}"/>
    <cellStyle name="常规 11 9 2 2 4" xfId="13360" xr:uid="{181BBCDC-1BD3-4BB1-B9AB-2DFD10B0052C}"/>
    <cellStyle name="常规 11 9 2 2 5" xfId="13361" xr:uid="{F9429EDC-37F5-482F-8FEF-3C84BEE17D05}"/>
    <cellStyle name="常规 11 9 2 2 6" xfId="13362" xr:uid="{5FEA1965-0CB3-403E-9925-6D8EC96BEE0C}"/>
    <cellStyle name="常规 11 9 2 3" xfId="13363" xr:uid="{B154D9EF-2C6F-431F-9CD1-57A5861CEB08}"/>
    <cellStyle name="常规 11 9 2 4" xfId="13364" xr:uid="{5214B95B-C81A-4427-82AE-8E7B34482413}"/>
    <cellStyle name="常规 11 9 2 5" xfId="13365" xr:uid="{B7CB8015-7F02-413A-B95B-3E8EEEE48149}"/>
    <cellStyle name="常规 11 9 2 6" xfId="13366" xr:uid="{68B07FE5-DFB6-4ABF-A8BA-71059A458355}"/>
    <cellStyle name="常规 11 9 2 7" xfId="13367" xr:uid="{03FEA8E0-A3D2-42CC-8D40-C4E24CD2D776}"/>
    <cellStyle name="常规 11 9 3" xfId="13368" xr:uid="{CC53C064-6484-41B6-A532-12F9E8291C18}"/>
    <cellStyle name="常规 11 9 3 2" xfId="13369" xr:uid="{602151EA-6501-43AC-9E59-66B560545ADA}"/>
    <cellStyle name="常规 11 9 3 2 2" xfId="13370" xr:uid="{42EEDB3F-AE72-4C73-B347-79686F22CDC7}"/>
    <cellStyle name="常规 11 9 3 2 3" xfId="13371" xr:uid="{CC331EF0-30CB-4AED-BF88-09718236C7AF}"/>
    <cellStyle name="常规 11 9 3 2 4" xfId="13372" xr:uid="{B0F0A331-FC86-40D5-90C4-F2B247DC49E9}"/>
    <cellStyle name="常规 11 9 3 2 5" xfId="13373" xr:uid="{EBDF738E-53C5-4E7B-B7A8-43AA0E76720D}"/>
    <cellStyle name="常规 11 9 3 2 6" xfId="13374" xr:uid="{F6B42486-E6DA-4427-8668-8E3BF0327910}"/>
    <cellStyle name="常规 11 9 3 3" xfId="13375" xr:uid="{27745979-C930-478D-B174-DE0F01523A54}"/>
    <cellStyle name="常规 11 9 3 4" xfId="13376" xr:uid="{8DB61AAF-B1C6-450A-9EA6-DDE1BC66434E}"/>
    <cellStyle name="常规 11 9 3 5" xfId="13377" xr:uid="{13612495-F40F-40AA-BC2F-8B540A172EE3}"/>
    <cellStyle name="常规 11 9 3 6" xfId="13378" xr:uid="{AE968B3B-1435-4CDA-A1FA-17092EB6C103}"/>
    <cellStyle name="常规 11 9 3 7" xfId="13379" xr:uid="{A9A97F3C-883B-49B1-915C-1DDBA4B3B8A6}"/>
    <cellStyle name="常规 11 9 4" xfId="13380" xr:uid="{83BFC827-215C-4721-9B91-136487CBF62F}"/>
    <cellStyle name="常规 11 9 4 2" xfId="13381" xr:uid="{AFF6EEBB-2EE6-4D7C-BCE9-909024CA50BB}"/>
    <cellStyle name="常规 11 9 4 2 2" xfId="13382" xr:uid="{15A37ACA-860E-41E8-9D64-00293AAC73CA}"/>
    <cellStyle name="常规 11 9 4 2 3" xfId="13383" xr:uid="{03F6E155-185A-4C7F-98B9-A873A2FA9B41}"/>
    <cellStyle name="常规 11 9 4 2 4" xfId="13384" xr:uid="{7F9DAB86-2914-484D-BDF2-266E3261A583}"/>
    <cellStyle name="常规 11 9 4 2 5" xfId="13385" xr:uid="{5B3DCC38-15C7-45A1-BAB7-FB2E05E28FB2}"/>
    <cellStyle name="常规 11 9 4 2 6" xfId="13386" xr:uid="{775B8A91-91BA-4B45-8ED7-45E3C11E8A1C}"/>
    <cellStyle name="常规 11 9 4 3" xfId="13387" xr:uid="{AF8CEC91-BBA8-405C-8024-76FC779FDCF2}"/>
    <cellStyle name="常规 11 9 4 4" xfId="13388" xr:uid="{105570A5-6114-4718-9799-B2EED943E953}"/>
    <cellStyle name="常规 11 9 4 5" xfId="13389" xr:uid="{12C7711F-67EC-4E98-9F19-50F608E07F0A}"/>
    <cellStyle name="常规 11 9 4 6" xfId="13390" xr:uid="{CE0F27DE-E785-4BE8-B2CE-C654BFAB3DCE}"/>
    <cellStyle name="常规 11 9 4 7" xfId="13391" xr:uid="{6CBB0282-A4B6-4BED-BC00-C005E8948BD4}"/>
    <cellStyle name="常规 11 9 5" xfId="13392" xr:uid="{F0318F36-6A00-41F4-8477-BCF0F9E83920}"/>
    <cellStyle name="常规 11 9 5 2" xfId="13393" xr:uid="{2D9F2AFE-7509-4CE9-9641-9B12A6C7D57C}"/>
    <cellStyle name="常规 11 9 5 2 2" xfId="13394" xr:uid="{4F41DA95-0755-42AB-BD93-0C99F4242EBB}"/>
    <cellStyle name="常规 11 9 5 2 3" xfId="13395" xr:uid="{B25C1E15-B392-4EEA-9395-91670BD821C3}"/>
    <cellStyle name="常规 11 9 5 2 4" xfId="13396" xr:uid="{AB0CE538-37CA-4BB0-BEC2-B064E2721673}"/>
    <cellStyle name="常规 11 9 5 2 5" xfId="13397" xr:uid="{58619CA6-C8BA-4F52-8CFE-F2DE59FE9238}"/>
    <cellStyle name="常规 11 9 5 2 6" xfId="13398" xr:uid="{197963C8-A2AA-4BCD-9A18-BA711D98C708}"/>
    <cellStyle name="常规 11 9 5 3" xfId="13399" xr:uid="{E5F590CF-4146-468E-AF2B-B6FDF988903C}"/>
    <cellStyle name="常规 11 9 5 4" xfId="13400" xr:uid="{9920F56F-D8EC-4C18-9089-F641A7C7C8BC}"/>
    <cellStyle name="常规 11 9 5 5" xfId="13401" xr:uid="{9C4B1CD2-D4E4-4686-AED3-8B880E554AFE}"/>
    <cellStyle name="常规 11 9 5 6" xfId="13402" xr:uid="{39C3E81F-9D0B-4362-B4B3-AF712FB45546}"/>
    <cellStyle name="常规 11 9 5 7" xfId="13403" xr:uid="{811A12D6-9D4F-49AF-A840-2ED7F82B746D}"/>
    <cellStyle name="常规 11 9 6" xfId="13404" xr:uid="{81159CAD-5B1D-4502-B66E-63BA52E4FC3F}"/>
    <cellStyle name="常规 11 9 6 2" xfId="13405" xr:uid="{14073FF4-F842-4F33-90D5-EC14F84FD4D7}"/>
    <cellStyle name="常规 11 9 6 3" xfId="13406" xr:uid="{3B474A8B-BC01-4EA1-8607-EA2FDB475C29}"/>
    <cellStyle name="常规 11 9 6 4" xfId="13407" xr:uid="{FD84E0EA-AEBB-4C5B-8C24-3E6A58EDC930}"/>
    <cellStyle name="常规 11 9 6 5" xfId="13408" xr:uid="{D394309F-37B9-41E2-9DD9-B73091511CBF}"/>
    <cellStyle name="常规 11 9 6 6" xfId="13409" xr:uid="{FE56F66B-5D44-4F91-89A1-E3E8392A4A80}"/>
    <cellStyle name="常规 11 9 7" xfId="13410" xr:uid="{AB713DF4-77C8-4132-8A0E-3E4A6AB80E51}"/>
    <cellStyle name="常规 11 9 8" xfId="13411" xr:uid="{348363A7-0208-41F4-A6FB-EAFFAD883DC8}"/>
    <cellStyle name="常规 11 9 9" xfId="13412" xr:uid="{C28E56DA-AA19-47B9-8B7C-FDEE21A0DF5F}"/>
    <cellStyle name="常规 110" xfId="13413" xr:uid="{BAF0BEF3-112A-4227-A04C-326214520803}"/>
    <cellStyle name="常规 111" xfId="13414" xr:uid="{F677F671-7047-4689-B12F-7D1280242437}"/>
    <cellStyle name="常规 112" xfId="32839" xr:uid="{50D4F19B-BD20-40E7-B307-D1AABE45C137}"/>
    <cellStyle name="常规 113" xfId="33768" xr:uid="{87C1324E-181A-4477-B6F0-FB3BA1A02FBE}"/>
    <cellStyle name="常规 114" xfId="33769" xr:uid="{A4036297-ED30-4D84-AD47-81447B9BCCAA}"/>
    <cellStyle name="常规 115" xfId="13415" xr:uid="{52666FEA-78AB-4C3B-B6BD-F08AA3AC52BB}"/>
    <cellStyle name="常规 116" xfId="35304" xr:uid="{F35DD802-8B35-4DD8-897B-A89632F8471D}"/>
    <cellStyle name="常规 117" xfId="11" xr:uid="{B4CEDDFA-95ED-4DA2-8F32-4C1445B49D6A}"/>
    <cellStyle name="常规 118" xfId="10" xr:uid="{A9BC7EEB-6830-4C59-A4FE-4515234678CF}"/>
    <cellStyle name="常规 119" xfId="35305" xr:uid="{1BA04528-904F-45DC-ABD8-79FB8959C8A1}"/>
    <cellStyle name="常规 12" xfId="13416" xr:uid="{903B3C57-CC27-4282-80DD-96475A7AA01C}"/>
    <cellStyle name="常规 12 10" xfId="13417" xr:uid="{6C278743-D04E-46C5-A950-8A302E9BA07C}"/>
    <cellStyle name="常规 12 10 2" xfId="13418" xr:uid="{EF019973-F28D-4F7A-8415-6DCAF952F7EC}"/>
    <cellStyle name="常规 12 10 3" xfId="13419" xr:uid="{33830002-717C-4DBA-8846-D267E6D201EA}"/>
    <cellStyle name="常规 12 10 4" xfId="13420" xr:uid="{A4C39C3D-367E-4D12-B326-C001B9A179B7}"/>
    <cellStyle name="常规 12 10 5" xfId="13421" xr:uid="{9BC005C4-1858-4338-A297-A23605DA01BF}"/>
    <cellStyle name="常规 12 10 6" xfId="13422" xr:uid="{CE24606D-EDFD-4D83-935D-050448E28003}"/>
    <cellStyle name="常规 12 10 7" xfId="13423" xr:uid="{0DF0A1B3-86B1-4B02-8042-6045DEBC44E8}"/>
    <cellStyle name="常规 12 10 8" xfId="33770" xr:uid="{5F2E56FB-2622-436B-AB34-2DE9CDC329B5}"/>
    <cellStyle name="常规 12 11" xfId="13424" xr:uid="{3588A342-0565-45D4-A07D-706EFB7267A0}"/>
    <cellStyle name="常规 12 11 2" xfId="13425" xr:uid="{434843EE-7DB8-4742-AF6E-08E27E8BF520}"/>
    <cellStyle name="常规 12 12" xfId="13426" xr:uid="{1DBAC5E8-8EB7-4D24-A0E3-F6F531B011F7}"/>
    <cellStyle name="常规 12 13" xfId="13427" xr:uid="{722FD64B-2E7F-4743-97FA-46F3A3D6591B}"/>
    <cellStyle name="常规 12 14" xfId="13428" xr:uid="{C19D03B2-6C70-4924-8A72-983C7FE0F123}"/>
    <cellStyle name="常规 12 15" xfId="13429" xr:uid="{D9C7E8EE-86EB-4C83-986A-A25CD1F2A1AC}"/>
    <cellStyle name="常规 12 16" xfId="13430" xr:uid="{254981EA-076A-4AFA-84FC-908B86379D82}"/>
    <cellStyle name="常规 12 17" xfId="13431" xr:uid="{830990EE-43F9-48E9-86D0-CB76B3D3D545}"/>
    <cellStyle name="常规 12 2" xfId="13432" xr:uid="{44347FEE-B714-4CCD-8248-3108937B7DF6}"/>
    <cellStyle name="常规 12 2 10" xfId="13433" xr:uid="{96E798A1-CDA9-4CFE-BEAD-258B201ED9EB}"/>
    <cellStyle name="常规 12 2 10 2" xfId="13434" xr:uid="{EB805A14-B375-42D4-A989-53650CB55ABC}"/>
    <cellStyle name="常规 12 2 10 3" xfId="13435" xr:uid="{0C5018B1-C141-44B4-8C17-9765560F66C2}"/>
    <cellStyle name="常规 12 2 10 4" xfId="13436" xr:uid="{11845952-A382-4F6C-9081-DBC7FE75AF60}"/>
    <cellStyle name="常规 12 2 10 5" xfId="13437" xr:uid="{2C2FEABC-BBE6-420A-90F4-C67722121365}"/>
    <cellStyle name="常规 12 2 10 6" xfId="13438" xr:uid="{7C45317C-F0FF-43E7-8CD1-1E692820ABC8}"/>
    <cellStyle name="常规 12 2 11" xfId="13439" xr:uid="{B6EDAE47-A8E5-4A1E-96BB-17AD5BF7FB57}"/>
    <cellStyle name="常规 12 2 12" xfId="13440" xr:uid="{E3FDD1C9-6725-47C2-A383-57FA536879CC}"/>
    <cellStyle name="常规 12 2 13" xfId="13441" xr:uid="{ABC6DADF-2571-41F7-BF14-A95A2A5CFEE2}"/>
    <cellStyle name="常规 12 2 14" xfId="13442" xr:uid="{DB62580C-AFFD-4409-A21E-74B6BC464A9D}"/>
    <cellStyle name="常规 12 2 15" xfId="13443" xr:uid="{E7F471DA-7476-40FE-840B-EB6FFB1DA992}"/>
    <cellStyle name="常规 12 2 16" xfId="13444" xr:uid="{A88227C0-AC9F-4CD2-9745-2470F67019F8}"/>
    <cellStyle name="常规 12 2 2" xfId="13445" xr:uid="{DCA212AF-B564-40A8-A7FF-3E727630EBF9}"/>
    <cellStyle name="常规 12 2 2 10" xfId="13446" xr:uid="{71878EDC-8BB0-4D47-85CB-47CF4B766BF7}"/>
    <cellStyle name="常规 12 2 2 11" xfId="13447" xr:uid="{1293E4CD-5224-4168-9D24-EBCAEE79CB25}"/>
    <cellStyle name="常规 12 2 2 12" xfId="13448" xr:uid="{AE9ED181-5C20-48BD-AE1F-7BBCC08A2592}"/>
    <cellStyle name="常规 12 2 2 2" xfId="13449" xr:uid="{41E4000B-A768-4A2F-B644-6A14D70D37CA}"/>
    <cellStyle name="常规 12 2 2 2 2" xfId="13450" xr:uid="{6E4C2935-4968-43A5-BA68-6B07366783A9}"/>
    <cellStyle name="常规 12 2 2 2 2 2" xfId="13451" xr:uid="{A499BDBB-CBA6-4DDC-8CA1-12B37C894AD2}"/>
    <cellStyle name="常规 12 2 2 2 2 2 2" xfId="13452" xr:uid="{59DF5D83-7550-4818-932F-1C37B0373B73}"/>
    <cellStyle name="常规 12 2 2 2 2 2 3" xfId="13453" xr:uid="{BFE90113-E1DF-4903-B2E4-767517B8F061}"/>
    <cellStyle name="常规 12 2 2 2 2 2 4" xfId="13454" xr:uid="{E187E43E-F2A3-42B5-93E0-0F37F54EDD8C}"/>
    <cellStyle name="常规 12 2 2 2 2 2 5" xfId="13455" xr:uid="{63DE0A34-92F1-4CE6-B6EA-A78BE0B620E7}"/>
    <cellStyle name="常规 12 2 2 2 2 2 6" xfId="13456" xr:uid="{9BC85675-EF65-4AE8-8BBD-EF03FCBABCC1}"/>
    <cellStyle name="常规 12 2 2 2 2 2 7" xfId="13457" xr:uid="{CC3DF549-2106-4CAE-B979-7CCB1B606BAE}"/>
    <cellStyle name="常规 12 2 2 2 2 2 8" xfId="13458" xr:uid="{E941D224-88EF-4E37-8A73-AE3F1A47A6A3}"/>
    <cellStyle name="常规 12 2 2 2 2 3" xfId="13459" xr:uid="{1BDFF394-73A6-4BD6-9C0F-87AF44F48917}"/>
    <cellStyle name="常规 12 2 2 2 2 3 2" xfId="13460" xr:uid="{6D40D9B3-9EF6-4F06-9072-D32279B260C8}"/>
    <cellStyle name="常规 12 2 2 2 2 4" xfId="13461" xr:uid="{BCD8F1BD-5D3B-401E-9A14-4C9D269B7261}"/>
    <cellStyle name="常规 12 2 2 2 2 4 2" xfId="13462" xr:uid="{156DA6E4-00F3-438A-9A1A-BA97F8828703}"/>
    <cellStyle name="常规 12 2 2 2 2 4 3" xfId="33771" xr:uid="{56837600-7710-4F47-B8E0-CDB782EC0460}"/>
    <cellStyle name="常规 12 2 2 2 2 5" xfId="13463" xr:uid="{CD578E0B-EBD8-4AAA-A0B1-1AF3DB2A1C09}"/>
    <cellStyle name="常规 12 2 2 2 2 6" xfId="13464" xr:uid="{BFF80EB9-6DD9-4B29-AB9E-BAD922E60C10}"/>
    <cellStyle name="常规 12 2 2 2 2 7" xfId="13465" xr:uid="{68CAE2CA-F10E-4397-B291-517672035275}"/>
    <cellStyle name="常规 12 2 2 2 2 8" xfId="13466" xr:uid="{785682DC-509B-4CA0-B9ED-BDC3BBE9CA4C}"/>
    <cellStyle name="常规 12 2 2 2 3" xfId="13467" xr:uid="{B9AE03C3-BBE4-4D23-AFA0-87927C964D2C}"/>
    <cellStyle name="常规 12 2 2 2 3 2" xfId="13468" xr:uid="{D08EF36A-0708-46B6-BA07-D42DEC716D05}"/>
    <cellStyle name="常规 12 2 2 2 3 2 2" xfId="13469" xr:uid="{D8B23180-2A17-4909-8EEA-210367A6AF8A}"/>
    <cellStyle name="常规 12 2 2 2 3 2 3" xfId="13470" xr:uid="{8B1839BE-2F4F-4B71-BA02-3C35E0694C09}"/>
    <cellStyle name="常规 12 2 2 2 3 3" xfId="13471" xr:uid="{9226BFF2-87CD-4CB9-9005-53C6C0F4A849}"/>
    <cellStyle name="常规 12 2 2 2 3 3 2" xfId="13472" xr:uid="{9019CAC7-F607-43D7-A776-6FD858B08F9C}"/>
    <cellStyle name="常规 12 2 2 2 3 4" xfId="13473" xr:uid="{46A3F076-5849-430F-B8B0-CEDB7C5D7117}"/>
    <cellStyle name="常规 12 2 2 2 3 4 2" xfId="13474" xr:uid="{8F760FE3-20F7-450C-9206-E9FC86C6D8AA}"/>
    <cellStyle name="常规 12 2 2 2 3 4 3" xfId="33772" xr:uid="{785DF3CE-E1E9-4E5C-8B8D-BA1B39FDCFB5}"/>
    <cellStyle name="常规 12 2 2 2 3 5" xfId="13475" xr:uid="{5EB60398-6E21-40FB-8C7E-05F5A907C073}"/>
    <cellStyle name="常规 12 2 2 2 3 6" xfId="13476" xr:uid="{5B1E8C69-30D2-4172-9D77-472391C372ED}"/>
    <cellStyle name="常规 12 2 2 2 3 7" xfId="13477" xr:uid="{33B8FA48-B4DE-486D-87BF-A0C9484DAE2B}"/>
    <cellStyle name="常规 12 2 2 2 4" xfId="13478" xr:uid="{20030F90-729B-4905-9154-7236F146643A}"/>
    <cellStyle name="常规 12 2 2 2 4 2" xfId="13479" xr:uid="{A92BB078-958C-429D-8E20-C9EB58F6E51F}"/>
    <cellStyle name="常规 12 2 2 2 4 3" xfId="13480" xr:uid="{EF468802-6829-45FD-AE1D-683919ECDED9}"/>
    <cellStyle name="常规 12 2 2 2 5" xfId="13481" xr:uid="{3DA34D06-60EE-4B2A-93C2-E7A15AA461BA}"/>
    <cellStyle name="常规 12 2 2 2 5 2" xfId="13482" xr:uid="{7A79ACC0-64A0-4F8B-93BF-B451AD8B1A27}"/>
    <cellStyle name="常规 12 2 2 2 6" xfId="13483" xr:uid="{3E4AA12E-68AD-4EE3-9788-9887890A5EEB}"/>
    <cellStyle name="常规 12 2 2 2 6 2" xfId="13484" xr:uid="{48A6256D-F0C4-44BE-B5C7-253848056CD3}"/>
    <cellStyle name="常规 12 2 2 2 6 3" xfId="33773" xr:uid="{AE9D8C72-EEC2-401F-B57F-FE0F631DEE8A}"/>
    <cellStyle name="常规 12 2 2 2 7" xfId="13485" xr:uid="{C94D1A22-B037-4A31-BB28-568B0EC8C57E}"/>
    <cellStyle name="常规 12 2 2 2 8" xfId="13486" xr:uid="{C6966959-89E2-4C19-8138-4F306A65607D}"/>
    <cellStyle name="常规 12 2 2 2 9" xfId="13487" xr:uid="{28B043AE-5533-4B3C-ADCD-685A2F9B21AD}"/>
    <cellStyle name="常规 12 2 2 3" xfId="13488" xr:uid="{AB910862-CE1C-40C3-A41E-5AEED298483F}"/>
    <cellStyle name="常规 12 2 2 3 2" xfId="13489" xr:uid="{6AAC841E-2047-4265-A898-B6F79C80FE58}"/>
    <cellStyle name="常规 12 2 2 3 2 2" xfId="13490" xr:uid="{C7762286-DC35-4C3C-BBD7-20A0D2F5AFAB}"/>
    <cellStyle name="常规 12 2 2 3 2 2 2" xfId="13491" xr:uid="{D5DB9B34-BF2C-4575-AD37-9887611B8AFD}"/>
    <cellStyle name="常规 12 2 2 3 2 2 3" xfId="13492" xr:uid="{F8B94E54-7CCD-4596-9A0B-93D058A4A2D1}"/>
    <cellStyle name="常规 12 2 2 3 2 2 4" xfId="13493" xr:uid="{F8CD61CF-F74E-49A8-93C2-D525C49ED097}"/>
    <cellStyle name="常规 12 2 2 3 2 2 5" xfId="13494" xr:uid="{76FB194E-5EA9-4D34-AA08-B29723F22DCC}"/>
    <cellStyle name="常规 12 2 2 3 2 2 6" xfId="13495" xr:uid="{2454EE98-1CBB-4497-91A2-C359CFED8E0B}"/>
    <cellStyle name="常规 12 2 2 3 2 3" xfId="13496" xr:uid="{99A4D70C-BB40-45C1-B9FD-F64E143313E4}"/>
    <cellStyle name="常规 12 2 2 3 2 4" xfId="13497" xr:uid="{71C601B1-6F85-42D4-962C-A65F6AF916F4}"/>
    <cellStyle name="常规 12 2 2 3 2 5" xfId="13498" xr:uid="{AEF1EDB4-BBD9-4FAA-8297-565BB706AD0E}"/>
    <cellStyle name="常规 12 2 2 3 2 6" xfId="13499" xr:uid="{EFAF94C5-87E4-43A8-8DDE-16177176D3FC}"/>
    <cellStyle name="常规 12 2 2 3 2 7" xfId="13500" xr:uid="{0A5D6EA5-50A2-41BB-9924-401672D1ABE2}"/>
    <cellStyle name="常规 12 2 2 3 2 8" xfId="13501" xr:uid="{C480971B-25ED-49ED-9A90-9A21567A904E}"/>
    <cellStyle name="常规 12 2 2 3 2 9" xfId="13502" xr:uid="{C53F328B-8505-4D18-BD86-C89B1FC16411}"/>
    <cellStyle name="常规 12 2 2 3 3" xfId="13503" xr:uid="{E1302E61-B8DE-42D3-B34A-4E8AFDDC8167}"/>
    <cellStyle name="常规 12 2 2 3 3 2" xfId="13504" xr:uid="{22B60BB1-094C-44FC-8E97-B75AD82706F9}"/>
    <cellStyle name="常规 12 2 2 3 3 3" xfId="13505" xr:uid="{CFA5A8F4-309D-45E9-B544-2D861871D979}"/>
    <cellStyle name="常规 12 2 2 3 3 4" xfId="13506" xr:uid="{A2672D6E-4355-44A1-9AF6-C028D86BF9B8}"/>
    <cellStyle name="常规 12 2 2 3 3 5" xfId="13507" xr:uid="{01EBFDFD-5F59-4609-A70A-56391DE73288}"/>
    <cellStyle name="常规 12 2 2 3 3 6" xfId="13508" xr:uid="{BF487966-083F-42FE-A9A6-5B3596EF667A}"/>
    <cellStyle name="常规 12 2 2 3 3 7" xfId="13509" xr:uid="{B86F46A1-5DA1-4D25-AEA1-F3D154AC03D6}"/>
    <cellStyle name="常规 12 2 2 3 4" xfId="13510" xr:uid="{DE0CB1B7-E31B-4631-B3E8-65909079A8E3}"/>
    <cellStyle name="常规 12 2 2 3 4 2" xfId="13511" xr:uid="{444E0FB9-3658-4705-810F-B5D30E8BCA12}"/>
    <cellStyle name="常规 12 2 2 3 4 3" xfId="33774" xr:uid="{BD6F0D80-7EE6-4524-B925-D403D8E48A61}"/>
    <cellStyle name="常规 12 2 2 3 5" xfId="13512" xr:uid="{5EE0434C-6B40-4E1C-8051-76D0048DAA39}"/>
    <cellStyle name="常规 12 2 2 3 6" xfId="13513" xr:uid="{4A7AAAA5-7FEB-419B-A2E5-2B69197C057B}"/>
    <cellStyle name="常规 12 2 2 3 7" xfId="13514" xr:uid="{C0CB3489-1BA1-4BEF-A2B1-1BC3434CF912}"/>
    <cellStyle name="常规 12 2 2 3 8" xfId="13515" xr:uid="{527BD559-9165-489F-98FC-44B5E191E93E}"/>
    <cellStyle name="常规 12 2 2 3 9" xfId="13516" xr:uid="{6A64C65D-F6C0-45C9-8216-A817B329F41A}"/>
    <cellStyle name="常规 12 2 2 4" xfId="13517" xr:uid="{E5F110D8-318E-4484-9E12-500C70AAF51D}"/>
    <cellStyle name="常规 12 2 2 4 2" xfId="13518" xr:uid="{9A376FAA-38F2-4DE8-BBC8-879C32DFC13C}"/>
    <cellStyle name="常规 12 2 2 4 2 2" xfId="13519" xr:uid="{4DE25F4D-D200-4312-949F-662E7CB5EB98}"/>
    <cellStyle name="常规 12 2 2 4 2 3" xfId="13520" xr:uid="{F3C0F9F4-CF03-431A-B80A-64BCBCC54AE8}"/>
    <cellStyle name="常规 12 2 2 4 2 4" xfId="13521" xr:uid="{B520C2E2-A8C4-4767-A6BB-5B68A9303FB4}"/>
    <cellStyle name="常规 12 2 2 4 2 5" xfId="13522" xr:uid="{91247EE8-3894-4FDB-BFB2-E19A362105AA}"/>
    <cellStyle name="常规 12 2 2 4 2 6" xfId="13523" xr:uid="{1CC69AE6-5B4F-4417-9ED5-39238F480421}"/>
    <cellStyle name="常规 12 2 2 4 2 7" xfId="13524" xr:uid="{8B541214-2622-41B1-B2F2-D48289CE4732}"/>
    <cellStyle name="常规 12 2 2 4 2 8" xfId="13525" xr:uid="{6D0C93D8-4995-47F9-9FA7-B60EC704E2FC}"/>
    <cellStyle name="常规 12 2 2 4 3" xfId="13526" xr:uid="{52300BE3-9044-4209-A09F-8F961D94089D}"/>
    <cellStyle name="常规 12 2 2 4 3 2" xfId="13527" xr:uid="{A02FEB5F-CE84-4065-90F6-BC85198E9C0E}"/>
    <cellStyle name="常规 12 2 2 4 4" xfId="13528" xr:uid="{7EE69357-1717-4EF0-835F-E5C1B494DF3C}"/>
    <cellStyle name="常规 12 2 2 4 4 2" xfId="13529" xr:uid="{2C356375-B1E4-4DD4-B364-4F447D3B6416}"/>
    <cellStyle name="常规 12 2 2 4 4 3" xfId="33775" xr:uid="{35F4FA9A-B811-4944-83EF-C629F754E143}"/>
    <cellStyle name="常规 12 2 2 4 5" xfId="13530" xr:uid="{4930394B-AF15-4242-820B-058064B00EAF}"/>
    <cellStyle name="常规 12 2 2 4 6" xfId="13531" xr:uid="{5EF867A1-A2B5-4D97-851E-3146A6AB49B3}"/>
    <cellStyle name="常规 12 2 2 4 7" xfId="13532" xr:uid="{916DC281-255E-462E-96F5-D2D90EFC46C7}"/>
    <cellStyle name="常规 12 2 2 4 8" xfId="13533" xr:uid="{3574CBEE-C872-4457-AC3F-48A9FBF00204}"/>
    <cellStyle name="常规 12 2 2 5" xfId="13534" xr:uid="{3513329C-D57F-4298-B0F9-3FA30D4DAFAE}"/>
    <cellStyle name="常规 12 2 2 5 2" xfId="13535" xr:uid="{BB3A1EBC-7568-4D0E-8C61-54D2C8243FE2}"/>
    <cellStyle name="常规 12 2 2 5 2 2" xfId="13536" xr:uid="{04D48DF3-FF23-46F6-8B9C-C495B29C0927}"/>
    <cellStyle name="常规 12 2 2 5 2 3" xfId="13537" xr:uid="{AC2CFB43-FF52-46E2-BFD1-30C5F6318CAD}"/>
    <cellStyle name="常规 12 2 2 5 2 4" xfId="13538" xr:uid="{85A60371-0151-40AE-AADB-8A6DD4378F5D}"/>
    <cellStyle name="常规 12 2 2 5 2 5" xfId="13539" xr:uid="{DE22AB41-B14F-4B23-8A6B-AD76EB36DF35}"/>
    <cellStyle name="常规 12 2 2 5 2 6" xfId="13540" xr:uid="{CC7B3CA7-0BB0-4FB2-B35C-E1E68F6FD1BE}"/>
    <cellStyle name="常规 12 2 2 5 3" xfId="13541" xr:uid="{6CC7B627-A400-4AFC-B7DB-E6F21B5990D0}"/>
    <cellStyle name="常规 12 2 2 5 4" xfId="13542" xr:uid="{628F45D7-0CB4-4A6D-96C2-2654C6C271D4}"/>
    <cellStyle name="常规 12 2 2 5 5" xfId="13543" xr:uid="{35B79D64-F7B0-447B-ADC4-18C49412F331}"/>
    <cellStyle name="常规 12 2 2 5 6" xfId="13544" xr:uid="{EEB1363F-D66E-4474-97BC-7A4510198086}"/>
    <cellStyle name="常规 12 2 2 5 7" xfId="13545" xr:uid="{5F4FDB59-D188-466C-B99B-9CE9BCC2C86D}"/>
    <cellStyle name="常规 12 2 2 5 8" xfId="13546" xr:uid="{EB2D2E8F-15E2-4AF3-A94D-9D3D04C92876}"/>
    <cellStyle name="常规 12 2 2 5 9" xfId="13547" xr:uid="{159BE51B-32EC-42DC-9233-AC2BE0B50040}"/>
    <cellStyle name="常规 12 2 2 6" xfId="13548" xr:uid="{1AEABC38-2CFB-4D49-845F-9BB0899A57A3}"/>
    <cellStyle name="常规 12 2 2 6 2" xfId="13549" xr:uid="{E77298E8-E61A-4922-9E42-11D1E0C2904E}"/>
    <cellStyle name="常规 12 2 2 6 3" xfId="13550" xr:uid="{84924A8B-27EA-4B06-B211-E77CCAFACA76}"/>
    <cellStyle name="常规 12 2 2 6 4" xfId="13551" xr:uid="{C0B159DD-6B43-415E-BEEA-49ABA4B393D6}"/>
    <cellStyle name="常规 12 2 2 6 5" xfId="13552" xr:uid="{743D7E60-55B6-44B8-9E0D-31EB2EFCD713}"/>
    <cellStyle name="常规 12 2 2 6 6" xfId="13553" xr:uid="{84754C64-94F9-4C1E-800B-2DE0977458D3}"/>
    <cellStyle name="常规 12 2 2 6 7" xfId="13554" xr:uid="{37A2CA3C-77B7-4DC8-BB17-DB684ADB7CAC}"/>
    <cellStyle name="常规 12 2 2 7" xfId="13555" xr:uid="{C3C0F488-2050-43A9-8849-31AC50350094}"/>
    <cellStyle name="常规 12 2 2 7 2" xfId="13556" xr:uid="{B68F0994-8943-4145-869C-1EB0A43314E5}"/>
    <cellStyle name="常规 12 2 2 7 3" xfId="33776" xr:uid="{C566F6AD-BD5B-4FF5-84C1-EED91786520E}"/>
    <cellStyle name="常规 12 2 2 8" xfId="13557" xr:uid="{E935A58B-E48A-400F-AF08-0F851DC5E729}"/>
    <cellStyle name="常规 12 2 2 9" xfId="13558" xr:uid="{1A7F3838-568D-48C0-9499-C235B026D452}"/>
    <cellStyle name="常规 12 2 3" xfId="13559" xr:uid="{838FB59F-2E38-44A5-8C27-51717E3F9D64}"/>
    <cellStyle name="常规 12 2 3 10" xfId="13560" xr:uid="{44188C84-9D62-4E9B-BA46-2052C4BB93C1}"/>
    <cellStyle name="常规 12 2 3 2" xfId="13561" xr:uid="{3FF7B374-4A54-4A54-9099-673D25740392}"/>
    <cellStyle name="常规 12 2 3 2 2" xfId="13562" xr:uid="{62691972-1364-4C0C-BD3C-E67A2F49719A}"/>
    <cellStyle name="常规 12 2 3 2 2 2" xfId="13563" xr:uid="{0763DF32-6391-411C-9F21-72D87A3BE426}"/>
    <cellStyle name="常规 12 2 3 2 2 2 2" xfId="13564" xr:uid="{2470CA49-87F1-4A9B-9BF8-930D712E050A}"/>
    <cellStyle name="常规 12 2 3 2 2 2 3" xfId="13565" xr:uid="{CD124025-142D-4F65-9239-BCCD8252D1B2}"/>
    <cellStyle name="常规 12 2 3 2 2 2 4" xfId="13566" xr:uid="{337AF3DC-18E9-4E70-B675-55B52DBB9DDF}"/>
    <cellStyle name="常规 12 2 3 2 2 2 5" xfId="13567" xr:uid="{73D39AF0-70A9-4A11-BD23-96CC92E2B175}"/>
    <cellStyle name="常规 12 2 3 2 2 2 6" xfId="13568" xr:uid="{66879DEA-D700-46FC-9909-B300B75C2DED}"/>
    <cellStyle name="常规 12 2 3 2 2 3" xfId="13569" xr:uid="{853C6139-6BAC-400B-925E-600D6FD3BC74}"/>
    <cellStyle name="常规 12 2 3 2 2 4" xfId="13570" xr:uid="{F7AA20D9-5C39-497E-92F6-E430E33E1676}"/>
    <cellStyle name="常规 12 2 3 2 2 5" xfId="13571" xr:uid="{6B73F9BD-9B82-4C05-8043-E40329D5B494}"/>
    <cellStyle name="常规 12 2 3 2 2 6" xfId="13572" xr:uid="{044CAAE5-AF44-48B7-A428-6AEA4E8BE2F9}"/>
    <cellStyle name="常规 12 2 3 2 2 7" xfId="13573" xr:uid="{7D980219-4005-4B6A-AB2A-C0B4C045B72E}"/>
    <cellStyle name="常规 12 2 3 2 2 8" xfId="13574" xr:uid="{EF9449E9-49A0-404D-9D1F-12D9B19FF3FF}"/>
    <cellStyle name="常规 12 2 3 2 2 9" xfId="13575" xr:uid="{1C35A81D-6DDB-4407-9577-ABD4CC0D1163}"/>
    <cellStyle name="常规 12 2 3 2 3" xfId="13576" xr:uid="{51514746-CF32-481A-A922-8E140317947A}"/>
    <cellStyle name="常规 12 2 3 2 3 2" xfId="13577" xr:uid="{37BEB069-577C-4D12-BE76-B66435C33378}"/>
    <cellStyle name="常规 12 2 3 2 3 3" xfId="13578" xr:uid="{C674B111-FEC8-4063-A2BA-350A493F9215}"/>
    <cellStyle name="常规 12 2 3 2 3 4" xfId="13579" xr:uid="{CB8108FC-8084-4D4B-935A-4A5E02104E8C}"/>
    <cellStyle name="常规 12 2 3 2 3 5" xfId="13580" xr:uid="{9358DD83-4D36-45DF-A777-3E0ABF2B297C}"/>
    <cellStyle name="常规 12 2 3 2 3 6" xfId="13581" xr:uid="{9E8289C3-5DB6-44DC-AAC2-B817F86F9DC5}"/>
    <cellStyle name="常规 12 2 3 2 3 7" xfId="13582" xr:uid="{2B003F16-2A47-4D59-9785-B04B41AC79F2}"/>
    <cellStyle name="常规 12 2 3 2 4" xfId="13583" xr:uid="{D0E57E6A-D92E-4295-939C-6030E52E2F0F}"/>
    <cellStyle name="常规 12 2 3 2 4 2" xfId="13584" xr:uid="{325E9A4F-D24C-4E3C-A945-D160C4FC65EA}"/>
    <cellStyle name="常规 12 2 3 2 4 3" xfId="33777" xr:uid="{E096DFE8-942A-46B2-8555-1A480AA1E171}"/>
    <cellStyle name="常规 12 2 3 2 5" xfId="13585" xr:uid="{398944CC-CE08-46AC-8B02-DB866A6E6BF0}"/>
    <cellStyle name="常规 12 2 3 2 6" xfId="13586" xr:uid="{666F7CB1-2FEE-40AE-BE7C-A351EE2AA85F}"/>
    <cellStyle name="常规 12 2 3 2 7" xfId="13587" xr:uid="{DD2ADF31-66FA-40D6-AF45-E307EC479009}"/>
    <cellStyle name="常规 12 2 3 2 8" xfId="13588" xr:uid="{67B42342-7E4B-4BEA-8FCF-27794F1CCCDE}"/>
    <cellStyle name="常规 12 2 3 2 9" xfId="13589" xr:uid="{EF962251-9A56-4F5C-8BD8-5A3C7C38C7F1}"/>
    <cellStyle name="常规 12 2 3 3" xfId="13590" xr:uid="{F5F0950D-FCC7-4310-A01B-E4FA26DE3F31}"/>
    <cellStyle name="常规 12 2 3 3 2" xfId="13591" xr:uid="{8AAE98CD-FB5F-42C5-95AF-738AC21798B1}"/>
    <cellStyle name="常规 12 2 3 3 2 2" xfId="13592" xr:uid="{3D19CD70-0EC1-4151-A94D-81D71D20EF62}"/>
    <cellStyle name="常规 12 2 3 3 2 3" xfId="13593" xr:uid="{D5BF185C-0D57-458F-8B78-BC0B9F78582E}"/>
    <cellStyle name="常规 12 2 3 3 2 4" xfId="13594" xr:uid="{B4D2EBEF-EB80-4ED2-B379-854BD7784206}"/>
    <cellStyle name="常规 12 2 3 3 2 5" xfId="13595" xr:uid="{4C661728-FCF4-4D3E-81DC-D7EC6257A8D3}"/>
    <cellStyle name="常规 12 2 3 3 2 6" xfId="13596" xr:uid="{8C37CF5A-B8F1-4502-ABF3-5D2CB42D592B}"/>
    <cellStyle name="常规 12 2 3 3 2 7" xfId="13597" xr:uid="{627C31B6-C29A-4BED-98D7-FE3C4A332E52}"/>
    <cellStyle name="常规 12 2 3 3 2 8" xfId="13598" xr:uid="{E3ED1E87-A0EC-4EBD-8C77-7F13A2CAD3D5}"/>
    <cellStyle name="常规 12 2 3 3 3" xfId="13599" xr:uid="{5A18B3AB-6747-4A35-9622-387FC2A4D642}"/>
    <cellStyle name="常规 12 2 3 3 3 2" xfId="13600" xr:uid="{1A26F3C2-5A4D-4C8E-9D71-B80DCBA93C1C}"/>
    <cellStyle name="常规 12 2 3 3 4" xfId="13601" xr:uid="{4D914BB1-3431-4DAF-9FC6-B7615D40B59E}"/>
    <cellStyle name="常规 12 2 3 3 4 2" xfId="13602" xr:uid="{D01EA470-3243-4A3C-ADB2-283C9F26762D}"/>
    <cellStyle name="常规 12 2 3 3 4 3" xfId="33778" xr:uid="{31599E13-3CA8-4CA5-80A5-1421246EE021}"/>
    <cellStyle name="常规 12 2 3 3 5" xfId="13603" xr:uid="{E25ACEE2-43D2-47D3-9F0F-00CFBA91BB1A}"/>
    <cellStyle name="常规 12 2 3 3 6" xfId="13604" xr:uid="{0A7B54AA-845D-4419-81F0-C2C197ED9BBE}"/>
    <cellStyle name="常规 12 2 3 3 7" xfId="13605" xr:uid="{5B3A1251-058E-4321-B6DA-71D4B4BCEC34}"/>
    <cellStyle name="常规 12 2 3 3 8" xfId="13606" xr:uid="{9E365470-29B9-4532-8634-4910E2D2B4BF}"/>
    <cellStyle name="常规 12 2 3 4" xfId="13607" xr:uid="{4D8AAE7E-64BE-4A50-8C82-B6CE98DC359E}"/>
    <cellStyle name="常规 12 2 3 4 2" xfId="13608" xr:uid="{2F3E2DD5-A7E9-46F3-B1C4-AB2A6E1E4BE9}"/>
    <cellStyle name="常规 12 2 3 4 3" xfId="13609" xr:uid="{FB69ADEE-D489-4776-9804-C057507F7887}"/>
    <cellStyle name="常规 12 2 3 4 4" xfId="13610" xr:uid="{BE514D86-31D6-436B-B16C-3EEAD8C1C967}"/>
    <cellStyle name="常规 12 2 3 4 5" xfId="13611" xr:uid="{444700EA-E6EB-4E1F-8AA9-ECE5FE7B221C}"/>
    <cellStyle name="常规 12 2 3 4 6" xfId="13612" xr:uid="{0C747BF4-957F-4619-96E3-E8877945BBB9}"/>
    <cellStyle name="常规 12 2 3 4 7" xfId="13613" xr:uid="{86A3FD86-DF6D-49CC-973A-B778A31EA1F3}"/>
    <cellStyle name="常规 12 2 3 4 8" xfId="13614" xr:uid="{37A8906A-7B41-4B7D-94C7-F25253B5742C}"/>
    <cellStyle name="常规 12 2 3 5" xfId="13615" xr:uid="{8316E6D4-D616-4200-8267-D36F410A1750}"/>
    <cellStyle name="常规 12 2 3 5 2" xfId="13616" xr:uid="{0E8FC384-7E87-4AA2-9F6C-83A0B8AEC3B5}"/>
    <cellStyle name="常规 12 2 3 6" xfId="13617" xr:uid="{D1B8569E-F7D8-4CF0-B8EF-D865778CEA03}"/>
    <cellStyle name="常规 12 2 3 6 2" xfId="13618" xr:uid="{0E01C7C1-90EF-4294-B2FD-36F4B9AA7299}"/>
    <cellStyle name="常规 12 2 3 6 3" xfId="33779" xr:uid="{AAF0D7F5-3804-4D43-8216-349297239612}"/>
    <cellStyle name="常规 12 2 3 7" xfId="13619" xr:uid="{AFFA5FE5-A3A4-4D9E-8FAF-0E3EC5F06725}"/>
    <cellStyle name="常规 12 2 3 8" xfId="13620" xr:uid="{844A4CD7-5D92-4E9E-B494-EC7FB2EA6DC5}"/>
    <cellStyle name="常规 12 2 3 9" xfId="13621" xr:uid="{897A993D-2B57-41B7-8B37-9686E6F9D445}"/>
    <cellStyle name="常规 12 2 4" xfId="13622" xr:uid="{152915DD-187A-4580-8CA6-84E0A76365AC}"/>
    <cellStyle name="常规 12 2 4 2" xfId="13623" xr:uid="{12EE21B5-58E5-4D46-A268-03D9E656C0C4}"/>
    <cellStyle name="常规 12 2 4 2 2" xfId="13624" xr:uid="{75201F37-3333-4CF1-B3BB-86E9C42DFEF9}"/>
    <cellStyle name="常规 12 2 4 3" xfId="13625" xr:uid="{D7D01644-D601-4F04-8341-A25781E2B196}"/>
    <cellStyle name="常规 12 2 4 4" xfId="13626" xr:uid="{89824CEE-2F94-43F2-BD8E-52227B555D3C}"/>
    <cellStyle name="常规 12 2 4 4 2" xfId="33780" xr:uid="{A71AE1AB-5120-4E11-B6DF-29BB3C9690C7}"/>
    <cellStyle name="常规 12 2 4 5" xfId="13627" xr:uid="{3DD48253-4005-4EA3-98A1-989FD41CE183}"/>
    <cellStyle name="常规 12 2 5" xfId="13628" xr:uid="{C9A5435A-4A6E-436A-99D4-63782D74CF38}"/>
    <cellStyle name="常规 12 2 5 2" xfId="13629" xr:uid="{363358AC-629C-45FD-8747-6A5DA60D90AC}"/>
    <cellStyle name="常规 12 2 5 2 2" xfId="13630" xr:uid="{7571A968-356C-4711-A22C-E9E8D65A6314}"/>
    <cellStyle name="常规 12 2 5 2 2 2" xfId="13631" xr:uid="{4190C44F-A403-44AD-804D-A2F86C3D3BD6}"/>
    <cellStyle name="常规 12 2 5 2 2 3" xfId="13632" xr:uid="{D6DAD040-EDFF-4D3C-83B7-411DC6C1DF91}"/>
    <cellStyle name="常规 12 2 5 2 2 4" xfId="13633" xr:uid="{4028B744-4131-4A45-A6EA-752A2AD15E96}"/>
    <cellStyle name="常规 12 2 5 2 2 5" xfId="13634" xr:uid="{8D40F272-80D1-4F5B-8A0E-62F4116EB3DD}"/>
    <cellStyle name="常规 12 2 5 2 2 6" xfId="13635" xr:uid="{2F7E434D-857A-4F24-A875-DDF8CFD2F2EC}"/>
    <cellStyle name="常规 12 2 5 2 3" xfId="13636" xr:uid="{9665A240-FEE4-4954-A645-94AB7EC6BE6A}"/>
    <cellStyle name="常规 12 2 5 2 4" xfId="13637" xr:uid="{44F62D8D-DC1A-41D6-AC72-61440A390C21}"/>
    <cellStyle name="常规 12 2 5 2 5" xfId="13638" xr:uid="{CBC0F849-4118-432B-834B-509EC573EBFB}"/>
    <cellStyle name="常规 12 2 5 2 6" xfId="13639" xr:uid="{665EB21D-B253-4D7A-BB27-2091A517C39B}"/>
    <cellStyle name="常规 12 2 5 2 7" xfId="13640" xr:uid="{8E81DAD5-76A4-4746-BD2A-4E9B58113A61}"/>
    <cellStyle name="常规 12 2 5 2 8" xfId="13641" xr:uid="{9403FDDA-431B-42C3-BDA0-038BB56E516E}"/>
    <cellStyle name="常规 12 2 5 2 9" xfId="13642" xr:uid="{CA3532E6-DF1E-47A2-B53C-A7BE7BBCC78E}"/>
    <cellStyle name="常规 12 2 5 3" xfId="13643" xr:uid="{2817DF4A-5ED9-46ED-BD3E-9C50FA3B42E2}"/>
    <cellStyle name="常规 12 2 5 3 2" xfId="13644" xr:uid="{9EC677B9-9F90-4E9D-81A3-4FC5DE017FD0}"/>
    <cellStyle name="常规 12 2 5 3 3" xfId="13645" xr:uid="{61731075-0100-4E96-8AFE-9C1EBFBE7D40}"/>
    <cellStyle name="常规 12 2 5 3 4" xfId="13646" xr:uid="{64A18394-C5C0-4312-ADA0-DEE31DAA7538}"/>
    <cellStyle name="常规 12 2 5 3 5" xfId="13647" xr:uid="{9F5D2911-E343-42F2-B8FD-6C049A91ED55}"/>
    <cellStyle name="常规 12 2 5 3 6" xfId="13648" xr:uid="{D7243007-27F4-4D1A-ADA6-4BB0903CAB5D}"/>
    <cellStyle name="常规 12 2 5 3 7" xfId="13649" xr:uid="{EDE37769-584C-4C8B-84E2-3E91C9F34E1A}"/>
    <cellStyle name="常规 12 2 5 4" xfId="13650" xr:uid="{20EC5F36-01E7-4843-B7BE-E665FFF04B3A}"/>
    <cellStyle name="常规 12 2 5 4 2" xfId="13651" xr:uid="{6D50DAD2-DFB7-4D73-AA50-3920CE2DEBA8}"/>
    <cellStyle name="常规 12 2 5 4 3" xfId="33781" xr:uid="{DEACA451-EADE-4043-BCBF-336F084EE338}"/>
    <cellStyle name="常规 12 2 5 5" xfId="13652" xr:uid="{AD96585B-0D03-4245-8D06-8EE1EF8F41B7}"/>
    <cellStyle name="常规 12 2 5 6" xfId="13653" xr:uid="{28F4BADB-BB04-4317-AE15-482B5BCE48D3}"/>
    <cellStyle name="常规 12 2 5 7" xfId="13654" xr:uid="{5AA0819F-124E-4E72-8E6C-A18B713BFAA1}"/>
    <cellStyle name="常规 12 2 5 8" xfId="13655" xr:uid="{4100F272-7A2A-4272-95CD-E864E1A7CE55}"/>
    <cellStyle name="常规 12 2 5 9" xfId="13656" xr:uid="{769CBF94-092D-49C5-B52C-08152D20D384}"/>
    <cellStyle name="常规 12 2 6" xfId="13657" xr:uid="{D7B2D879-BA48-4687-91D0-88B0CD175622}"/>
    <cellStyle name="常规 12 2 6 10" xfId="13658" xr:uid="{3E951C41-4B0B-490B-B475-DE26CF909D68}"/>
    <cellStyle name="常规 12 2 6 2" xfId="13659" xr:uid="{0B6A0829-2009-4BB1-9599-4954122844BD}"/>
    <cellStyle name="常规 12 2 6 2 2" xfId="13660" xr:uid="{726B3343-D415-42DA-8E41-7CD947730331}"/>
    <cellStyle name="常规 12 2 6 2 2 2" xfId="13661" xr:uid="{80A9FF56-3C32-44F7-92F4-406C7EC1669F}"/>
    <cellStyle name="常规 12 2 6 2 2 3" xfId="13662" xr:uid="{FEF84895-1111-45E0-BCEE-808A9554627B}"/>
    <cellStyle name="常规 12 2 6 2 2 4" xfId="13663" xr:uid="{C85DC28E-EBDC-4929-BE3D-FA2D4E5C4481}"/>
    <cellStyle name="常规 12 2 6 2 2 5" xfId="13664" xr:uid="{0C7A2BE8-96EC-4ADC-B4B9-EE3309708104}"/>
    <cellStyle name="常规 12 2 6 2 2 6" xfId="13665" xr:uid="{1A5080AE-0438-4BAA-BE5A-25900FB7CEFE}"/>
    <cellStyle name="常规 12 2 6 2 3" xfId="13666" xr:uid="{2F46B997-5608-45CF-8369-0206529F22F6}"/>
    <cellStyle name="常规 12 2 6 2 4" xfId="13667" xr:uid="{FF06A1F6-952F-4EB8-949F-4974CE292068}"/>
    <cellStyle name="常规 12 2 6 2 5" xfId="13668" xr:uid="{52B1219B-F7EF-4AC9-AE17-F1A8F45A40D8}"/>
    <cellStyle name="常规 12 2 6 2 6" xfId="13669" xr:uid="{DF5583FD-4593-4324-B672-6D0740561AF3}"/>
    <cellStyle name="常规 12 2 6 2 7" xfId="13670" xr:uid="{7679D06F-8381-44DE-9F0A-444B3003C040}"/>
    <cellStyle name="常规 12 2 6 3" xfId="13671" xr:uid="{407B86D0-F28B-4D0E-9D62-C117AF0FC2DF}"/>
    <cellStyle name="常规 12 2 6 3 2" xfId="13672" xr:uid="{8FA05562-B0F2-4233-A6F8-DA713AF5EF2F}"/>
    <cellStyle name="常规 12 2 6 3 3" xfId="13673" xr:uid="{26D3CB7E-A9F2-4595-BB24-27DB658E63EC}"/>
    <cellStyle name="常规 12 2 6 3 4" xfId="13674" xr:uid="{064C7160-9E19-4E23-BA5F-C194BAFEAA5E}"/>
    <cellStyle name="常规 12 2 6 3 5" xfId="13675" xr:uid="{94A11B1C-CD25-4AD2-A205-CD52083209E7}"/>
    <cellStyle name="常规 12 2 6 3 6" xfId="13676" xr:uid="{81DE368A-3C22-4446-8FDA-40507C33AFA6}"/>
    <cellStyle name="常规 12 2 6 4" xfId="13677" xr:uid="{9DCDF93B-D383-4A77-8AE7-1D1EF88657FF}"/>
    <cellStyle name="常规 12 2 6 5" xfId="13678" xr:uid="{9F977DA7-C1B4-436E-93C1-D29A6E91768D}"/>
    <cellStyle name="常规 12 2 6 6" xfId="13679" xr:uid="{25DA9300-371E-497C-8827-409705E26D25}"/>
    <cellStyle name="常规 12 2 6 7" xfId="13680" xr:uid="{A9FF5153-F5B3-41B9-91CF-88F2418AEFC5}"/>
    <cellStyle name="常规 12 2 6 8" xfId="13681" xr:uid="{2E31FC43-C8C3-47D9-B4A3-D3159FF246D7}"/>
    <cellStyle name="常规 12 2 6 9" xfId="13682" xr:uid="{42D0D58B-C360-4DE1-B83F-34A51EC37641}"/>
    <cellStyle name="常规 12 2 7" xfId="13683" xr:uid="{320CB742-BBB3-489B-BC7C-DEADE2CCA6C7}"/>
    <cellStyle name="常规 12 2 7 2" xfId="13684" xr:uid="{96FDAF08-9FFE-40B8-B7BB-0A46E2B78EC6}"/>
    <cellStyle name="常规 12 2 7 2 2" xfId="13685" xr:uid="{A0CD8570-6DC6-4883-8430-82EAD12D4CAD}"/>
    <cellStyle name="常规 12 2 7 2 3" xfId="13686" xr:uid="{C7665BE0-1733-49DF-B684-1EB5FAE89B3E}"/>
    <cellStyle name="常规 12 2 7 2 4" xfId="13687" xr:uid="{395C6708-16CA-4DAD-8BB4-4BCE77A487B5}"/>
    <cellStyle name="常规 12 2 7 2 5" xfId="13688" xr:uid="{B6E80F6E-6B52-4C24-9468-B21BDD3342D6}"/>
    <cellStyle name="常规 12 2 7 2 6" xfId="13689" xr:uid="{E41F5233-6669-410F-A63E-DDA6C5EA8E54}"/>
    <cellStyle name="常规 12 2 7 3" xfId="13690" xr:uid="{AA68097B-BD99-4BEA-9883-14BB32D328E0}"/>
    <cellStyle name="常规 12 2 7 4" xfId="13691" xr:uid="{221D8C60-24F8-40DD-824D-CE4E7FADB3E5}"/>
    <cellStyle name="常规 12 2 7 5" xfId="13692" xr:uid="{FC0B94CA-9478-48E1-AEFF-FA8044BE7831}"/>
    <cellStyle name="常规 12 2 7 6" xfId="13693" xr:uid="{D8BC1F73-F268-4E03-BC90-C317E0738964}"/>
    <cellStyle name="常规 12 2 7 7" xfId="13694" xr:uid="{4717DFB3-15AB-4278-BB94-F5380F7D5CEA}"/>
    <cellStyle name="常规 12 2 7 8" xfId="13695" xr:uid="{1514BECA-1123-43CB-843F-6E1C0E9650B1}"/>
    <cellStyle name="常规 12 2 8" xfId="13696" xr:uid="{F3F45F7A-1B32-4F33-8A37-C4C71560EB8F}"/>
    <cellStyle name="常规 12 2 8 2" xfId="13697" xr:uid="{F6B13FD6-48F2-422B-B6CE-E60BED051F09}"/>
    <cellStyle name="常规 12 2 8 2 2" xfId="13698" xr:uid="{D1A8B6C1-8894-492C-BF71-07BE893328C7}"/>
    <cellStyle name="常规 12 2 8 2 3" xfId="13699" xr:uid="{EEB15F50-24DE-41F0-869D-CEC9CF704D79}"/>
    <cellStyle name="常规 12 2 8 2 4" xfId="13700" xr:uid="{CCCC4196-D689-40F9-86F8-E74027D31DF7}"/>
    <cellStyle name="常规 12 2 8 2 5" xfId="13701" xr:uid="{1923251D-B329-4166-9C9C-6F9EB560AD64}"/>
    <cellStyle name="常规 12 2 8 2 6" xfId="13702" xr:uid="{C14E5AD9-7056-4CF2-ADF3-9F4851D06B1A}"/>
    <cellStyle name="常规 12 2 8 3" xfId="13703" xr:uid="{B247B0A1-F7CF-40C6-A04C-DD8E5BC53862}"/>
    <cellStyle name="常规 12 2 8 4" xfId="13704" xr:uid="{C0A38425-4431-4779-A405-5D5E9842EAF3}"/>
    <cellStyle name="常规 12 2 8 5" xfId="13705" xr:uid="{936D646D-7F67-4BD8-AD1B-E89AD5780B3F}"/>
    <cellStyle name="常规 12 2 8 6" xfId="13706" xr:uid="{C6728F4F-CC40-476D-8C28-64936D3194FB}"/>
    <cellStyle name="常规 12 2 8 7" xfId="13707" xr:uid="{DC190496-2C68-476A-8ED0-6193DB6DC5FE}"/>
    <cellStyle name="常规 12 2 8 8" xfId="13708" xr:uid="{F70AAA52-4C47-42F4-ADA2-CD4A2E570859}"/>
    <cellStyle name="常规 12 2 8 9" xfId="33782" xr:uid="{EADCF49C-4A8F-4A0E-8FF6-393B5F0AD756}"/>
    <cellStyle name="常规 12 2 9" xfId="13709" xr:uid="{328FCC73-F58B-420D-AEEE-B36B1A45D9DF}"/>
    <cellStyle name="常规 12 2 9 2" xfId="13710" xr:uid="{8BA3CA12-44C4-4943-BE90-FD88E43C137A}"/>
    <cellStyle name="常规 12 2 9 2 2" xfId="13711" xr:uid="{2B0DB418-AE58-405F-B69A-341EEA1EF18C}"/>
    <cellStyle name="常规 12 2 9 2 3" xfId="13712" xr:uid="{3E05F893-EBDF-499A-B07D-0CC9E4D8FC50}"/>
    <cellStyle name="常规 12 2 9 2 4" xfId="13713" xr:uid="{7D3FD901-4134-478C-A4E5-387F2B1EC098}"/>
    <cellStyle name="常规 12 2 9 2 5" xfId="13714" xr:uid="{21D698BC-4AAC-4D26-A2F2-773566733070}"/>
    <cellStyle name="常规 12 2 9 2 6" xfId="13715" xr:uid="{E34FD094-9547-48D9-9513-77894BB5BCDA}"/>
    <cellStyle name="常规 12 2 9 3" xfId="13716" xr:uid="{A727D5C6-8EB5-45A9-8D6C-A5B8B6254A43}"/>
    <cellStyle name="常规 12 2 9 4" xfId="13717" xr:uid="{7A8CE37A-56FD-49DD-8C96-BB487342EE73}"/>
    <cellStyle name="常规 12 2 9 5" xfId="13718" xr:uid="{8A7FEA36-25B5-444B-8B7A-DA18679964EF}"/>
    <cellStyle name="常规 12 2 9 6" xfId="13719" xr:uid="{A12C620D-2777-42CF-83A8-661908854FFF}"/>
    <cellStyle name="常规 12 2 9 7" xfId="13720" xr:uid="{9F2122A8-85B7-49DC-BE39-016345B0251C}"/>
    <cellStyle name="常规 12 2 9 8" xfId="13721" xr:uid="{471DA9D7-F045-47A7-A8FA-00018D0AEC6B}"/>
    <cellStyle name="常规 12 3" xfId="13722" xr:uid="{8B2D151A-EF0F-4CB7-AD7E-AB510FE36109}"/>
    <cellStyle name="常规 12 3 10" xfId="13723" xr:uid="{C8F0379B-79C3-44F9-9DC2-FAE3AFA1084D}"/>
    <cellStyle name="常规 12 3 11" xfId="13724" xr:uid="{A9096163-1A8E-43C1-A2A8-11D2EB990191}"/>
    <cellStyle name="常规 12 3 12" xfId="13725" xr:uid="{13BD763C-8478-46AA-B8D0-1DA933C21E7D}"/>
    <cellStyle name="常规 12 3 13" xfId="13726" xr:uid="{FA364A0E-EC3F-433A-AE84-B61A8603EA0E}"/>
    <cellStyle name="常规 12 3 2" xfId="13727" xr:uid="{FA4AFB7E-D03D-4586-B216-C763AC66B6E2}"/>
    <cellStyle name="常规 12 3 2 10" xfId="13728" xr:uid="{4FFABD9D-D2BC-433E-AF16-0BC8C60EF1BD}"/>
    <cellStyle name="常规 12 3 2 11" xfId="13729" xr:uid="{C0BFA914-C553-49D5-9BFC-B077E1882B0B}"/>
    <cellStyle name="常规 12 3 2 2" xfId="13730" xr:uid="{37A4A32F-F913-4C2A-A1E1-A16B9B384D83}"/>
    <cellStyle name="常规 12 3 2 2 2" xfId="13731" xr:uid="{E6FB1124-F993-4118-BBDE-38F9DA84453C}"/>
    <cellStyle name="常规 12 3 2 2 2 2" xfId="13732" xr:uid="{724D9A7B-D8A2-4FFC-AE25-A3F41673CF48}"/>
    <cellStyle name="常规 12 3 2 2 2 2 2" xfId="13733" xr:uid="{A3659858-D0BB-415B-93CB-4DEE9AC9BC7F}"/>
    <cellStyle name="常规 12 3 2 2 2 2 3" xfId="13734" xr:uid="{029FACED-13CE-4109-947E-7D39F2497BF6}"/>
    <cellStyle name="常规 12 3 2 2 2 2 4" xfId="13735" xr:uid="{93497096-75B7-459E-B05A-7026E1B9CA26}"/>
    <cellStyle name="常规 12 3 2 2 2 2 5" xfId="13736" xr:uid="{AB3FCD35-27B6-47D0-B2A6-2810554F63E9}"/>
    <cellStyle name="常规 12 3 2 2 2 2 6" xfId="13737" xr:uid="{4EEF5CFD-C102-4DDB-8598-17D49C019BF3}"/>
    <cellStyle name="常规 12 3 2 2 2 2 7" xfId="13738" xr:uid="{5C675296-C701-4623-9FB3-CE3220B01993}"/>
    <cellStyle name="常规 12 3 2 2 2 2 8" xfId="13739" xr:uid="{0663F719-05CB-4646-8F72-5B0B5E1B7DE4}"/>
    <cellStyle name="常规 12 3 2 2 2 3" xfId="13740" xr:uid="{28B82914-C761-420F-B06F-841A5C4123F6}"/>
    <cellStyle name="常规 12 3 2 2 2 3 2" xfId="13741" xr:uid="{625428BB-6A00-4615-B612-D3914A4EA5DA}"/>
    <cellStyle name="常规 12 3 2 2 2 4" xfId="13742" xr:uid="{553967DB-99E2-46E9-ACAE-14D8E8D2CA21}"/>
    <cellStyle name="常规 12 3 2 2 2 4 2" xfId="13743" xr:uid="{A7C40C04-53AB-421E-A9FC-E400ABC9F41D}"/>
    <cellStyle name="常规 12 3 2 2 2 4 3" xfId="33783" xr:uid="{B7134E35-D447-4D00-A464-DC299C0DC7A2}"/>
    <cellStyle name="常规 12 3 2 2 2 5" xfId="13744" xr:uid="{4155AD38-FA37-4D96-8CE8-7A1CAE6F8CD0}"/>
    <cellStyle name="常规 12 3 2 2 2 6" xfId="13745" xr:uid="{12F1EC36-C6BA-4458-94DC-AF9C0EC8933C}"/>
    <cellStyle name="常规 12 3 2 2 2 7" xfId="13746" xr:uid="{D38767ED-8816-40B6-88A5-E5633516103E}"/>
    <cellStyle name="常规 12 3 2 2 2 8" xfId="13747" xr:uid="{8EFA79DA-85FB-4120-AF75-1F061984ED44}"/>
    <cellStyle name="常规 12 3 2 2 3" xfId="13748" xr:uid="{9D8BDFDA-9689-4E4B-A355-C72FE0BA7388}"/>
    <cellStyle name="常规 12 3 2 2 3 2" xfId="13749" xr:uid="{D19A3C95-73A8-418D-AA9C-69BF5050A219}"/>
    <cellStyle name="常规 12 3 2 2 3 3" xfId="13750" xr:uid="{626D00B5-CBFE-4147-AC83-8D64FE726891}"/>
    <cellStyle name="常规 12 3 2 2 3 4" xfId="13751" xr:uid="{55D3BD5D-6E26-4243-A7C0-A29540B7E497}"/>
    <cellStyle name="常规 12 3 2 2 3 5" xfId="13752" xr:uid="{74FA3A28-C85A-47B9-8774-592FB6E963D3}"/>
    <cellStyle name="常规 12 3 2 2 3 6" xfId="13753" xr:uid="{C201EB71-C392-4F8A-91F8-D1B5CF09A4A9}"/>
    <cellStyle name="常规 12 3 2 2 3 7" xfId="13754" xr:uid="{D590C3A5-9FDD-46D0-BBA6-422152D63909}"/>
    <cellStyle name="常规 12 3 2 2 3 8" xfId="13755" xr:uid="{B0496516-BAAD-4A5E-88EC-75359F8E784D}"/>
    <cellStyle name="常规 12 3 2 2 4" xfId="13756" xr:uid="{415A601B-4E3B-46F4-98A0-25A13EC79648}"/>
    <cellStyle name="常规 12 3 2 2 4 2" xfId="13757" xr:uid="{7802CEEE-9F71-4D60-A3C9-A2956B3200E4}"/>
    <cellStyle name="常规 12 3 2 2 5" xfId="13758" xr:uid="{28AF8366-2EFF-4DA1-834A-550D036C22A1}"/>
    <cellStyle name="常规 12 3 2 2 5 2" xfId="13759" xr:uid="{C91480B5-6A9F-4798-BE47-09711A212EB1}"/>
    <cellStyle name="常规 12 3 2 2 5 3" xfId="33784" xr:uid="{3CB8601C-43C3-48AB-AAB0-10619FEC2425}"/>
    <cellStyle name="常规 12 3 2 2 6" xfId="13760" xr:uid="{22ADFABD-524F-4286-8526-81F004DB8E15}"/>
    <cellStyle name="常规 12 3 2 2 7" xfId="13761" xr:uid="{7E4247DC-5323-4CA7-929D-E3C4A762842D}"/>
    <cellStyle name="常规 12 3 2 2 8" xfId="13762" xr:uid="{E1BB2301-43A1-46F4-B437-8E8B3F291BCC}"/>
    <cellStyle name="常规 12 3 2 2 9" xfId="13763" xr:uid="{B7F3C315-D733-4614-B1B2-941E6B2CC24A}"/>
    <cellStyle name="常规 12 3 2 3" xfId="13764" xr:uid="{28BD1A2A-149F-4138-B5A6-AB42C2ADA5C6}"/>
    <cellStyle name="常规 12 3 2 3 2" xfId="13765" xr:uid="{FA9F7D20-E412-487D-93A0-D009F81AF999}"/>
    <cellStyle name="常规 12 3 2 3 2 2" xfId="13766" xr:uid="{239F699F-C961-4B82-BA80-7D671AFC2320}"/>
    <cellStyle name="常规 12 3 2 3 2 2 2" xfId="13767" xr:uid="{9A004200-209E-44FF-AE51-8675BBDE0C4F}"/>
    <cellStyle name="常规 12 3 2 3 2 2 3" xfId="13768" xr:uid="{3504D13D-BD99-4ADD-ABCA-A69C44E83F52}"/>
    <cellStyle name="常规 12 3 2 3 2 2 4" xfId="13769" xr:uid="{AB522023-8F31-495B-947E-B2DB57C0F092}"/>
    <cellStyle name="常规 12 3 2 3 2 2 5" xfId="13770" xr:uid="{F34F67EE-1E32-411F-8C86-3D35B0D0CDAC}"/>
    <cellStyle name="常规 12 3 2 3 2 2 6" xfId="13771" xr:uid="{BBBABCB9-9C70-47A8-99A2-9F77F1C22C6B}"/>
    <cellStyle name="常规 12 3 2 3 2 3" xfId="13772" xr:uid="{5103A5A0-3470-4F4A-B4A2-2FA1E7A4DA54}"/>
    <cellStyle name="常规 12 3 2 3 2 4" xfId="13773" xr:uid="{A7E08BC0-C3F5-4A00-811B-C8780D2DAD5C}"/>
    <cellStyle name="常规 12 3 2 3 2 5" xfId="13774" xr:uid="{A6A08451-6031-460B-8058-46221F287FBF}"/>
    <cellStyle name="常规 12 3 2 3 2 6" xfId="13775" xr:uid="{C0963F21-C793-408C-BEAB-A2307C0F576C}"/>
    <cellStyle name="常规 12 3 2 3 2 7" xfId="13776" xr:uid="{1781AEDA-46F9-49D4-B2A6-629D31994056}"/>
    <cellStyle name="常规 12 3 2 3 2 8" xfId="13777" xr:uid="{D59DA74D-0310-4BB0-A219-06F2300C9C2E}"/>
    <cellStyle name="常规 12 3 2 3 2 9" xfId="13778" xr:uid="{48F69045-E571-4E2C-B429-10D4CAD5D406}"/>
    <cellStyle name="常规 12 3 2 3 3" xfId="13779" xr:uid="{C19BFA64-6437-41ED-9111-27454EA70642}"/>
    <cellStyle name="常规 12 3 2 3 3 2" xfId="13780" xr:uid="{60A2F96E-19DD-4104-8568-09780F8EE768}"/>
    <cellStyle name="常规 12 3 2 3 3 3" xfId="13781" xr:uid="{6B573518-013A-4C8A-AB68-1770A2A8CD7B}"/>
    <cellStyle name="常规 12 3 2 3 3 4" xfId="13782" xr:uid="{6BF4E26A-958B-45C6-8670-5D242704E2CF}"/>
    <cellStyle name="常规 12 3 2 3 3 5" xfId="13783" xr:uid="{0F1A07C3-8275-4A1A-A804-E83685D8CFEC}"/>
    <cellStyle name="常规 12 3 2 3 3 6" xfId="13784" xr:uid="{700CC917-2463-4DB2-B8C9-99B58B6B72E4}"/>
    <cellStyle name="常规 12 3 2 3 3 7" xfId="13785" xr:uid="{BA633561-48FE-4CE1-B4BD-150BE62BC26E}"/>
    <cellStyle name="常规 12 3 2 3 4" xfId="13786" xr:uid="{508B4DAA-853A-425E-A2B4-C5838C915851}"/>
    <cellStyle name="常规 12 3 2 3 4 2" xfId="13787" xr:uid="{6CDC8A6E-48F3-4C9C-9B39-11D4BF18A45B}"/>
    <cellStyle name="常规 12 3 2 3 4 3" xfId="33785" xr:uid="{4C8B282C-CD1F-4B55-94BA-7A61D69AA25D}"/>
    <cellStyle name="常规 12 3 2 3 5" xfId="13788" xr:uid="{BA972433-FABA-469C-9714-614BB842A15E}"/>
    <cellStyle name="常规 12 3 2 3 6" xfId="13789" xr:uid="{70B1CFE9-530C-4AE5-833B-DEB86B98CB0A}"/>
    <cellStyle name="常规 12 3 2 3 7" xfId="13790" xr:uid="{2EB60C6C-9F94-4F31-AD4A-CA1BBB7A542D}"/>
    <cellStyle name="常规 12 3 2 3 8" xfId="13791" xr:uid="{DEE87CAF-9AB4-4539-A87B-4207C263BE12}"/>
    <cellStyle name="常规 12 3 2 3 9" xfId="13792" xr:uid="{DEF892D3-D361-440E-A69F-DFD0C628DB84}"/>
    <cellStyle name="常规 12 3 2 4" xfId="13793" xr:uid="{6535F98F-F4C4-4E78-8AFD-989545FFAB56}"/>
    <cellStyle name="常规 12 3 2 4 2" xfId="13794" xr:uid="{2CAE81B6-3294-49AB-AC5E-1865E9B8152D}"/>
    <cellStyle name="常规 12 3 2 4 2 2" xfId="13795" xr:uid="{3FBDDC05-B17C-4DD7-A26B-4030D88EE204}"/>
    <cellStyle name="常规 12 3 2 4 2 3" xfId="13796" xr:uid="{66D09B91-5086-43DF-A218-D19F9900A941}"/>
    <cellStyle name="常规 12 3 2 4 2 4" xfId="13797" xr:uid="{0828CC65-FCB7-41DA-8CD9-182FB6256CED}"/>
    <cellStyle name="常规 12 3 2 4 2 5" xfId="13798" xr:uid="{5B09EC0A-2047-49F9-B075-56EB16F5DC43}"/>
    <cellStyle name="常规 12 3 2 4 2 6" xfId="13799" xr:uid="{1241E5B0-4369-4BFB-B57E-69499333E1AC}"/>
    <cellStyle name="常规 12 3 2 4 3" xfId="13800" xr:uid="{87DBFE5F-E359-4C35-8D88-3B61051EEB96}"/>
    <cellStyle name="常规 12 3 2 4 4" xfId="13801" xr:uid="{61588AC4-9660-4082-8C7E-EB72460DE392}"/>
    <cellStyle name="常规 12 3 2 4 5" xfId="13802" xr:uid="{022E5DBA-58D2-4C4F-BA6C-57876EC83E2A}"/>
    <cellStyle name="常规 12 3 2 4 6" xfId="13803" xr:uid="{5EA54E77-3D4A-4FD3-A87F-A12A456F87C0}"/>
    <cellStyle name="常规 12 3 2 4 7" xfId="13804" xr:uid="{B019A8C2-C4F4-46E0-AE88-DCACF7B4BE3C}"/>
    <cellStyle name="常规 12 3 2 4 8" xfId="13805" xr:uid="{4A492E8A-205B-4684-95DB-5174C20F832C}"/>
    <cellStyle name="常规 12 3 2 4 9" xfId="13806" xr:uid="{AF421DDC-DD46-44E9-8F8B-4DFF66FED115}"/>
    <cellStyle name="常规 12 3 2 5" xfId="13807" xr:uid="{6BD590A6-BDD2-4543-B1E3-5F59C0786BC5}"/>
    <cellStyle name="常规 12 3 2 5 2" xfId="13808" xr:uid="{0EC2C4D8-66F8-4E5E-ACE4-D11297923FED}"/>
    <cellStyle name="常规 12 3 2 5 3" xfId="13809" xr:uid="{DF5C0891-FF0B-4779-9C85-713780CAF835}"/>
    <cellStyle name="常规 12 3 2 5 4" xfId="13810" xr:uid="{63F31E90-CF8A-4667-9831-7325B21CBE79}"/>
    <cellStyle name="常规 12 3 2 5 5" xfId="13811" xr:uid="{45D1677A-3085-48BB-9DBD-23E3E83314F4}"/>
    <cellStyle name="常规 12 3 2 5 6" xfId="13812" xr:uid="{4D7B2EAB-43BC-4072-8DCF-1AAB9EE12460}"/>
    <cellStyle name="常规 12 3 2 5 7" xfId="13813" xr:uid="{3431B883-19C0-4EB2-A6D8-31E15B040370}"/>
    <cellStyle name="常规 12 3 2 6" xfId="13814" xr:uid="{F8A9362B-F633-40EC-9F80-FE57EA50B8D2}"/>
    <cellStyle name="常规 12 3 2 6 2" xfId="13815" xr:uid="{A22E25F6-9CB3-4AA4-B3D1-451ADB61A493}"/>
    <cellStyle name="常规 12 3 2 6 3" xfId="33786" xr:uid="{D1C06819-9D41-477F-AECE-5AED15A18750}"/>
    <cellStyle name="常规 12 3 2 7" xfId="13816" xr:uid="{C116D39F-392D-4441-B1F3-DDC1C3440F3D}"/>
    <cellStyle name="常规 12 3 2 8" xfId="13817" xr:uid="{45943A9B-95DC-43E1-9E84-8890569C7BDB}"/>
    <cellStyle name="常规 12 3 2 9" xfId="13818" xr:uid="{3D2A415B-7ED8-4EAB-8906-E14186819595}"/>
    <cellStyle name="常规 12 3 3" xfId="13819" xr:uid="{70814E50-019C-4B57-B5A5-AFC19A4AAB19}"/>
    <cellStyle name="常规 12 3 3 2" xfId="13820" xr:uid="{99BAF300-E674-4AAA-9675-BE9EEF2D74DC}"/>
    <cellStyle name="常规 12 3 3 2 2" xfId="13821" xr:uid="{767B69E7-29C6-4AA1-BA01-47212EFF2F08}"/>
    <cellStyle name="常规 12 3 3 2 2 2" xfId="13822" xr:uid="{8498C3D2-787C-4F77-9BB8-49101EA3D510}"/>
    <cellStyle name="常规 12 3 3 2 2 3" xfId="13823" xr:uid="{A4B805C6-F7B2-46CE-ACF6-B6EE15C08F9A}"/>
    <cellStyle name="常规 12 3 3 2 2 4" xfId="13824" xr:uid="{A50C9FB2-3E57-4D34-A3F6-D5F688571287}"/>
    <cellStyle name="常规 12 3 3 2 2 5" xfId="13825" xr:uid="{E73E6341-4144-45C9-89F0-4C24BDA7CF22}"/>
    <cellStyle name="常规 12 3 3 2 2 6" xfId="13826" xr:uid="{30EFF045-00E2-4B54-9061-96F2189D3AAB}"/>
    <cellStyle name="常规 12 3 3 2 2 7" xfId="13827" xr:uid="{C503BEAF-8697-4AB8-8975-7179AA0D1ADB}"/>
    <cellStyle name="常规 12 3 3 2 2 8" xfId="13828" xr:uid="{9AACB7F9-EC73-4FA6-8EBC-E0F40C2B089A}"/>
    <cellStyle name="常规 12 3 3 2 3" xfId="13829" xr:uid="{F23878F9-B20A-4127-97EE-3A9E948CE3D7}"/>
    <cellStyle name="常规 12 3 3 2 3 2" xfId="13830" xr:uid="{8060CFA2-4ACD-48D6-A07C-575CB0F9C4EC}"/>
    <cellStyle name="常规 12 3 3 2 4" xfId="13831" xr:uid="{3292928D-5562-4616-9A68-C59AC40ACD8F}"/>
    <cellStyle name="常规 12 3 3 2 4 2" xfId="13832" xr:uid="{03E717EC-50AF-4FD7-818D-DD6CB8B43DB4}"/>
    <cellStyle name="常规 12 3 3 2 4 3" xfId="33787" xr:uid="{88A87199-A903-4E9A-BD74-0CAEF943791F}"/>
    <cellStyle name="常规 12 3 3 2 5" xfId="13833" xr:uid="{796E91B4-AB94-4F7A-9E49-D74778F205C0}"/>
    <cellStyle name="常规 12 3 3 2 6" xfId="13834" xr:uid="{104DB213-4E59-43CA-AA68-6F8CEA61F3BE}"/>
    <cellStyle name="常规 12 3 3 2 7" xfId="13835" xr:uid="{A0501833-FD1C-4CCD-99A3-7918FDAC288E}"/>
    <cellStyle name="常规 12 3 3 2 8" xfId="13836" xr:uid="{BBADFEB5-576D-48D2-97A6-1E86C106411A}"/>
    <cellStyle name="常规 12 3 3 3" xfId="13837" xr:uid="{EB3CA2BB-8975-43E7-80E6-E59320F1A79A}"/>
    <cellStyle name="常规 12 3 3 3 2" xfId="13838" xr:uid="{A0774C73-35E2-4F50-A0BF-606902256EDF}"/>
    <cellStyle name="常规 12 3 3 3 2 2" xfId="13839" xr:uid="{5A98A6D6-0289-45BB-874A-DBA246AB5F97}"/>
    <cellStyle name="常规 12 3 3 3 2 3" xfId="13840" xr:uid="{CB0D49F7-8709-4F4C-B187-72BE0DB3E31B}"/>
    <cellStyle name="常规 12 3 3 3 3" xfId="13841" xr:uid="{00B60BA9-84D3-4529-8A2D-517E1569A75E}"/>
    <cellStyle name="常规 12 3 3 3 3 2" xfId="13842" xr:uid="{8D624A2D-9E1C-4EBD-9F63-39702F9C383B}"/>
    <cellStyle name="常规 12 3 3 3 4" xfId="13843" xr:uid="{B8283787-F377-4E30-B2CC-F4167BA5A01C}"/>
    <cellStyle name="常规 12 3 3 3 4 2" xfId="13844" xr:uid="{91404B13-7375-4605-B74C-08D793099FCF}"/>
    <cellStyle name="常规 12 3 3 3 4 3" xfId="33788" xr:uid="{C5819562-1455-4CA2-8656-9884B90E7CF9}"/>
    <cellStyle name="常规 12 3 3 3 5" xfId="13845" xr:uid="{0C4D9740-8F59-4565-BEFD-CBA06C2C3F76}"/>
    <cellStyle name="常规 12 3 3 3 6" xfId="13846" xr:uid="{33793D07-EC06-4F15-8292-ED6BC65CD54F}"/>
    <cellStyle name="常规 12 3 3 3 7" xfId="13847" xr:uid="{DA4C9930-B57A-4EBA-AAC0-EEFD27E1EBAF}"/>
    <cellStyle name="常规 12 3 3 4" xfId="13848" xr:uid="{EA955D2C-91A5-4610-8B0B-B8E12148F670}"/>
    <cellStyle name="常规 12 3 3 4 2" xfId="13849" xr:uid="{26B7C8A4-D484-4FFA-86CA-619331E3B642}"/>
    <cellStyle name="常规 12 3 3 4 3" xfId="13850" xr:uid="{F7FDC8AD-263C-42D8-92B0-3F56E508DD9A}"/>
    <cellStyle name="常规 12 3 3 5" xfId="13851" xr:uid="{F2A65D7D-9039-4619-BE90-FBA8FE13DA61}"/>
    <cellStyle name="常规 12 3 3 5 2" xfId="13852" xr:uid="{66AA231C-43C4-4190-8841-D3E35C4B5FB4}"/>
    <cellStyle name="常规 12 3 3 6" xfId="13853" xr:uid="{64747878-23BB-4474-BCCF-B1C4AF01AA7B}"/>
    <cellStyle name="常规 12 3 3 6 2" xfId="13854" xr:uid="{E38AB3ED-021D-420E-8075-9F350EA1CB76}"/>
    <cellStyle name="常规 12 3 3 6 3" xfId="33789" xr:uid="{51DC2BF1-993E-46A0-B352-D0C6D03CCE30}"/>
    <cellStyle name="常规 12 3 3 7" xfId="13855" xr:uid="{83FB6CA2-D4B1-4CBF-8943-B32FB47591B0}"/>
    <cellStyle name="常规 12 3 3 8" xfId="13856" xr:uid="{983688DA-D639-431B-8B26-C4A8683A6EEA}"/>
    <cellStyle name="常规 12 3 3 9" xfId="13857" xr:uid="{95852956-6B99-4D69-8040-FC6CE6DF44FA}"/>
    <cellStyle name="常规 12 3 4" xfId="13858" xr:uid="{46160B71-D1C5-4526-8C2B-C679DB86B1C9}"/>
    <cellStyle name="常规 12 3 4 2" xfId="13859" xr:uid="{C00CD81E-2795-487B-B1BA-8DD7708D617B}"/>
    <cellStyle name="常规 12 3 4 2 2" xfId="13860" xr:uid="{FE1B26C5-E0B4-4536-9D06-CA0026B74156}"/>
    <cellStyle name="常规 12 3 4 2 2 2" xfId="13861" xr:uid="{FE7F55C7-4F49-4D0F-98F4-9E1608C7A235}"/>
    <cellStyle name="常规 12 3 4 2 2 3" xfId="13862" xr:uid="{2C31ABD5-F4CA-47EE-BB6C-D9381DD994C6}"/>
    <cellStyle name="常规 12 3 4 2 2 4" xfId="13863" xr:uid="{A5C79F88-1890-4E07-86C8-0BF88E401B3D}"/>
    <cellStyle name="常规 12 3 4 2 2 5" xfId="13864" xr:uid="{3C181BCA-603A-4124-B119-585EE02D3E93}"/>
    <cellStyle name="常规 12 3 4 2 2 6" xfId="13865" xr:uid="{225892F1-D6C1-41A8-9760-B959F5D98D8A}"/>
    <cellStyle name="常规 12 3 4 2 3" xfId="13866" xr:uid="{23A22871-EB33-4E15-B7CF-3717EC66CF27}"/>
    <cellStyle name="常规 12 3 4 2 4" xfId="13867" xr:uid="{A2761882-68B0-4192-8C47-88A88E888472}"/>
    <cellStyle name="常规 12 3 4 2 5" xfId="13868" xr:uid="{67832138-2353-45AC-B0ED-131E50C98AD7}"/>
    <cellStyle name="常规 12 3 4 2 6" xfId="13869" xr:uid="{33FBCB19-1049-4302-9509-5959447583B2}"/>
    <cellStyle name="常规 12 3 4 2 7" xfId="13870" xr:uid="{067AF40F-BAC1-473B-B43D-4F1BF5AF8731}"/>
    <cellStyle name="常规 12 3 4 2 8" xfId="13871" xr:uid="{D9E0641B-49B3-4655-A7DA-71C43FFD3855}"/>
    <cellStyle name="常规 12 3 4 2 9" xfId="13872" xr:uid="{D80D4444-31EF-47EB-856C-522F57B0C70C}"/>
    <cellStyle name="常规 12 3 4 3" xfId="13873" xr:uid="{14B7DCFE-0BD9-4718-B668-4D2F56C6D1B7}"/>
    <cellStyle name="常规 12 3 4 3 2" xfId="13874" xr:uid="{147979DA-F9E4-450D-9AF1-1670FAC9B336}"/>
    <cellStyle name="常规 12 3 4 3 3" xfId="13875" xr:uid="{27F2E9A7-3FB0-42E8-9E26-6875CEEC4BEC}"/>
    <cellStyle name="常规 12 3 4 3 4" xfId="13876" xr:uid="{F5F29D02-DBF4-4C63-94DC-B9886BB3B464}"/>
    <cellStyle name="常规 12 3 4 3 5" xfId="13877" xr:uid="{ABC2AE39-5FF8-4264-8AB3-F541B94D08B3}"/>
    <cellStyle name="常规 12 3 4 3 6" xfId="13878" xr:uid="{363EFDB6-03BD-4735-BFBA-AF414ED25700}"/>
    <cellStyle name="常规 12 3 4 3 7" xfId="13879" xr:uid="{D2969DE8-18BE-42E6-AB08-8438E37106F8}"/>
    <cellStyle name="常规 12 3 4 4" xfId="13880" xr:uid="{F884EC38-3AC6-4028-BFFF-FE573E1151A0}"/>
    <cellStyle name="常规 12 3 4 4 2" xfId="13881" xr:uid="{8C225F71-A385-43BF-A0B1-81C3204203B4}"/>
    <cellStyle name="常规 12 3 4 4 3" xfId="33790" xr:uid="{A6DB7E65-AA3B-460C-8E25-A9D40F19D6C4}"/>
    <cellStyle name="常规 12 3 4 5" xfId="13882" xr:uid="{0EE6FC0A-3AC2-42CA-891D-48BAEFE29C83}"/>
    <cellStyle name="常规 12 3 4 6" xfId="13883" xr:uid="{D722028C-619D-490D-AC7E-80B15D125EB7}"/>
    <cellStyle name="常规 12 3 4 7" xfId="13884" xr:uid="{D307AE46-5002-4ED6-A19F-8B460024F62F}"/>
    <cellStyle name="常规 12 3 4 8" xfId="13885" xr:uid="{D8D5A4D5-C122-4E8E-AEF7-2932E8B144AF}"/>
    <cellStyle name="常规 12 3 4 9" xfId="13886" xr:uid="{31357F3B-667A-424F-86DA-FE1009331F4D}"/>
    <cellStyle name="常规 12 3 5" xfId="13887" xr:uid="{CBC31F9C-D463-49E6-8860-EEBB511402DC}"/>
    <cellStyle name="常规 12 3 5 2" xfId="13888" xr:uid="{A5C0BF19-0927-4BD3-93D5-53917511AAF4}"/>
    <cellStyle name="常规 12 3 5 2 2" xfId="13889" xr:uid="{F20D0C82-3B34-432A-957C-543003A7F53A}"/>
    <cellStyle name="常规 12 3 5 2 3" xfId="13890" xr:uid="{08DDD7DB-00F5-4750-91D4-B355781A975F}"/>
    <cellStyle name="常规 12 3 5 2 4" xfId="13891" xr:uid="{69AC32DA-2979-4AA1-B872-EE1D4D5957FE}"/>
    <cellStyle name="常规 12 3 5 2 5" xfId="13892" xr:uid="{55609450-8ADD-4062-9ED4-FBEDEE460ECC}"/>
    <cellStyle name="常规 12 3 5 2 6" xfId="13893" xr:uid="{A2518554-8443-4382-B7BF-5A8A641994BE}"/>
    <cellStyle name="常规 12 3 5 2 7" xfId="13894" xr:uid="{54FD3E10-CC44-42EA-8EA2-626FE287DAE7}"/>
    <cellStyle name="常规 12 3 5 2 8" xfId="13895" xr:uid="{A18F02EA-76B7-4864-B8A7-41F4CEE4287E}"/>
    <cellStyle name="常规 12 3 5 3" xfId="13896" xr:uid="{8DC13994-4E7B-484D-8D4F-8F841537BC2B}"/>
    <cellStyle name="常规 12 3 5 3 2" xfId="13897" xr:uid="{7523D288-EADA-4B8B-B5CD-77351AFCCA9F}"/>
    <cellStyle name="常规 12 3 5 4" xfId="13898" xr:uid="{0513C0A9-C583-4F09-93D1-28AC2CBBC833}"/>
    <cellStyle name="常规 12 3 5 4 2" xfId="13899" xr:uid="{4E3C6504-4819-4835-93E9-BAD9E553A546}"/>
    <cellStyle name="常规 12 3 5 4 3" xfId="33791" xr:uid="{987D9D5C-9396-4B15-A0EA-5E40AE28E8EA}"/>
    <cellStyle name="常规 12 3 5 5" xfId="13900" xr:uid="{F870AE98-E7A4-4A35-881C-71BDB21B7711}"/>
    <cellStyle name="常规 12 3 5 6" xfId="13901" xr:uid="{3E64CE55-3CA3-41AC-86DE-0EE8148760D5}"/>
    <cellStyle name="常规 12 3 5 7" xfId="13902" xr:uid="{7001C7BE-F324-44E4-B1DE-AE2904EA0D41}"/>
    <cellStyle name="常规 12 3 5 8" xfId="13903" xr:uid="{2817C977-F646-43E1-8CC2-C37663EB3C79}"/>
    <cellStyle name="常规 12 3 6" xfId="13904" xr:uid="{58B70B29-43B4-4DB1-906C-C85E634E60D2}"/>
    <cellStyle name="常规 12 3 6 2" xfId="13905" xr:uid="{5B41DDA6-81F0-4C0F-A2A0-428F94AE0434}"/>
    <cellStyle name="常规 12 3 6 2 2" xfId="13906" xr:uid="{43517F15-CD36-4F8B-B7F7-3157187125A2}"/>
    <cellStyle name="常规 12 3 6 2 3" xfId="13907" xr:uid="{3F167177-F983-422E-81D8-588A7DC3AEA3}"/>
    <cellStyle name="常规 12 3 6 2 4" xfId="13908" xr:uid="{D40D7391-3F3D-4137-9726-7FB06103A06A}"/>
    <cellStyle name="常规 12 3 6 2 5" xfId="13909" xr:uid="{6815FF35-B888-46AC-ABED-A689ABC8BBC3}"/>
    <cellStyle name="常规 12 3 6 2 6" xfId="13910" xr:uid="{7BEEE27D-8A4C-42B9-A0F6-186F1DA0D682}"/>
    <cellStyle name="常规 12 3 6 3" xfId="13911" xr:uid="{072FFE64-7F61-4681-8F66-10E94FBD1698}"/>
    <cellStyle name="常规 12 3 6 4" xfId="13912" xr:uid="{A992D44E-6A1A-4C0F-A553-0805800E93EB}"/>
    <cellStyle name="常规 12 3 6 5" xfId="13913" xr:uid="{CB08BB9B-76D4-4A0B-85DF-B155C318AD15}"/>
    <cellStyle name="常规 12 3 6 6" xfId="13914" xr:uid="{D7CC9BC8-9823-44BE-B250-C790457C7B18}"/>
    <cellStyle name="常规 12 3 6 7" xfId="13915" xr:uid="{4CC6A2CA-3DD4-4190-BEEF-FE1FED284756}"/>
    <cellStyle name="常规 12 3 6 8" xfId="13916" xr:uid="{33C9FBDE-4566-4D1F-A815-8864045DD1DC}"/>
    <cellStyle name="常规 12 3 6 9" xfId="13917" xr:uid="{BC2FDE48-6CD2-44F3-800F-122E83E9F76D}"/>
    <cellStyle name="常规 12 3 7" xfId="13918" xr:uid="{0440AE99-A88D-46CD-8E78-F90F1BB97824}"/>
    <cellStyle name="常规 12 3 7 2" xfId="13919" xr:uid="{E62C3526-49B1-444C-B938-42435785F3C1}"/>
    <cellStyle name="常规 12 3 7 3" xfId="13920" xr:uid="{0177A002-FFF3-4D76-83B5-8973FB5BF21A}"/>
    <cellStyle name="常规 12 3 7 4" xfId="13921" xr:uid="{57C37EBD-35DE-486C-845E-494CEDC60F66}"/>
    <cellStyle name="常规 12 3 7 5" xfId="13922" xr:uid="{6F4000B7-807F-4160-A90C-B5BEE25A13CB}"/>
    <cellStyle name="常规 12 3 7 6" xfId="13923" xr:uid="{F1562C6D-7A79-4AF7-94AC-B33D7E77C60C}"/>
    <cellStyle name="常规 12 3 7 7" xfId="13924" xr:uid="{97F67511-6232-4134-85FA-0947D0DA6B67}"/>
    <cellStyle name="常规 12 3 8" xfId="13925" xr:uid="{58868CDB-5D05-43DF-BA7B-1DD173C88FAA}"/>
    <cellStyle name="常规 12 3 8 2" xfId="13926" xr:uid="{259573E3-CE2E-444F-A532-103B359B1601}"/>
    <cellStyle name="常规 12 3 8 3" xfId="33792" xr:uid="{CED8E5A9-2F96-4322-994B-6863EAA245C3}"/>
    <cellStyle name="常规 12 3 9" xfId="13927" xr:uid="{59121AB7-91DC-4790-BF59-B99D8D821B35}"/>
    <cellStyle name="常规 12 3 9 2" xfId="13928" xr:uid="{F6825C37-A122-4F07-9091-A65980CA6C4B}"/>
    <cellStyle name="常规 12 4" xfId="13929" xr:uid="{2F606FA7-8CE5-4961-894F-129C3C83872A}"/>
    <cellStyle name="常规 12 4 2" xfId="13930" xr:uid="{7766640E-9A6F-4E42-8EEA-622F9776A08F}"/>
    <cellStyle name="常规 12 4 2 2" xfId="13931" xr:uid="{6F0D1979-84BE-45AF-BC89-0D09BD3BA650}"/>
    <cellStyle name="常规 12 4 2 2 2" xfId="13932" xr:uid="{562007F5-A538-4112-B7F9-F339835801A0}"/>
    <cellStyle name="常规 12 4 2 2 2 2" xfId="13933" xr:uid="{FA284053-8595-48B0-A5A9-FA252C609782}"/>
    <cellStyle name="常规 12 4 2 2 3" xfId="13934" xr:uid="{9AF37898-A66B-4AA9-B03E-D8FFCA4B8D35}"/>
    <cellStyle name="常规 12 4 2 2 4" xfId="13935" xr:uid="{11225807-5AB1-4CF7-AF58-44F624B7A9E4}"/>
    <cellStyle name="常规 12 4 2 2 4 2" xfId="33793" xr:uid="{4B775A11-7681-467B-B760-78137ED9E250}"/>
    <cellStyle name="常规 12 4 2 3" xfId="13936" xr:uid="{9E177DAF-D920-4942-9401-4D3DB7AF9E97}"/>
    <cellStyle name="常规 12 4 2 3 2" xfId="13937" xr:uid="{6F39AE40-5776-4E6A-AC82-EEE64C2FE3E6}"/>
    <cellStyle name="常规 12 4 2 3 2 2" xfId="13938" xr:uid="{3635BB1F-EDF4-48EB-A02E-B65ED0C008D6}"/>
    <cellStyle name="常规 12 4 2 3 3" xfId="13939" xr:uid="{0496B66C-3B76-4EBA-8563-D016ADC63811}"/>
    <cellStyle name="常规 12 4 2 3 4" xfId="13940" xr:uid="{0456F869-F599-4617-BBFB-D5B8B11F8CAB}"/>
    <cellStyle name="常规 12 4 2 3 4 2" xfId="33794" xr:uid="{FBF4EA9C-D36D-4102-95D8-657615FDBAF6}"/>
    <cellStyle name="常规 12 4 2 4" xfId="13941" xr:uid="{72678159-67D0-407D-9764-394584CDCE16}"/>
    <cellStyle name="常规 12 4 2 4 2" xfId="13942" xr:uid="{5F42019F-1F15-49C6-9430-4BCF9238620C}"/>
    <cellStyle name="常规 12 4 2 5" xfId="13943" xr:uid="{A77E88C1-CE80-488E-9CEF-76F6BEFA693D}"/>
    <cellStyle name="常规 12 4 2 6" xfId="13944" xr:uid="{C6B9CF0E-ED29-4963-8BE3-7EB5C36395B2}"/>
    <cellStyle name="常规 12 4 2 6 2" xfId="33795" xr:uid="{5D909EF9-CDCD-40AA-AA9F-4A360C86D181}"/>
    <cellStyle name="常规 12 4 3" xfId="13945" xr:uid="{6588F5C1-98EB-4CE4-BC35-B65BEB8A60EA}"/>
    <cellStyle name="常规 12 4 3 2" xfId="13946" xr:uid="{C02CF683-D13D-47D1-B416-F08F788CEA05}"/>
    <cellStyle name="常规 12 4 3 2 2" xfId="13947" xr:uid="{6E652BE4-622E-4CEC-8898-4F577091CA24}"/>
    <cellStyle name="常规 12 4 3 3" xfId="13948" xr:uid="{46D62FFF-80DF-46D8-B0AE-A48A578BB64F}"/>
    <cellStyle name="常规 12 4 3 4" xfId="13949" xr:uid="{BE184977-CB86-480D-9CCF-C3CA452F1320}"/>
    <cellStyle name="常规 12 4 3 4 2" xfId="33796" xr:uid="{8DD7FFB5-E99D-4108-8749-7204737AF4C5}"/>
    <cellStyle name="常规 12 4 4" xfId="13950" xr:uid="{4EB7949B-6AAB-4154-8667-BD7B0372911C}"/>
    <cellStyle name="常规 12 4 4 2" xfId="13951" xr:uid="{0D853889-69C2-4A72-AAF8-517DC030CCDD}"/>
    <cellStyle name="常规 12 4 4 2 2" xfId="13952" xr:uid="{CAFBDD94-CA71-458C-82A0-3F7BBA54E72D}"/>
    <cellStyle name="常规 12 4 4 3" xfId="13953" xr:uid="{4579C130-45A5-4FCD-9A61-D1EB8F6C3E28}"/>
    <cellStyle name="常规 12 4 4 4" xfId="13954" xr:uid="{F58F807D-1A48-496C-A2C2-0EF89E9CB3C0}"/>
    <cellStyle name="常规 12 4 4 4 2" xfId="33797" xr:uid="{BB35FE69-9C4C-45DC-8170-157C49692E0C}"/>
    <cellStyle name="常规 12 4 5" xfId="13955" xr:uid="{7DE04A9D-3C17-46B0-B205-D1FD1E407944}"/>
    <cellStyle name="常规 12 4 5 2" xfId="13956" xr:uid="{5344D4FB-C2DD-42F1-ABC0-45F477D5BBC5}"/>
    <cellStyle name="常规 12 4 6" xfId="13957" xr:uid="{FFC641DF-5ACB-47AD-816D-60DF04BC6D00}"/>
    <cellStyle name="常规 12 4 7" xfId="13958" xr:uid="{583CFCC4-879D-4863-B012-6D17F075A364}"/>
    <cellStyle name="常规 12 4 7 2" xfId="33798" xr:uid="{83080E20-4905-49E6-96F9-E2384D21C5A9}"/>
    <cellStyle name="常规 12 4 8" xfId="13959" xr:uid="{36D2C1C5-AD38-4EF3-AD54-06FB13D44936}"/>
    <cellStyle name="常规 12 4 9" xfId="13960" xr:uid="{9EBB3B5C-7206-4A70-8B42-BADEF430D943}"/>
    <cellStyle name="常规 12 5" xfId="13961" xr:uid="{2E274747-241E-404D-A057-9B4E397D30BC}"/>
    <cellStyle name="常规 12 5 2" xfId="13962" xr:uid="{34BEDC3F-4A29-436E-A94A-B1D7F07214EE}"/>
    <cellStyle name="常规 12 5 2 2" xfId="13963" xr:uid="{7E7D5D6F-B8AE-469A-84AB-88F08EF62BDB}"/>
    <cellStyle name="常规 12 5 2 2 2" xfId="13964" xr:uid="{16F1BAE2-895A-48CB-B23C-5AA28FB1762E}"/>
    <cellStyle name="常规 12 5 2 3" xfId="13965" xr:uid="{FFD12908-8628-418E-84E6-CB0C8D70EB38}"/>
    <cellStyle name="常规 12 5 2 4" xfId="13966" xr:uid="{2248FCDE-F4D3-482F-BC54-1F3178DB7837}"/>
    <cellStyle name="常规 12 5 2 4 2" xfId="33799" xr:uid="{6CB025AD-4499-4ED7-BFCE-99F53FF444C8}"/>
    <cellStyle name="常规 12 5 3" xfId="13967" xr:uid="{B660CB04-3848-4BEE-8184-2CBF87DFF58C}"/>
    <cellStyle name="常规 12 5 3 2" xfId="13968" xr:uid="{8B137545-F01F-4F84-A137-F9C52E6036FD}"/>
    <cellStyle name="常规 12 5 4" xfId="13969" xr:uid="{8C46D318-0E03-4FB9-A9DE-56E946CBC310}"/>
    <cellStyle name="常规 12 5 4 2" xfId="13970" xr:uid="{E50EABFB-409B-4F28-9BD9-6051B10FA1FF}"/>
    <cellStyle name="常规 12 5 5" xfId="13971" xr:uid="{806B3DB4-CC52-48C9-A079-5BE9FA27A9A7}"/>
    <cellStyle name="常规 12 5 6" xfId="13972" xr:uid="{217072BF-3072-4910-8693-FC98BB2B0A74}"/>
    <cellStyle name="常规 12 5 6 2" xfId="33800" xr:uid="{2402FC3C-733F-4AF1-8EC7-20F0E8804962}"/>
    <cellStyle name="常规 12 5 7" xfId="13973" xr:uid="{62AFFB51-FBCD-415B-8760-006BDBBF5AF7}"/>
    <cellStyle name="常规 12 6" xfId="13974" xr:uid="{C286E8B7-F593-4714-8AFE-8CF41E67BDE5}"/>
    <cellStyle name="常规 12 6 2" xfId="13975" xr:uid="{92834772-1A66-46A2-82BE-860B063E54D5}"/>
    <cellStyle name="常规 12 6 2 2" xfId="13976" xr:uid="{356D4E75-E163-49E5-9859-A6AD87BE2CB4}"/>
    <cellStyle name="常规 12 6 2 2 2" xfId="13977" xr:uid="{6C685563-A74F-4F2B-B986-71720DFE4ED2}"/>
    <cellStyle name="常规 12 6 2 3" xfId="13978" xr:uid="{2D6CFC0B-6DAD-43AE-9455-79E65D9CAF07}"/>
    <cellStyle name="常规 12 6 2 4" xfId="13979" xr:uid="{1F6227F5-605E-4B73-B5A9-6334E38D9D91}"/>
    <cellStyle name="常规 12 6 2 4 2" xfId="33801" xr:uid="{511143F9-167E-4D23-959B-0C742B9734BE}"/>
    <cellStyle name="常规 12 6 3" xfId="13980" xr:uid="{3857E5BE-7725-415F-9DEE-87F0FF12170F}"/>
    <cellStyle name="常规 12 6 3 2" xfId="13981" xr:uid="{9DFF17A8-AA16-4C0C-AD7D-D99075C45D58}"/>
    <cellStyle name="常规 12 6 4" xfId="13982" xr:uid="{0A26A356-4142-4922-B033-48323D24DB79}"/>
    <cellStyle name="常规 12 6 5" xfId="13983" xr:uid="{B7688283-1161-4D91-8A56-D9A57C021C59}"/>
    <cellStyle name="常规 12 6 5 2" xfId="33802" xr:uid="{429CC9BF-1733-48CA-90A5-3CEC47978B77}"/>
    <cellStyle name="常规 12 6 6" xfId="13984" xr:uid="{2717FAD7-8B3F-47C6-B0AD-4BA76A9F389E}"/>
    <cellStyle name="常规 12 7" xfId="13985" xr:uid="{2B31AA87-A7E2-4DFD-A105-B1D26B52D3C0}"/>
    <cellStyle name="常规 12 7 2" xfId="13986" xr:uid="{207085EF-64C4-4467-9FBB-A6558FB2A030}"/>
    <cellStyle name="常规 12 7 2 2" xfId="13987" xr:uid="{C85627F8-3593-464E-9DA2-BBF97B3DAB9D}"/>
    <cellStyle name="常规 12 7 3" xfId="13988" xr:uid="{33B043FD-CD5D-4EAB-BB8A-61E485A06365}"/>
    <cellStyle name="常规 12 7 4" xfId="13989" xr:uid="{D581858A-6D03-436C-922A-76741D389D41}"/>
    <cellStyle name="常规 12 7 4 2" xfId="33803" xr:uid="{E3C98EE2-E5D7-4AB0-85E0-486B5015B842}"/>
    <cellStyle name="常规 12 7 5" xfId="13990" xr:uid="{5210C3FD-B7C2-47D9-9D61-ECFA8A49CFA5}"/>
    <cellStyle name="常规 12 8" xfId="13991" xr:uid="{5B2219C8-E88B-4BAD-AC24-34ED8EE6415A}"/>
    <cellStyle name="常规 12 8 2" xfId="13992" xr:uid="{4ECC5A9B-9E43-41BC-8D49-C1BCD3C3EBBB}"/>
    <cellStyle name="常规 12 8 3" xfId="13993" xr:uid="{E0AF42FF-3120-44DC-98D2-BF68F7D5F175}"/>
    <cellStyle name="常规 12 9" xfId="13994" xr:uid="{117FC672-FDA0-40B3-BB89-F9196E710C78}"/>
    <cellStyle name="常规 12 9 2" xfId="13995" xr:uid="{F6E3069A-4D02-4409-AF1B-ED75BEC8E19F}"/>
    <cellStyle name="常规 120" xfId="35306" xr:uid="{2E72E094-6F85-47AB-884C-0035D8F4E30F}"/>
    <cellStyle name="常规 13" xfId="13996" xr:uid="{ACDB0737-21D5-442C-8399-D6BFF93C10E4}"/>
    <cellStyle name="常规 13 10" xfId="13997" xr:uid="{338B32B8-AA1A-472F-8DF0-2582C1D70979}"/>
    <cellStyle name="常规 13 10 10" xfId="13998" xr:uid="{1F7A8121-EEC6-4B8A-84DC-195E30A74AEE}"/>
    <cellStyle name="常规 13 10 2" xfId="13999" xr:uid="{B67CBB90-72DE-4034-A159-9D5D980A2602}"/>
    <cellStyle name="常规 13 10 2 2" xfId="14000" xr:uid="{D802E2BE-CB9C-4E01-B14C-564571E3C75D}"/>
    <cellStyle name="常规 13 10 2 2 2" xfId="14001" xr:uid="{3FC878C3-E53C-40CA-844E-E3EB73BF2C96}"/>
    <cellStyle name="常规 13 10 2 2 3" xfId="14002" xr:uid="{E2E06B4D-AC5D-4CDB-B3B6-7787CFA7DA69}"/>
    <cellStyle name="常规 13 10 2 2 4" xfId="14003" xr:uid="{1890C753-CBFA-4AB4-AAC1-0A7B70BD32B2}"/>
    <cellStyle name="常规 13 10 2 2 5" xfId="14004" xr:uid="{1911EBEB-8EDF-42EE-90CD-C648FC23734A}"/>
    <cellStyle name="常规 13 10 2 2 6" xfId="14005" xr:uid="{DFBD46A9-74A2-4CED-80FA-454E88673BB6}"/>
    <cellStyle name="常规 13 10 2 3" xfId="14006" xr:uid="{BE088399-79CB-4BAC-85AB-A53E82F800DB}"/>
    <cellStyle name="常规 13 10 2 4" xfId="14007" xr:uid="{FEBF1AAE-9ED4-4F65-9CD1-E04EF258E104}"/>
    <cellStyle name="常规 13 10 2 5" xfId="14008" xr:uid="{B070E084-C293-45F2-A86F-616D70A15CB9}"/>
    <cellStyle name="常规 13 10 2 6" xfId="14009" xr:uid="{378D2D5B-8A38-4086-8337-B19F16F489D6}"/>
    <cellStyle name="常规 13 10 2 7" xfId="14010" xr:uid="{09D46BBF-EC93-408F-8045-9CD10B4EBD2B}"/>
    <cellStyle name="常规 13 10 3" xfId="14011" xr:uid="{FD7F95B6-0215-42BA-B826-8BCE8087ED89}"/>
    <cellStyle name="常规 13 10 3 2" xfId="14012" xr:uid="{7D985F55-B069-45F2-90D4-6B4FFEF66DD4}"/>
    <cellStyle name="常规 13 10 3 2 2" xfId="14013" xr:uid="{BE4E2CE7-9E3B-4851-AA2F-5A074ADD5DB3}"/>
    <cellStyle name="常规 13 10 3 2 3" xfId="14014" xr:uid="{C311D3E4-39C3-4F07-BAFF-AEDE3E154408}"/>
    <cellStyle name="常规 13 10 3 2 4" xfId="14015" xr:uid="{FD75154E-4453-4BD3-A159-0E80CADAA818}"/>
    <cellStyle name="常规 13 10 3 2 5" xfId="14016" xr:uid="{0083C287-0CEA-41C5-9EBB-057A338CC875}"/>
    <cellStyle name="常规 13 10 3 2 6" xfId="14017" xr:uid="{F6ADEAFF-92DC-49EF-BCE6-4F4F4D4E08FB}"/>
    <cellStyle name="常规 13 10 3 3" xfId="14018" xr:uid="{D1216845-8B34-4121-A95E-7AE993AC24DF}"/>
    <cellStyle name="常规 13 10 3 4" xfId="14019" xr:uid="{DAAB0A21-2E63-47AC-9100-92EBF01FE695}"/>
    <cellStyle name="常规 13 10 3 5" xfId="14020" xr:uid="{8DDD0FBA-1F5D-4562-B12E-86752C8FD59A}"/>
    <cellStyle name="常规 13 10 3 6" xfId="14021" xr:uid="{09C795F7-14BF-4E54-A956-04F6125192F7}"/>
    <cellStyle name="常规 13 10 3 7" xfId="14022" xr:uid="{DF61491B-666E-4D1F-8355-807D43CD188B}"/>
    <cellStyle name="常规 13 10 4" xfId="14023" xr:uid="{6B1FB302-855E-43F5-8836-A7EE7698B2ED}"/>
    <cellStyle name="常规 13 10 4 2" xfId="14024" xr:uid="{809E198E-7761-41A5-B7B2-04C96486F081}"/>
    <cellStyle name="常规 13 10 4 3" xfId="14025" xr:uid="{20F96435-B6F6-462C-9D73-3F22A5181268}"/>
    <cellStyle name="常规 13 10 4 4" xfId="14026" xr:uid="{0FE9CEED-33BF-49AD-AA39-2694AA9ADA4F}"/>
    <cellStyle name="常规 13 10 4 5" xfId="14027" xr:uid="{D6A4E38A-385A-4A3A-9473-2BC19754FB1C}"/>
    <cellStyle name="常规 13 10 4 6" xfId="14028" xr:uid="{56E0BD6A-DDB4-4170-B0C2-123F5E32289C}"/>
    <cellStyle name="常规 13 10 5" xfId="14029" xr:uid="{B212DBB4-1C5F-4D20-A200-E33B3F2C0D3F}"/>
    <cellStyle name="常规 13 10 6" xfId="14030" xr:uid="{8B2C6D0D-B818-441F-86AB-C30B40302799}"/>
    <cellStyle name="常规 13 10 7" xfId="14031" xr:uid="{DBA14090-12E0-4D26-9E22-8351445DFAB8}"/>
    <cellStyle name="常规 13 10 8" xfId="14032" xr:uid="{2A6F5373-7FA2-46C1-BC90-2F52FCBE039A}"/>
    <cellStyle name="常规 13 10 9" xfId="14033" xr:uid="{4E881F38-2F71-4145-B748-CE161709D6A6}"/>
    <cellStyle name="常规 13 11" xfId="14034" xr:uid="{66B17B27-29FB-4DDE-8D60-9C124DE00B83}"/>
    <cellStyle name="常规 13 11 2" xfId="14035" xr:uid="{721B3176-1067-48FA-9C28-FC32E2BC62DB}"/>
    <cellStyle name="常规 13 11 2 2" xfId="14036" xr:uid="{DB297BB1-D43C-463A-B3B5-7EB8BEC4A578}"/>
    <cellStyle name="常规 13 11 2 2 2" xfId="14037" xr:uid="{7CD8A9BC-85D5-40D9-95A5-B9327B539A04}"/>
    <cellStyle name="常规 13 11 2 2 3" xfId="14038" xr:uid="{595826FE-2C06-4ABA-B50D-DEB4B0AC6E69}"/>
    <cellStyle name="常规 13 11 2 2 4" xfId="14039" xr:uid="{4B382A7D-2E09-4D94-AF39-38620E0DAEF6}"/>
    <cellStyle name="常规 13 11 2 2 5" xfId="14040" xr:uid="{28D49890-C484-47DC-917F-9D405CFE072E}"/>
    <cellStyle name="常规 13 11 2 2 6" xfId="14041" xr:uid="{F3A13DC0-FCB2-4C55-A1C3-C50A0D5B3A84}"/>
    <cellStyle name="常规 13 11 2 3" xfId="14042" xr:uid="{DAF5E356-2650-4C55-A76F-5271AFC50CAB}"/>
    <cellStyle name="常规 13 11 2 4" xfId="14043" xr:uid="{AE27B1ED-A62F-43E6-8720-281339C1A268}"/>
    <cellStyle name="常规 13 11 2 5" xfId="14044" xr:uid="{FD8BE5EA-7AC4-4F1A-97FE-FC174E229C1D}"/>
    <cellStyle name="常规 13 11 2 6" xfId="14045" xr:uid="{81E3F8C2-7338-4599-AF9F-09E8B6095DCF}"/>
    <cellStyle name="常规 13 11 2 7" xfId="14046" xr:uid="{CF10D4A7-C464-4EDC-BB8E-D72557AC99F9}"/>
    <cellStyle name="常规 13 11 3" xfId="14047" xr:uid="{89F234FD-6A4A-46EB-A220-B386F05CC49B}"/>
    <cellStyle name="常规 13 11 3 2" xfId="14048" xr:uid="{371C99F0-8306-457C-AE90-B071ED980454}"/>
    <cellStyle name="常规 13 11 3 3" xfId="14049" xr:uid="{7D71ECF3-1492-4477-A1BE-917DC2C26122}"/>
    <cellStyle name="常规 13 11 3 4" xfId="14050" xr:uid="{750BC3B1-AC5F-4B6B-BADC-BC596FBDCF66}"/>
    <cellStyle name="常规 13 11 3 5" xfId="14051" xr:uid="{D66F39EC-46EE-46CE-907E-3B1FF6285F4D}"/>
    <cellStyle name="常规 13 11 3 6" xfId="14052" xr:uid="{BDB37A75-4B77-4C93-8C18-AE01EE72BF0E}"/>
    <cellStyle name="常规 13 11 4" xfId="14053" xr:uid="{F5CBCF53-D6AD-4ADE-B5CE-A93A7852D4BD}"/>
    <cellStyle name="常规 13 11 5" xfId="14054" xr:uid="{9012E329-50E3-4109-B8E2-AF4DE5960060}"/>
    <cellStyle name="常规 13 11 6" xfId="14055" xr:uid="{358678D1-4C3B-460C-9F8F-E8248918F368}"/>
    <cellStyle name="常规 13 11 7" xfId="14056" xr:uid="{8D10103F-D41E-4CD2-ABFA-77454993845F}"/>
    <cellStyle name="常规 13 11 8" xfId="14057" xr:uid="{8C61E4B9-E7DE-481D-9816-A2CC8047E1EF}"/>
    <cellStyle name="常规 13 12" xfId="14058" xr:uid="{AB51A9F7-8E84-4900-9747-3BC79F65C427}"/>
    <cellStyle name="常规 13 12 2" xfId="14059" xr:uid="{AF19A54E-D913-4F2F-AABC-F904B58D2258}"/>
    <cellStyle name="常规 13 12 2 2" xfId="14060" xr:uid="{DAC58B9B-39AD-4A49-9161-537EDA404C90}"/>
    <cellStyle name="常规 13 12 2 2 2" xfId="14061" xr:uid="{1A5C76E4-C981-4EDC-BE8E-AD4B5E84C1B2}"/>
    <cellStyle name="常规 13 12 2 2 3" xfId="14062" xr:uid="{DEC5E875-2F9A-4256-93A1-386E0C6DF893}"/>
    <cellStyle name="常规 13 12 2 2 4" xfId="14063" xr:uid="{4D52A220-EA94-4711-953F-7CE1BE8F1F5B}"/>
    <cellStyle name="常规 13 12 2 2 5" xfId="14064" xr:uid="{CA48A288-EA53-4B99-86AA-F7258355A0CA}"/>
    <cellStyle name="常规 13 12 2 2 6" xfId="14065" xr:uid="{D5E22DA9-C291-4553-B3B3-F4C274309265}"/>
    <cellStyle name="常规 13 12 2 3" xfId="14066" xr:uid="{11FE06F7-4DDD-4879-A17C-1CF620CC567F}"/>
    <cellStyle name="常规 13 12 2 4" xfId="14067" xr:uid="{FA4B1594-368E-4D25-9344-64BA35B92BDF}"/>
    <cellStyle name="常规 13 12 2 5" xfId="14068" xr:uid="{05437A16-FA38-42B1-A0D0-8205D2D2B5B8}"/>
    <cellStyle name="常规 13 12 2 6" xfId="14069" xr:uid="{5EC2AFDE-131F-4E4B-9D50-BB9FE4AE8026}"/>
    <cellStyle name="常规 13 12 2 7" xfId="14070" xr:uid="{A8D693A4-CEB9-4CE4-9179-AE76FF2C8FA6}"/>
    <cellStyle name="常规 13 12 3" xfId="14071" xr:uid="{AC9604E7-19B1-48FF-9D74-D359759476D7}"/>
    <cellStyle name="常规 13 12 3 2" xfId="14072" xr:uid="{83FFFE72-66ED-4A64-A91D-3F20985BA210}"/>
    <cellStyle name="常规 13 12 3 3" xfId="14073" xr:uid="{987F0203-621C-4692-BDB8-FFB37C7AC561}"/>
    <cellStyle name="常规 13 12 3 4" xfId="14074" xr:uid="{986862E0-AC46-4751-9957-AE5391FDECDD}"/>
    <cellStyle name="常规 13 12 3 5" xfId="14075" xr:uid="{0AE217FD-7A9C-4B6A-99C4-E666B1264177}"/>
    <cellStyle name="常规 13 12 3 6" xfId="14076" xr:uid="{0E7AEF8E-83F5-4935-923A-FD47302118E5}"/>
    <cellStyle name="常规 13 12 4" xfId="14077" xr:uid="{DD35701D-32F9-4C6C-9DA6-7BCE4C1CBAAA}"/>
    <cellStyle name="常规 13 12 5" xfId="14078" xr:uid="{89C2023F-E3D8-4625-BB8C-2C9C714B2014}"/>
    <cellStyle name="常规 13 12 6" xfId="14079" xr:uid="{BB75C71E-695D-4D29-8A63-73F909EE5A1B}"/>
    <cellStyle name="常规 13 12 7" xfId="14080" xr:uid="{DCC9FF25-7E0C-42CF-8A81-05B24CC62014}"/>
    <cellStyle name="常规 13 12 8" xfId="14081" xr:uid="{23457BCB-BF78-495B-8AAB-98F8ECCB3682}"/>
    <cellStyle name="常规 13 13" xfId="14082" xr:uid="{F13703DC-B9BF-49D5-861B-6496A814DF63}"/>
    <cellStyle name="常规 13 13 2" xfId="14083" xr:uid="{7A136A84-885D-4DB7-91F8-C95E27AF101E}"/>
    <cellStyle name="常规 13 13 2 2" xfId="14084" xr:uid="{69E2781E-AFB9-4746-BC0B-B0B2DDB5E033}"/>
    <cellStyle name="常规 13 13 2 2 2" xfId="14085" xr:uid="{B916D53A-EB33-4663-9300-80CF37C4C1F5}"/>
    <cellStyle name="常规 13 13 2 2 3" xfId="14086" xr:uid="{CD34D8C1-1C89-48F4-A922-F8585C78C41C}"/>
    <cellStyle name="常规 13 13 2 2 4" xfId="14087" xr:uid="{3BD6F5C2-1B7F-4DAE-8748-223E1FD12553}"/>
    <cellStyle name="常规 13 13 2 2 5" xfId="14088" xr:uid="{B5F8C6A8-4C8D-4646-919A-B192EA088862}"/>
    <cellStyle name="常规 13 13 2 2 6" xfId="14089" xr:uid="{27A0D7D9-72EE-43AA-A809-5320412F8DE1}"/>
    <cellStyle name="常规 13 13 2 3" xfId="14090" xr:uid="{C7AFA035-10B3-446E-9F85-BE148558E7EE}"/>
    <cellStyle name="常规 13 13 2 4" xfId="14091" xr:uid="{5631FD8D-F2D4-4B00-831B-BBA2F67638C4}"/>
    <cellStyle name="常规 13 13 2 5" xfId="14092" xr:uid="{931FB520-9E39-443A-9138-9BD060AEE5CD}"/>
    <cellStyle name="常规 13 13 2 6" xfId="14093" xr:uid="{9C6F4239-A3C3-4520-8587-A9CEBEEDE4E5}"/>
    <cellStyle name="常规 13 13 2 7" xfId="14094" xr:uid="{E358E740-0A5D-40D9-AC27-050207C1AEF8}"/>
    <cellStyle name="常规 13 13 3" xfId="14095" xr:uid="{88ECFEE1-AB85-42B9-8FD7-67D9103E1E23}"/>
    <cellStyle name="常规 13 13 3 2" xfId="14096" xr:uid="{BAB830EA-32A7-4D4A-B80E-293911B88C6D}"/>
    <cellStyle name="常规 13 13 3 3" xfId="14097" xr:uid="{A155B8E0-2659-49CB-AD6D-110432F27892}"/>
    <cellStyle name="常规 13 13 3 4" xfId="14098" xr:uid="{361F28BD-2246-4ABD-89A6-5F4522070A25}"/>
    <cellStyle name="常规 13 13 3 5" xfId="14099" xr:uid="{5893D19F-8715-4A4B-B0A0-E2A77A9E799B}"/>
    <cellStyle name="常规 13 13 3 6" xfId="14100" xr:uid="{E456B3C3-84E9-41FA-9C91-841DA0BF31DA}"/>
    <cellStyle name="常规 13 13 4" xfId="14101" xr:uid="{C4B24353-E3EA-4491-9395-090A6E0A09C4}"/>
    <cellStyle name="常规 13 13 5" xfId="14102" xr:uid="{EB6BC369-0C52-43C8-A0C4-8CD67C915F77}"/>
    <cellStyle name="常规 13 13 6" xfId="14103" xr:uid="{C4C2A0A3-AFDC-4F52-A2FD-E927C2B2035F}"/>
    <cellStyle name="常规 13 13 7" xfId="14104" xr:uid="{222F9850-53D8-461D-91DE-5F4775A76A20}"/>
    <cellStyle name="常规 13 13 8" xfId="14105" xr:uid="{826BF176-8055-4A06-AE2F-04F42872D7E5}"/>
    <cellStyle name="常规 13 14" xfId="14106" xr:uid="{A974B290-9A35-4C84-99B7-D47080D6B6FE}"/>
    <cellStyle name="常规 13 14 2" xfId="14107" xr:uid="{0800D835-E168-4235-90F2-8967739A37D0}"/>
    <cellStyle name="常规 13 14 2 2" xfId="14108" xr:uid="{06161D52-8F33-4F0B-AC0B-5D761E6E4E0F}"/>
    <cellStyle name="常规 13 14 2 2 2" xfId="14109" xr:uid="{F017ACD1-CDB0-431F-A907-6879B104B4A2}"/>
    <cellStyle name="常规 13 14 2 2 3" xfId="14110" xr:uid="{FB0D108F-DEE4-4BB0-AE9A-77E221A2A717}"/>
    <cellStyle name="常规 13 14 2 2 4" xfId="14111" xr:uid="{D1866948-3CD9-493E-9747-2774B4EDBB30}"/>
    <cellStyle name="常规 13 14 2 2 5" xfId="14112" xr:uid="{16A231CC-0DAC-46A5-93D0-990C1EAFB9CC}"/>
    <cellStyle name="常规 13 14 2 2 6" xfId="14113" xr:uid="{7E5DBEC8-339E-4616-877D-90B7CBE8BF3D}"/>
    <cellStyle name="常规 13 14 2 3" xfId="14114" xr:uid="{A11F9325-7112-4A59-B886-DDF1E6CBFB00}"/>
    <cellStyle name="常规 13 14 2 4" xfId="14115" xr:uid="{ECBA88D9-E950-46C2-8046-7E17A8E97EC1}"/>
    <cellStyle name="常规 13 14 2 5" xfId="14116" xr:uid="{2D312A5A-8AF7-4D0D-98C4-5B284F37519B}"/>
    <cellStyle name="常规 13 14 2 6" xfId="14117" xr:uid="{F4A066AA-FDBE-4BE6-AE13-1380B6B16AED}"/>
    <cellStyle name="常规 13 14 2 7" xfId="14118" xr:uid="{AD5D87D8-FC9C-4359-9968-158C788F5361}"/>
    <cellStyle name="常规 13 14 3" xfId="14119" xr:uid="{15D55CB5-EA4E-4D79-8C0D-957DA81A5572}"/>
    <cellStyle name="常规 13 14 3 2" xfId="14120" xr:uid="{E537DE76-70E6-4D00-9B2F-C72D613887E2}"/>
    <cellStyle name="常规 13 14 3 3" xfId="14121" xr:uid="{73D2D16E-9F23-427E-BABB-A7FCB0D10F91}"/>
    <cellStyle name="常规 13 14 3 4" xfId="14122" xr:uid="{AF807329-8D4C-4901-9BF1-5F5801B705CE}"/>
    <cellStyle name="常规 13 14 3 5" xfId="14123" xr:uid="{77A20C0D-731B-43E2-81B0-D910BE232621}"/>
    <cellStyle name="常规 13 14 3 6" xfId="14124" xr:uid="{8ED7E493-7E53-417E-8745-8226A4F46A28}"/>
    <cellStyle name="常规 13 14 4" xfId="14125" xr:uid="{6F3B06EE-AC5A-4F72-96AF-8561C1E47969}"/>
    <cellStyle name="常规 13 14 5" xfId="14126" xr:uid="{5B91B1DB-F1C3-45F0-81C2-3364280C009C}"/>
    <cellStyle name="常规 13 14 6" xfId="14127" xr:uid="{1724597C-233A-40E6-AF6C-0C6C83689CA2}"/>
    <cellStyle name="常规 13 14 7" xfId="14128" xr:uid="{AACBC920-CD0C-4199-B9C5-4C01DCA8F8FA}"/>
    <cellStyle name="常规 13 14 8" xfId="14129" xr:uid="{EDAE0409-C418-4A77-90FE-AE59F725932C}"/>
    <cellStyle name="常规 13 15" xfId="14130" xr:uid="{05D066DE-D7E0-4021-9394-171AC357EB60}"/>
    <cellStyle name="常规 13 15 2" xfId="14131" xr:uid="{930F76EC-6614-4814-B392-2308B3255144}"/>
    <cellStyle name="常规 13 15 2 2" xfId="14132" xr:uid="{22711CB3-9150-40A6-9616-6D9CEBF575CD}"/>
    <cellStyle name="常规 13 15 2 3" xfId="14133" xr:uid="{FD4A6A34-7B0F-4090-B017-C297259C06C1}"/>
    <cellStyle name="常规 13 15 2 4" xfId="14134" xr:uid="{1FCC18E8-2C23-4DF7-A0B4-43BF31CB3540}"/>
    <cellStyle name="常规 13 15 2 5" xfId="14135" xr:uid="{465663D4-85C5-4BB3-A93B-305AA6A7E449}"/>
    <cellStyle name="常规 13 15 2 6" xfId="14136" xr:uid="{3B707674-1844-47B9-99CE-C75E31BCAA69}"/>
    <cellStyle name="常规 13 15 3" xfId="14137" xr:uid="{27406A8F-D288-49C4-AABA-C7BC7F4838C0}"/>
    <cellStyle name="常规 13 15 4" xfId="14138" xr:uid="{F44691F8-D33E-49E2-8484-496D9F49F895}"/>
    <cellStyle name="常规 13 15 5" xfId="14139" xr:uid="{6E84B825-8CF5-42AD-A1BF-267D525D22A7}"/>
    <cellStyle name="常规 13 15 6" xfId="14140" xr:uid="{D55FEE35-1CAD-4292-8000-CBB96D2E3D0A}"/>
    <cellStyle name="常规 13 15 7" xfId="14141" xr:uid="{2F89155F-D990-49A7-92F0-A2E4CA2A0A78}"/>
    <cellStyle name="常规 13 16" xfId="14142" xr:uid="{D14AE04F-F668-48D9-A59D-B542705F5ABB}"/>
    <cellStyle name="常规 13 16 2" xfId="14143" xr:uid="{F26BA45F-6404-40CF-845E-7CE77620483B}"/>
    <cellStyle name="常规 13 16 2 2" xfId="14144" xr:uid="{5531BBB0-CD59-4719-A446-9E89B852A790}"/>
    <cellStyle name="常规 13 16 2 3" xfId="14145" xr:uid="{EFD1011F-BB64-4839-A81E-CA1E1671C7A4}"/>
    <cellStyle name="常规 13 16 2 4" xfId="14146" xr:uid="{83F11650-01F4-4690-B162-E0DB8D203D10}"/>
    <cellStyle name="常规 13 16 2 5" xfId="14147" xr:uid="{5C9B4871-76AB-43B3-9F08-D29D9AF63B03}"/>
    <cellStyle name="常规 13 16 2 6" xfId="14148" xr:uid="{9D80DED6-4062-4CF2-9DF6-7AA9B667116A}"/>
    <cellStyle name="常规 13 16 3" xfId="14149" xr:uid="{EDC615FE-E897-4789-9211-5001D51D14E1}"/>
    <cellStyle name="常规 13 16 4" xfId="14150" xr:uid="{F9A0E6BB-3BEB-4541-9055-5481C2343E99}"/>
    <cellStyle name="常规 13 16 5" xfId="14151" xr:uid="{3B72FE44-6FED-471F-A9E9-534A88326F8F}"/>
    <cellStyle name="常规 13 16 6" xfId="14152" xr:uid="{8870D89F-AE1C-43F3-8C4D-D59D88A5BA95}"/>
    <cellStyle name="常规 13 16 7" xfId="14153" xr:uid="{6972D55A-2BB8-40AD-AA42-B765BD756B68}"/>
    <cellStyle name="常规 13 17" xfId="14154" xr:uid="{F3F4B5CB-58FF-4685-A0C5-E3B2F810AFC7}"/>
    <cellStyle name="常规 13 17 2" xfId="14155" xr:uid="{062EC6BF-7C81-4460-A6C0-20429236E41A}"/>
    <cellStyle name="常规 13 17 2 2" xfId="14156" xr:uid="{16ABCFD7-DB94-4E47-B85C-366E68CC49FE}"/>
    <cellStyle name="常规 13 17 2 3" xfId="14157" xr:uid="{C66E1BD3-B0CB-4D35-AD89-EDBDF36CF2F2}"/>
    <cellStyle name="常规 13 17 2 4" xfId="14158" xr:uid="{FF69A94A-158E-48C4-AD3B-29DC66651EF7}"/>
    <cellStyle name="常规 13 17 2 5" xfId="14159" xr:uid="{395A3371-705A-4B8B-BF80-7FFDE221CB04}"/>
    <cellStyle name="常规 13 17 2 6" xfId="14160" xr:uid="{B92A67F8-C849-42E1-BC50-874E1889972D}"/>
    <cellStyle name="常规 13 17 3" xfId="14161" xr:uid="{E883557F-3476-424B-8DD7-0CB5E50B395B}"/>
    <cellStyle name="常规 13 17 4" xfId="14162" xr:uid="{F4AC81B8-E22E-4A36-9A7C-DCBD4B4FE03C}"/>
    <cellStyle name="常规 13 17 5" xfId="14163" xr:uid="{D2CCEA05-2419-461D-8CAF-6AA667B0009B}"/>
    <cellStyle name="常规 13 17 6" xfId="14164" xr:uid="{72B3E04A-DE3C-4596-8A2F-3E61F8947B58}"/>
    <cellStyle name="常规 13 17 7" xfId="14165" xr:uid="{14154863-066C-4B05-A658-4941295FFE3F}"/>
    <cellStyle name="常规 13 18" xfId="14166" xr:uid="{72A64745-3AD8-4FB6-93B6-CACA2CA18620}"/>
    <cellStyle name="常规 13 18 2" xfId="14167" xr:uid="{3B5F8303-25EB-4824-B6FF-C9FF53914846}"/>
    <cellStyle name="常规 13 18 2 2" xfId="14168" xr:uid="{6AA8637F-5346-4C50-B4F6-7C9B1A10EC52}"/>
    <cellStyle name="常规 13 18 2 3" xfId="14169" xr:uid="{7480B250-27C9-4AE2-BDA1-06AD845714F3}"/>
    <cellStyle name="常规 13 18 2 4" xfId="14170" xr:uid="{50A033F3-71ED-4BEF-997D-3DA5767A576C}"/>
    <cellStyle name="常规 13 18 2 5" xfId="14171" xr:uid="{BCA3A60A-CEC3-4735-BDBC-CEA6AAB37139}"/>
    <cellStyle name="常规 13 18 2 6" xfId="14172" xr:uid="{2562EA76-334B-4A76-A0EA-5937F6FD0518}"/>
    <cellStyle name="常规 13 18 3" xfId="14173" xr:uid="{B6500E65-FB12-4229-912B-6B5856BEE175}"/>
    <cellStyle name="常规 13 18 4" xfId="14174" xr:uid="{DD282393-0F36-4F08-8132-70C8771C6E23}"/>
    <cellStyle name="常规 13 18 5" xfId="14175" xr:uid="{D0DB18B2-E758-47C3-8628-5D66E35F5777}"/>
    <cellStyle name="常规 13 18 6" xfId="14176" xr:uid="{C04ACB02-71A1-4367-B47B-800D794FEE28}"/>
    <cellStyle name="常规 13 18 7" xfId="14177" xr:uid="{CC837B79-118F-45B9-8F65-02F2388206CA}"/>
    <cellStyle name="常规 13 19" xfId="14178" xr:uid="{77ABC701-2740-4E99-A7FB-032D2C0873D3}"/>
    <cellStyle name="常规 13 19 2" xfId="14179" xr:uid="{93769D76-BE8A-4842-ADA3-446D83D6CD45}"/>
    <cellStyle name="常规 13 19 2 2" xfId="14180" xr:uid="{DA747B1E-713A-46C5-A727-BB0C49913306}"/>
    <cellStyle name="常规 13 19 2 3" xfId="14181" xr:uid="{6DC8A433-9103-4F79-9460-CFB508E7150B}"/>
    <cellStyle name="常规 13 19 2 4" xfId="14182" xr:uid="{7CF4A79F-040F-4357-B49F-B1DE90FA7508}"/>
    <cellStyle name="常规 13 19 2 5" xfId="14183" xr:uid="{CA0421B3-E878-4EBF-B249-77D9C251208D}"/>
    <cellStyle name="常规 13 19 2 6" xfId="14184" xr:uid="{819655A1-94CD-4735-ADAC-6BF0E3A61851}"/>
    <cellStyle name="常规 13 19 3" xfId="14185" xr:uid="{ABC56D7D-4B36-4B6F-80FB-E6551C50637D}"/>
    <cellStyle name="常规 13 19 4" xfId="14186" xr:uid="{03794956-691A-4FE2-BE0E-2639CB4CB0D9}"/>
    <cellStyle name="常规 13 19 5" xfId="14187" xr:uid="{8C68E009-A56C-4EE1-8C9A-AA3235241F40}"/>
    <cellStyle name="常规 13 19 6" xfId="14188" xr:uid="{1E103237-0BC9-4605-897F-1E3FAED5619F}"/>
    <cellStyle name="常规 13 19 7" xfId="14189" xr:uid="{FBF7B0AD-43E7-43E2-B960-18111CF38C51}"/>
    <cellStyle name="常规 13 2" xfId="14190" xr:uid="{497A07E6-5326-4573-82E4-EF98C98E4974}"/>
    <cellStyle name="常规 13 2 10" xfId="14191" xr:uid="{5142E2B7-AFED-46CB-8962-D018F3762DF5}"/>
    <cellStyle name="常规 13 2 10 2" xfId="14192" xr:uid="{EB6B734E-4EFA-463C-AFFB-6E70752C1F2E}"/>
    <cellStyle name="常规 13 2 10 2 2" xfId="14193" xr:uid="{22A6D8B6-5075-46DA-95D2-2D1581ECF483}"/>
    <cellStyle name="常规 13 2 10 2 3" xfId="14194" xr:uid="{F77E6E55-18BB-4609-8750-A51633F2E5D6}"/>
    <cellStyle name="常规 13 2 10 2 4" xfId="14195" xr:uid="{BE697035-7402-4DFE-989E-8BF3D4A82E3C}"/>
    <cellStyle name="常规 13 2 10 2 5" xfId="14196" xr:uid="{829886B1-D9E3-4B55-B2F7-CA03864280D3}"/>
    <cellStyle name="常规 13 2 10 2 6" xfId="14197" xr:uid="{80870FC2-F002-44E4-BFD3-DCA7063A1BF5}"/>
    <cellStyle name="常规 13 2 10 3" xfId="14198" xr:uid="{71F8DADC-1910-4B7E-9511-1DFAB0439FF0}"/>
    <cellStyle name="常规 13 2 10 4" xfId="14199" xr:uid="{9FC0CE9D-0E52-4E27-8292-9ECA78E7F033}"/>
    <cellStyle name="常规 13 2 10 5" xfId="14200" xr:uid="{6E8B602C-E830-43C8-9283-C74D12D50C3B}"/>
    <cellStyle name="常规 13 2 10 6" xfId="14201" xr:uid="{FDD67248-7CFB-4A8D-A6BE-1132EBD88CB8}"/>
    <cellStyle name="常规 13 2 10 7" xfId="14202" xr:uid="{9975D1D8-F547-4E97-8A09-204F31335487}"/>
    <cellStyle name="常规 13 2 11" xfId="14203" xr:uid="{1CA2D1A0-F74F-4209-9551-264367B962E8}"/>
    <cellStyle name="常规 13 2 11 2" xfId="14204" xr:uid="{FC6814D9-75D2-4EC6-ACA2-1687C8FB1055}"/>
    <cellStyle name="常规 13 2 11 2 2" xfId="14205" xr:uid="{8DDD5CEF-7857-43AD-A1D3-45B86CBDA86E}"/>
    <cellStyle name="常规 13 2 11 2 3" xfId="14206" xr:uid="{4145A8C3-C268-451D-83D7-0E9E6F92863C}"/>
    <cellStyle name="常规 13 2 11 2 4" xfId="14207" xr:uid="{E18B2AAA-9CD7-45DF-BC7D-10D13CC3F732}"/>
    <cellStyle name="常规 13 2 11 2 5" xfId="14208" xr:uid="{4B8988C2-5C20-4347-8C42-045B228AA8CD}"/>
    <cellStyle name="常规 13 2 11 2 6" xfId="14209" xr:uid="{91E78B37-897A-4CD9-9CD7-370E375B9D91}"/>
    <cellStyle name="常规 13 2 11 3" xfId="14210" xr:uid="{3388908A-FB1C-4ADB-B5FF-D8FAE95F4187}"/>
    <cellStyle name="常规 13 2 11 4" xfId="14211" xr:uid="{72C1DF8D-12A2-48DD-9CC1-5B5757685FC7}"/>
    <cellStyle name="常规 13 2 11 5" xfId="14212" xr:uid="{D142305D-735A-46BA-800B-42D3993A4B1A}"/>
    <cellStyle name="常规 13 2 11 6" xfId="14213" xr:uid="{1987EBCF-4AFA-49AB-A9CB-03E03630D7A7}"/>
    <cellStyle name="常规 13 2 11 7" xfId="14214" xr:uid="{BC8C3196-B7B6-4F0A-984E-A72186E1A3FF}"/>
    <cellStyle name="常规 13 2 12" xfId="14215" xr:uid="{3E9E05D8-A68D-46C5-8A9A-4DB4D2566D97}"/>
    <cellStyle name="常规 13 2 2" xfId="14216" xr:uid="{4B2E5527-3BB4-4C4F-93CB-D30A546695DC}"/>
    <cellStyle name="常规 13 2 2 2" xfId="14217" xr:uid="{F5AF88D3-D962-4B20-9979-5CA7AD242506}"/>
    <cellStyle name="常规 13 2 2 2 2" xfId="14218" xr:uid="{A77EE41E-EBEA-42D5-9F47-AC9490C8DF45}"/>
    <cellStyle name="常规 13 2 2 2 2 2" xfId="14219" xr:uid="{520337C0-A631-4E16-90C3-15F7A7003B9F}"/>
    <cellStyle name="常规 13 2 2 2 2 2 2" xfId="14220" xr:uid="{EFE5B777-4873-491A-BF3A-8C1C509FBE6A}"/>
    <cellStyle name="常规 13 2 2 2 2 3" xfId="14221" xr:uid="{1844C9F1-AFE1-467F-A1CF-9C0BAAADB675}"/>
    <cellStyle name="常规 13 2 2 2 2 4" xfId="14222" xr:uid="{1759BA01-68B0-4885-9B59-EA1870CB1F14}"/>
    <cellStyle name="常规 13 2 2 2 2 4 2" xfId="33804" xr:uid="{AF33B804-0ABA-4FCF-9604-D7DC6D14C424}"/>
    <cellStyle name="常规 13 2 2 2 3" xfId="14223" xr:uid="{A206E29F-F165-4799-A031-92342B3396BC}"/>
    <cellStyle name="常规 13 2 2 2 3 2" xfId="14224" xr:uid="{400BB718-1C3A-4E62-A2DE-EFEC07D7F87D}"/>
    <cellStyle name="常规 13 2 2 2 4" xfId="14225" xr:uid="{5234D575-1AFB-4DE5-A1D1-CBA9C8A3C7A7}"/>
    <cellStyle name="常规 13 2 2 2 5" xfId="14226" xr:uid="{F47595FD-BB5D-4B79-ADAB-1B5C660D11F2}"/>
    <cellStyle name="常规 13 2 2 2 5 2" xfId="33805" xr:uid="{64600EA8-1908-456D-9152-056A9096FA54}"/>
    <cellStyle name="常规 13 2 2 3" xfId="14227" xr:uid="{AA4C6142-0C7F-4B05-8C21-D40FDD6675B1}"/>
    <cellStyle name="常规 13 2 2 3 2" xfId="14228" xr:uid="{E5DBE6B7-A1D2-445F-8DE2-A6D795C7D247}"/>
    <cellStyle name="常规 13 2 2 3 2 2" xfId="14229" xr:uid="{12D66A0A-F645-4179-BB29-3D8A85AEC23B}"/>
    <cellStyle name="常规 13 2 2 3 3" xfId="14230" xr:uid="{7D0DE377-8952-4B14-B5EF-FF78E02BB9C4}"/>
    <cellStyle name="常规 13 2 2 3 4" xfId="14231" xr:uid="{2913E1BC-7987-43FB-8F8D-8A66998FD400}"/>
    <cellStyle name="常规 13 2 2 3 4 2" xfId="33806" xr:uid="{26CE3A5F-529C-419B-8CD5-7681D1429880}"/>
    <cellStyle name="常规 13 2 2 4" xfId="14232" xr:uid="{4D256A0E-F66A-488C-8463-94E3195F0190}"/>
    <cellStyle name="常规 13 2 2 4 2" xfId="14233" xr:uid="{97FEA94B-94D5-4A7F-BC48-4717BD61ED7E}"/>
    <cellStyle name="常规 13 2 2 5" xfId="14234" xr:uid="{588D6E3B-DFB6-4A5D-970A-29F9C866BAB0}"/>
    <cellStyle name="常规 13 2 2 6" xfId="14235" xr:uid="{607B111C-A0C3-4A66-8BBF-3AEC8F0FF6B8}"/>
    <cellStyle name="常规 13 2 2 6 2" xfId="33807" xr:uid="{B9126A9C-36A3-4E12-8DA3-7C2A1ED8A675}"/>
    <cellStyle name="常规 13 2 2 7" xfId="14236" xr:uid="{6EB074CD-090D-4C58-A834-2C32AFD16600}"/>
    <cellStyle name="常规 13 2 3" xfId="14237" xr:uid="{3CADA855-2D01-4D1E-9471-221EC14B1588}"/>
    <cellStyle name="常规 13 2 3 2" xfId="14238" xr:uid="{CF89B0E6-6C8D-428A-BD36-23EA78432577}"/>
    <cellStyle name="常规 13 2 3 2 2" xfId="14239" xr:uid="{9EB78868-AF05-42CC-97DD-60F08DBD5AB3}"/>
    <cellStyle name="常规 13 2 3 2 2 2" xfId="14240" xr:uid="{E221B251-0642-4FFB-AF25-5D40F0073C85}"/>
    <cellStyle name="常规 13 2 3 2 2 3" xfId="14241" xr:uid="{37F982B2-D800-4A2F-9466-E407058F8344}"/>
    <cellStyle name="常规 13 2 3 2 3" xfId="14242" xr:uid="{1DDE5906-B2B7-4DAE-8BF1-219A8ABD3631}"/>
    <cellStyle name="常规 13 2 3 2 3 2" xfId="14243" xr:uid="{9BB93EE0-ADFD-42E5-BDD7-4B9E13F975B8}"/>
    <cellStyle name="常规 13 2 3 2 4" xfId="14244" xr:uid="{452BFED5-1415-483D-A80C-D23D2FDD1DF7}"/>
    <cellStyle name="常规 13 2 3 2 4 2" xfId="14245" xr:uid="{7099B2C5-AE99-4ED7-9BAE-601F486794B7}"/>
    <cellStyle name="常规 13 2 3 2 4 3" xfId="33808" xr:uid="{A8083805-1625-4D59-89BB-399503074AA4}"/>
    <cellStyle name="常规 13 2 3 2 5" xfId="14246" xr:uid="{3A61FF45-45B7-455A-BE23-B9AB7EE8813F}"/>
    <cellStyle name="常规 13 2 3 2 6" xfId="14247" xr:uid="{53EA916D-D163-4E61-A66A-11D09271C073}"/>
    <cellStyle name="常规 13 2 3 2 7" xfId="14248" xr:uid="{BFCC60E3-B497-43D8-BF2A-A51891DBA959}"/>
    <cellStyle name="常规 13 2 3 3" xfId="14249" xr:uid="{297D7237-9F5A-4D45-8D24-955ED399611E}"/>
    <cellStyle name="常规 13 2 3 3 2" xfId="14250" xr:uid="{F33D6E75-59A1-4395-9A00-4A9B9CD5A5DA}"/>
    <cellStyle name="常规 13 2 3 3 2 2" xfId="14251" xr:uid="{664BF5FE-B382-41E1-B6B2-01EB9DF51B64}"/>
    <cellStyle name="常规 13 2 3 3 3" xfId="14252" xr:uid="{130F6F0D-899D-4CAE-807E-4A135CAC4413}"/>
    <cellStyle name="常规 13 2 3 3 4" xfId="14253" xr:uid="{45B7572D-4832-4082-ADA0-21F0DCFFBC3D}"/>
    <cellStyle name="常规 13 2 3 3 4 2" xfId="33809" xr:uid="{32C1B78C-F2DC-491A-B372-6874D8D5E2CA}"/>
    <cellStyle name="常规 13 2 3 3 5" xfId="14254" xr:uid="{7A3EC71A-14C9-4B54-A859-DC6A357BEE76}"/>
    <cellStyle name="常规 13 2 3 4" xfId="14255" xr:uid="{9C876987-3344-4DDB-9780-D2CCE6B94316}"/>
    <cellStyle name="常规 13 2 3 4 2" xfId="14256" xr:uid="{BDFDF344-6EA8-48CC-B222-24BB102CB1B9}"/>
    <cellStyle name="常规 13 2 3 4 3" xfId="14257" xr:uid="{7F0195A0-592C-41EA-9A2E-CF35B7A41081}"/>
    <cellStyle name="常规 13 2 3 5" xfId="14258" xr:uid="{A68DF8B6-8F70-4184-B2F2-7F833FEDDAB3}"/>
    <cellStyle name="常规 13 2 3 5 2" xfId="14259" xr:uid="{2C7B3E49-0D9B-4030-8508-5C8038344EF2}"/>
    <cellStyle name="常规 13 2 3 6" xfId="14260" xr:uid="{691F7593-CA9F-48E5-86CA-FFB41D1BF4F7}"/>
    <cellStyle name="常规 13 2 3 6 2" xfId="14261" xr:uid="{BC16C38B-D84C-4E32-B8D5-924B07804A9D}"/>
    <cellStyle name="常规 13 2 3 6 3" xfId="33810" xr:uid="{80FEDE0A-F8E9-4BC7-9FEF-874935EB3185}"/>
    <cellStyle name="常规 13 2 3 7" xfId="14262" xr:uid="{53BCA9FB-822E-470E-9639-19CB03A4D7A5}"/>
    <cellStyle name="常规 13 2 3 8" xfId="14263" xr:uid="{89F280C0-2B13-4048-AA58-49B7D41B62EE}"/>
    <cellStyle name="常规 13 2 4" xfId="14264" xr:uid="{7C39FF8D-DA9B-49E6-8BFC-DE19E44313D1}"/>
    <cellStyle name="常规 13 2 4 2" xfId="14265" xr:uid="{8A8E807D-7502-4CAC-A763-7FC700B2AF76}"/>
    <cellStyle name="常规 13 2 4 2 2" xfId="14266" xr:uid="{3C6834D0-7969-4D7A-97EA-6312BD9865AB}"/>
    <cellStyle name="常规 13 2 4 2 3" xfId="14267" xr:uid="{9A2AA4E1-F3CD-4542-88B8-2FBB655B1348}"/>
    <cellStyle name="常规 13 2 4 2 4" xfId="14268" xr:uid="{A37A4D96-A750-4A46-9DB7-6403E1E27CC7}"/>
    <cellStyle name="常规 13 2 4 2 5" xfId="14269" xr:uid="{A1149220-8E07-4C72-B1F8-EE3CB2B0226B}"/>
    <cellStyle name="常规 13 2 4 2 6" xfId="14270" xr:uid="{E052FD2D-724B-4FFC-ACAB-6F776E3FE636}"/>
    <cellStyle name="常规 13 2 4 2 7" xfId="14271" xr:uid="{A4D0ACA9-4CD3-40EC-AB7F-80D3BF097C7F}"/>
    <cellStyle name="常规 13 2 4 2 8" xfId="14272" xr:uid="{2C712CBE-8ED7-4C01-BA3D-81FF1AEDFDB6}"/>
    <cellStyle name="常规 13 2 4 3" xfId="14273" xr:uid="{4C910239-53A8-4042-A58C-BE1641BA3D3A}"/>
    <cellStyle name="常规 13 2 4 3 2" xfId="14274" xr:uid="{9E22AE2D-3402-4198-87BC-1043FCFED63A}"/>
    <cellStyle name="常规 13 2 4 4" xfId="14275" xr:uid="{18D2CDC0-53AC-433C-A0C2-52600DE16BEB}"/>
    <cellStyle name="常规 13 2 4 4 2" xfId="14276" xr:uid="{972A24F8-1B41-468A-8892-EEBAA246DF37}"/>
    <cellStyle name="常规 13 2 4 4 3" xfId="33811" xr:uid="{63FEBE4C-2D15-4F7F-94F4-8236DBE37E9A}"/>
    <cellStyle name="常规 13 2 4 5" xfId="14277" xr:uid="{0E0C1890-F965-418E-83F2-1714BE7A1AB1}"/>
    <cellStyle name="常规 13 2 4 6" xfId="14278" xr:uid="{9C159CD6-793B-4711-B332-A1E000C78384}"/>
    <cellStyle name="常规 13 2 4 7" xfId="14279" xr:uid="{8704C938-99B4-467C-AC47-4114A7DF95E7}"/>
    <cellStyle name="常规 13 2 4 8" xfId="14280" xr:uid="{E8042505-4021-4E4B-A952-5CEBC468F1FF}"/>
    <cellStyle name="常规 13 2 5" xfId="14281" xr:uid="{2D657847-7011-4F8E-8F49-3D4BE4823323}"/>
    <cellStyle name="常规 13 2 5 2" xfId="14282" xr:uid="{210E3253-1606-4B24-AC6E-10C01C1B574D}"/>
    <cellStyle name="常规 13 2 5 2 2" xfId="14283" xr:uid="{B69A711D-8B88-4718-8654-121595084C4D}"/>
    <cellStyle name="常规 13 2 5 2 3" xfId="14284" xr:uid="{B9133871-3715-47E6-87F5-B651D7B7D87C}"/>
    <cellStyle name="常规 13 2 5 2 4" xfId="14285" xr:uid="{D4B8B4D4-D55D-4DF8-B71F-0C2A6F012F38}"/>
    <cellStyle name="常规 13 2 5 2 5" xfId="14286" xr:uid="{3C274623-986B-4693-9EE0-C12B175349D3}"/>
    <cellStyle name="常规 13 2 5 2 6" xfId="14287" xr:uid="{D2E40CC0-5A59-4108-AC06-02AAE6F73F2C}"/>
    <cellStyle name="常规 13 2 5 2 7" xfId="14288" xr:uid="{EEE6AAAA-EE4D-4371-86D6-8DCED540D60E}"/>
    <cellStyle name="常规 13 2 5 2 8" xfId="14289" xr:uid="{D9DAE77C-0C82-40A4-8404-0D709B986752}"/>
    <cellStyle name="常规 13 2 5 3" xfId="14290" xr:uid="{458C721A-B1B7-437B-81FF-227128259035}"/>
    <cellStyle name="常规 13 2 5 3 2" xfId="14291" xr:uid="{3738BDA7-C581-46FC-A7E1-4758DC45530C}"/>
    <cellStyle name="常规 13 2 5 4" xfId="14292" xr:uid="{77A64B33-D13E-40FE-B584-A6BBC22B8BDB}"/>
    <cellStyle name="常规 13 2 5 4 2" xfId="14293" xr:uid="{C3024B4A-E11F-4185-B04A-6EE38DCC7303}"/>
    <cellStyle name="常规 13 2 5 4 3" xfId="33812" xr:uid="{D9EE525C-8F22-484F-8557-83012F95F006}"/>
    <cellStyle name="常规 13 2 5 5" xfId="14294" xr:uid="{519A6C12-E728-4C2C-A604-A767C3E49255}"/>
    <cellStyle name="常规 13 2 5 6" xfId="14295" xr:uid="{2B8639BE-B415-4C61-9F88-5BD1E0E20AF6}"/>
    <cellStyle name="常规 13 2 5 7" xfId="14296" xr:uid="{DACAF804-0949-473C-A65D-3A5AE0309AFD}"/>
    <cellStyle name="常规 13 2 5 8" xfId="14297" xr:uid="{13689BCB-13D6-45ED-9971-4C4FA48CE9FB}"/>
    <cellStyle name="常规 13 2 6" xfId="14298" xr:uid="{E976F65D-F0A5-4BF3-8769-0E069DB8DF4A}"/>
    <cellStyle name="常规 13 2 6 2" xfId="14299" xr:uid="{BC4F1F0F-D2AD-4195-9D6A-AD452897544A}"/>
    <cellStyle name="常规 13 2 6 2 2" xfId="14300" xr:uid="{9A8EFD0E-243B-4774-B30B-799C223F7404}"/>
    <cellStyle name="常规 13 2 6 2 3" xfId="14301" xr:uid="{A2F900A4-91F6-4D79-A970-F21F7DC1F034}"/>
    <cellStyle name="常规 13 2 6 2 4" xfId="14302" xr:uid="{717EDFA0-ABF5-4C48-8225-A5C5F34C4BAF}"/>
    <cellStyle name="常规 13 2 6 2 5" xfId="14303" xr:uid="{B0830B10-3231-4B9D-9DE1-70F89896ECE7}"/>
    <cellStyle name="常规 13 2 6 2 6" xfId="14304" xr:uid="{2FBD84B5-77C2-46F8-803F-688DD8FF79E0}"/>
    <cellStyle name="常规 13 2 6 3" xfId="14305" xr:uid="{7FED83EF-A8AD-424C-AB59-40EC94CA3E38}"/>
    <cellStyle name="常规 13 2 6 4" xfId="14306" xr:uid="{B7F0215E-15C6-40B1-B8E2-378282FDD637}"/>
    <cellStyle name="常规 13 2 6 5" xfId="14307" xr:uid="{46FEFE36-E53F-4AED-A5D4-C43DF7F55DA6}"/>
    <cellStyle name="常规 13 2 6 6" xfId="14308" xr:uid="{529DCAEF-FA30-4588-A1C3-BBD2B5521205}"/>
    <cellStyle name="常规 13 2 6 7" xfId="14309" xr:uid="{80250C53-8941-424E-B361-A4E20BC8E8E1}"/>
    <cellStyle name="常规 13 2 6 8" xfId="14310" xr:uid="{DE7B1CCF-726A-4288-8230-9F56B19796B0}"/>
    <cellStyle name="常规 13 2 6 9" xfId="14311" xr:uid="{8340743C-DBD7-4F7D-BCF7-8DAB04D19B2C}"/>
    <cellStyle name="常规 13 2 7" xfId="14312" xr:uid="{94EE9B3A-CEF1-4044-AEAF-A2D6CCD6E351}"/>
    <cellStyle name="常规 13 2 7 2" xfId="14313" xr:uid="{BDEF7C2B-85FE-4ADC-9198-02267E12BDD9}"/>
    <cellStyle name="常规 13 2 7 2 2" xfId="14314" xr:uid="{87AD9A41-492F-42A6-B978-99BA4353278F}"/>
    <cellStyle name="常规 13 2 7 2 3" xfId="14315" xr:uid="{9F6B2E78-A49F-4DE4-A746-4580115AFE3A}"/>
    <cellStyle name="常规 13 2 7 2 4" xfId="14316" xr:uid="{9C33075B-4127-47BF-ADB6-5BA48EE29E25}"/>
    <cellStyle name="常规 13 2 7 2 5" xfId="14317" xr:uid="{CAA5865B-139A-4113-B2AB-1B7B96C16640}"/>
    <cellStyle name="常规 13 2 7 2 6" xfId="14318" xr:uid="{46FE706D-88B9-4E61-9681-5C90F84F89BB}"/>
    <cellStyle name="常规 13 2 7 3" xfId="14319" xr:uid="{A37576CB-2A0E-46EF-B18F-3A23979E1C85}"/>
    <cellStyle name="常规 13 2 7 4" xfId="14320" xr:uid="{AD9766FA-2AFE-4531-BC15-09FB686F9FBC}"/>
    <cellStyle name="常规 13 2 7 5" xfId="14321" xr:uid="{CE791EF3-57A6-4C57-A297-805D41CC00A4}"/>
    <cellStyle name="常规 13 2 7 6" xfId="14322" xr:uid="{6EDD702A-F0F5-463C-A51A-73975423D3AD}"/>
    <cellStyle name="常规 13 2 7 7" xfId="14323" xr:uid="{55F38125-F6C1-4A14-8AF8-7460933A73EA}"/>
    <cellStyle name="常规 13 2 7 8" xfId="14324" xr:uid="{EB06E299-DAD5-4F18-8AB8-CFEC4C6E69F8}"/>
    <cellStyle name="常规 13 2 8" xfId="14325" xr:uid="{812E136A-6F3C-4889-ADAB-4B3303A11EAC}"/>
    <cellStyle name="常规 13 2 8 2" xfId="14326" xr:uid="{06E6BB25-F225-4992-A7EE-E9179C42D163}"/>
    <cellStyle name="常规 13 2 8 2 2" xfId="14327" xr:uid="{8B05D2E7-C618-409D-AAFA-AE08712B6C74}"/>
    <cellStyle name="常规 13 2 8 2 3" xfId="14328" xr:uid="{FAB71F90-1C28-408D-B578-329C3352FF89}"/>
    <cellStyle name="常规 13 2 8 2 4" xfId="14329" xr:uid="{918F298E-17B4-47D2-9658-A810ACF103EB}"/>
    <cellStyle name="常规 13 2 8 2 5" xfId="14330" xr:uid="{C7D3068D-A775-496C-A3BF-444F0590BFF5}"/>
    <cellStyle name="常规 13 2 8 2 6" xfId="14331" xr:uid="{0A0575C2-F778-46BA-AFF6-27F1C22FC813}"/>
    <cellStyle name="常规 13 2 8 3" xfId="14332" xr:uid="{E01444BE-0AB4-4550-8F11-1F93D49F9A0E}"/>
    <cellStyle name="常规 13 2 8 4" xfId="14333" xr:uid="{BFB0B10C-C05D-421E-BFEF-84D5BAB00AD8}"/>
    <cellStyle name="常规 13 2 8 5" xfId="14334" xr:uid="{094A14A0-91E5-4D9E-85D9-8E17F21BFFD7}"/>
    <cellStyle name="常规 13 2 8 6" xfId="14335" xr:uid="{AA96FAEA-05E2-46DF-AC1F-DBD803551BDB}"/>
    <cellStyle name="常规 13 2 8 7" xfId="14336" xr:uid="{832AC623-4723-480C-AC1B-942BA72BF6C4}"/>
    <cellStyle name="常规 13 2 8 8" xfId="14337" xr:uid="{BB3CC543-FD06-4C33-9290-1E8B25111411}"/>
    <cellStyle name="常规 13 2 8 9" xfId="33813" xr:uid="{2844D3FF-C696-4DEE-B9D7-480618414A0B}"/>
    <cellStyle name="常规 13 2 9" xfId="14338" xr:uid="{85D08580-40E2-4AE3-AC59-8685DBE6BAD8}"/>
    <cellStyle name="常规 13 2 9 2" xfId="14339" xr:uid="{67A60AD4-7301-4AAA-99FC-918B10BF2513}"/>
    <cellStyle name="常规 13 2 9 2 2" xfId="14340" xr:uid="{46452253-0D45-4C72-9B87-2A530006B7CC}"/>
    <cellStyle name="常规 13 2 9 2 3" xfId="14341" xr:uid="{83C2446F-0E82-4FEB-A6A2-A4C48B4A437B}"/>
    <cellStyle name="常规 13 2 9 2 4" xfId="14342" xr:uid="{CFC3E4F5-D72D-4D39-A433-F43AA98A0366}"/>
    <cellStyle name="常规 13 2 9 2 5" xfId="14343" xr:uid="{CDD3DE0B-5888-4378-B46C-ADC425F20F93}"/>
    <cellStyle name="常规 13 2 9 2 6" xfId="14344" xr:uid="{7F3C186D-50C9-477B-BCAC-86C20C68907A}"/>
    <cellStyle name="常规 13 2 9 3" xfId="14345" xr:uid="{4E35B6D9-CF0B-430C-B0F4-DDBB5C027F59}"/>
    <cellStyle name="常规 13 2 9 4" xfId="14346" xr:uid="{56267AA1-7D05-4672-9402-9B0B3904D65E}"/>
    <cellStyle name="常规 13 2 9 5" xfId="14347" xr:uid="{11ABC2E7-8630-4D03-9F54-5BB4BE97A75A}"/>
    <cellStyle name="常规 13 2 9 6" xfId="14348" xr:uid="{9093F64D-BE51-4734-93FD-A4F9AE7E3C81}"/>
    <cellStyle name="常规 13 2 9 7" xfId="14349" xr:uid="{3223B48B-E300-4C32-9CB8-A2F13A3738A1}"/>
    <cellStyle name="常规 13 20" xfId="14350" xr:uid="{E88FA6F7-E9B1-41FA-A71D-BF6AE1F4BDB4}"/>
    <cellStyle name="常规 13 21" xfId="14351" xr:uid="{FCBDDA26-8260-4F16-9FEA-0C3CB093577F}"/>
    <cellStyle name="常规 13 3" xfId="14352" xr:uid="{90F08369-69A2-4EC4-A521-9BFC8D126DA6}"/>
    <cellStyle name="常规 13 3 10" xfId="14353" xr:uid="{F4CA029A-3E6C-4FE8-89C6-91E56D777DCB}"/>
    <cellStyle name="常规 13 3 2" xfId="14354" xr:uid="{3891191E-C7DD-4D6D-AB06-76F8AF016EFB}"/>
    <cellStyle name="常规 13 3 2 2" xfId="14355" xr:uid="{FE198154-FF6B-4528-B1CB-7D3C283AB003}"/>
    <cellStyle name="常规 13 3 2 2 2" xfId="14356" xr:uid="{B39558AD-5F30-40C1-9EE7-4E030863ED96}"/>
    <cellStyle name="常规 13 3 2 2 2 2" xfId="14357" xr:uid="{9E28E7CC-7DED-49E9-B1D8-D5BA567A6A64}"/>
    <cellStyle name="常规 13 3 2 2 2 3" xfId="14358" xr:uid="{3E16D58A-E4E9-45C1-AF72-1F706FC6239B}"/>
    <cellStyle name="常规 13 3 2 2 3" xfId="14359" xr:uid="{9E9A5692-EC9A-45F1-BB8D-A7A1C57D6621}"/>
    <cellStyle name="常规 13 3 2 2 3 2" xfId="14360" xr:uid="{2CBB0060-382A-4ED5-8B3D-5AF3C6DD0C7A}"/>
    <cellStyle name="常规 13 3 2 2 4" xfId="14361" xr:uid="{2401FEEA-FF59-4055-B7A4-D2ABCFA08D72}"/>
    <cellStyle name="常规 13 3 2 2 4 2" xfId="14362" xr:uid="{01B1A280-27F2-4C99-A245-D5C89DE1366C}"/>
    <cellStyle name="常规 13 3 2 2 4 3" xfId="33814" xr:uid="{E2865150-171D-47AF-BEEC-94E40E054EAD}"/>
    <cellStyle name="常规 13 3 2 2 5" xfId="14363" xr:uid="{86C73DE3-12F6-4C73-819B-2C9F2E3F28F0}"/>
    <cellStyle name="常规 13 3 2 2 6" xfId="14364" xr:uid="{F93E9E2E-1A53-4D57-9003-E2060B3A6F98}"/>
    <cellStyle name="常规 13 3 2 2 7" xfId="14365" xr:uid="{3D8FFBE0-C0D4-439E-983E-058984AE94C2}"/>
    <cellStyle name="常规 13 3 2 3" xfId="14366" xr:uid="{AEFE7D7F-BE54-4540-AB56-09ACD3EC32D1}"/>
    <cellStyle name="常规 13 3 2 3 2" xfId="14367" xr:uid="{55FF7EA2-B427-4B10-9CD6-456F8CB0F612}"/>
    <cellStyle name="常规 13 3 2 3 2 2" xfId="14368" xr:uid="{FEA05A7B-9E3B-42C8-8C5E-6D6950ABCA43}"/>
    <cellStyle name="常规 13 3 2 3 3" xfId="14369" xr:uid="{C3AEFAF0-EB51-4804-9F1D-15D3CE6BDE81}"/>
    <cellStyle name="常规 13 3 2 3 4" xfId="14370" xr:uid="{28D14693-A3DC-417C-B2C2-5E15263EC78F}"/>
    <cellStyle name="常规 13 3 2 3 4 2" xfId="33815" xr:uid="{73B0197D-6178-4B11-A8F7-C4B10DB2C997}"/>
    <cellStyle name="常规 13 3 2 3 5" xfId="14371" xr:uid="{4ADD7E1D-889B-4FFA-B5AC-3F541751E5BD}"/>
    <cellStyle name="常规 13 3 2 4" xfId="14372" xr:uid="{E177CE05-A037-41BB-8722-076227A18400}"/>
    <cellStyle name="常规 13 3 2 4 2" xfId="14373" xr:uid="{37127744-67D5-4E95-B842-A9D5D1A28737}"/>
    <cellStyle name="常规 13 3 2 4 3" xfId="14374" xr:uid="{0F9047E1-777E-4146-968F-20BBBAA95F8A}"/>
    <cellStyle name="常规 13 3 2 5" xfId="14375" xr:uid="{33ACC5BB-258D-49E6-A08E-F3043AF6094C}"/>
    <cellStyle name="常规 13 3 2 5 2" xfId="14376" xr:uid="{F6912727-D115-42E6-8690-4639BEDCA17C}"/>
    <cellStyle name="常规 13 3 2 6" xfId="14377" xr:uid="{DC63842E-3C7D-4294-A80C-CAFA686BA8DD}"/>
    <cellStyle name="常规 13 3 2 6 2" xfId="14378" xr:uid="{834CBD0F-0716-4B41-AF40-FA1A1A0DFAB2}"/>
    <cellStyle name="常规 13 3 2 6 3" xfId="33816" xr:uid="{1DD8B0A5-4377-494C-BA83-2D8CD33ED826}"/>
    <cellStyle name="常规 13 3 2 7" xfId="14379" xr:uid="{03881D20-3C70-4C77-8405-C3D0C192F92B}"/>
    <cellStyle name="常规 13 3 2 8" xfId="14380" xr:uid="{878525CD-BB10-4585-8709-95C9B03C1F5C}"/>
    <cellStyle name="常规 13 3 3" xfId="14381" xr:uid="{913AE0AB-CDE2-42BD-81C1-671056989A60}"/>
    <cellStyle name="常规 13 3 3 2" xfId="14382" xr:uid="{44482E53-D0CB-4A7C-B1DD-ADC564680898}"/>
    <cellStyle name="常规 13 3 3 2 2" xfId="14383" xr:uid="{675C25A1-43A7-4292-B496-B1069CA24E26}"/>
    <cellStyle name="常规 13 3 3 2 3" xfId="14384" xr:uid="{839C169C-B414-44BD-81DB-C0A973D6C50C}"/>
    <cellStyle name="常规 13 3 3 2 4" xfId="14385" xr:uid="{61B9FCB2-4FF4-451E-B2A3-AD6F1CA143EB}"/>
    <cellStyle name="常规 13 3 3 2 5" xfId="14386" xr:uid="{448E3CEC-AD7B-4CF9-B075-4255B83B61C2}"/>
    <cellStyle name="常规 13 3 3 2 6" xfId="14387" xr:uid="{C02C0F61-215C-4542-BB4E-4D266B68D7D9}"/>
    <cellStyle name="常规 13 3 3 2 7" xfId="14388" xr:uid="{F96C1745-E329-45CC-8251-C22F7C320B3A}"/>
    <cellStyle name="常规 13 3 3 2 8" xfId="14389" xr:uid="{CAA012C1-CF75-4732-9313-8B868CD3FA3B}"/>
    <cellStyle name="常规 13 3 3 3" xfId="14390" xr:uid="{7731B768-DBE5-462C-A5E9-24CCB48E0453}"/>
    <cellStyle name="常规 13 3 3 3 2" xfId="14391" xr:uid="{DC01852D-35A7-4663-B143-B34176D1BE50}"/>
    <cellStyle name="常规 13 3 3 4" xfId="14392" xr:uid="{CA1FD566-6706-4EDE-A43D-96EF062B1C6C}"/>
    <cellStyle name="常规 13 3 3 4 2" xfId="14393" xr:uid="{3C03F816-481F-44ED-B2E0-053542D85995}"/>
    <cellStyle name="常规 13 3 3 4 3" xfId="33817" xr:uid="{ACEFCCD0-C406-4922-95A4-DC303C1BCC88}"/>
    <cellStyle name="常规 13 3 3 5" xfId="14394" xr:uid="{8CE841F0-EDA0-4CAB-8B15-437F26C4A811}"/>
    <cellStyle name="常规 13 3 3 6" xfId="14395" xr:uid="{230B53D8-63D7-4D8A-8326-77384981AD1F}"/>
    <cellStyle name="常规 13 3 3 7" xfId="14396" xr:uid="{2AC7A789-1864-43A1-9838-E0EECE0706FA}"/>
    <cellStyle name="常规 13 3 3 8" xfId="14397" xr:uid="{D88C1354-8D6D-4BE5-A232-39FC65D3A09D}"/>
    <cellStyle name="常规 13 3 4" xfId="14398" xr:uid="{0941F6C1-5590-4B20-AA26-C9611E71DC1E}"/>
    <cellStyle name="常规 13 3 4 2" xfId="14399" xr:uid="{9C2A10A9-D21E-45C7-8A10-D942AE4AB8DE}"/>
    <cellStyle name="常规 13 3 4 2 2" xfId="14400" xr:uid="{3DCFDE3A-2D24-4C58-8D53-B28D9E1EC963}"/>
    <cellStyle name="常规 13 3 4 2 3" xfId="14401" xr:uid="{9C5C6D16-B60F-4027-B03A-7E7C1C7BCEF0}"/>
    <cellStyle name="常规 13 3 4 2 4" xfId="14402" xr:uid="{E403D2CE-F7D5-4F56-BC5A-BC3CD33F32BE}"/>
    <cellStyle name="常规 13 3 4 2 5" xfId="14403" xr:uid="{FAD8DDFA-653B-42A1-8DC6-7C6593515EDF}"/>
    <cellStyle name="常规 13 3 4 2 6" xfId="14404" xr:uid="{E1936B2F-AD8C-4144-859F-E2FC502463B1}"/>
    <cellStyle name="常规 13 3 4 2 7" xfId="14405" xr:uid="{F1D8D97C-AB21-49A7-BE64-7DA1AEC03E33}"/>
    <cellStyle name="常规 13 3 4 2 8" xfId="14406" xr:uid="{6E6EF3BB-F767-4E3F-A0AA-F59F42342AA1}"/>
    <cellStyle name="常规 13 3 4 3" xfId="14407" xr:uid="{3DBAFF54-BB52-4CC2-A8C4-67686B140D69}"/>
    <cellStyle name="常规 13 3 4 3 2" xfId="14408" xr:uid="{1896FDD5-2F44-4575-991A-C10227BAC021}"/>
    <cellStyle name="常规 13 3 4 4" xfId="14409" xr:uid="{D47F4CC9-DAA5-4602-BBDB-34CD5F00B61E}"/>
    <cellStyle name="常规 13 3 4 4 2" xfId="14410" xr:uid="{59756E3F-B90A-415E-80CA-2AE9134698E8}"/>
    <cellStyle name="常规 13 3 4 4 3" xfId="33818" xr:uid="{12C723F8-3030-4B8A-8688-DB05EDEF354B}"/>
    <cellStyle name="常规 13 3 4 5" xfId="14411" xr:uid="{28D70116-ACBA-4BA9-8C91-E970157D621C}"/>
    <cellStyle name="常规 13 3 4 6" xfId="14412" xr:uid="{CB9C7D43-4B9C-472E-8B9C-5C3EC9CE8164}"/>
    <cellStyle name="常规 13 3 4 7" xfId="14413" xr:uid="{CAABE7A2-6449-49B3-BC50-D14C250F7AD5}"/>
    <cellStyle name="常规 13 3 4 8" xfId="14414" xr:uid="{98E23176-1136-4EC7-9C9F-D7D85C62B921}"/>
    <cellStyle name="常规 13 3 5" xfId="14415" xr:uid="{34A94920-A834-48F7-A637-03F6BD344967}"/>
    <cellStyle name="常规 13 3 5 2" xfId="14416" xr:uid="{7E2482D9-9952-4BD3-BEEE-AB81C87FDD75}"/>
    <cellStyle name="常规 13 3 5 2 2" xfId="14417" xr:uid="{44318CC1-7A56-4DF8-BC0B-16EA7B823106}"/>
    <cellStyle name="常规 13 3 5 2 3" xfId="14418" xr:uid="{DC7D1DE6-01F1-4356-BBFB-CFB7D8A0E714}"/>
    <cellStyle name="常规 13 3 5 2 4" xfId="14419" xr:uid="{13C0EBAB-FEC2-4AAF-B600-72F0FB94CC01}"/>
    <cellStyle name="常规 13 3 5 2 5" xfId="14420" xr:uid="{905917FE-42F4-40FC-89C2-ADD16AEA3983}"/>
    <cellStyle name="常规 13 3 5 2 6" xfId="14421" xr:uid="{CABB749D-4AF4-44C1-96B0-0653C79241DB}"/>
    <cellStyle name="常规 13 3 5 3" xfId="14422" xr:uid="{DC8F7EDD-256B-4E1B-B586-A9D4D4118DB5}"/>
    <cellStyle name="常规 13 3 5 4" xfId="14423" xr:uid="{C86F4A1C-DF6E-4412-81E4-E5382FBEDDC2}"/>
    <cellStyle name="常规 13 3 5 5" xfId="14424" xr:uid="{6CCB5D5F-BA08-4675-8ADF-FA5121C27379}"/>
    <cellStyle name="常规 13 3 5 6" xfId="14425" xr:uid="{88CB05DF-5602-4146-92AF-D8AA194BCAC4}"/>
    <cellStyle name="常规 13 3 5 7" xfId="14426" xr:uid="{63309F03-4C9E-41D4-B5F7-9ECDC1EF2D85}"/>
    <cellStyle name="常规 13 3 5 8" xfId="14427" xr:uid="{532C75C0-5499-49D3-8FE0-FE0B665C909C}"/>
    <cellStyle name="常规 13 3 5 9" xfId="14428" xr:uid="{C9DAEB9E-5A37-4AD5-B952-8A39341D1A07}"/>
    <cellStyle name="常规 13 3 6" xfId="14429" xr:uid="{3D6E6A7C-22DD-4061-9E4C-F5B261B282A3}"/>
    <cellStyle name="常规 13 3 6 2" xfId="14430" xr:uid="{434EC4C5-269D-4CAD-9D06-41A0D1FE7D4F}"/>
    <cellStyle name="常规 13 3 6 2 2" xfId="14431" xr:uid="{946985ED-ACD4-4457-AC72-47506881997F}"/>
    <cellStyle name="常规 13 3 6 2 3" xfId="14432" xr:uid="{BEB75857-7089-4EC6-AEF5-B14B354976A2}"/>
    <cellStyle name="常规 13 3 6 2 4" xfId="14433" xr:uid="{29654434-90B6-4DE6-8DF8-8CC235DC7333}"/>
    <cellStyle name="常规 13 3 6 2 5" xfId="14434" xr:uid="{E975B025-2215-40E5-8C3F-11161C96E28E}"/>
    <cellStyle name="常规 13 3 6 2 6" xfId="14435" xr:uid="{D93EDEB0-1392-46F9-9D26-FA92B7BC8325}"/>
    <cellStyle name="常规 13 3 6 3" xfId="14436" xr:uid="{516B1010-544B-4EAC-9733-CA8911540E49}"/>
    <cellStyle name="常规 13 3 6 4" xfId="14437" xr:uid="{FA5A5547-8DE1-4012-BF62-E429DCACF168}"/>
    <cellStyle name="常规 13 3 6 5" xfId="14438" xr:uid="{4A8B12A9-7F32-47F7-90DE-F21669D7182D}"/>
    <cellStyle name="常规 13 3 6 6" xfId="14439" xr:uid="{6D3D72E0-B563-4CCC-8278-58CC125F7E3C}"/>
    <cellStyle name="常规 13 3 6 7" xfId="14440" xr:uid="{2BA270C9-E4B3-4E7A-A487-A86855984012}"/>
    <cellStyle name="常规 13 3 6 8" xfId="14441" xr:uid="{C6D9BEC9-A734-4511-9A46-8835648F7C4A}"/>
    <cellStyle name="常规 13 3 7" xfId="14442" xr:uid="{229AB647-3D73-4102-BADD-71C07CEC219C}"/>
    <cellStyle name="常规 13 3 7 2" xfId="14443" xr:uid="{155C67E8-15FA-4087-8642-C069CCF9C1BB}"/>
    <cellStyle name="常规 13 3 7 2 2" xfId="14444" xr:uid="{8B73B5B8-7FAA-414E-BD01-42FCC79338C3}"/>
    <cellStyle name="常规 13 3 7 2 3" xfId="14445" xr:uid="{6E09D9AB-64EC-404F-9174-B2089D7044DB}"/>
    <cellStyle name="常规 13 3 7 2 4" xfId="14446" xr:uid="{919A469B-6E53-426D-A3BF-5DCD6D39CC05}"/>
    <cellStyle name="常规 13 3 7 2 5" xfId="14447" xr:uid="{B1277F63-720D-4080-9576-62E497FA97F6}"/>
    <cellStyle name="常规 13 3 7 2 6" xfId="14448" xr:uid="{9F3CA65E-3708-44CC-A1CC-9C5A1DFE3384}"/>
    <cellStyle name="常规 13 3 7 3" xfId="14449" xr:uid="{16A60BA8-225E-481B-90D1-E17CF30045A0}"/>
    <cellStyle name="常规 13 3 7 4" xfId="14450" xr:uid="{A8ABA0DC-4739-4378-A0EA-C9A16825BB7F}"/>
    <cellStyle name="常规 13 3 7 5" xfId="14451" xr:uid="{D62B697B-C4F2-4057-AA02-9DF4109DB18B}"/>
    <cellStyle name="常规 13 3 7 6" xfId="14452" xr:uid="{BB90CA52-EC34-475D-B0C1-F7F636D7BB17}"/>
    <cellStyle name="常规 13 3 7 7" xfId="14453" xr:uid="{49FC1BA1-F718-488C-9ABB-5B4F3D469160}"/>
    <cellStyle name="常规 13 3 7 8" xfId="14454" xr:uid="{209978C3-B5F8-4C6B-8029-5E8A29204D75}"/>
    <cellStyle name="常规 13 3 7 9" xfId="33819" xr:uid="{9AEA27B4-5E2C-4C31-BC6A-CFD975919D31}"/>
    <cellStyle name="常规 13 3 8" xfId="14455" xr:uid="{1FE46BF0-C615-4BDB-BA66-3F6E24FF560D}"/>
    <cellStyle name="常规 13 3 8 2" xfId="14456" xr:uid="{311B8A8B-E4DD-4C8A-A10B-A71F2AE32BEA}"/>
    <cellStyle name="常规 13 3 8 2 2" xfId="14457" xr:uid="{7B87AAE9-6E37-4E80-AC7B-E1B11B67C4EA}"/>
    <cellStyle name="常规 13 3 8 2 3" xfId="14458" xr:uid="{4EA699F4-26B5-45C3-BF72-03B9404866F3}"/>
    <cellStyle name="常规 13 3 8 2 4" xfId="14459" xr:uid="{DF9BBD39-24E7-4C9C-8103-7E052A9BD4E4}"/>
    <cellStyle name="常规 13 3 8 2 5" xfId="14460" xr:uid="{933F8FC0-B558-4BB5-9E10-15AB7D12DDFC}"/>
    <cellStyle name="常规 13 3 8 2 6" xfId="14461" xr:uid="{7D1623E5-5C3E-4F4A-90C1-A06CC324277A}"/>
    <cellStyle name="常规 13 3 8 3" xfId="14462" xr:uid="{08FC7FE5-111B-46F4-BFDD-7BBBB95B49B2}"/>
    <cellStyle name="常规 13 3 8 4" xfId="14463" xr:uid="{19093F83-85A6-46EC-A24F-7052959B10B1}"/>
    <cellStyle name="常规 13 3 8 5" xfId="14464" xr:uid="{DEFC46F0-A1C5-499F-AE90-B2635257E1A2}"/>
    <cellStyle name="常规 13 3 8 6" xfId="14465" xr:uid="{AC01793E-351A-4A6C-89C3-CFA1579D1557}"/>
    <cellStyle name="常规 13 3 8 7" xfId="14466" xr:uid="{7B661F12-0837-4973-A79D-984E6FEADE22}"/>
    <cellStyle name="常规 13 3 9" xfId="14467" xr:uid="{FD500887-A0A1-4DA8-A70B-6CB13FDC8A7C}"/>
    <cellStyle name="常规 13 3 9 2" xfId="14468" xr:uid="{06BCE410-55DC-4D4B-BCE2-800D5A5E8736}"/>
    <cellStyle name="常规 13 3 9 2 2" xfId="14469" xr:uid="{930ADD5D-99C7-403A-A4B6-B62B5A7BB4A9}"/>
    <cellStyle name="常规 13 3 9 2 3" xfId="14470" xr:uid="{D43AD199-94CB-4269-BB55-9BEBDDA4727A}"/>
    <cellStyle name="常规 13 3 9 2 4" xfId="14471" xr:uid="{44A7FD23-147D-4CFB-AAC6-6B5A439FFD2F}"/>
    <cellStyle name="常规 13 3 9 2 5" xfId="14472" xr:uid="{4AB1B8D9-1A48-48D3-B450-DE5C5A42F89B}"/>
    <cellStyle name="常规 13 3 9 2 6" xfId="14473" xr:uid="{F3EFB839-2966-4E18-841E-E020ADC51D4B}"/>
    <cellStyle name="常规 13 3 9 3" xfId="14474" xr:uid="{05423A81-AFC2-4F49-9DF4-D01DA00D9034}"/>
    <cellStyle name="常规 13 3 9 4" xfId="14475" xr:uid="{CAB06C14-C6FA-4917-9013-E516A4CD3E6C}"/>
    <cellStyle name="常规 13 3 9 5" xfId="14476" xr:uid="{D19347CD-0336-49C9-9133-6150BEEFD4BD}"/>
    <cellStyle name="常规 13 3 9 6" xfId="14477" xr:uid="{DCC1A773-FFBA-4E8D-B851-3AB7701556F6}"/>
    <cellStyle name="常规 13 3 9 7" xfId="14478" xr:uid="{C5F9B39E-60C8-4E54-A1E0-A9EB419ACD96}"/>
    <cellStyle name="常规 13 4" xfId="14479" xr:uid="{FF577FDD-3E32-454B-9A36-E24F121888B8}"/>
    <cellStyle name="常规 13 4 10" xfId="14480" xr:uid="{0C791846-8ACE-4639-87D4-B5E70E13555C}"/>
    <cellStyle name="常规 13 4 2" xfId="14481" xr:uid="{B7E5AA45-9919-4F8A-91D2-98D6EE0E259D}"/>
    <cellStyle name="常规 13 4 2 2" xfId="14482" xr:uid="{59494D4B-FE72-4F1D-88AC-13BF81458F7A}"/>
    <cellStyle name="常规 13 4 2 2 2" xfId="14483" xr:uid="{67F1B7D9-3168-4BDE-A91B-37BAAA6D3D2B}"/>
    <cellStyle name="常规 13 4 2 2 3" xfId="14484" xr:uid="{17622B01-8FA4-4A7C-8C37-90E17334CD6F}"/>
    <cellStyle name="常规 13 4 2 2 4" xfId="14485" xr:uid="{7E302CBB-779A-46DC-9ADB-4E71109581E4}"/>
    <cellStyle name="常规 13 4 2 2 5" xfId="14486" xr:uid="{3C77B269-9697-4E2A-9152-96E86734C4FD}"/>
    <cellStyle name="常规 13 4 2 2 6" xfId="14487" xr:uid="{97DFEA1E-1D22-4660-BE65-441DB091CC58}"/>
    <cellStyle name="常规 13 4 2 2 7" xfId="14488" xr:uid="{8D3E4E67-2A95-4CA6-B3AC-E83FBB2A5A5D}"/>
    <cellStyle name="常规 13 4 2 2 8" xfId="14489" xr:uid="{23F621DE-B466-421B-AC6E-82C0A29E2534}"/>
    <cellStyle name="常规 13 4 2 3" xfId="14490" xr:uid="{C304809B-0A7C-4E68-BAE7-81043D5D1E25}"/>
    <cellStyle name="常规 13 4 2 3 2" xfId="14491" xr:uid="{69F1EE17-83C6-4B52-9C14-4C3F7F046D0D}"/>
    <cellStyle name="常规 13 4 2 4" xfId="14492" xr:uid="{BF1F3C8D-60B9-4200-821C-C183B7BB1272}"/>
    <cellStyle name="常规 13 4 2 4 2" xfId="14493" xr:uid="{8EC5609A-0C4A-492C-8E83-26F1C1EBE6F0}"/>
    <cellStyle name="常规 13 4 2 4 3" xfId="33820" xr:uid="{D0553B7A-4D12-4BA1-9642-87758018674E}"/>
    <cellStyle name="常规 13 4 2 5" xfId="14494" xr:uid="{2B8C2FBA-551B-4CDD-90F8-A0FFA74C2DA8}"/>
    <cellStyle name="常规 13 4 2 6" xfId="14495" xr:uid="{1F421FA9-B3B2-42FA-84D2-403721C4D08D}"/>
    <cellStyle name="常规 13 4 2 7" xfId="14496" xr:uid="{EB3EFE9B-B4C8-4860-86C6-76BA60C109A8}"/>
    <cellStyle name="常规 13 4 2 8" xfId="14497" xr:uid="{176808C7-28C4-4078-804E-E727B08EB289}"/>
    <cellStyle name="常规 13 4 3" xfId="14498" xr:uid="{7BC50C37-20F2-46DC-A789-0731A48DC3C2}"/>
    <cellStyle name="常规 13 4 3 2" xfId="14499" xr:uid="{38800F6B-8ABF-4492-929F-8244F3ACD8B6}"/>
    <cellStyle name="常规 13 4 3 2 2" xfId="14500" xr:uid="{1686B8D9-FC02-45EF-B93B-12A7320F24A0}"/>
    <cellStyle name="常规 13 4 3 2 3" xfId="14501" xr:uid="{067030FF-ACF1-486F-8EC7-10864299006C}"/>
    <cellStyle name="常规 13 4 3 2 4" xfId="14502" xr:uid="{9B7B7109-0572-49C8-963F-AB6672889151}"/>
    <cellStyle name="常规 13 4 3 2 5" xfId="14503" xr:uid="{81DF67EF-E090-41A1-85CD-967B7AAE0F39}"/>
    <cellStyle name="常规 13 4 3 2 6" xfId="14504" xr:uid="{6905881A-0B1F-4151-98AD-36C8950D92E3}"/>
    <cellStyle name="常规 13 4 3 2 7" xfId="14505" xr:uid="{3F8AF108-3A8A-49E4-AD73-2FBA64A23F92}"/>
    <cellStyle name="常规 13 4 3 3" xfId="14506" xr:uid="{F0B5E972-B36B-44AB-8ADE-BFB23864BC98}"/>
    <cellStyle name="常规 13 4 3 4" xfId="14507" xr:uid="{48FAB778-D6DD-410A-B26C-85CF6B268818}"/>
    <cellStyle name="常规 13 4 3 5" xfId="14508" xr:uid="{ECAF21F7-7B47-4A81-BCD2-9493AFE5E653}"/>
    <cellStyle name="常规 13 4 3 6" xfId="14509" xr:uid="{FFA4597F-D354-47DB-92A3-3CF5F4696AC5}"/>
    <cellStyle name="常规 13 4 3 7" xfId="14510" xr:uid="{211F8F31-DFD8-481C-BE30-9ADFA4705A24}"/>
    <cellStyle name="常规 13 4 3 8" xfId="14511" xr:uid="{360C7B83-AC12-46D0-BE9E-1E1AADC658CF}"/>
    <cellStyle name="常规 13 4 4" xfId="14512" xr:uid="{6BDE07E4-B7ED-4E9F-8503-9D01ED326A4E}"/>
    <cellStyle name="常规 13 4 4 2" xfId="14513" xr:uid="{4FE6FE74-2A20-4A3B-AE88-5BD56DF2B5DF}"/>
    <cellStyle name="常规 13 4 4 2 2" xfId="14514" xr:uid="{C776B73C-5AB9-4FD2-925D-F7F9E1E401F7}"/>
    <cellStyle name="常规 13 4 4 2 3" xfId="14515" xr:uid="{C47E09F2-068B-46E7-AD8D-D18CC9EA1DBA}"/>
    <cellStyle name="常规 13 4 4 2 4" xfId="14516" xr:uid="{5717A9E9-22EE-43B1-A402-70D0A87F2D0D}"/>
    <cellStyle name="常规 13 4 4 2 5" xfId="14517" xr:uid="{2B02AE4D-3B6E-4AC4-B586-900DC31A057A}"/>
    <cellStyle name="常规 13 4 4 2 6" xfId="14518" xr:uid="{00EA09D3-1CB7-4C55-A61F-BA5960E0B96E}"/>
    <cellStyle name="常规 13 4 4 3" xfId="14519" xr:uid="{F8002A99-6F60-4B80-AB34-5DFACADB3E3C}"/>
    <cellStyle name="常规 13 4 4 4" xfId="14520" xr:uid="{DCC2E4B3-46F7-408F-AD02-A9399CC964CE}"/>
    <cellStyle name="常规 13 4 4 5" xfId="14521" xr:uid="{E163D087-F106-4CD0-A28C-9329BED5FADD}"/>
    <cellStyle name="常规 13 4 4 6" xfId="14522" xr:uid="{FB4DA72A-571A-4100-BBD3-1FBD0EFB2022}"/>
    <cellStyle name="常规 13 4 4 7" xfId="14523" xr:uid="{6FC0FF59-E670-4C23-8DD6-1719CE148922}"/>
    <cellStyle name="常规 13 4 4 8" xfId="14524" xr:uid="{7FA01A81-96EE-417D-A6DD-BF570B4E085F}"/>
    <cellStyle name="常规 13 4 4 9" xfId="14525" xr:uid="{F077E3C6-4A5A-4BC6-B1B6-8864C962F470}"/>
    <cellStyle name="常规 13 4 5" xfId="14526" xr:uid="{E20AB9ED-3DE0-4F8E-BB80-800BABD70B82}"/>
    <cellStyle name="常规 13 4 5 2" xfId="14527" xr:uid="{C45EE0D1-53B7-4406-8223-5C2FBE5008C1}"/>
    <cellStyle name="常规 13 4 5 2 2" xfId="14528" xr:uid="{A904CE2F-9A61-4AAE-B03F-874ACE3B3B03}"/>
    <cellStyle name="常规 13 4 5 2 3" xfId="14529" xr:uid="{0B83769E-8CA3-4A34-AA02-29C7FB1B5D62}"/>
    <cellStyle name="常规 13 4 5 2 4" xfId="14530" xr:uid="{A990BAC6-3B99-40F3-AE77-DBD979FEC01C}"/>
    <cellStyle name="常规 13 4 5 2 5" xfId="14531" xr:uid="{7DCC76E6-65F2-4590-8387-D77586FA98F3}"/>
    <cellStyle name="常规 13 4 5 2 6" xfId="14532" xr:uid="{47B35835-DB5C-4C8B-A0AF-745D274B13C3}"/>
    <cellStyle name="常规 13 4 5 3" xfId="14533" xr:uid="{8A2E8600-DC7C-4776-BB14-0B6CE9E08C2B}"/>
    <cellStyle name="常规 13 4 5 4" xfId="14534" xr:uid="{6E58835A-C58B-46F0-A2AF-F1BE67F6E7A1}"/>
    <cellStyle name="常规 13 4 5 5" xfId="14535" xr:uid="{B0ACE40D-E5DA-49F6-B2D2-5CA122A9FAA3}"/>
    <cellStyle name="常规 13 4 5 6" xfId="14536" xr:uid="{B0B0E755-CA67-43B9-A41C-DBCEA0630FC2}"/>
    <cellStyle name="常规 13 4 5 7" xfId="14537" xr:uid="{57B865AE-41CC-4F20-B7B7-0B293E906464}"/>
    <cellStyle name="常规 13 4 5 8" xfId="14538" xr:uid="{229C913D-7931-42C6-9A94-7707B4A05BE4}"/>
    <cellStyle name="常规 13 4 6" xfId="14539" xr:uid="{1F34DFC6-D9D7-47E0-8F78-36DFA640D95A}"/>
    <cellStyle name="常规 13 4 6 2" xfId="14540" xr:uid="{83D0E8D1-98DB-4295-8D58-23364AA11F8E}"/>
    <cellStyle name="常规 13 4 6 2 2" xfId="14541" xr:uid="{A7D1D88D-5759-4A3D-B331-D4047DB768B3}"/>
    <cellStyle name="常规 13 4 6 2 3" xfId="14542" xr:uid="{A39EB62E-8AC2-4008-9F51-BAE4A0098BAD}"/>
    <cellStyle name="常规 13 4 6 2 4" xfId="14543" xr:uid="{D128DDB7-451D-4214-BF08-E97722509DB6}"/>
    <cellStyle name="常规 13 4 6 2 5" xfId="14544" xr:uid="{9DA82267-400C-4748-8ED4-51DA0EE68709}"/>
    <cellStyle name="常规 13 4 6 2 6" xfId="14545" xr:uid="{4964B1EA-0225-4A5E-BB53-9DEBDC178A56}"/>
    <cellStyle name="常规 13 4 6 3" xfId="14546" xr:uid="{D0A35B3D-355B-497D-90D4-764B9B60E1FA}"/>
    <cellStyle name="常规 13 4 6 4" xfId="14547" xr:uid="{CF6D124E-4A1B-408B-A5D4-F995BCA77729}"/>
    <cellStyle name="常规 13 4 6 5" xfId="14548" xr:uid="{B4611E14-DD95-481C-9CB2-8B5892447630}"/>
    <cellStyle name="常规 13 4 6 6" xfId="14549" xr:uid="{31F2AF4C-5791-4DCC-AC05-D14FA06B31D1}"/>
    <cellStyle name="常规 13 4 6 7" xfId="14550" xr:uid="{F4285AF1-8FB0-4409-99DD-A1DF2B4BB98B}"/>
    <cellStyle name="常规 13 4 6 8" xfId="14551" xr:uid="{7A0CF7C8-C4BA-450C-A159-F2D0FE8CCAF3}"/>
    <cellStyle name="常规 13 4 6 9" xfId="33821" xr:uid="{87A035EA-C311-4F65-B80C-15C13F1ABD6F}"/>
    <cellStyle name="常规 13 4 7" xfId="14552" xr:uid="{9B06C215-947B-4AA8-B9D6-D912B194DA27}"/>
    <cellStyle name="常规 13 4 7 2" xfId="14553" xr:uid="{20AB098E-642D-4CC6-8943-02D782ED1803}"/>
    <cellStyle name="常规 13 4 7 2 2" xfId="14554" xr:uid="{6CC94E95-F33D-420E-B384-48277E6342E3}"/>
    <cellStyle name="常规 13 4 7 2 3" xfId="14555" xr:uid="{C162EF20-4306-4295-9CB0-99B6380B1859}"/>
    <cellStyle name="常规 13 4 7 2 4" xfId="14556" xr:uid="{F6C1F37B-A038-4174-B3F4-B35895FFB432}"/>
    <cellStyle name="常规 13 4 7 2 5" xfId="14557" xr:uid="{07ECCF65-3A7B-491A-994B-B8266E312B70}"/>
    <cellStyle name="常规 13 4 7 2 6" xfId="14558" xr:uid="{38847D93-A79E-4F1F-818C-2C1F735B171A}"/>
    <cellStyle name="常规 13 4 7 3" xfId="14559" xr:uid="{79DC358F-D79D-4F2F-B2DE-D014C9AC2C55}"/>
    <cellStyle name="常规 13 4 7 4" xfId="14560" xr:uid="{E6867377-2B04-40F0-A126-6A883EDAB7BB}"/>
    <cellStyle name="常规 13 4 7 5" xfId="14561" xr:uid="{C8CB8A5D-7B86-48FB-B175-C0914B422CA4}"/>
    <cellStyle name="常规 13 4 7 6" xfId="14562" xr:uid="{4A487881-5281-406A-81E8-00232D35DB26}"/>
    <cellStyle name="常规 13 4 7 7" xfId="14563" xr:uid="{5D18C887-F47A-4B99-BB9C-3B17CC735E1B}"/>
    <cellStyle name="常规 13 4 8" xfId="14564" xr:uid="{6880422C-C846-49A7-8C55-990E782CF253}"/>
    <cellStyle name="常规 13 4 8 2" xfId="14565" xr:uid="{4CE6F365-31CC-44CF-A2CA-C2E3D1C02306}"/>
    <cellStyle name="常规 13 4 8 2 2" xfId="14566" xr:uid="{9EF3A5E6-B3F7-4391-9363-4130C225314A}"/>
    <cellStyle name="常规 13 4 8 2 3" xfId="14567" xr:uid="{47F82AC0-F6CC-4ECA-8D8B-084744B59A60}"/>
    <cellStyle name="常规 13 4 8 2 4" xfId="14568" xr:uid="{296F6454-E19E-41E6-9418-B0A61A4ED468}"/>
    <cellStyle name="常规 13 4 8 2 5" xfId="14569" xr:uid="{1756DE7F-C6B4-467F-BBB2-AAA40F27F659}"/>
    <cellStyle name="常规 13 4 8 2 6" xfId="14570" xr:uid="{C5C1F837-A7E1-4560-A039-735E35613F06}"/>
    <cellStyle name="常规 13 4 8 3" xfId="14571" xr:uid="{5AF55A70-485D-4F49-B3B1-246847A19CFA}"/>
    <cellStyle name="常规 13 4 8 4" xfId="14572" xr:uid="{5E86854E-8D08-4A48-B657-B3D62F123240}"/>
    <cellStyle name="常规 13 4 8 5" xfId="14573" xr:uid="{5E1F8E66-1021-4D4D-BA1D-96CB29C58355}"/>
    <cellStyle name="常规 13 4 8 6" xfId="14574" xr:uid="{CAB4AADF-51A6-4CD6-92B9-7FC91CA908EB}"/>
    <cellStyle name="常规 13 4 8 7" xfId="14575" xr:uid="{4E81D7A3-3D8B-4FFA-B726-99F47C86A82B}"/>
    <cellStyle name="常规 13 4 9" xfId="14576" xr:uid="{F138013E-F53E-4914-9351-861063D25AFB}"/>
    <cellStyle name="常规 13 4 9 2" xfId="14577" xr:uid="{A8277DF5-A8A5-40A3-B5AC-4841CE1B8191}"/>
    <cellStyle name="常规 13 4 9 2 2" xfId="14578" xr:uid="{E591188C-25B4-4179-A4C9-254317BA751C}"/>
    <cellStyle name="常规 13 4 9 2 3" xfId="14579" xr:uid="{23F164CB-916A-465A-9C68-46E75143659F}"/>
    <cellStyle name="常规 13 4 9 2 4" xfId="14580" xr:uid="{5016E12B-C3D9-468E-A0A7-6F533A4151A8}"/>
    <cellStyle name="常规 13 4 9 2 5" xfId="14581" xr:uid="{EECAE2CB-A8F5-4D89-B04B-7C6E23782180}"/>
    <cellStyle name="常规 13 4 9 2 6" xfId="14582" xr:uid="{D177D591-7DEF-42C5-94F9-ECD97FCA1F76}"/>
    <cellStyle name="常规 13 4 9 3" xfId="14583" xr:uid="{7422CC12-4EC6-4FF8-9588-D6A6332B1267}"/>
    <cellStyle name="常规 13 4 9 4" xfId="14584" xr:uid="{492CE3F4-A066-4445-BC0B-3AD8C26D6A5B}"/>
    <cellStyle name="常规 13 4 9 5" xfId="14585" xr:uid="{7C5396B3-1198-48BD-B01C-BAE0C99877FE}"/>
    <cellStyle name="常规 13 4 9 6" xfId="14586" xr:uid="{66888A7A-EEEA-44E2-B358-FA35614F2808}"/>
    <cellStyle name="常规 13 4 9 7" xfId="14587" xr:uid="{248C0F2B-6454-4B11-B058-6A6F5CA121BD}"/>
    <cellStyle name="常规 13 5" xfId="14588" xr:uid="{85E73379-24F1-4CC7-AA3A-3612DD30FC27}"/>
    <cellStyle name="常规 13 5 2" xfId="14589" xr:uid="{7598CD79-F2E0-4DFB-A320-012D616D274D}"/>
    <cellStyle name="常规 13 5 2 2" xfId="14590" xr:uid="{C9F64B69-0B54-4E66-A3F2-47CA56666DE8}"/>
    <cellStyle name="常规 13 5 2 2 2" xfId="14591" xr:uid="{E2DC73C6-E38B-4BE0-A44B-D005A16363C6}"/>
    <cellStyle name="常规 13 5 2 2 3" xfId="14592" xr:uid="{4F51AC93-D432-42C1-BCC1-73378E1338EC}"/>
    <cellStyle name="常规 13 5 2 2 4" xfId="14593" xr:uid="{60728FE2-CC64-4082-A8BC-7ACE48E78E3C}"/>
    <cellStyle name="常规 13 5 2 2 5" xfId="14594" xr:uid="{9EE68DB1-608F-48E2-BCD5-E11D8AAF2017}"/>
    <cellStyle name="常规 13 5 2 2 6" xfId="14595" xr:uid="{BFB1CD90-BB8B-482C-B477-3A2D2FD925DC}"/>
    <cellStyle name="常规 13 5 2 2 7" xfId="14596" xr:uid="{D5EE3830-6A47-4B87-916F-32CF03BE7CEB}"/>
    <cellStyle name="常规 13 5 2 2 8" xfId="14597" xr:uid="{87D9C11C-D930-47F0-BFC6-DB1388D15CF3}"/>
    <cellStyle name="常规 13 5 2 3" xfId="14598" xr:uid="{31DC03F4-2ECE-486F-8A70-E5F40A6D8117}"/>
    <cellStyle name="常规 13 5 2 3 2" xfId="14599" xr:uid="{208F6958-8C4F-416D-9F64-60D223067455}"/>
    <cellStyle name="常规 13 5 2 4" xfId="14600" xr:uid="{475DF116-CA61-468A-8952-1B89BC22253A}"/>
    <cellStyle name="常规 13 5 2 4 2" xfId="14601" xr:uid="{12928B24-274E-4469-9DF8-D394FB8B4301}"/>
    <cellStyle name="常规 13 5 2 4 3" xfId="33822" xr:uid="{91092593-11CA-4814-83D6-9A9E9FF23D3D}"/>
    <cellStyle name="常规 13 5 2 5" xfId="14602" xr:uid="{0E4E6007-16D8-4FAF-A9DF-B271608E06BD}"/>
    <cellStyle name="常规 13 5 2 6" xfId="14603" xr:uid="{49E4E32A-5797-48AF-B25B-09FE9A18B57C}"/>
    <cellStyle name="常规 13 5 2 7" xfId="14604" xr:uid="{CE3EFC86-2779-4CB2-AA35-DFC7B8BA6289}"/>
    <cellStyle name="常规 13 5 2 8" xfId="14605" xr:uid="{F2CDF7BF-6C98-4DF0-B4C0-B4FF625A3621}"/>
    <cellStyle name="常规 13 5 3" xfId="14606" xr:uid="{5660EA25-9EEC-4BBD-9815-107ADCAE01B3}"/>
    <cellStyle name="常规 13 5 3 2" xfId="14607" xr:uid="{38C6245F-15A6-4A31-AA86-D8871753358A}"/>
    <cellStyle name="常规 13 5 3 2 2" xfId="14608" xr:uid="{DF3EC134-49BD-47BB-BF68-4E6DB4D1387D}"/>
    <cellStyle name="常规 13 5 3 2 3" xfId="14609" xr:uid="{D742C02C-4C2B-4076-AE56-99449714A864}"/>
    <cellStyle name="常规 13 5 3 2 4" xfId="14610" xr:uid="{B1126E01-4986-4BAF-915A-5814957BECA3}"/>
    <cellStyle name="常规 13 5 3 2 5" xfId="14611" xr:uid="{7826E2F8-A109-4848-837B-21F4D1C7A345}"/>
    <cellStyle name="常规 13 5 3 2 6" xfId="14612" xr:uid="{47FFB77D-4190-4630-87FA-2AE9FAA45D34}"/>
    <cellStyle name="常规 13 5 3 3" xfId="14613" xr:uid="{1C881543-DAD3-4C8D-A882-15024E6F44F4}"/>
    <cellStyle name="常规 13 5 3 4" xfId="14614" xr:uid="{DDB25CC9-5E82-4E54-B4CF-545DDC090B05}"/>
    <cellStyle name="常规 13 5 3 5" xfId="14615" xr:uid="{338D7FA5-644A-4C1A-A3AD-CCBAB2629741}"/>
    <cellStyle name="常规 13 5 3 6" xfId="14616" xr:uid="{28A9A34F-7AEC-4AF9-A372-E39A2DAE3A33}"/>
    <cellStyle name="常规 13 5 3 7" xfId="14617" xr:uid="{14DB43DC-FDD9-4BBB-B9C5-CB24773EF4EB}"/>
    <cellStyle name="常规 13 5 3 8" xfId="14618" xr:uid="{5BBE3A0B-1E85-4866-8B78-FF0C8A5BADCD}"/>
    <cellStyle name="常规 13 5 3 9" xfId="14619" xr:uid="{6955D9CE-565C-4FE0-B25E-B8010C7FF5EC}"/>
    <cellStyle name="常规 13 5 4" xfId="14620" xr:uid="{5E55D998-1620-4A40-9B24-95C53D8EB017}"/>
    <cellStyle name="常规 13 5 4 2" xfId="14621" xr:uid="{57B6AE9B-4254-4DE6-8021-3B42DF72D68F}"/>
    <cellStyle name="常规 13 5 4 2 2" xfId="14622" xr:uid="{769DBAFF-EFBA-41DD-971D-F7D58FC53880}"/>
    <cellStyle name="常规 13 5 4 2 3" xfId="14623" xr:uid="{39261C15-DAEE-4A6D-9669-61B7771B196C}"/>
    <cellStyle name="常规 13 5 4 2 4" xfId="14624" xr:uid="{731C135A-3BD8-4651-9EF5-98E90924CBA2}"/>
    <cellStyle name="常规 13 5 4 2 5" xfId="14625" xr:uid="{A65084BD-6CA4-49DA-BBEE-6C71982C6543}"/>
    <cellStyle name="常规 13 5 4 2 6" xfId="14626" xr:uid="{12A2C5F6-1A27-4D4F-A190-34C44E552ACA}"/>
    <cellStyle name="常规 13 5 4 3" xfId="14627" xr:uid="{542E6527-5691-4AC3-88E3-42912325A9C4}"/>
    <cellStyle name="常规 13 5 4 4" xfId="14628" xr:uid="{3CEEB87D-BCA7-4F92-B272-D060BF2AC512}"/>
    <cellStyle name="常规 13 5 4 5" xfId="14629" xr:uid="{10DA3351-A16B-404C-9079-B9D1ACE92F30}"/>
    <cellStyle name="常规 13 5 4 6" xfId="14630" xr:uid="{E49B97AD-9C9F-4DAF-B9FB-0CDC4CBBC64C}"/>
    <cellStyle name="常规 13 5 4 7" xfId="14631" xr:uid="{4F7BB745-E4CD-43A2-AC5B-C4058413FDD2}"/>
    <cellStyle name="常规 13 5 4 8" xfId="14632" xr:uid="{58F49FAD-33D9-4650-BA25-60E37C76F6B2}"/>
    <cellStyle name="常规 13 5 5" xfId="14633" xr:uid="{EE3E7407-9B5C-419F-AF32-90F27C17B03F}"/>
    <cellStyle name="常规 13 5 5 2" xfId="14634" xr:uid="{8E645752-69CD-4414-8A5E-55981644547B}"/>
    <cellStyle name="常规 13 5 5 2 2" xfId="14635" xr:uid="{E5603FEF-5B80-45FA-96AA-B95016B20385}"/>
    <cellStyle name="常规 13 5 5 2 3" xfId="14636" xr:uid="{FA8D4774-D17D-47CB-A009-DE4254B77163}"/>
    <cellStyle name="常规 13 5 5 2 4" xfId="14637" xr:uid="{D92081F6-1770-4FF0-8DAB-81825AA7FA63}"/>
    <cellStyle name="常规 13 5 5 2 5" xfId="14638" xr:uid="{C54FFB55-CCF4-48EF-A863-D9C3F8F0516C}"/>
    <cellStyle name="常规 13 5 5 2 6" xfId="14639" xr:uid="{157F730E-07BD-47C4-9F18-3D7BAE09DF56}"/>
    <cellStyle name="常规 13 5 5 3" xfId="14640" xr:uid="{69F225D8-7923-4D87-8194-1A93E25891CE}"/>
    <cellStyle name="常规 13 5 5 4" xfId="14641" xr:uid="{D5A1382D-0699-4988-8B6D-B2295CD51CF2}"/>
    <cellStyle name="常规 13 5 5 5" xfId="14642" xr:uid="{8260FA9B-9AF9-420E-B7D6-E2FA7E3EC4F5}"/>
    <cellStyle name="常规 13 5 5 6" xfId="14643" xr:uid="{5FB54025-39C0-4AB7-BE93-0064321EE395}"/>
    <cellStyle name="常规 13 5 5 7" xfId="14644" xr:uid="{3FD7DF15-1021-413C-9F12-8A33DE852CE7}"/>
    <cellStyle name="常规 13 5 5 8" xfId="14645" xr:uid="{C58FA935-1E77-4CA1-8E1A-45BADE02A2B3}"/>
    <cellStyle name="常规 13 5 5 9" xfId="33823" xr:uid="{A442B555-E0C8-4C3B-8D6A-71AF11C430FC}"/>
    <cellStyle name="常规 13 5 6" xfId="14646" xr:uid="{2FE98F45-E077-4B16-BA64-2DF894A799E0}"/>
    <cellStyle name="常规 13 5 6 2" xfId="14647" xr:uid="{E5B0DC71-8BC1-41F9-BD36-EA131118C58C}"/>
    <cellStyle name="常规 13 5 6 2 2" xfId="14648" xr:uid="{9ED7B9DA-DA27-43BC-9527-2A486F6BE122}"/>
    <cellStyle name="常规 13 5 6 2 3" xfId="14649" xr:uid="{7B84C610-7ECF-43B3-B1D7-EB1089FC7B23}"/>
    <cellStyle name="常规 13 5 6 2 4" xfId="14650" xr:uid="{72F0F4C9-503B-4012-A838-94F4C7650538}"/>
    <cellStyle name="常规 13 5 6 2 5" xfId="14651" xr:uid="{1660D471-BCB0-43DA-BE15-DF44233F10FB}"/>
    <cellStyle name="常规 13 5 6 2 6" xfId="14652" xr:uid="{0D4D6FFD-C792-44C6-A7CB-930C09C0FAEB}"/>
    <cellStyle name="常规 13 5 6 3" xfId="14653" xr:uid="{2A4656BC-042D-41A8-BBA8-6D3135639990}"/>
    <cellStyle name="常规 13 5 6 4" xfId="14654" xr:uid="{ED38E07F-ABA5-42AE-BB15-82FC0BB5552B}"/>
    <cellStyle name="常规 13 5 6 5" xfId="14655" xr:uid="{6D971E01-FABB-4809-B460-60ACD2E4C499}"/>
    <cellStyle name="常规 13 5 6 6" xfId="14656" xr:uid="{6DA52007-BBD1-4F66-BE2C-A542F7433500}"/>
    <cellStyle name="常规 13 5 6 7" xfId="14657" xr:uid="{656EC106-8620-43B3-A695-D11EAC6F19DC}"/>
    <cellStyle name="常规 13 5 7" xfId="14658" xr:uid="{03666207-A860-4DBD-9354-398574234E92}"/>
    <cellStyle name="常规 13 5 7 2" xfId="14659" xr:uid="{3516F4A0-4704-40A5-B4F6-FC933D568E55}"/>
    <cellStyle name="常规 13 5 7 2 2" xfId="14660" xr:uid="{BE7D847C-26C6-4179-955D-DCE48ED11E68}"/>
    <cellStyle name="常规 13 5 7 2 3" xfId="14661" xr:uid="{9444FD6C-B783-4C37-9814-6039292452F6}"/>
    <cellStyle name="常规 13 5 7 2 4" xfId="14662" xr:uid="{92245007-19BE-4AA6-A6F9-747DFBF8B3DA}"/>
    <cellStyle name="常规 13 5 7 2 5" xfId="14663" xr:uid="{B9D0C3F7-8B44-49CA-A6C7-D8A3D41029E4}"/>
    <cellStyle name="常规 13 5 7 2 6" xfId="14664" xr:uid="{AA3F32D5-1C40-40D7-B216-A598576150D0}"/>
    <cellStyle name="常规 13 5 7 3" xfId="14665" xr:uid="{81CE8443-C87F-485F-B794-72D7D6B71495}"/>
    <cellStyle name="常规 13 5 7 4" xfId="14666" xr:uid="{56BB9027-26D2-414F-BE42-C0AB9B9A5BB1}"/>
    <cellStyle name="常规 13 5 7 5" xfId="14667" xr:uid="{4AFF8726-81A3-4F17-8254-B95B09A9D13A}"/>
    <cellStyle name="常规 13 5 7 6" xfId="14668" xr:uid="{5742FE63-426B-458A-929A-2DE65EDEBF40}"/>
    <cellStyle name="常规 13 5 7 7" xfId="14669" xr:uid="{F3351C76-7549-42B1-9ECD-3B4D75A7EC36}"/>
    <cellStyle name="常规 13 5 8" xfId="14670" xr:uid="{A147108A-BDAE-4C4E-8A7B-F714AB9DAFD5}"/>
    <cellStyle name="常规 13 5 8 2" xfId="14671" xr:uid="{786E0F3E-7010-4D6E-A2BB-744687603F00}"/>
    <cellStyle name="常规 13 5 8 2 2" xfId="14672" xr:uid="{C2050A13-201F-4189-8F7F-7CA614079EBA}"/>
    <cellStyle name="常规 13 5 8 2 3" xfId="14673" xr:uid="{91832C33-BBAD-4C85-89AC-CB474806A0C7}"/>
    <cellStyle name="常规 13 5 8 2 4" xfId="14674" xr:uid="{F26F7C83-D215-4669-8E52-D8C4CE0923FE}"/>
    <cellStyle name="常规 13 5 8 2 5" xfId="14675" xr:uid="{6EB521D8-A2C7-4F84-A332-40021C9E3B72}"/>
    <cellStyle name="常规 13 5 8 2 6" xfId="14676" xr:uid="{F7026F0C-7DCA-4F07-82AB-8EF902ED2982}"/>
    <cellStyle name="常规 13 5 8 3" xfId="14677" xr:uid="{EA7C0A7F-7A4D-48A3-9AC4-9720358A3F36}"/>
    <cellStyle name="常规 13 5 8 4" xfId="14678" xr:uid="{C81EF7D7-2BC5-48C9-917F-3F77BFADFD91}"/>
    <cellStyle name="常规 13 5 8 5" xfId="14679" xr:uid="{64EC6796-B064-44A3-9501-AFD9B9BC35B2}"/>
    <cellStyle name="常规 13 5 8 6" xfId="14680" xr:uid="{1857AF7B-BF9A-4C59-B044-524896E23600}"/>
    <cellStyle name="常规 13 5 8 7" xfId="14681" xr:uid="{3424CA9B-D000-4FF3-9F66-88B339EA152A}"/>
    <cellStyle name="常规 13 5 9" xfId="14682" xr:uid="{5EC3F131-7E11-4EDA-98BB-0744DC0CC2E7}"/>
    <cellStyle name="常规 13 6" xfId="14683" xr:uid="{856C612D-1794-430F-A2A8-6F8FE2DB129B}"/>
    <cellStyle name="常规 13 6 10" xfId="14684" xr:uid="{8858015A-21B7-495D-B213-B3C5CF1C5DB2}"/>
    <cellStyle name="常规 13 6 11" xfId="14685" xr:uid="{7A75BACA-295F-4940-808A-336A1A7285AC}"/>
    <cellStyle name="常规 13 6 12" xfId="14686" xr:uid="{2FBA6C97-8D5E-4CF2-AD34-3240E37C3717}"/>
    <cellStyle name="常规 13 6 13" xfId="14687" xr:uid="{EC5768B3-B01D-4970-A911-AE5AB565A9F7}"/>
    <cellStyle name="常规 13 6 14" xfId="14688" xr:uid="{F79419B4-6539-44AA-A5A7-8DECDA0A156B}"/>
    <cellStyle name="常规 13 6 2" xfId="14689" xr:uid="{4BAAF866-9AE3-4F1A-ADC4-6EA66CE92BC4}"/>
    <cellStyle name="常规 13 6 2 2" xfId="14690" xr:uid="{5FA1352A-6E9D-4287-8F97-9BB06982E609}"/>
    <cellStyle name="常规 13 6 2 2 2" xfId="14691" xr:uid="{2045FDA6-6122-48D5-9F05-87990859CC45}"/>
    <cellStyle name="常规 13 6 2 2 3" xfId="14692" xr:uid="{8B8199AA-8622-4AA5-B721-B92CDFD3832C}"/>
    <cellStyle name="常规 13 6 2 2 4" xfId="14693" xr:uid="{93C10F96-857A-45B4-B03B-DF665AAAF0DF}"/>
    <cellStyle name="常规 13 6 2 2 5" xfId="14694" xr:uid="{8F955BEC-1F1F-4CDD-84EC-6165CA705197}"/>
    <cellStyle name="常规 13 6 2 2 6" xfId="14695" xr:uid="{43D14CCF-92C8-4237-95AE-6E13CF0C6F6A}"/>
    <cellStyle name="常规 13 6 2 3" xfId="14696" xr:uid="{464A8A41-C70D-4D4D-A424-C292A5E1CAB9}"/>
    <cellStyle name="常规 13 6 2 4" xfId="14697" xr:uid="{4C64F352-9B60-4EC1-9253-6D975A9BB835}"/>
    <cellStyle name="常规 13 6 2 5" xfId="14698" xr:uid="{B9E45455-2E3A-47F6-BA63-A1FDB8DD21D1}"/>
    <cellStyle name="常规 13 6 2 6" xfId="14699" xr:uid="{D3C68107-9002-412A-B413-9812530F4CA0}"/>
    <cellStyle name="常规 13 6 2 7" xfId="14700" xr:uid="{D0D968B0-D199-4CC3-9C56-4B34A3D4553B}"/>
    <cellStyle name="常规 13 6 2 8" xfId="14701" xr:uid="{B621D8C0-F319-42FB-ACD9-B299E82D2435}"/>
    <cellStyle name="常规 13 6 2 9" xfId="14702" xr:uid="{72A0E1B5-F148-4D9A-931B-DD5AB1B43EBF}"/>
    <cellStyle name="常规 13 6 3" xfId="14703" xr:uid="{5C1C8E81-C2B9-4697-840E-231D72F13257}"/>
    <cellStyle name="常规 13 6 3 2" xfId="14704" xr:uid="{14D215B5-3DF2-4D44-BFFC-320D415B591C}"/>
    <cellStyle name="常规 13 6 3 2 2" xfId="14705" xr:uid="{D33A4A0D-8682-4E82-A031-38FC4A544098}"/>
    <cellStyle name="常规 13 6 3 2 3" xfId="14706" xr:uid="{F3F0FD02-2F64-4639-A012-5E151ACAFFA9}"/>
    <cellStyle name="常规 13 6 3 2 4" xfId="14707" xr:uid="{FE32C25E-7FE2-4ACF-B902-2FFA3AA8A620}"/>
    <cellStyle name="常规 13 6 3 2 5" xfId="14708" xr:uid="{B921EE6C-9961-4683-8B3C-6E35D0F92A38}"/>
    <cellStyle name="常规 13 6 3 2 6" xfId="14709" xr:uid="{52FA2060-69DD-4433-B063-02121CA50D8F}"/>
    <cellStyle name="常规 13 6 3 3" xfId="14710" xr:uid="{366862C9-D80E-46C3-820A-DAD464D39D93}"/>
    <cellStyle name="常规 13 6 3 4" xfId="14711" xr:uid="{4EBDE7D8-EA82-4E9F-A346-2A0219663163}"/>
    <cellStyle name="常规 13 6 3 5" xfId="14712" xr:uid="{42A1FC62-31C7-41E7-B9DD-CFE90939BB72}"/>
    <cellStyle name="常规 13 6 3 6" xfId="14713" xr:uid="{8F570A17-9D23-4986-AFD9-A912CF62C4F9}"/>
    <cellStyle name="常规 13 6 3 7" xfId="14714" xr:uid="{FF028E86-383B-4C42-90FD-D420A1F11EB2}"/>
    <cellStyle name="常规 13 6 3 8" xfId="14715" xr:uid="{083ACD74-2DEE-4FAB-BD8B-BBE7BF346D20}"/>
    <cellStyle name="常规 13 6 4" xfId="14716" xr:uid="{64FE4A44-D748-49F2-97DC-B91454D05B1E}"/>
    <cellStyle name="常规 13 6 4 2" xfId="14717" xr:uid="{75189458-2171-47C9-A4A9-BF165FAD9067}"/>
    <cellStyle name="常规 13 6 4 2 2" xfId="14718" xr:uid="{2D98E265-C176-477A-93E4-A5E6F17A8717}"/>
    <cellStyle name="常规 13 6 4 2 3" xfId="14719" xr:uid="{903C3DDB-24DE-4A4C-BE33-E94AEB8BE636}"/>
    <cellStyle name="常规 13 6 4 2 4" xfId="14720" xr:uid="{6FB4265F-A4E9-4745-9754-DE6AC5B34822}"/>
    <cellStyle name="常规 13 6 4 2 5" xfId="14721" xr:uid="{766E5CD0-9E8D-4056-B6DA-7650D499945B}"/>
    <cellStyle name="常规 13 6 4 2 6" xfId="14722" xr:uid="{AAA77328-A788-459D-BF2E-62D0D30E5C55}"/>
    <cellStyle name="常规 13 6 4 3" xfId="14723" xr:uid="{094F4B3C-2B98-4D06-8FFB-DDD22DEABD65}"/>
    <cellStyle name="常规 13 6 4 4" xfId="14724" xr:uid="{929E1818-D757-4BC9-A149-DCEB8B09752F}"/>
    <cellStyle name="常规 13 6 4 5" xfId="14725" xr:uid="{DC3C59EC-6786-4822-B650-0093D07C718E}"/>
    <cellStyle name="常规 13 6 4 6" xfId="14726" xr:uid="{EFF2E3B6-CFA5-4DE4-9784-E6618A33EC44}"/>
    <cellStyle name="常规 13 6 4 7" xfId="14727" xr:uid="{CAA36579-2992-4E63-9513-32E65928C5DD}"/>
    <cellStyle name="常规 13 6 4 8" xfId="14728" xr:uid="{ACDFC907-9867-4FA7-B09E-01D60D6A8DBF}"/>
    <cellStyle name="常规 13 6 4 9" xfId="33824" xr:uid="{07CA97CF-58CF-429B-865E-B0BC5E41F8A0}"/>
    <cellStyle name="常规 13 6 5" xfId="14729" xr:uid="{B43E7523-8864-4430-AC13-9A1EC07A615B}"/>
    <cellStyle name="常规 13 6 5 2" xfId="14730" xr:uid="{C55AB9B1-BED5-4230-9C6D-4DFB91085631}"/>
    <cellStyle name="常规 13 6 5 2 2" xfId="14731" xr:uid="{B4E416BF-E95F-48D8-9847-863BB0F7B04C}"/>
    <cellStyle name="常规 13 6 5 2 3" xfId="14732" xr:uid="{8BD2CB9D-4E75-4C69-8EDE-4A8DE3C9E260}"/>
    <cellStyle name="常规 13 6 5 2 4" xfId="14733" xr:uid="{676296E3-0459-40C5-B6CD-1858F926A96E}"/>
    <cellStyle name="常规 13 6 5 2 5" xfId="14734" xr:uid="{55E721FA-D122-4903-990A-1290850E7DE7}"/>
    <cellStyle name="常规 13 6 5 2 6" xfId="14735" xr:uid="{6BD482FE-DA35-4E6B-9FF6-E3A263528F9E}"/>
    <cellStyle name="常规 13 6 5 3" xfId="14736" xr:uid="{05B1F7D1-087E-49F7-8FC3-7C7CE49130E1}"/>
    <cellStyle name="常规 13 6 5 4" xfId="14737" xr:uid="{D50949BF-9DC3-4CFF-91CD-D51DF7C7ECC8}"/>
    <cellStyle name="常规 13 6 5 5" xfId="14738" xr:uid="{A18C7CAE-8AB9-45F7-9BBF-B2EC4968A1F0}"/>
    <cellStyle name="常规 13 6 5 6" xfId="14739" xr:uid="{2880C492-844B-4B03-AC4A-65AE8D38EA13}"/>
    <cellStyle name="常规 13 6 5 7" xfId="14740" xr:uid="{A3B00CD4-9FA4-4AA1-8F7D-8657C1774C7F}"/>
    <cellStyle name="常规 13 6 6" xfId="14741" xr:uid="{72B60C46-C850-4D78-88F5-8007BEF16723}"/>
    <cellStyle name="常规 13 6 6 2" xfId="14742" xr:uid="{00D50E84-5B92-414B-B83C-CFE01C530733}"/>
    <cellStyle name="常规 13 6 6 2 2" xfId="14743" xr:uid="{35AECCC2-B92A-4E6B-BCDB-6287A4945858}"/>
    <cellStyle name="常规 13 6 6 2 3" xfId="14744" xr:uid="{99632334-6AE8-4A16-AE36-321BE0ACE71F}"/>
    <cellStyle name="常规 13 6 6 2 4" xfId="14745" xr:uid="{90D6C59B-93CF-4B93-9BFF-20DB886485AC}"/>
    <cellStyle name="常规 13 6 6 2 5" xfId="14746" xr:uid="{6ED93577-3CC5-4E0B-A745-82CB0371FCDA}"/>
    <cellStyle name="常规 13 6 6 2 6" xfId="14747" xr:uid="{4C59664B-592F-408E-8FE4-B28AC4168F70}"/>
    <cellStyle name="常规 13 6 6 3" xfId="14748" xr:uid="{C899F1DD-DB08-41AA-8127-1D2223D0AA73}"/>
    <cellStyle name="常规 13 6 6 4" xfId="14749" xr:uid="{76AD445D-AD3F-4509-8ED2-D589FA2B6406}"/>
    <cellStyle name="常规 13 6 6 5" xfId="14750" xr:uid="{465FC263-19DB-4A50-B9D4-0790CF7B5737}"/>
    <cellStyle name="常规 13 6 6 6" xfId="14751" xr:uid="{9E18D1EE-51F8-4CA1-8C50-4A1DF1CC6AC5}"/>
    <cellStyle name="常规 13 6 6 7" xfId="14752" xr:uid="{A28E7EA1-C6CE-48BB-9F55-437F0AC11135}"/>
    <cellStyle name="常规 13 6 7" xfId="14753" xr:uid="{862D9C19-3BC6-4050-B494-23C6D5D2695A}"/>
    <cellStyle name="常规 13 6 7 2" xfId="14754" xr:uid="{15C9C1B1-8EC2-478F-8CCA-B08146A517A1}"/>
    <cellStyle name="常规 13 6 7 2 2" xfId="14755" xr:uid="{FCC35823-4399-4CB1-B145-3EA20F7B9BAD}"/>
    <cellStyle name="常规 13 6 7 2 3" xfId="14756" xr:uid="{F56EDC03-DD1C-422D-96E0-E5FA241C2DF3}"/>
    <cellStyle name="常规 13 6 7 2 4" xfId="14757" xr:uid="{CA776513-8E4E-4C9A-BB06-B52EFAF35350}"/>
    <cellStyle name="常规 13 6 7 2 5" xfId="14758" xr:uid="{F3A2AB9B-BCA5-46AB-9B00-D5EBBAB192E1}"/>
    <cellStyle name="常规 13 6 7 2 6" xfId="14759" xr:uid="{CD4890BF-07ED-473D-9CFA-92944256B6BE}"/>
    <cellStyle name="常规 13 6 7 3" xfId="14760" xr:uid="{59EA367B-0217-4475-AD88-D6007DBD36F0}"/>
    <cellStyle name="常规 13 6 7 4" xfId="14761" xr:uid="{2D34FCBC-704D-407F-8D3C-DB94A4C3C6F2}"/>
    <cellStyle name="常规 13 6 7 5" xfId="14762" xr:uid="{D7B12B47-4566-4C01-8081-EA8CEBAA084D}"/>
    <cellStyle name="常规 13 6 7 6" xfId="14763" xr:uid="{C3D54821-F3A2-4CAE-A474-1913BC51D1B8}"/>
    <cellStyle name="常规 13 6 7 7" xfId="14764" xr:uid="{6967896A-11FA-43DA-A516-A68DC9EA589D}"/>
    <cellStyle name="常规 13 6 8" xfId="14765" xr:uid="{60D70169-5B54-46DC-BA3E-FD1E1A7A1A48}"/>
    <cellStyle name="常规 13 6 8 2" xfId="14766" xr:uid="{1EE10B1E-4E50-44AE-98AE-2A89FFFA1068}"/>
    <cellStyle name="常规 13 6 8 3" xfId="14767" xr:uid="{CD39DEB1-1E5D-4F9A-805B-A3773E808F09}"/>
    <cellStyle name="常规 13 6 8 4" xfId="14768" xr:uid="{443CBB38-F373-4240-BDF2-6A168DD2FC1D}"/>
    <cellStyle name="常规 13 6 8 5" xfId="14769" xr:uid="{7CC90400-F42C-42B2-BC1F-456954E65A5B}"/>
    <cellStyle name="常规 13 6 8 6" xfId="14770" xr:uid="{27B0F998-646C-40DD-9C97-28793A82229C}"/>
    <cellStyle name="常规 13 6 9" xfId="14771" xr:uid="{2A8508CA-B6E9-4185-BE9C-8227D2F54D25}"/>
    <cellStyle name="常规 13 7" xfId="14772" xr:uid="{B62730C0-50DA-4F01-A6E6-C75EC4B34176}"/>
    <cellStyle name="常规 13 7 10" xfId="14773" xr:uid="{86E7EA7C-6020-4B13-8C1A-372513D0EA01}"/>
    <cellStyle name="常规 13 7 11" xfId="14774" xr:uid="{8EB48690-6C7F-445B-AB0F-01280DBCD297}"/>
    <cellStyle name="常规 13 7 12" xfId="14775" xr:uid="{04B437F7-551F-4F12-874F-14E18FDA6B7B}"/>
    <cellStyle name="常规 13 7 13" xfId="14776" xr:uid="{9B00AA1A-47CE-45C9-B2F4-7B89BDDDD7A9}"/>
    <cellStyle name="常规 13 7 14" xfId="14777" xr:uid="{A14874B3-C914-43D6-9A99-B7F03BA02793}"/>
    <cellStyle name="常规 13 7 2" xfId="14778" xr:uid="{66D2D4CE-2881-4788-9D3E-72030994D436}"/>
    <cellStyle name="常规 13 7 2 2" xfId="14779" xr:uid="{33D73045-44FE-4E35-9D41-FA882094E691}"/>
    <cellStyle name="常规 13 7 2 2 2" xfId="14780" xr:uid="{5FF00AAC-F94A-4DD5-8D43-DC1A754D3FF9}"/>
    <cellStyle name="常规 13 7 2 2 3" xfId="14781" xr:uid="{C0AE5834-6165-4CB9-8773-B6377008A7CD}"/>
    <cellStyle name="常规 13 7 2 2 4" xfId="14782" xr:uid="{F43F003A-3C32-4311-8EB8-461E706B94F5}"/>
    <cellStyle name="常规 13 7 2 2 5" xfId="14783" xr:uid="{CD448798-B164-42C6-8218-06562DA52715}"/>
    <cellStyle name="常规 13 7 2 2 6" xfId="14784" xr:uid="{FEE7FC64-36CC-4083-84C5-1F28F5E171AE}"/>
    <cellStyle name="常规 13 7 2 3" xfId="14785" xr:uid="{CA87E57F-E0EC-4502-8D42-C8D0723DF86E}"/>
    <cellStyle name="常规 13 7 2 4" xfId="14786" xr:uid="{EADB2EF1-1DBE-4C9C-A391-87F526A168BE}"/>
    <cellStyle name="常规 13 7 2 5" xfId="14787" xr:uid="{04FB0961-98C2-4394-84BE-38379EBD5755}"/>
    <cellStyle name="常规 13 7 2 6" xfId="14788" xr:uid="{A5BE3670-BB01-4176-B44E-CE45D8A25284}"/>
    <cellStyle name="常规 13 7 2 7" xfId="14789" xr:uid="{0857EB80-F4DF-4453-A21A-E0C873EB136A}"/>
    <cellStyle name="常规 13 7 3" xfId="14790" xr:uid="{4658CDA6-BC91-4C6F-BE67-718E05FD1CD6}"/>
    <cellStyle name="常规 13 7 3 2" xfId="14791" xr:uid="{661725E7-924E-4D66-9026-79FECAC8A1B6}"/>
    <cellStyle name="常规 13 7 3 2 2" xfId="14792" xr:uid="{DCADE423-0CE0-4472-98D8-B483AE0617BE}"/>
    <cellStyle name="常规 13 7 3 2 3" xfId="14793" xr:uid="{F84717E4-00BD-406D-AAC2-A21B2147A068}"/>
    <cellStyle name="常规 13 7 3 2 4" xfId="14794" xr:uid="{FBE6FBD3-EC77-4451-87C3-888B7D8B36E3}"/>
    <cellStyle name="常规 13 7 3 2 5" xfId="14795" xr:uid="{DC406A05-7422-4D80-B5E2-6EF7316AC9B6}"/>
    <cellStyle name="常规 13 7 3 2 6" xfId="14796" xr:uid="{94F8B3A8-8A15-4B80-93C2-1D5F7B7D931D}"/>
    <cellStyle name="常规 13 7 3 3" xfId="14797" xr:uid="{5D3E1A7B-CD06-4303-BA88-32CDA2C0C192}"/>
    <cellStyle name="常规 13 7 3 4" xfId="14798" xr:uid="{45AC19EF-01CC-465F-89FA-2FA9CDB19E3E}"/>
    <cellStyle name="常规 13 7 3 5" xfId="14799" xr:uid="{224B8516-F49F-4502-AA24-8247DE8E517F}"/>
    <cellStyle name="常规 13 7 3 6" xfId="14800" xr:uid="{E0C8A764-F14F-4F9B-8F50-D3D037225E19}"/>
    <cellStyle name="常规 13 7 3 7" xfId="14801" xr:uid="{151A8B53-A2C2-463D-A0EF-7CAF40F1E0B6}"/>
    <cellStyle name="常规 13 7 4" xfId="14802" xr:uid="{F8918B3C-AFBC-43AF-8427-4B67A248D670}"/>
    <cellStyle name="常规 13 7 4 2" xfId="14803" xr:uid="{5B0F3E3E-2FAE-48A9-84BA-E7AEA955D000}"/>
    <cellStyle name="常规 13 7 4 2 2" xfId="14804" xr:uid="{E71B93DA-9A15-4584-8240-F97E3C2313E6}"/>
    <cellStyle name="常规 13 7 4 2 3" xfId="14805" xr:uid="{CD1FAA8B-288C-4EC6-94CD-C9A65CD050FF}"/>
    <cellStyle name="常规 13 7 4 2 4" xfId="14806" xr:uid="{A8767318-7DB9-4310-921E-25B1F72F7DD3}"/>
    <cellStyle name="常规 13 7 4 2 5" xfId="14807" xr:uid="{0C854EAC-2CB9-4ABA-B360-8E08461F368D}"/>
    <cellStyle name="常规 13 7 4 2 6" xfId="14808" xr:uid="{A4CCD072-16C1-4B00-954E-DB9641B2C08E}"/>
    <cellStyle name="常规 13 7 4 3" xfId="14809" xr:uid="{DB6C4ACB-AC50-4BE0-B2CE-4D2D006ACF3A}"/>
    <cellStyle name="常规 13 7 4 4" xfId="14810" xr:uid="{06BBA2F7-7D09-4757-84C9-B6B8D67A3071}"/>
    <cellStyle name="常规 13 7 4 5" xfId="14811" xr:uid="{7007C7BA-606A-41D7-8FA7-C0958DB497C8}"/>
    <cellStyle name="常规 13 7 4 6" xfId="14812" xr:uid="{B4AC5130-9B72-4A35-B4B2-58909712BEA0}"/>
    <cellStyle name="常规 13 7 4 7" xfId="14813" xr:uid="{86E975EF-505A-403C-B9DE-4F63721F6A65}"/>
    <cellStyle name="常规 13 7 5" xfId="14814" xr:uid="{66819DDA-EF38-46BE-A430-38DB176977D4}"/>
    <cellStyle name="常规 13 7 5 2" xfId="14815" xr:uid="{DFC7F94C-BA96-4CE1-88E5-94A772C07A50}"/>
    <cellStyle name="常规 13 7 5 2 2" xfId="14816" xr:uid="{005B090A-C535-40C2-A414-27AAD3D3BE25}"/>
    <cellStyle name="常规 13 7 5 2 3" xfId="14817" xr:uid="{A6F7B370-7F07-4905-8878-FFF6BE0FF2E9}"/>
    <cellStyle name="常规 13 7 5 2 4" xfId="14818" xr:uid="{A34C9B00-B62D-4181-8063-A008212C95E9}"/>
    <cellStyle name="常规 13 7 5 2 5" xfId="14819" xr:uid="{B1883BA0-370E-4EBA-A03F-9D1C43329406}"/>
    <cellStyle name="常规 13 7 5 2 6" xfId="14820" xr:uid="{35B9053F-FB41-4CF5-B81C-960650148DBE}"/>
    <cellStyle name="常规 13 7 5 3" xfId="14821" xr:uid="{416B5018-5745-4775-A98A-F782A4A73067}"/>
    <cellStyle name="常规 13 7 5 4" xfId="14822" xr:uid="{716CA37E-7537-450B-9392-FAD01A992351}"/>
    <cellStyle name="常规 13 7 5 5" xfId="14823" xr:uid="{1FDC4FCF-BA9B-42BC-9362-108D676068AE}"/>
    <cellStyle name="常规 13 7 5 6" xfId="14824" xr:uid="{76E6ACA8-4407-4D86-95C0-DED40EBC34BF}"/>
    <cellStyle name="常规 13 7 5 7" xfId="14825" xr:uid="{CE9D2BBA-F350-42F3-ABAB-4EC57F23BE27}"/>
    <cellStyle name="常规 13 7 6" xfId="14826" xr:uid="{D9506286-264B-46D2-A80A-926CA8DA0CF6}"/>
    <cellStyle name="常规 13 7 6 2" xfId="14827" xr:uid="{81066B4A-C12F-4E8C-A5FE-5B8BDBAE8A0C}"/>
    <cellStyle name="常规 13 7 6 2 2" xfId="14828" xr:uid="{B4F43FEA-836A-434E-9494-A2B1048AD951}"/>
    <cellStyle name="常规 13 7 6 2 3" xfId="14829" xr:uid="{20661899-E7C8-4605-B273-3068A6EA0D5A}"/>
    <cellStyle name="常规 13 7 6 2 4" xfId="14830" xr:uid="{F13F495F-B7A6-4B54-B32E-40CA3E5DDA36}"/>
    <cellStyle name="常规 13 7 6 2 5" xfId="14831" xr:uid="{E40D3EF2-D42F-49AC-B2AB-45BA262E129F}"/>
    <cellStyle name="常规 13 7 6 2 6" xfId="14832" xr:uid="{EF9E150E-8214-4DFF-AD8E-136689F3BD3E}"/>
    <cellStyle name="常规 13 7 6 3" xfId="14833" xr:uid="{78B5C849-28F8-4CBC-A155-154A660BAF8E}"/>
    <cellStyle name="常规 13 7 6 4" xfId="14834" xr:uid="{C6B344A5-862B-441B-A282-18195E43ACA4}"/>
    <cellStyle name="常规 13 7 6 5" xfId="14835" xr:uid="{873FAF11-47EE-404E-BF45-7DA9DA6FB15E}"/>
    <cellStyle name="常规 13 7 6 6" xfId="14836" xr:uid="{29481D5D-33CD-44C9-8168-05D03A6F7289}"/>
    <cellStyle name="常规 13 7 6 7" xfId="14837" xr:uid="{639C9673-8AFF-4F5E-A0CB-CE5470DEBD09}"/>
    <cellStyle name="常规 13 7 7" xfId="14838" xr:uid="{1835CA31-7AE1-4DDA-96B6-6CA85733540C}"/>
    <cellStyle name="常规 13 7 7 2" xfId="14839" xr:uid="{D8D839AC-F51C-4927-B9C6-6BAE2D89782A}"/>
    <cellStyle name="常规 13 7 7 3" xfId="14840" xr:uid="{C8AA231F-3027-4276-9D66-EC08A47C677A}"/>
    <cellStyle name="常规 13 7 7 4" xfId="14841" xr:uid="{46F87729-4D65-45EE-AD0A-17693FCCDB06}"/>
    <cellStyle name="常规 13 7 7 5" xfId="14842" xr:uid="{7F56FE56-B792-4ECE-A20B-D25010597B99}"/>
    <cellStyle name="常规 13 7 7 6" xfId="14843" xr:uid="{ED13B603-AC7C-450D-A1E0-128FB979F40C}"/>
    <cellStyle name="常规 13 7 8" xfId="14844" xr:uid="{E34AAD23-403B-42E6-86F3-405DF1236309}"/>
    <cellStyle name="常规 13 7 9" xfId="14845" xr:uid="{7E6D05B8-0A6D-48CC-9E9A-6B42033910A7}"/>
    <cellStyle name="常规 13 8" xfId="14846" xr:uid="{4A2650E5-4820-4C39-ADD6-81CABC258ECE}"/>
    <cellStyle name="常规 13 8 10" xfId="14847" xr:uid="{1FE7E9A1-C0BB-4B54-82A7-680CFE222E98}"/>
    <cellStyle name="常规 13 8 11" xfId="14848" xr:uid="{029FFF72-29B7-4FEE-8A38-0F4CB857A8BE}"/>
    <cellStyle name="常规 13 8 12" xfId="14849" xr:uid="{53755154-34D6-497F-9053-992FF7B30D4D}"/>
    <cellStyle name="常规 13 8 2" xfId="14850" xr:uid="{00125C51-7414-46F3-A912-3E18C1A6E302}"/>
    <cellStyle name="常规 13 8 2 2" xfId="14851" xr:uid="{6808046F-96FF-4A9D-A395-5A2AC089590D}"/>
    <cellStyle name="常规 13 8 2 2 2" xfId="14852" xr:uid="{451D4F02-46AF-409A-9085-FECBA92404D3}"/>
    <cellStyle name="常规 13 8 2 2 3" xfId="14853" xr:uid="{EF1727BA-863A-4D8A-A81C-16F23E8B0975}"/>
    <cellStyle name="常规 13 8 2 2 4" xfId="14854" xr:uid="{64A6A42B-12BA-4705-B146-CCDAA371637D}"/>
    <cellStyle name="常规 13 8 2 2 5" xfId="14855" xr:uid="{E24C6F2E-6C02-4F60-9E96-26A52A1ECBC3}"/>
    <cellStyle name="常规 13 8 2 2 6" xfId="14856" xr:uid="{75BDDBFC-AC37-4271-B404-CDABA7D8AAB8}"/>
    <cellStyle name="常规 13 8 2 3" xfId="14857" xr:uid="{51454D8F-598A-464D-87D0-0E30C613332A}"/>
    <cellStyle name="常规 13 8 2 4" xfId="14858" xr:uid="{FB87AF09-A08E-477B-A3FB-7CDD316D795B}"/>
    <cellStyle name="常规 13 8 2 5" xfId="14859" xr:uid="{3A6426BF-9CA2-4EFE-9DFB-91D3246FE1B7}"/>
    <cellStyle name="常规 13 8 2 6" xfId="14860" xr:uid="{257F1454-E6E6-4AE3-83EA-10D8BB470959}"/>
    <cellStyle name="常规 13 8 2 7" xfId="14861" xr:uid="{FDE70E0B-6FE7-4AD1-ABD5-778958A880AA}"/>
    <cellStyle name="常规 13 8 3" xfId="14862" xr:uid="{E074FEB1-E5E8-411D-AB67-AC48DAD06F26}"/>
    <cellStyle name="常规 13 8 3 2" xfId="14863" xr:uid="{564308F5-C70E-4FE2-910A-234280D17F64}"/>
    <cellStyle name="常规 13 8 3 2 2" xfId="14864" xr:uid="{67698258-4126-4B72-8F98-D59FC9A104B6}"/>
    <cellStyle name="常规 13 8 3 2 3" xfId="14865" xr:uid="{FD00981F-41A6-4505-9E7C-B795DC7ED22A}"/>
    <cellStyle name="常规 13 8 3 2 4" xfId="14866" xr:uid="{58B1AD59-C250-476A-BFAF-C5D151011C15}"/>
    <cellStyle name="常规 13 8 3 2 5" xfId="14867" xr:uid="{7801879D-7AD6-42D1-943C-7BCD38ADE10B}"/>
    <cellStyle name="常规 13 8 3 2 6" xfId="14868" xr:uid="{B7E70022-1629-438C-9CB4-14A4386050C9}"/>
    <cellStyle name="常规 13 8 3 3" xfId="14869" xr:uid="{0C125928-675B-4783-B7FF-8D820A75A7C4}"/>
    <cellStyle name="常规 13 8 3 4" xfId="14870" xr:uid="{1495A634-C807-4721-B8AB-11495804998E}"/>
    <cellStyle name="常规 13 8 3 5" xfId="14871" xr:uid="{443C78DD-6BFA-45ED-BB13-01A84C1D02D3}"/>
    <cellStyle name="常规 13 8 3 6" xfId="14872" xr:uid="{1A8DC6C2-D968-46D9-BCF3-3AAC422CBE09}"/>
    <cellStyle name="常规 13 8 3 7" xfId="14873" xr:uid="{9CF3C0C7-123D-4A00-8362-5734913C36EC}"/>
    <cellStyle name="常规 13 8 4" xfId="14874" xr:uid="{A609B864-27F0-4981-87D7-718F521E1917}"/>
    <cellStyle name="常规 13 8 4 2" xfId="14875" xr:uid="{A26E4E0C-1F60-425D-B200-DD612C1401E8}"/>
    <cellStyle name="常规 13 8 4 2 2" xfId="14876" xr:uid="{CB9BC187-EFF1-41A3-8F45-96958DD12F5F}"/>
    <cellStyle name="常规 13 8 4 2 3" xfId="14877" xr:uid="{86F2DAFD-9DEA-43B6-AB45-67C8420849E5}"/>
    <cellStyle name="常规 13 8 4 2 4" xfId="14878" xr:uid="{0BE74765-DD7B-4BF0-B2DA-4221E4D4B793}"/>
    <cellStyle name="常规 13 8 4 2 5" xfId="14879" xr:uid="{3E945AA7-5CB1-41D1-9F4D-073A9EDA39F9}"/>
    <cellStyle name="常规 13 8 4 2 6" xfId="14880" xr:uid="{26F13037-4B53-4CCB-980F-FBBBB6273090}"/>
    <cellStyle name="常规 13 8 4 3" xfId="14881" xr:uid="{C9CB5A95-489E-437C-9EFD-8674E4C3C007}"/>
    <cellStyle name="常规 13 8 4 4" xfId="14882" xr:uid="{C2D7A8C6-17B2-45C0-9F65-DEB11B32A232}"/>
    <cellStyle name="常规 13 8 4 5" xfId="14883" xr:uid="{7738E475-D3AF-4B59-963C-397771EE0172}"/>
    <cellStyle name="常规 13 8 4 6" xfId="14884" xr:uid="{796CF879-7F03-4565-8902-6C504BED979A}"/>
    <cellStyle name="常规 13 8 4 7" xfId="14885" xr:uid="{E16AD46C-2448-4313-80DB-68598A19F9AB}"/>
    <cellStyle name="常规 13 8 5" xfId="14886" xr:uid="{122F2F0B-7505-422B-B748-F3B8A5A12114}"/>
    <cellStyle name="常规 13 8 5 2" xfId="14887" xr:uid="{BBAF9E9C-6DFF-4F5E-8E23-4EED5A68890B}"/>
    <cellStyle name="常规 13 8 5 2 2" xfId="14888" xr:uid="{D5090B9E-C281-467D-8335-CECD51ECFFB6}"/>
    <cellStyle name="常规 13 8 5 2 3" xfId="14889" xr:uid="{737D8BAA-79DF-44FC-9FC4-FAEDCA2D7636}"/>
    <cellStyle name="常规 13 8 5 2 4" xfId="14890" xr:uid="{547ECD06-7F36-4C9F-8195-DB968D1A1228}"/>
    <cellStyle name="常规 13 8 5 2 5" xfId="14891" xr:uid="{50991415-AECB-4612-9CEE-50039821079E}"/>
    <cellStyle name="常规 13 8 5 2 6" xfId="14892" xr:uid="{6D4B3B94-D3DE-441A-82A0-597E4254A731}"/>
    <cellStyle name="常规 13 8 5 3" xfId="14893" xr:uid="{20EA3365-1FF3-40F5-BB7D-2F4CEE65CED4}"/>
    <cellStyle name="常规 13 8 5 4" xfId="14894" xr:uid="{9F3FCB3E-F0B0-45DA-84DF-330FBD31047D}"/>
    <cellStyle name="常规 13 8 5 5" xfId="14895" xr:uid="{161A8DBC-C500-46CB-B4E9-A17BD449DC34}"/>
    <cellStyle name="常规 13 8 5 6" xfId="14896" xr:uid="{8BC3D660-5964-4D3F-BE3A-73F0EC9221B8}"/>
    <cellStyle name="常规 13 8 5 7" xfId="14897" xr:uid="{54CE960E-70E3-4516-A64A-A6FCA667BBC2}"/>
    <cellStyle name="常规 13 8 6" xfId="14898" xr:uid="{8354C98A-2387-4418-908A-A2B5061CED71}"/>
    <cellStyle name="常规 13 8 6 2" xfId="14899" xr:uid="{7B9BC031-96FA-4A28-B4E1-5396B6CC70F7}"/>
    <cellStyle name="常规 13 8 6 3" xfId="14900" xr:uid="{024733EC-CDCB-4931-911E-DD70B06301A0}"/>
    <cellStyle name="常规 13 8 6 4" xfId="14901" xr:uid="{2DE97D64-0560-410B-8DF0-D8CF80567D0C}"/>
    <cellStyle name="常规 13 8 6 5" xfId="14902" xr:uid="{D61D21B4-39A1-4E97-A735-F0C624593DB9}"/>
    <cellStyle name="常规 13 8 6 6" xfId="14903" xr:uid="{337CB6E5-2889-48A3-888C-FDD20CCE47D6}"/>
    <cellStyle name="常规 13 8 7" xfId="14904" xr:uid="{2D3E0560-4D77-4370-904D-439426EB3CE7}"/>
    <cellStyle name="常规 13 8 8" xfId="14905" xr:uid="{CF9F6874-B03D-4356-A5D6-7219040791EF}"/>
    <cellStyle name="常规 13 8 9" xfId="14906" xr:uid="{B036DAFF-0614-476E-A861-1C33B01F5FCC}"/>
    <cellStyle name="常规 13 9" xfId="14907" xr:uid="{37646249-2068-491D-83E0-5A0F0FD78822}"/>
    <cellStyle name="常规 13 9 10" xfId="14908" xr:uid="{B92D5975-1CC3-4FA0-8921-149C997561B9}"/>
    <cellStyle name="常规 13 9 11" xfId="14909" xr:uid="{2DCCF7C7-3616-42F2-BD8E-AF93E3D6FDE9}"/>
    <cellStyle name="常规 13 9 12" xfId="33825" xr:uid="{2B062FB4-8A19-4D39-9175-8186EDC699B7}"/>
    <cellStyle name="常规 13 9 2" xfId="14910" xr:uid="{15BB0D96-BEB7-4745-991C-7195F7AD12D3}"/>
    <cellStyle name="常规 13 9 2 2" xfId="14911" xr:uid="{EDF785AA-3CFD-44C1-9D7B-92DF200CF067}"/>
    <cellStyle name="常规 13 9 2 2 2" xfId="14912" xr:uid="{59CFE08B-0629-4CAF-A74E-8634EF5FD88F}"/>
    <cellStyle name="常规 13 9 2 2 3" xfId="14913" xr:uid="{ADE3A8C3-4682-4A6F-AC3F-CA2A23CAB87D}"/>
    <cellStyle name="常规 13 9 2 2 4" xfId="14914" xr:uid="{CF75BC80-8982-442F-90CF-ACD12D99355B}"/>
    <cellStyle name="常规 13 9 2 2 5" xfId="14915" xr:uid="{B887FB56-5941-4D59-A710-5E5F4AF17F1F}"/>
    <cellStyle name="常规 13 9 2 2 6" xfId="14916" xr:uid="{D0962F71-E9AE-46FE-A856-D0475D2BD84A}"/>
    <cellStyle name="常规 13 9 2 3" xfId="14917" xr:uid="{54ED4B46-D472-4E39-B474-F9C534244FEF}"/>
    <cellStyle name="常规 13 9 2 4" xfId="14918" xr:uid="{80EB0E27-4845-4B3E-9A85-8F1EA8C3D237}"/>
    <cellStyle name="常规 13 9 2 5" xfId="14919" xr:uid="{397147A4-3A7A-4BB7-87B5-C5792499528C}"/>
    <cellStyle name="常规 13 9 2 6" xfId="14920" xr:uid="{546A4135-6829-437A-B0D6-6EFDA1421BBB}"/>
    <cellStyle name="常规 13 9 2 7" xfId="14921" xr:uid="{4D962712-FA4E-4524-A2BA-37D54FBB2191}"/>
    <cellStyle name="常规 13 9 3" xfId="14922" xr:uid="{01CD097D-9E19-4251-A08E-04A82DF3A9DE}"/>
    <cellStyle name="常规 13 9 3 2" xfId="14923" xr:uid="{A5738D77-E33D-4C0F-86D2-A5C3F868B9A6}"/>
    <cellStyle name="常规 13 9 3 2 2" xfId="14924" xr:uid="{30E621F6-6300-45EF-8F28-80FE049FDC05}"/>
    <cellStyle name="常规 13 9 3 2 3" xfId="14925" xr:uid="{5EA09172-34B4-44C8-874B-E0F260D2B575}"/>
    <cellStyle name="常规 13 9 3 2 4" xfId="14926" xr:uid="{8AAE10AE-AB37-427D-9936-0C3FD315E4CD}"/>
    <cellStyle name="常规 13 9 3 2 5" xfId="14927" xr:uid="{917A8D39-C83E-431C-AE4F-D81D769723F5}"/>
    <cellStyle name="常规 13 9 3 2 6" xfId="14928" xr:uid="{35582848-26C0-4ACA-919F-49042FB11E08}"/>
    <cellStyle name="常规 13 9 3 3" xfId="14929" xr:uid="{13850B7F-3EFE-4811-A86B-383E3B2FA130}"/>
    <cellStyle name="常规 13 9 3 4" xfId="14930" xr:uid="{4072B290-2808-4274-98DD-5C6914C5C8BB}"/>
    <cellStyle name="常规 13 9 3 5" xfId="14931" xr:uid="{9A2813E4-55CF-4C1B-A648-66D5BBC641F0}"/>
    <cellStyle name="常规 13 9 3 6" xfId="14932" xr:uid="{CE22720F-F522-437D-808B-BA72DE932C03}"/>
    <cellStyle name="常规 13 9 3 7" xfId="14933" xr:uid="{D548593A-925D-41EC-9F71-BE78F85CE54E}"/>
    <cellStyle name="常规 13 9 4" xfId="14934" xr:uid="{E867C765-8446-47DB-8FB4-73FAF6DE239C}"/>
    <cellStyle name="常规 13 9 4 2" xfId="14935" xr:uid="{0576DE11-A805-46CF-8462-B9EE84E193F8}"/>
    <cellStyle name="常规 13 9 4 2 2" xfId="14936" xr:uid="{7A678B29-7429-4627-848C-2F23EE496E06}"/>
    <cellStyle name="常规 13 9 4 2 3" xfId="14937" xr:uid="{43B4CEE8-D46D-4102-9D29-0C1C960682E6}"/>
    <cellStyle name="常规 13 9 4 2 4" xfId="14938" xr:uid="{E36E0D3F-F839-4B09-9751-42580B9EE83E}"/>
    <cellStyle name="常规 13 9 4 2 5" xfId="14939" xr:uid="{03BE00BC-3236-4B80-AFE2-BE2A54EA0F30}"/>
    <cellStyle name="常规 13 9 4 2 6" xfId="14940" xr:uid="{B62C03DC-48D7-41FC-A348-3A63A4977686}"/>
    <cellStyle name="常规 13 9 4 3" xfId="14941" xr:uid="{F3F1CB3A-CA4A-42F9-8042-3ED022246494}"/>
    <cellStyle name="常规 13 9 4 4" xfId="14942" xr:uid="{745343DA-8FE8-466B-A667-6578AE561571}"/>
    <cellStyle name="常规 13 9 4 5" xfId="14943" xr:uid="{AA16BEE4-66A3-4F57-9C90-2D1A881808D6}"/>
    <cellStyle name="常规 13 9 4 6" xfId="14944" xr:uid="{9E4D1556-CF50-4472-85FF-7C56F2072AB1}"/>
    <cellStyle name="常规 13 9 4 7" xfId="14945" xr:uid="{F5E9E5D7-2DE1-4695-B6A2-0F37D721A3CC}"/>
    <cellStyle name="常规 13 9 5" xfId="14946" xr:uid="{CBBC816D-FBC4-4AB4-B243-6A99463700E1}"/>
    <cellStyle name="常规 13 9 5 2" xfId="14947" xr:uid="{450EB2FC-7495-43C0-9B17-7BC445B33CA6}"/>
    <cellStyle name="常规 13 9 5 3" xfId="14948" xr:uid="{1B966DD2-85BC-4A0B-8346-2A3AF5D30AE7}"/>
    <cellStyle name="常规 13 9 5 4" xfId="14949" xr:uid="{F554D3F6-7341-4385-A952-7D1523D8D289}"/>
    <cellStyle name="常规 13 9 5 5" xfId="14950" xr:uid="{BB7E5962-CD96-4540-ACD1-E5FFBD6D2711}"/>
    <cellStyle name="常规 13 9 5 6" xfId="14951" xr:uid="{E5D48AA8-D108-4E10-B0EF-799C913276AE}"/>
    <cellStyle name="常规 13 9 6" xfId="14952" xr:uid="{A823C819-19E5-49F5-9A77-FE28AFAAC154}"/>
    <cellStyle name="常规 13 9 7" xfId="14953" xr:uid="{6FF3CBF6-37B4-477F-8A54-4BA22BB736DE}"/>
    <cellStyle name="常规 13 9 8" xfId="14954" xr:uid="{99E4187B-AE04-45F1-AB6D-0C318073F9F6}"/>
    <cellStyle name="常规 13 9 9" xfId="14955" xr:uid="{B7920278-C182-4936-A10D-4FDC019B88E4}"/>
    <cellStyle name="常规 14" xfId="14956" xr:uid="{7506E920-FA33-4E66-A51B-4CFBBA293D35}"/>
    <cellStyle name="常规 14 10" xfId="14957" xr:uid="{B9CD8EB3-31EA-4AF6-94E0-27B2BB151A83}"/>
    <cellStyle name="常规 14 10 2" xfId="14958" xr:uid="{B666DB7C-3562-4B46-9F98-69AC5EE8A35B}"/>
    <cellStyle name="常规 14 10 3" xfId="14959" xr:uid="{4465797E-58ED-4AD1-AD7C-F989F76E89F0}"/>
    <cellStyle name="常规 14 10 4" xfId="14960" xr:uid="{DB255EB7-5798-4D98-8A9A-BB025C400019}"/>
    <cellStyle name="常规 14 10 5" xfId="14961" xr:uid="{C8C465E9-929C-4EF3-B6E9-741CE5F4832B}"/>
    <cellStyle name="常规 14 10 6" xfId="14962" xr:uid="{A6683F88-80F1-4E31-8AC6-D997680DD4BF}"/>
    <cellStyle name="常规 14 10 7" xfId="14963" xr:uid="{70DE166E-E368-4FE7-A543-E52D25A162AF}"/>
    <cellStyle name="常规 14 10 8" xfId="33826" xr:uid="{CBC48700-5303-4CCC-A736-D4EDB7BEABC1}"/>
    <cellStyle name="常规 14 11" xfId="14964" xr:uid="{5453C91F-AED7-4B5E-8131-F754FD607488}"/>
    <cellStyle name="常规 14 11 2" xfId="14965" xr:uid="{8740CDFA-C716-49CE-8FB9-8A155001EAA9}"/>
    <cellStyle name="常规 14 12" xfId="14966" xr:uid="{8DC12080-1C34-4D09-B7B5-A42FE58B92A6}"/>
    <cellStyle name="常规 14 13" xfId="14967" xr:uid="{84DDF154-3BEB-4C45-8900-D4CD3F0B0B46}"/>
    <cellStyle name="常规 14 14" xfId="14968" xr:uid="{A63DC314-E721-4FD9-8C52-A0EF1C3E5213}"/>
    <cellStyle name="常规 14 15" xfId="14969" xr:uid="{9836511E-AFC7-4CA2-9FBA-EDFC5880F99F}"/>
    <cellStyle name="常规 14 16" xfId="14970" xr:uid="{0929CA96-516B-4FEA-A942-D29FB4002AD2}"/>
    <cellStyle name="常规 14 2" xfId="14971" xr:uid="{0F8946B7-40D1-427F-A9D2-CCC008CF1B31}"/>
    <cellStyle name="常规 14 2 10" xfId="14972" xr:uid="{C8CA1B72-466D-4434-A4D3-41E5AF17A860}"/>
    <cellStyle name="常规 14 2 10 2" xfId="14973" xr:uid="{60757ACA-4A62-4318-89E2-0EB64CA34262}"/>
    <cellStyle name="常规 14 2 11" xfId="14974" xr:uid="{B8AF5A35-7DB3-467A-915E-883036BEC8FD}"/>
    <cellStyle name="常规 14 2 12" xfId="14975" xr:uid="{87EEDA97-0422-4291-90A1-DAE3D78CBF6F}"/>
    <cellStyle name="常规 14 2 13" xfId="14976" xr:uid="{B94D7974-0517-4409-9A5A-6B1F72148E3F}"/>
    <cellStyle name="常规 14 2 14" xfId="14977" xr:uid="{5E5E3846-5180-49E7-9725-4586AB5669CA}"/>
    <cellStyle name="常规 14 2 2" xfId="14978" xr:uid="{756C7750-0688-45A9-A4FB-0391FCA6BADE}"/>
    <cellStyle name="常规 14 2 2 10" xfId="14979" xr:uid="{7B3225AF-6B36-49C2-AED1-2BAF70FFEBF7}"/>
    <cellStyle name="常规 14 2 2 2" xfId="14980" xr:uid="{2F382C8F-CD00-4B41-B776-B120C4A54B7B}"/>
    <cellStyle name="常规 14 2 2 2 2" xfId="14981" xr:uid="{B0B219CE-6DAC-437D-8716-1A67890035F2}"/>
    <cellStyle name="常规 14 2 2 2 2 2" xfId="14982" xr:uid="{B2B6676A-9E44-4A24-B37E-D019EF4B4768}"/>
    <cellStyle name="常规 14 2 2 2 2 2 2" xfId="14983" xr:uid="{5AB61D8A-661C-463B-8996-EF8214A4AA81}"/>
    <cellStyle name="常规 14 2 2 2 2 2 3" xfId="14984" xr:uid="{349D656B-E3CA-45F6-BDC3-2C619BB20BDB}"/>
    <cellStyle name="常规 14 2 2 2 2 3" xfId="14985" xr:uid="{25F9E5A3-B1D8-491F-849A-06823E03DD36}"/>
    <cellStyle name="常规 14 2 2 2 2 3 2" xfId="14986" xr:uid="{BD29E788-7375-47E3-9035-208B82C6F7F1}"/>
    <cellStyle name="常规 14 2 2 2 2 4" xfId="14987" xr:uid="{D38B85ED-6033-4231-BA4A-07B48D76E99E}"/>
    <cellStyle name="常规 14 2 2 2 2 4 2" xfId="14988" xr:uid="{B19742D3-20BF-42E5-B34E-D3571720BABB}"/>
    <cellStyle name="常规 14 2 2 2 2 4 3" xfId="33827" xr:uid="{49FBE4FA-151F-4329-8A11-4DEA0838D902}"/>
    <cellStyle name="常规 14 2 2 2 2 5" xfId="14989" xr:uid="{5AE5D027-9747-4ADB-8CDF-8EAFEC32D926}"/>
    <cellStyle name="常规 14 2 2 2 2 6" xfId="14990" xr:uid="{A86BB62C-DB0D-4490-9943-61D6C3A25B51}"/>
    <cellStyle name="常规 14 2 2 2 2 7" xfId="14991" xr:uid="{0075089B-D1CB-4B68-9537-C4338E19D341}"/>
    <cellStyle name="常规 14 2 2 2 3" xfId="14992" xr:uid="{BFE3AB5A-E452-4347-B844-A87E2F6B6183}"/>
    <cellStyle name="常规 14 2 2 2 3 2" xfId="14993" xr:uid="{DFDC0AA6-E3FA-454B-95C1-76DD78062A80}"/>
    <cellStyle name="常规 14 2 2 2 3 3" xfId="14994" xr:uid="{AFCAD4FD-B72C-4ABA-B456-5EAF914708A8}"/>
    <cellStyle name="常规 14 2 2 2 4" xfId="14995" xr:uid="{424A75B1-FE09-41BA-9EDD-CE700C546DD8}"/>
    <cellStyle name="常规 14 2 2 2 4 2" xfId="14996" xr:uid="{75468224-CC00-4DD8-95DC-33FF359EB4C8}"/>
    <cellStyle name="常规 14 2 2 2 5" xfId="14997" xr:uid="{00ADFED9-EBC4-472D-B489-0DC7E64FAECA}"/>
    <cellStyle name="常规 14 2 2 2 5 2" xfId="14998" xr:uid="{8EEB41F2-33AD-4ACE-96F4-3ACFD5017BDB}"/>
    <cellStyle name="常规 14 2 2 2 5 3" xfId="33828" xr:uid="{E036E401-2F18-4958-B8C9-E91ECEDF2601}"/>
    <cellStyle name="常规 14 2 2 2 6" xfId="14999" xr:uid="{FB2EC4FA-9FDD-4011-BA3B-C23626C9C36B}"/>
    <cellStyle name="常规 14 2 2 2 7" xfId="15000" xr:uid="{010942FA-9727-4E7A-9E9B-C2242653C6DD}"/>
    <cellStyle name="常规 14 2 2 2 8" xfId="15001" xr:uid="{B5DC9896-76EF-41F3-A4D2-3663CB02BEA0}"/>
    <cellStyle name="常规 14 2 2 3" xfId="15002" xr:uid="{55E2E349-FBDC-4DF6-8E70-E95E86B2553E}"/>
    <cellStyle name="常规 14 2 2 3 2" xfId="15003" xr:uid="{FCE9434A-CE40-4914-855E-837B412C2C38}"/>
    <cellStyle name="常规 14 2 2 3 2 2" xfId="15004" xr:uid="{BEC50B7F-8795-4001-B42B-5A472641CC3F}"/>
    <cellStyle name="常规 14 2 2 3 2 3" xfId="15005" xr:uid="{A880293B-FB48-45A2-A92B-4C34CEA5C9EF}"/>
    <cellStyle name="常规 14 2 2 3 2 4" xfId="15006" xr:uid="{F2D4EE20-7964-42D5-A856-FFDAB070EC0E}"/>
    <cellStyle name="常规 14 2 2 3 2 5" xfId="15007" xr:uid="{DF9E6AA6-62D1-44E2-965B-7D72B8AE5970}"/>
    <cellStyle name="常规 14 2 2 3 2 6" xfId="15008" xr:uid="{9815EFD3-28C4-44B0-BAAC-BCFB4F681AA2}"/>
    <cellStyle name="常规 14 2 2 3 2 7" xfId="15009" xr:uid="{4FC63A5E-9E60-4F55-AFA9-FDCD4EA82E34}"/>
    <cellStyle name="常规 14 2 2 3 2 8" xfId="15010" xr:uid="{4CDCF5E9-1F89-458F-8DA3-40DAA97D1F5E}"/>
    <cellStyle name="常规 14 2 2 3 3" xfId="15011" xr:uid="{2B8D5466-DD46-4AE4-8F15-22522BA5DD7C}"/>
    <cellStyle name="常规 14 2 2 3 3 2" xfId="15012" xr:uid="{E4C2742D-828A-42A4-AE2C-CB8DC238A763}"/>
    <cellStyle name="常规 14 2 2 3 4" xfId="15013" xr:uid="{3C361B54-8274-4565-8B77-578FEE54C688}"/>
    <cellStyle name="常规 14 2 2 3 4 2" xfId="15014" xr:uid="{9BB5A0F8-1A92-468A-AEE7-4123870F0320}"/>
    <cellStyle name="常规 14 2 2 3 4 3" xfId="33829" xr:uid="{7192D041-A9D3-408C-8E57-59BF5E635D76}"/>
    <cellStyle name="常规 14 2 2 3 5" xfId="15015" xr:uid="{FAC8248D-18A0-441C-AFB7-B20E2069C259}"/>
    <cellStyle name="常规 14 2 2 3 6" xfId="15016" xr:uid="{EA850580-28BB-4D45-8D80-FF0233D020A2}"/>
    <cellStyle name="常规 14 2 2 3 7" xfId="15017" xr:uid="{648F56D0-FFC5-4132-86B3-3FFB58D797A7}"/>
    <cellStyle name="常规 14 2 2 3 8" xfId="15018" xr:uid="{B7CD4E4E-130E-4B3C-8C04-36F967EAAE63}"/>
    <cellStyle name="常规 14 2 2 4" xfId="15019" xr:uid="{D9898B4E-69B7-4F10-B8E6-BBFC6E8E9D65}"/>
    <cellStyle name="常规 14 2 2 4 2" xfId="15020" xr:uid="{84E9208F-FAC8-4799-AB14-B3965482F51E}"/>
    <cellStyle name="常规 14 2 2 4 3" xfId="15021" xr:uid="{399594B9-43CE-492E-B457-4713E950B51C}"/>
    <cellStyle name="常规 14 2 2 4 4" xfId="15022" xr:uid="{BE5A7C05-903D-4F39-B194-675628116722}"/>
    <cellStyle name="常规 14 2 2 4 5" xfId="15023" xr:uid="{5182E981-817A-4B9E-8796-C273F0639EF3}"/>
    <cellStyle name="常规 14 2 2 4 6" xfId="15024" xr:uid="{9B064D8F-1783-4FD7-8AFD-FB2D4B59627E}"/>
    <cellStyle name="常规 14 2 2 4 7" xfId="15025" xr:uid="{A25CA215-6E46-460F-936F-39DCED5364F6}"/>
    <cellStyle name="常规 14 2 2 4 8" xfId="15026" xr:uid="{24ECF9E5-228E-4368-928B-084556C94BFE}"/>
    <cellStyle name="常规 14 2 2 5" xfId="15027" xr:uid="{9272FBE7-DC62-4DFD-9CAA-E62DD94F7C47}"/>
    <cellStyle name="常规 14 2 2 5 2" xfId="15028" xr:uid="{5A545450-A777-4634-9F7E-CC7763CF4C36}"/>
    <cellStyle name="常规 14 2 2 6" xfId="15029" xr:uid="{6D5A9513-C07A-4765-ACE7-46FF1350E996}"/>
    <cellStyle name="常规 14 2 2 6 2" xfId="15030" xr:uid="{40514ED9-F84D-4146-91CB-E6F182CDE14F}"/>
    <cellStyle name="常规 14 2 2 6 3" xfId="33830" xr:uid="{2B434C31-2307-42A0-B87F-2945356630FD}"/>
    <cellStyle name="常规 14 2 2 7" xfId="15031" xr:uid="{C090D5FD-4BF6-4016-9A69-0FE3500AD935}"/>
    <cellStyle name="常规 14 2 2 7 2" xfId="15032" xr:uid="{0ECB0BD4-2F1A-4AF4-8D81-DA4E3D016C8A}"/>
    <cellStyle name="常规 14 2 2 8" xfId="15033" xr:uid="{1CD89D88-9632-4EEF-8DF3-667F9662636D}"/>
    <cellStyle name="常规 14 2 2 9" xfId="15034" xr:uid="{D44D713B-66A8-4011-8713-DA416FEA0E54}"/>
    <cellStyle name="常规 14 2 3" xfId="15035" xr:uid="{5D5FE4EB-BC7E-4B2B-878E-F1FE324B4050}"/>
    <cellStyle name="常规 14 2 3 2" xfId="15036" xr:uid="{C1AEADCF-4C7C-4657-AD43-0CF52115A03F}"/>
    <cellStyle name="常规 14 2 3 2 2" xfId="15037" xr:uid="{4B9B7523-BEDE-4D0B-BF8B-82D1A961E05F}"/>
    <cellStyle name="常规 14 2 3 2 2 2" xfId="15038" xr:uid="{4541B08C-2AE7-4180-A90D-05DD5F068DD0}"/>
    <cellStyle name="常规 14 2 3 2 2 2 2" xfId="15039" xr:uid="{1248C258-27D2-4A49-9C1C-A91548EE2F95}"/>
    <cellStyle name="常规 14 2 3 2 2 2 3" xfId="15040" xr:uid="{3F14122C-A3AD-46E8-8AC1-6663D9B4B27F}"/>
    <cellStyle name="常规 14 2 3 2 2 3" xfId="15041" xr:uid="{D49C06F4-EB64-4DDB-B265-1CD0E97BEB41}"/>
    <cellStyle name="常规 14 2 3 2 2 3 2" xfId="15042" xr:uid="{A5C4D0F0-B1B4-4E3E-9D9F-CCE1A811501F}"/>
    <cellStyle name="常规 14 2 3 2 2 4" xfId="15043" xr:uid="{4D4FD73C-A5A8-44A0-BCF0-98C9AE5A0DA5}"/>
    <cellStyle name="常规 14 2 3 2 2 4 2" xfId="15044" xr:uid="{B60FB1A1-B210-4E48-9ECE-C8657F4D42A4}"/>
    <cellStyle name="常规 14 2 3 2 2 4 3" xfId="33831" xr:uid="{3D6B8286-137B-4E88-B82A-62B60443B490}"/>
    <cellStyle name="常规 14 2 3 2 2 5" xfId="15045" xr:uid="{EB6CC9C4-DA7C-465F-9B39-847D40197148}"/>
    <cellStyle name="常规 14 2 3 2 2 6" xfId="15046" xr:uid="{8ACF60F1-9ADB-48B2-B9EE-A84A17175AF9}"/>
    <cellStyle name="常规 14 2 3 2 2 7" xfId="15047" xr:uid="{1805F953-8D9D-46C0-89E0-C798D80F7D88}"/>
    <cellStyle name="常规 14 2 3 2 3" xfId="15048" xr:uid="{49FAAF5B-E129-44A5-9C3E-6FF48DFE86E2}"/>
    <cellStyle name="常规 14 2 3 2 3 2" xfId="15049" xr:uid="{B084CB87-0872-4F96-968C-23AE6A539BE4}"/>
    <cellStyle name="常规 14 2 3 2 3 3" xfId="15050" xr:uid="{B3573379-C770-4976-A6A3-0E4A4C0C4670}"/>
    <cellStyle name="常规 14 2 3 2 4" xfId="15051" xr:uid="{830A661F-E47B-4B07-8CC9-6239E9F066B4}"/>
    <cellStyle name="常规 14 2 3 2 4 2" xfId="15052" xr:uid="{DCA46211-94C2-4F08-998D-A95FE388DD2D}"/>
    <cellStyle name="常规 14 2 3 2 5" xfId="15053" xr:uid="{81ACB520-36A7-4967-A04B-452FA7DD942E}"/>
    <cellStyle name="常规 14 2 3 2 5 2" xfId="15054" xr:uid="{40D6486E-DAD6-4FEF-B739-404273C47DA7}"/>
    <cellStyle name="常规 14 2 3 2 5 3" xfId="33832" xr:uid="{36F71F87-F632-4C9F-B834-81082918E04F}"/>
    <cellStyle name="常规 14 2 3 2 6" xfId="15055" xr:uid="{0C518089-9C63-47F4-9D6E-EFA49E4ACF43}"/>
    <cellStyle name="常规 14 2 3 2 7" xfId="15056" xr:uid="{EEB20A4A-5817-446B-9647-965D4329EE3F}"/>
    <cellStyle name="常规 14 2 3 2 8" xfId="15057" xr:uid="{F97AE6A7-71B1-4630-9C49-F3C57C214A13}"/>
    <cellStyle name="常规 14 2 3 3" xfId="15058" xr:uid="{9705FD46-9275-45B3-9743-774F3D5447C0}"/>
    <cellStyle name="常规 14 2 3 3 2" xfId="15059" xr:uid="{3DA4DF84-FF23-435B-A59C-21428BE0FA23}"/>
    <cellStyle name="常规 14 2 3 3 2 2" xfId="15060" xr:uid="{985B67D3-7603-461B-AE19-A07F0A0F168A}"/>
    <cellStyle name="常规 14 2 3 3 2 3" xfId="15061" xr:uid="{AA1FEE81-F064-48D5-8F0F-283D9AAF8BB9}"/>
    <cellStyle name="常规 14 2 3 3 3" xfId="15062" xr:uid="{E5629B05-C256-4FA5-B7A8-12BC9613F3E9}"/>
    <cellStyle name="常规 14 2 3 3 3 2" xfId="15063" xr:uid="{D5489C6A-05B7-4945-ADFB-0F539CB4B203}"/>
    <cellStyle name="常规 14 2 3 3 4" xfId="15064" xr:uid="{77AB93BC-EB6F-4F6E-9B3A-BACADA182501}"/>
    <cellStyle name="常规 14 2 3 3 4 2" xfId="15065" xr:uid="{AA63E653-C13A-4A30-96BF-EFED5C081140}"/>
    <cellStyle name="常规 14 2 3 3 4 3" xfId="33833" xr:uid="{99A711D6-E5F2-4335-8D1D-E24E446A5402}"/>
    <cellStyle name="常规 14 2 3 3 5" xfId="15066" xr:uid="{F6BD047F-470D-4301-9A76-296662805BE9}"/>
    <cellStyle name="常规 14 2 3 3 6" xfId="15067" xr:uid="{B9CB2C94-72F1-4F84-8117-034B12184C20}"/>
    <cellStyle name="常规 14 2 3 3 7" xfId="15068" xr:uid="{2AE9FC0A-6847-4C02-B2F5-ED471D6E2FB8}"/>
    <cellStyle name="常规 14 2 3 4" xfId="15069" xr:uid="{546673D7-75FA-4B23-BBC2-54B7B208E59E}"/>
    <cellStyle name="常规 14 2 3 4 2" xfId="15070" xr:uid="{5F1106D0-6081-4A9B-AF66-ED3D5FE27FED}"/>
    <cellStyle name="常规 14 2 3 4 3" xfId="15071" xr:uid="{0BEE984C-F04E-4AF7-A5F3-7C3A4F975547}"/>
    <cellStyle name="常规 14 2 3 5" xfId="15072" xr:uid="{D6718C68-70B1-4BA7-9569-720F07EBEF80}"/>
    <cellStyle name="常规 14 2 3 5 2" xfId="15073" xr:uid="{D30C9531-FEDA-423C-BED6-D34A521545B5}"/>
    <cellStyle name="常规 14 2 3 6" xfId="15074" xr:uid="{7F9ABE45-922D-40EB-BB1B-DE4A91589AC4}"/>
    <cellStyle name="常规 14 2 3 6 2" xfId="15075" xr:uid="{F577E208-2A6E-435D-ADFA-6F5D951AF547}"/>
    <cellStyle name="常规 14 2 3 6 3" xfId="33834" xr:uid="{12EF9966-EB0B-4DC9-82E3-43B30A80060F}"/>
    <cellStyle name="常规 14 2 3 7" xfId="15076" xr:uid="{B7773CA1-F962-42D8-BE76-5A6E5A59D240}"/>
    <cellStyle name="常规 14 2 3 7 2" xfId="15077" xr:uid="{B50F07AA-4622-4066-979D-7E0888E4465B}"/>
    <cellStyle name="常规 14 2 3 8" xfId="15078" xr:uid="{3BAF7939-A616-477B-918C-02F166592888}"/>
    <cellStyle name="常规 14 2 3 9" xfId="15079" xr:uid="{59EDD104-9615-4F4C-96CA-AD3B35DDB56F}"/>
    <cellStyle name="常规 14 2 4" xfId="15080" xr:uid="{2B0422A4-B708-453C-A335-A37463C0DF83}"/>
    <cellStyle name="常规 14 2 4 2" xfId="15081" xr:uid="{8EC04102-197D-42EE-8E4C-A03EE7D228C4}"/>
    <cellStyle name="常规 14 2 4 2 2" xfId="15082" xr:uid="{9504D65E-64BF-4A76-8361-2A6CD6E9E701}"/>
    <cellStyle name="常规 14 2 4 2 2 2" xfId="15083" xr:uid="{0D5A2BF4-0156-440E-8558-A9D9AE01D784}"/>
    <cellStyle name="常规 14 2 4 2 2 3" xfId="15084" xr:uid="{3D7609DF-C6C4-48B2-A57A-D35AD0DB820E}"/>
    <cellStyle name="常规 14 2 4 2 3" xfId="15085" xr:uid="{EF952997-3E3B-4BFF-8F0F-BC4A1C805562}"/>
    <cellStyle name="常规 14 2 4 2 3 2" xfId="15086" xr:uid="{485BBD5B-92CF-4525-8B33-6D4F1AEB258E}"/>
    <cellStyle name="常规 14 2 4 2 4" xfId="15087" xr:uid="{B671C141-0137-459F-8D9E-9BFA809AF77C}"/>
    <cellStyle name="常规 14 2 4 2 4 2" xfId="15088" xr:uid="{54FA3FB7-FECC-42C3-9B41-5FA4F766F068}"/>
    <cellStyle name="常规 14 2 4 2 4 3" xfId="33835" xr:uid="{D18025C0-4CA9-4785-9884-E3F613A84437}"/>
    <cellStyle name="常规 14 2 4 2 5" xfId="15089" xr:uid="{9F5F29B3-5141-486E-8B50-D206DEEB6784}"/>
    <cellStyle name="常规 14 2 4 2 6" xfId="15090" xr:uid="{9FDD6EFC-21B3-49FB-83BE-BC401BE8262F}"/>
    <cellStyle name="常规 14 2 4 2 7" xfId="15091" xr:uid="{E06A8971-74A6-43BC-8F45-CF18C2454B68}"/>
    <cellStyle name="常规 14 2 4 3" xfId="15092" xr:uid="{72BA173F-4949-499E-99AA-C610C3F07BA3}"/>
    <cellStyle name="常规 14 2 4 3 2" xfId="15093" xr:uid="{3786BA84-B366-45B9-8A2A-982DF27375EE}"/>
    <cellStyle name="常规 14 2 4 3 2 2" xfId="15094" xr:uid="{2187DF1A-D698-40AB-B44E-5DE7D358AB51}"/>
    <cellStyle name="常规 14 2 4 3 3" xfId="15095" xr:uid="{C021E697-E1D8-431D-8BB0-936B8F596DDB}"/>
    <cellStyle name="常规 14 2 4 3 4" xfId="15096" xr:uid="{E8A058E5-6635-4DBB-82B3-7D417DD65811}"/>
    <cellStyle name="常规 14 2 4 3 4 2" xfId="33836" xr:uid="{6FEA19C6-9B9C-4DBA-98EA-3A710C0C483E}"/>
    <cellStyle name="常规 14 2 4 3 5" xfId="15097" xr:uid="{64A41C69-6D85-4493-BA9C-43DE8D030527}"/>
    <cellStyle name="常规 14 2 4 4" xfId="15098" xr:uid="{E4AF5C6A-32A1-4F3C-8BA9-E00376DC368B}"/>
    <cellStyle name="常规 14 2 4 4 2" xfId="15099" xr:uid="{4BB275B0-4564-4016-8FB8-BE00A626C690}"/>
    <cellStyle name="常规 14 2 4 4 3" xfId="15100" xr:uid="{4747838C-CE9C-42E9-90DC-E6714DB8402D}"/>
    <cellStyle name="常规 14 2 4 5" xfId="15101" xr:uid="{31981F43-673F-4D3C-B05B-043841A8FCAB}"/>
    <cellStyle name="常规 14 2 4 5 2" xfId="15102" xr:uid="{3B40D152-A1E7-49AA-B0AF-220CF050BBAA}"/>
    <cellStyle name="常规 14 2 4 6" xfId="15103" xr:uid="{E88F0E48-E547-44BF-9E91-7842A69C1165}"/>
    <cellStyle name="常规 14 2 4 6 2" xfId="15104" xr:uid="{85D7AFC3-57E9-44E4-96CF-F574BE2A27F3}"/>
    <cellStyle name="常规 14 2 4 6 3" xfId="33837" xr:uid="{4B648E08-AEC4-4B76-8E9C-5BD1512D78EB}"/>
    <cellStyle name="常规 14 2 4 7" xfId="15105" xr:uid="{1E3B79F0-D322-40D9-AA5B-F79D522C9F9D}"/>
    <cellStyle name="常规 14 2 4 7 2" xfId="15106" xr:uid="{916E1049-3DB2-47C2-8CD8-10C27CA787B7}"/>
    <cellStyle name="常规 14 2 4 8" xfId="15107" xr:uid="{24311FD5-EBBD-43AB-9A97-5E47BCC7B3D7}"/>
    <cellStyle name="常规 14 2 5" xfId="15108" xr:uid="{DBAAFFEC-6BC2-41A6-8418-FE51D9E27E20}"/>
    <cellStyle name="常规 14 2 5 2" xfId="15109" xr:uid="{29EB7518-063E-4121-AA64-BEDE0F7CBDF2}"/>
    <cellStyle name="常规 14 2 5 2 2" xfId="15110" xr:uid="{075A8A1F-1496-445D-A5D5-161501DEEF5B}"/>
    <cellStyle name="常规 14 2 5 2 3" xfId="15111" xr:uid="{DAE83070-1210-4C07-8E88-CA07CE5BFE9A}"/>
    <cellStyle name="常规 14 2 5 2 4" xfId="15112" xr:uid="{E09D8FF5-AE29-48E0-9781-DA061E51CA90}"/>
    <cellStyle name="常规 14 2 5 2 5" xfId="15113" xr:uid="{CEC5E6EB-3C92-460C-B312-1441F9E61EB0}"/>
    <cellStyle name="常规 14 2 5 2 6" xfId="15114" xr:uid="{DF0B1F99-6A3B-4BD7-8CFC-B2C1375966A1}"/>
    <cellStyle name="常规 14 2 5 2 7" xfId="15115" xr:uid="{73C02C5C-9118-4E3B-947D-E4499AFF0270}"/>
    <cellStyle name="常规 14 2 5 2 8" xfId="15116" xr:uid="{FB23DBC0-4CDE-4A7B-86BF-D4C19CCE0169}"/>
    <cellStyle name="常规 14 2 5 3" xfId="15117" xr:uid="{6AE3BD61-239E-4BC1-AD65-2498C35880EA}"/>
    <cellStyle name="常规 14 2 5 3 2" xfId="15118" xr:uid="{379877EF-2825-4CE7-8EFE-BEB5DF176475}"/>
    <cellStyle name="常规 14 2 5 4" xfId="15119" xr:uid="{AC3B0AB8-1125-4321-98FD-7EC1C680D729}"/>
    <cellStyle name="常规 14 2 5 4 2" xfId="15120" xr:uid="{3FA26575-B026-4E18-820C-EF7C303DB2A1}"/>
    <cellStyle name="常规 14 2 5 4 3" xfId="33838" xr:uid="{F285C262-05C6-4E8C-81C7-6A856E6A582C}"/>
    <cellStyle name="常规 14 2 5 5" xfId="15121" xr:uid="{7AF95417-3AC4-4E2F-9855-A4B9098B1287}"/>
    <cellStyle name="常规 14 2 5 6" xfId="15122" xr:uid="{76BFC324-B7F3-478C-9507-308335D5FF87}"/>
    <cellStyle name="常规 14 2 5 7" xfId="15123" xr:uid="{B077DD0A-95FE-45CF-AED5-BCC2F07806D9}"/>
    <cellStyle name="常规 14 2 5 8" xfId="15124" xr:uid="{3E8D36DF-D496-4539-BDC6-98D596C2F9B3}"/>
    <cellStyle name="常规 14 2 6" xfId="15125" xr:uid="{CD3160B4-5B9C-4C05-844E-8B615A7292E1}"/>
    <cellStyle name="常规 14 2 6 2" xfId="15126" xr:uid="{60542561-5A84-45CA-8832-9D6352BBE32A}"/>
    <cellStyle name="常规 14 2 6 2 2" xfId="15127" xr:uid="{9662C4A0-1074-4F8E-BD67-F73C166F3840}"/>
    <cellStyle name="常规 14 2 6 2 3" xfId="15128" xr:uid="{34DC5A22-90D1-421D-BFE6-1B98FC71E6A3}"/>
    <cellStyle name="常规 14 2 6 2 4" xfId="15129" xr:uid="{9A912571-24C0-41D6-8938-B99DF59E7137}"/>
    <cellStyle name="常规 14 2 6 2 5" xfId="15130" xr:uid="{24DC2430-B3FC-4649-870D-19273A45D50A}"/>
    <cellStyle name="常规 14 2 6 2 6" xfId="15131" xr:uid="{413E3F6E-4BEE-4FF6-8A6B-767165853FD7}"/>
    <cellStyle name="常规 14 2 6 2 7" xfId="15132" xr:uid="{2898184A-136F-4BD3-9193-8DA5C5381AD7}"/>
    <cellStyle name="常规 14 2 6 2 8" xfId="15133" xr:uid="{B35C7BD4-57D9-4ECD-A20E-03796AAEC3A1}"/>
    <cellStyle name="常规 14 2 6 3" xfId="15134" xr:uid="{34F44F68-5BB4-4801-B65C-AB921F6A2ED3}"/>
    <cellStyle name="常规 14 2 6 3 2" xfId="15135" xr:uid="{FC65D3CB-CD8E-4EA5-B566-782E5A9D2937}"/>
    <cellStyle name="常规 14 2 6 4" xfId="15136" xr:uid="{DD7AAFED-95B1-4E8F-8D7B-20298E37D687}"/>
    <cellStyle name="常规 14 2 6 4 2" xfId="15137" xr:uid="{E8D8F2CE-00AA-43EA-9218-95655DB42485}"/>
    <cellStyle name="常规 14 2 6 4 3" xfId="33839" xr:uid="{C97A14CF-A38D-4247-B533-3C829B62FCF4}"/>
    <cellStyle name="常规 14 2 6 5" xfId="15138" xr:uid="{1BCCA88A-B4B0-49D3-B466-C2CC7106433B}"/>
    <cellStyle name="常规 14 2 6 6" xfId="15139" xr:uid="{BFD8EFC7-7531-48A1-A8D3-EFAFCF0FA0ED}"/>
    <cellStyle name="常规 14 2 6 7" xfId="15140" xr:uid="{DCF8280A-42C6-49BC-9C07-C49353CECF61}"/>
    <cellStyle name="常规 14 2 6 8" xfId="15141" xr:uid="{719C447D-24B7-49A8-B4D0-059DA183CF7D}"/>
    <cellStyle name="常规 14 2 7" xfId="15142" xr:uid="{7ABF4259-B367-4668-A62A-10F8BF4DA463}"/>
    <cellStyle name="常规 14 2 7 2" xfId="15143" xr:uid="{7A1DA0AB-5FD6-4AA8-B685-AA03AB4E5135}"/>
    <cellStyle name="常规 14 2 7 2 2" xfId="15144" xr:uid="{6E433C8D-6024-42B0-9DC2-E00765B58105}"/>
    <cellStyle name="常规 14 2 7 2 3" xfId="15145" xr:uid="{3F2A33AE-4DAB-467D-8B01-E5D9F24F5EF2}"/>
    <cellStyle name="常规 14 2 7 2 4" xfId="15146" xr:uid="{2DA20EDF-8024-4D17-8BE6-F9837E314369}"/>
    <cellStyle name="常规 14 2 7 2 5" xfId="15147" xr:uid="{8026A8D9-9953-40E6-B614-09C7EF3CAE67}"/>
    <cellStyle name="常规 14 2 7 2 6" xfId="15148" xr:uid="{27C12B38-08CF-442F-A661-1EA3E5CD07B1}"/>
    <cellStyle name="常规 14 2 7 3" xfId="15149" xr:uid="{2D607327-DC68-4B25-8226-7A96F1CD2CCE}"/>
    <cellStyle name="常规 14 2 7 4" xfId="15150" xr:uid="{B7C9A46F-C83C-4ED4-B31B-D83EC4F6EFDC}"/>
    <cellStyle name="常规 14 2 7 5" xfId="15151" xr:uid="{655349CE-157C-42EB-8710-5B14C1E61633}"/>
    <cellStyle name="常规 14 2 7 6" xfId="15152" xr:uid="{FE18BDF4-60A6-4F4F-A093-C05BABC73A77}"/>
    <cellStyle name="常规 14 2 7 7" xfId="15153" xr:uid="{B2155067-AF0D-4731-B73E-4D904B7955B8}"/>
    <cellStyle name="常规 14 2 7 8" xfId="15154" xr:uid="{5E45541E-6103-43D0-8A5A-478FAE3ACF24}"/>
    <cellStyle name="常规 14 2 7 9" xfId="15155" xr:uid="{34199EE3-27AA-419B-B17B-20C6E680F503}"/>
    <cellStyle name="常规 14 2 8" xfId="15156" xr:uid="{88A8F6E8-9037-497C-826E-8F918E1D61EE}"/>
    <cellStyle name="常规 14 2 8 2" xfId="15157" xr:uid="{F151F8FF-5790-4360-BDD2-87B300231DB9}"/>
    <cellStyle name="常规 14 2 8 3" xfId="15158" xr:uid="{5CA3DE65-B1A8-4F5B-BC15-A7A335F1F29B}"/>
    <cellStyle name="常规 14 2 8 4" xfId="15159" xr:uid="{E0F13A35-6D41-4008-AF95-DF1626329CC2}"/>
    <cellStyle name="常规 14 2 8 5" xfId="15160" xr:uid="{7834F13C-E0B0-422F-9DB0-4499FF680E34}"/>
    <cellStyle name="常规 14 2 8 6" xfId="15161" xr:uid="{97397A16-4337-4987-BE2B-2B9F552A233F}"/>
    <cellStyle name="常规 14 2 8 7" xfId="15162" xr:uid="{94C311A0-46CC-4B9A-9B76-4A1CEEC65A89}"/>
    <cellStyle name="常规 14 2 9" xfId="15163" xr:uid="{D21268F0-24E8-4650-90BF-3862F4430A1C}"/>
    <cellStyle name="常规 14 2 9 2" xfId="15164" xr:uid="{1484D5CC-ECE2-447B-BBAA-1C3ED5261366}"/>
    <cellStyle name="常规 14 2 9 3" xfId="33840" xr:uid="{E5CDC099-B4FF-4FF9-B169-412882EB11A6}"/>
    <cellStyle name="常规 14 3" xfId="15165" xr:uid="{250A74EE-BF89-4F01-AEE8-8A60889DB888}"/>
    <cellStyle name="常规 14 3 10" xfId="15166" xr:uid="{68A54B73-89BF-4401-9765-4E500B4C7D0D}"/>
    <cellStyle name="常规 14 3 11" xfId="15167" xr:uid="{7E9E1E35-AB88-46D9-9498-A31A1AD77D24}"/>
    <cellStyle name="常规 14 3 2" xfId="15168" xr:uid="{88F1A339-E76F-418A-8538-A4594E99ED58}"/>
    <cellStyle name="常规 14 3 2 2" xfId="15169" xr:uid="{41495A63-E4EA-497D-B426-389FBB1B02C7}"/>
    <cellStyle name="常规 14 3 2 2 2" xfId="15170" xr:uid="{9790D763-9492-4E8B-891C-BDB518A26C97}"/>
    <cellStyle name="常规 14 3 2 2 2 2" xfId="15171" xr:uid="{5C124827-633E-4570-89B7-915B69F2E8EF}"/>
    <cellStyle name="常规 14 3 2 2 2 3" xfId="15172" xr:uid="{BB2AA7D7-30E1-4636-A3B5-C1B2A54A6162}"/>
    <cellStyle name="常规 14 3 2 2 2 4" xfId="15173" xr:uid="{827FFE6F-590A-469A-948E-430CED3AA0E2}"/>
    <cellStyle name="常规 14 3 2 2 2 5" xfId="15174" xr:uid="{12692CB4-8D48-4CF6-B183-A2C94449F560}"/>
    <cellStyle name="常规 14 3 2 2 2 6" xfId="15175" xr:uid="{F29BA6A8-2FA4-4AA1-AD26-9EB9467BBA0C}"/>
    <cellStyle name="常规 14 3 2 2 2 7" xfId="15176" xr:uid="{545E561B-9B7F-4BA2-8E8E-EDFA63796E68}"/>
    <cellStyle name="常规 14 3 2 2 2 8" xfId="15177" xr:uid="{9F8F8ADF-6972-41F8-9FE2-AADDB71A6225}"/>
    <cellStyle name="常规 14 3 2 2 3" xfId="15178" xr:uid="{4FE07F5C-1A74-4939-9D03-F6911DC91115}"/>
    <cellStyle name="常规 14 3 2 2 3 2" xfId="15179" xr:uid="{DDC28625-D30D-46F7-A7A3-40018CA9EECC}"/>
    <cellStyle name="常规 14 3 2 2 4" xfId="15180" xr:uid="{DFE3D6BA-CE59-4B1F-A732-65EF5B277537}"/>
    <cellStyle name="常规 14 3 2 2 4 2" xfId="15181" xr:uid="{32CAF79A-301B-4FF8-AA96-3DC53A18F2D6}"/>
    <cellStyle name="常规 14 3 2 2 4 3" xfId="33841" xr:uid="{650A73D2-42B1-4923-855D-5384244B83C2}"/>
    <cellStyle name="常规 14 3 2 2 5" xfId="15182" xr:uid="{2520E750-6667-46E9-8D2B-BE158683B767}"/>
    <cellStyle name="常规 14 3 2 2 6" xfId="15183" xr:uid="{F24FDD06-6F74-49AE-B7F7-9083368A57C7}"/>
    <cellStyle name="常规 14 3 2 2 7" xfId="15184" xr:uid="{6A35BA58-EC8A-4A1F-BAAD-D192DE7ADD03}"/>
    <cellStyle name="常规 14 3 2 2 8" xfId="15185" xr:uid="{64088279-0E5E-4363-AB09-00EFA6AB59C2}"/>
    <cellStyle name="常规 14 3 2 3" xfId="15186" xr:uid="{EA7CFA48-6DDE-4F6C-ACA6-45359796BB52}"/>
    <cellStyle name="常规 14 3 2 3 2" xfId="15187" xr:uid="{21FE570A-1FC2-4324-BAAA-14E1DCB16A51}"/>
    <cellStyle name="常规 14 3 2 3 2 2" xfId="15188" xr:uid="{C28743C0-FCC1-48C4-984D-608E6A7A0162}"/>
    <cellStyle name="常规 14 3 2 3 2 3" xfId="15189" xr:uid="{6C74F2A2-075E-4E44-AEE5-A82C9FD18FF0}"/>
    <cellStyle name="常规 14 3 2 3 3" xfId="15190" xr:uid="{57D24468-F810-4B93-BDDF-D0AB42E3ED0E}"/>
    <cellStyle name="常规 14 3 2 3 3 2" xfId="15191" xr:uid="{907EB33E-0224-41B5-AE46-A2F4A01CABB4}"/>
    <cellStyle name="常规 14 3 2 3 4" xfId="15192" xr:uid="{0675A920-2D7A-4A75-8AA8-19B941D13E81}"/>
    <cellStyle name="常规 14 3 2 3 4 2" xfId="15193" xr:uid="{3160DB49-0CA9-4070-8183-6639D9B8D05F}"/>
    <cellStyle name="常规 14 3 2 3 4 3" xfId="33842" xr:uid="{17E2FB0E-24D1-4570-8EF8-D4664357614A}"/>
    <cellStyle name="常规 14 3 2 3 5" xfId="15194" xr:uid="{9B843706-DC74-4F6C-837D-B0C58805D86B}"/>
    <cellStyle name="常规 14 3 2 3 6" xfId="15195" xr:uid="{2D6C7CF2-4717-41B2-B7DB-D8B53B294495}"/>
    <cellStyle name="常规 14 3 2 3 7" xfId="15196" xr:uid="{9BC220AB-615B-42A3-9F3E-E744AA6B0E74}"/>
    <cellStyle name="常规 14 3 2 4" xfId="15197" xr:uid="{21BCD1C9-97EA-4C25-832D-362A29986C56}"/>
    <cellStyle name="常规 14 3 2 4 2" xfId="15198" xr:uid="{44CF019F-C443-4A8A-87C0-13472C4E751C}"/>
    <cellStyle name="常规 14 3 2 4 3" xfId="15199" xr:uid="{D223AFB4-E640-4705-976E-A2E9D9396712}"/>
    <cellStyle name="常规 14 3 2 5" xfId="15200" xr:uid="{99101BC9-278E-47D9-802E-E66110FA5B17}"/>
    <cellStyle name="常规 14 3 2 5 2" xfId="15201" xr:uid="{C0A84A1E-EDB2-4973-BCAA-2E3DA0376FBD}"/>
    <cellStyle name="常规 14 3 2 6" xfId="15202" xr:uid="{F660FBAC-666A-45D0-800D-2F5FB2E6A602}"/>
    <cellStyle name="常规 14 3 2 6 2" xfId="15203" xr:uid="{3B4AE218-F3A2-4CF6-9652-119857DF0601}"/>
    <cellStyle name="常规 14 3 2 6 3" xfId="33843" xr:uid="{37DE97B7-334B-4C2D-89A0-41B7783B2BB1}"/>
    <cellStyle name="常规 14 3 2 7" xfId="15204" xr:uid="{EAD42DEA-1DAC-41EB-BAA9-0895C8E08662}"/>
    <cellStyle name="常规 14 3 2 8" xfId="15205" xr:uid="{CB0F3A0E-4989-41A9-A029-ABCE3D9A528E}"/>
    <cellStyle name="常规 14 3 2 9" xfId="15206" xr:uid="{1B73B642-352C-4A55-9AD8-726FC394CA3D}"/>
    <cellStyle name="常规 14 3 3" xfId="15207" xr:uid="{2A683789-8139-41D7-9D71-B96B3E6880C7}"/>
    <cellStyle name="常规 14 3 3 2" xfId="15208" xr:uid="{7C964CF4-F2D5-4F63-AFC5-5C73D954FFC7}"/>
    <cellStyle name="常规 14 3 3 2 2" xfId="15209" xr:uid="{A8CA7C40-27E3-417C-8775-ED9B59BAFCA5}"/>
    <cellStyle name="常规 14 3 3 2 3" xfId="15210" xr:uid="{CC994D21-9A38-4ADA-B6E5-B97482E4321D}"/>
    <cellStyle name="常规 14 3 3 2 4" xfId="15211" xr:uid="{169613D8-7749-4DCE-8E4A-9076F5D318F4}"/>
    <cellStyle name="常规 14 3 3 2 5" xfId="15212" xr:uid="{4115CC51-3B4A-4D05-AC05-7D968E95AB3E}"/>
    <cellStyle name="常规 14 3 3 2 6" xfId="15213" xr:uid="{587E1BE4-348B-402A-8B11-3A005CD4FAE2}"/>
    <cellStyle name="常规 14 3 3 2 7" xfId="15214" xr:uid="{158FF757-D359-488B-BA35-EC97D06588B2}"/>
    <cellStyle name="常规 14 3 3 2 8" xfId="15215" xr:uid="{78931ADC-9146-4CAD-9E05-E7395647E774}"/>
    <cellStyle name="常规 14 3 3 3" xfId="15216" xr:uid="{44A270B9-D9A1-436C-BE58-EB1F0193C22C}"/>
    <cellStyle name="常规 14 3 3 3 2" xfId="15217" xr:uid="{B313366A-F9E1-4FBF-AEE4-68D7CF8D08F7}"/>
    <cellStyle name="常规 14 3 3 4" xfId="15218" xr:uid="{239198C8-D7D3-4D64-9898-4EA6351F8E31}"/>
    <cellStyle name="常规 14 3 3 4 2" xfId="15219" xr:uid="{2E21A0D0-731F-496F-BAE6-627BF9781B27}"/>
    <cellStyle name="常规 14 3 3 4 3" xfId="33844" xr:uid="{E54A641C-7A7B-4D8A-AE23-B20D3CC912E5}"/>
    <cellStyle name="常规 14 3 3 5" xfId="15220" xr:uid="{4318ED12-09BF-445A-BC16-4136F2173F01}"/>
    <cellStyle name="常规 14 3 3 6" xfId="15221" xr:uid="{D8D3909A-ACDD-4656-83B8-13AC4F2C3216}"/>
    <cellStyle name="常规 14 3 3 7" xfId="15222" xr:uid="{451E3A2E-001C-42CA-AEDC-DCC093A098C1}"/>
    <cellStyle name="常规 14 3 3 8" xfId="15223" xr:uid="{4AC1A051-F171-479F-87D9-100A5ED667C7}"/>
    <cellStyle name="常规 14 3 4" xfId="15224" xr:uid="{49AFA3FC-EB7A-4792-8835-23439D5BEA61}"/>
    <cellStyle name="常规 14 3 4 2" xfId="15225" xr:uid="{0A01DBE0-A9BD-4F20-A03A-A7B604FB30D5}"/>
    <cellStyle name="常规 14 3 4 2 2" xfId="15226" xr:uid="{1CC8F0BA-AE7F-4FEE-91A3-A22A3EF69E92}"/>
    <cellStyle name="常规 14 3 4 2 3" xfId="15227" xr:uid="{81D69685-5D5C-4EEB-893F-E105B573F216}"/>
    <cellStyle name="常规 14 3 4 2 4" xfId="15228" xr:uid="{BD203659-BAC2-4421-9CCF-C49117FB1D80}"/>
    <cellStyle name="常规 14 3 4 2 5" xfId="15229" xr:uid="{CFE3CACB-33E3-428D-93F1-BEE3B08F533E}"/>
    <cellStyle name="常规 14 3 4 2 6" xfId="15230" xr:uid="{69B58CD4-96EE-4303-9962-891AADF3729B}"/>
    <cellStyle name="常规 14 3 4 2 7" xfId="15231" xr:uid="{788F66E1-7FEB-40D2-B798-79AC0E37DD48}"/>
    <cellStyle name="常规 14 3 4 2 8" xfId="15232" xr:uid="{FF03C6D8-84C6-457D-9F7B-421DED594A18}"/>
    <cellStyle name="常规 14 3 4 3" xfId="15233" xr:uid="{9726536D-7DC6-4F47-A1D2-86897C5CA10E}"/>
    <cellStyle name="常规 14 3 4 3 2" xfId="15234" xr:uid="{5D4AA96A-A0AB-4E2F-8046-EF950C126AB1}"/>
    <cellStyle name="常规 14 3 4 4" xfId="15235" xr:uid="{4C44B06B-7AAF-4295-B1AF-66AEE0F53C40}"/>
    <cellStyle name="常规 14 3 4 4 2" xfId="15236" xr:uid="{53279066-59E3-40F7-90D7-EA7B07C8DA49}"/>
    <cellStyle name="常规 14 3 4 4 3" xfId="33845" xr:uid="{885D22DA-E824-4D0D-BC3B-83515A05A4C2}"/>
    <cellStyle name="常规 14 3 4 5" xfId="15237" xr:uid="{BE18E34F-4E3C-47FE-81C5-235653DEBD3F}"/>
    <cellStyle name="常规 14 3 4 6" xfId="15238" xr:uid="{53CCD89E-ED40-4E94-AE29-68A611605471}"/>
    <cellStyle name="常规 14 3 4 7" xfId="15239" xr:uid="{FFD5E9DA-37B0-423B-8A15-3FEB244AFC9F}"/>
    <cellStyle name="常规 14 3 4 8" xfId="15240" xr:uid="{024898E4-1FE0-4EFD-8CB4-6A618E2BB7C2}"/>
    <cellStyle name="常规 14 3 5" xfId="15241" xr:uid="{F9EA8F77-E96B-4FC4-A154-3F516D4E4550}"/>
    <cellStyle name="常规 14 3 5 2" xfId="15242" xr:uid="{D9130536-FDF5-446B-B387-E3A5378FF261}"/>
    <cellStyle name="常规 14 3 5 3" xfId="15243" xr:uid="{4EA4D542-4562-45F0-B76B-43420D39A258}"/>
    <cellStyle name="常规 14 3 5 4" xfId="15244" xr:uid="{C0FC687B-7BA5-4404-B714-4F9763D276B3}"/>
    <cellStyle name="常规 14 3 5 5" xfId="15245" xr:uid="{1896CC5A-7554-44DB-BFF6-507F6D445458}"/>
    <cellStyle name="常规 14 3 5 6" xfId="15246" xr:uid="{C5A834D6-D779-4C70-B071-48626E42917B}"/>
    <cellStyle name="常规 14 3 5 7" xfId="15247" xr:uid="{87FCCF2C-CF04-4104-A5C0-1BB33654A685}"/>
    <cellStyle name="常规 14 3 5 8" xfId="15248" xr:uid="{C92AC123-28C6-49D6-B467-60E71B8B8B96}"/>
    <cellStyle name="常规 14 3 6" xfId="15249" xr:uid="{E7576274-3DF7-47CF-B509-222509D84012}"/>
    <cellStyle name="常规 14 3 6 2" xfId="15250" xr:uid="{45232893-C42A-49FF-A95B-563812C038F8}"/>
    <cellStyle name="常规 14 3 7" xfId="15251" xr:uid="{1C08BD7E-ED73-4303-95B3-9B6E03E63F7C}"/>
    <cellStyle name="常规 14 3 7 2" xfId="15252" xr:uid="{17CA74FA-0A2A-4EB8-92F0-1CFEBCB8BB90}"/>
    <cellStyle name="常规 14 3 7 3" xfId="33846" xr:uid="{7E0A4503-E1C4-4FEF-A079-47E1D8E93508}"/>
    <cellStyle name="常规 14 3 8" xfId="15253" xr:uid="{A379C24C-680C-4E0D-94D5-D2E5CA99BE6E}"/>
    <cellStyle name="常规 14 3 8 2" xfId="15254" xr:uid="{2F6C19E4-F224-41D2-8630-525F33ED7CE4}"/>
    <cellStyle name="常规 14 3 9" xfId="15255" xr:uid="{C63DEAF1-D8AB-405A-AD43-9E4B87B112DD}"/>
    <cellStyle name="常规 14 4" xfId="15256" xr:uid="{18DE1E4C-862E-452B-B642-8988E66252F1}"/>
    <cellStyle name="常规 14 4 2" xfId="15257" xr:uid="{D61E3285-D2A3-4C0E-AFA3-E564FDB69FA9}"/>
    <cellStyle name="常规 14 4 2 2" xfId="15258" xr:uid="{4183DD27-C193-483D-A6F1-50E20E5C9FC1}"/>
    <cellStyle name="常规 14 4 2 2 2" xfId="15259" xr:uid="{038CFFB4-7261-45AB-87DC-18BCDFE76903}"/>
    <cellStyle name="常规 14 4 2 2 2 2" xfId="15260" xr:uid="{E8D1F44F-DF29-4822-94DF-6C2B87CF073F}"/>
    <cellStyle name="常规 14 4 2 2 3" xfId="15261" xr:uid="{EAF1945C-E08E-4A6D-A141-2D6961F16A59}"/>
    <cellStyle name="常规 14 4 2 2 4" xfId="15262" xr:uid="{773DD556-74A0-404F-8BF1-2E57C23F4E4C}"/>
    <cellStyle name="常规 14 4 2 2 4 2" xfId="33847" xr:uid="{DC49B37D-66A1-4647-9B77-860C49E395D6}"/>
    <cellStyle name="常规 14 4 2 3" xfId="15263" xr:uid="{D083B1D9-5259-491C-966D-2CD2E32D059F}"/>
    <cellStyle name="常规 14 4 2 3 2" xfId="15264" xr:uid="{4AE870CF-AA3A-4DD8-9BD2-1E0B8F6CE637}"/>
    <cellStyle name="常规 14 4 2 4" xfId="15265" xr:uid="{531309A2-CB3D-4888-A11E-27659263FEC6}"/>
    <cellStyle name="常规 14 4 2 5" xfId="15266" xr:uid="{0F9F539C-6889-482E-9BB6-331F5373F237}"/>
    <cellStyle name="常规 14 4 2 5 2" xfId="33848" xr:uid="{1878DF4D-F1EC-4477-97BA-E383B59685A5}"/>
    <cellStyle name="常规 14 4 2 6" xfId="15267" xr:uid="{6C74F3F3-B7E7-4933-96F5-A8ED5D408308}"/>
    <cellStyle name="常规 14 4 3" xfId="15268" xr:uid="{1EF48274-C895-42A2-AEB9-9884AE997C37}"/>
    <cellStyle name="常规 14 4 3 2" xfId="15269" xr:uid="{0A846F9F-63D8-4DBE-9826-988F7357BA37}"/>
    <cellStyle name="常规 14 4 3 2 2" xfId="15270" xr:uid="{9024F5F9-DA4B-4604-91A7-6CB54956DFCB}"/>
    <cellStyle name="常规 14 4 3 3" xfId="15271" xr:uid="{A6CA74F7-A5ED-45A0-848E-1970B9321B69}"/>
    <cellStyle name="常规 14 4 3 4" xfId="15272" xr:uid="{6BE325C0-7B6C-4D83-AA96-1941B5B43673}"/>
    <cellStyle name="常规 14 4 3 4 2" xfId="33849" xr:uid="{C2D6BDC0-60E9-488E-94CE-E33C6E194085}"/>
    <cellStyle name="常规 14 4 4" xfId="15273" xr:uid="{020B55DC-6A2F-4F4F-8AB1-EC503129D733}"/>
    <cellStyle name="常规 14 4 4 2" xfId="15274" xr:uid="{474F7B8D-39EE-4E52-A81A-27D49B10F1CA}"/>
    <cellStyle name="常规 14 4 5" xfId="15275" xr:uid="{08541009-0584-41AE-9A49-E1FADB25D565}"/>
    <cellStyle name="常规 14 4 6" xfId="15276" xr:uid="{0B0112D8-16CA-4036-96E6-8FC7289B0F8D}"/>
    <cellStyle name="常规 14 4 6 2" xfId="33850" xr:uid="{76EDFB45-EEB7-44D5-AE5D-FD78F03D24A4}"/>
    <cellStyle name="常规 14 4 7" xfId="15277" xr:uid="{B664844C-C6DD-4A8D-B2FA-658D279DD27A}"/>
    <cellStyle name="常规 14 4 8" xfId="15278" xr:uid="{7084C921-D257-49DF-AB54-5987098CCDD8}"/>
    <cellStyle name="常规 14 5" xfId="15279" xr:uid="{A06A69CB-3349-4384-A44A-6E9B9B30E8F7}"/>
    <cellStyle name="常规 14 5 2" xfId="15280" xr:uid="{98D756A8-D1BB-4936-98E8-BAEEF135F714}"/>
    <cellStyle name="常规 14 5 2 2" xfId="15281" xr:uid="{6E14E086-7264-4179-A84F-791FE82D6496}"/>
    <cellStyle name="常规 14 5 2 2 2" xfId="15282" xr:uid="{CDF68361-AF33-4062-878F-D36443020C78}"/>
    <cellStyle name="常规 14 5 2 2 3" xfId="15283" xr:uid="{27651C99-55CB-4161-96F7-6007C8E529D5}"/>
    <cellStyle name="常规 14 5 2 2 4" xfId="15284" xr:uid="{B647C313-9A52-45DC-851B-3CBC5508FE30}"/>
    <cellStyle name="常规 14 5 2 2 5" xfId="15285" xr:uid="{90436C44-1EE4-43D8-A19B-3DF6C176C552}"/>
    <cellStyle name="常规 14 5 2 2 6" xfId="15286" xr:uid="{E714ED23-8CE5-4756-A3FF-A7838A62FEA0}"/>
    <cellStyle name="常规 14 5 2 2 7" xfId="15287" xr:uid="{39800961-4893-4ABA-B445-5CD83EC06DA1}"/>
    <cellStyle name="常规 14 5 2 2 8" xfId="15288" xr:uid="{8510B91A-B72D-4B19-8483-7F9651EB32AA}"/>
    <cellStyle name="常规 14 5 2 3" xfId="15289" xr:uid="{0CB06C22-E3F6-47B2-BF37-032BF603BCAB}"/>
    <cellStyle name="常规 14 5 2 3 2" xfId="15290" xr:uid="{DF6E98FA-9F18-4A30-81BB-BDE396397BDB}"/>
    <cellStyle name="常规 14 5 2 4" xfId="15291" xr:uid="{A558AC69-D72E-447C-B7C6-DF4639BFDB22}"/>
    <cellStyle name="常规 14 5 2 4 2" xfId="15292" xr:uid="{F1C690B3-385D-4F24-AC0B-813CF30D0F0C}"/>
    <cellStyle name="常规 14 5 2 4 3" xfId="33851" xr:uid="{943E17DD-1DD5-4AF3-A6D4-59E34AA018EC}"/>
    <cellStyle name="常规 14 5 2 5" xfId="15293" xr:uid="{6FD3A8D7-0206-4C85-A125-CB34DC1973CE}"/>
    <cellStyle name="常规 14 5 2 6" xfId="15294" xr:uid="{16098F7D-028F-43D8-83CE-F7AA011A0EE0}"/>
    <cellStyle name="常规 14 5 2 7" xfId="15295" xr:uid="{837D859C-A84B-43C2-B594-1470AA601D57}"/>
    <cellStyle name="常规 14 5 2 8" xfId="15296" xr:uid="{93D8923B-FE96-4FBA-A02E-1EA89DE147E6}"/>
    <cellStyle name="常规 14 5 3" xfId="15297" xr:uid="{6EBCC6BE-BF60-4DF5-9AB4-F84CE6C93199}"/>
    <cellStyle name="常规 14 5 3 2" xfId="15298" xr:uid="{9BE47C68-9E54-4D2D-9F84-E8E975893E7A}"/>
    <cellStyle name="常规 14 5 3 2 2" xfId="15299" xr:uid="{4FF709CF-6B88-49B1-8B09-256A4BBCD694}"/>
    <cellStyle name="常规 14 5 3 2 3" xfId="15300" xr:uid="{5E23A1C4-854A-46D5-ACB3-1C568930BC60}"/>
    <cellStyle name="常规 14 5 3 3" xfId="15301" xr:uid="{BA334F5D-1A0E-4778-AB66-CDF051C557E3}"/>
    <cellStyle name="常规 14 5 3 3 2" xfId="15302" xr:uid="{4F218268-0AE2-4C8B-B8C8-719E8A3BA2E9}"/>
    <cellStyle name="常规 14 5 3 4" xfId="15303" xr:uid="{C24DD1C6-A8E0-4A07-B436-9FE536589B52}"/>
    <cellStyle name="常规 14 5 3 4 2" xfId="15304" xr:uid="{E4470133-BBDA-47EF-AD29-C5C519C2940E}"/>
    <cellStyle name="常规 14 5 3 4 3" xfId="33852" xr:uid="{917B0743-2456-4199-91BF-EC0FEE51A2CC}"/>
    <cellStyle name="常规 14 5 3 5" xfId="15305" xr:uid="{ED359BA3-4979-4FDF-B855-0F3C3C8BB7EB}"/>
    <cellStyle name="常规 14 5 3 6" xfId="15306" xr:uid="{76E06FF0-A3D1-4078-A48D-BE398FB97253}"/>
    <cellStyle name="常规 14 5 3 7" xfId="15307" xr:uid="{1B17D3CF-983C-44B1-8ACE-949E4382B663}"/>
    <cellStyle name="常规 14 5 4" xfId="15308" xr:uid="{AED9D29F-BE76-431E-9DFE-6D0D9065D7FF}"/>
    <cellStyle name="常规 14 5 4 2" xfId="15309" xr:uid="{A1E98E3E-FB31-4FDB-8E6C-62A8948E8E09}"/>
    <cellStyle name="常规 14 5 4 3" xfId="15310" xr:uid="{2F8A5B64-997E-49A2-AF32-DA3EA3FFC68F}"/>
    <cellStyle name="常规 14 5 5" xfId="15311" xr:uid="{6A4445B5-6DC1-4002-B2D1-807B6823A1E0}"/>
    <cellStyle name="常规 14 5 5 2" xfId="15312" xr:uid="{378E1C03-57C5-4E93-B848-549D8E86DB3C}"/>
    <cellStyle name="常规 14 5 6" xfId="15313" xr:uid="{514216AF-1B12-4E2C-8056-913F0C89E5A5}"/>
    <cellStyle name="常规 14 5 6 2" xfId="15314" xr:uid="{D89F284E-BB09-4DEB-B85D-6E169B5B2678}"/>
    <cellStyle name="常规 14 5 6 3" xfId="33853" xr:uid="{AC5365E2-402E-4F27-B241-C276D9461A54}"/>
    <cellStyle name="常规 14 5 7" xfId="15315" xr:uid="{8680D67C-C7C1-4DFE-B6A2-384E10088BF8}"/>
    <cellStyle name="常规 14 5 7 2" xfId="15316" xr:uid="{8CA35DA8-4AF4-4F4D-B273-EC132F7A4223}"/>
    <cellStyle name="常规 14 5 8" xfId="15317" xr:uid="{62B57206-8A57-4E71-9706-3A96A82236F3}"/>
    <cellStyle name="常规 14 5 9" xfId="15318" xr:uid="{437F2D0F-4248-456A-BCCC-DD2D2D85A9F3}"/>
    <cellStyle name="常规 14 6" xfId="15319" xr:uid="{54657EFF-8DC2-4CE5-BA97-A74DFC297380}"/>
    <cellStyle name="常规 14 6 2" xfId="15320" xr:uid="{3BEB89F1-4E92-4881-A6DE-B45ED82515AE}"/>
    <cellStyle name="常规 14 6 2 2" xfId="15321" xr:uid="{AAAB4CD4-A1C9-4233-9369-23660B56EFCA}"/>
    <cellStyle name="常规 14 6 2 2 2" xfId="15322" xr:uid="{9CC9E0A8-B5C2-4382-B5FA-DAF910CCBEC0}"/>
    <cellStyle name="常规 14 6 2 2 3" xfId="15323" xr:uid="{3587D107-CE1A-4B38-AA4D-AF084701F0E6}"/>
    <cellStyle name="常规 14 6 2 2 4" xfId="15324" xr:uid="{EE64CFB3-0EF2-443C-A8D4-85A08C107009}"/>
    <cellStyle name="常规 14 6 2 2 5" xfId="15325" xr:uid="{3C23C153-FB6C-4DC4-BF21-7E7D5431F48B}"/>
    <cellStyle name="常规 14 6 2 2 6" xfId="15326" xr:uid="{CEE12DE8-74A6-4FCF-900C-C5681D389A69}"/>
    <cellStyle name="常规 14 6 2 3" xfId="15327" xr:uid="{842CAAB4-7CDC-4ED5-B52A-4E2045F778B0}"/>
    <cellStyle name="常规 14 6 2 4" xfId="15328" xr:uid="{FB951559-4C80-49D9-9FF4-DBD76F281083}"/>
    <cellStyle name="常规 14 6 2 5" xfId="15329" xr:uid="{DBE04116-A556-4469-90D5-36F6D4ADF772}"/>
    <cellStyle name="常规 14 6 2 6" xfId="15330" xr:uid="{C4B7FEFE-A034-4F75-BF10-56A547BDD145}"/>
    <cellStyle name="常规 14 6 2 7" xfId="15331" xr:uid="{4B5119D8-229E-45B4-9773-337D844C1B89}"/>
    <cellStyle name="常规 14 6 2 8" xfId="15332" xr:uid="{B1E86BDE-DE69-4F7D-B5BF-F4D1DE9B3B69}"/>
    <cellStyle name="常规 14 6 2 9" xfId="15333" xr:uid="{0B9BE40F-7917-435B-9DA2-25AD111D1CC6}"/>
    <cellStyle name="常规 14 6 3" xfId="15334" xr:uid="{3786A976-6E2D-4C3A-9A52-B02DBDAEE4DF}"/>
    <cellStyle name="常规 14 6 3 2" xfId="15335" xr:uid="{2167BC7E-DC4B-407D-A8A0-2BC1AE9BD7AE}"/>
    <cellStyle name="常规 14 6 3 3" xfId="15336" xr:uid="{E9611BEF-92EF-4FC1-8887-4BF49A314399}"/>
    <cellStyle name="常规 14 6 3 4" xfId="15337" xr:uid="{BD3FAAAC-377E-482F-9447-D5ED1EDE5EC1}"/>
    <cellStyle name="常规 14 6 3 5" xfId="15338" xr:uid="{D1C69BC2-9184-4E3B-9394-4A59C16A07BB}"/>
    <cellStyle name="常规 14 6 3 6" xfId="15339" xr:uid="{CAA9B98F-4C86-4DCB-8044-54D6EDC76A27}"/>
    <cellStyle name="常规 14 6 3 7" xfId="15340" xr:uid="{F577BD7D-EE62-411E-A075-163E114381B9}"/>
    <cellStyle name="常规 14 6 4" xfId="15341" xr:uid="{91B730DE-92A3-4C36-8D2A-D80C656B88C2}"/>
    <cellStyle name="常规 14 6 4 2" xfId="15342" xr:uid="{1688BB6E-E922-4B7B-8734-7E6438815564}"/>
    <cellStyle name="常规 14 6 4 3" xfId="33854" xr:uid="{CD599253-5DC5-439B-9902-7DB4C2F33664}"/>
    <cellStyle name="常规 14 6 5" xfId="15343" xr:uid="{B91E237C-995D-4E75-ACB1-5B1BFF05D2B8}"/>
    <cellStyle name="常规 14 6 6" xfId="15344" xr:uid="{1C0F03C9-D4F2-4B59-ACF5-3B2BE5F69EDC}"/>
    <cellStyle name="常规 14 6 7" xfId="15345" xr:uid="{AE2A0712-1151-413E-BAC4-FAAB8316333A}"/>
    <cellStyle name="常规 14 6 8" xfId="15346" xr:uid="{36FD40E8-CEA3-4344-87DE-A2EB8FA1B84E}"/>
    <cellStyle name="常规 14 6 9" xfId="15347" xr:uid="{17D12818-B0E4-4A3E-86AA-EE76208811BC}"/>
    <cellStyle name="常规 14 7" xfId="15348" xr:uid="{F51AC55F-B83B-468D-B346-7CA44310F796}"/>
    <cellStyle name="常规 14 7 2" xfId="15349" xr:uid="{FCF827C3-BEEC-4177-9692-91C01EDD91EC}"/>
    <cellStyle name="常规 14 7 2 2" xfId="15350" xr:uid="{624715FC-BBC1-4B32-9993-003818B438B4}"/>
    <cellStyle name="常规 14 7 2 3" xfId="15351" xr:uid="{AB5B292E-6D7E-4637-8B9B-AC7868D8DAD7}"/>
    <cellStyle name="常规 14 7 2 4" xfId="15352" xr:uid="{0A9F2123-CE8C-4A41-A403-2C7F0310F33E}"/>
    <cellStyle name="常规 14 7 2 5" xfId="15353" xr:uid="{2755D48E-8C74-46C8-9186-C14BAF81003E}"/>
    <cellStyle name="常规 14 7 2 6" xfId="15354" xr:uid="{13BA84DC-4350-4B3B-8C7C-D4C07A1FA7BE}"/>
    <cellStyle name="常规 14 7 2 7" xfId="15355" xr:uid="{2E9DA876-E585-4DFE-8942-0ADF4882A852}"/>
    <cellStyle name="常规 14 7 2 8" xfId="15356" xr:uid="{1D36098C-EC9D-4B64-9377-89330249549C}"/>
    <cellStyle name="常规 14 7 3" xfId="15357" xr:uid="{5315F1C8-D929-4E43-B942-8C0F0D824C83}"/>
    <cellStyle name="常规 14 7 3 2" xfId="15358" xr:uid="{010778E1-71A7-4FFF-9165-841F4D0F48CB}"/>
    <cellStyle name="常规 14 7 4" xfId="15359" xr:uid="{3688693F-5E98-4F52-9D3C-A53C2731315C}"/>
    <cellStyle name="常规 14 7 4 2" xfId="15360" xr:uid="{A94F10A2-1B5B-46BF-A339-EC7219AFF9FC}"/>
    <cellStyle name="常规 14 7 4 3" xfId="33855" xr:uid="{7A0A3E57-B3A1-4838-B8D1-40507F94DA1F}"/>
    <cellStyle name="常规 14 7 5" xfId="15361" xr:uid="{EB44A650-11CE-487D-8CA0-A8839685DF96}"/>
    <cellStyle name="常规 14 7 6" xfId="15362" xr:uid="{899C0B18-E764-499A-93A9-D043BC56FEFD}"/>
    <cellStyle name="常规 14 7 7" xfId="15363" xr:uid="{5A589BE8-FCE6-4EDD-8C76-868BF8696857}"/>
    <cellStyle name="常规 14 7 8" xfId="15364" xr:uid="{7F6573CD-D11D-4444-B5C2-E25AFD778C1E}"/>
    <cellStyle name="常规 14 8" xfId="15365" xr:uid="{4910E05B-F659-4680-9736-B1A84FF68E08}"/>
    <cellStyle name="常规 14 8 2" xfId="15366" xr:uid="{78702979-673E-4A9C-B45A-7C7C11774EC1}"/>
    <cellStyle name="常规 14 8 2 2" xfId="15367" xr:uid="{42FBB3D0-45B2-4710-A8B0-957AE239A582}"/>
    <cellStyle name="常规 14 8 2 3" xfId="15368" xr:uid="{1417A572-8A24-4946-AE4B-D19AC2BE0B68}"/>
    <cellStyle name="常规 14 8 2 4" xfId="15369" xr:uid="{47354A7E-4DB8-40EC-B7A1-5092C69D451E}"/>
    <cellStyle name="常规 14 8 2 5" xfId="15370" xr:uid="{7D82E9B6-A8C7-4C03-9175-885D2B8BC019}"/>
    <cellStyle name="常规 14 8 2 6" xfId="15371" xr:uid="{A403F370-1F22-43F7-A743-3090D49723C7}"/>
    <cellStyle name="常规 14 8 3" xfId="15372" xr:uid="{DB106857-4153-495D-A19D-C97EC37ACED6}"/>
    <cellStyle name="常规 14 8 4" xfId="15373" xr:uid="{85CC2EA1-881C-4420-969B-3F6444A17005}"/>
    <cellStyle name="常规 14 8 5" xfId="15374" xr:uid="{62C265A7-6F43-418B-8467-14CB8ACF89E0}"/>
    <cellStyle name="常规 14 8 6" xfId="15375" xr:uid="{F8096924-5DB0-4976-92DB-69D42B1E9E21}"/>
    <cellStyle name="常规 14 8 7" xfId="15376" xr:uid="{9BAACEB8-0C3E-4F1B-934E-A6490A7C3994}"/>
    <cellStyle name="常规 14 8 8" xfId="15377" xr:uid="{8F82F141-ADAB-409E-8A5C-FE2BDB7BCCD5}"/>
    <cellStyle name="常规 14 8 9" xfId="15378" xr:uid="{E290338C-A724-422D-A108-4295E0E1F7F3}"/>
    <cellStyle name="常规 14 9" xfId="15379" xr:uid="{7E9B4555-3DE6-443A-AF1B-0A3233620490}"/>
    <cellStyle name="常规 14 9 2" xfId="15380" xr:uid="{F2A40F43-B085-49DB-9841-8468C46E3DE4}"/>
    <cellStyle name="常规 15" xfId="15381" xr:uid="{F6D86FD9-3CE5-479C-BE1C-05DB00B20089}"/>
    <cellStyle name="常规 15 2" xfId="15382" xr:uid="{89E5A74C-497D-449E-865F-C9EF22B7E35D}"/>
    <cellStyle name="常规 15 2 2" xfId="15383" xr:uid="{53B2D094-28F5-4F59-ADF8-68719B472790}"/>
    <cellStyle name="常规 15 2 3" xfId="15384" xr:uid="{63D31CD3-C4E9-438B-8D97-DE3461431AD1}"/>
    <cellStyle name="常规 15 3" xfId="15385" xr:uid="{3CFD88DB-41C1-42EE-8DFC-185A9D713DC3}"/>
    <cellStyle name="常规 15 3 2" xfId="15386" xr:uid="{F960FB2A-1666-4D3F-ADAF-E1A1E6E1F56F}"/>
    <cellStyle name="常规 15 3 3" xfId="15387" xr:uid="{B309B596-DB1E-456F-8F64-E061DAE56C99}"/>
    <cellStyle name="常规 15 4" xfId="15388" xr:uid="{DCD6AF42-AA1F-46BA-8BB9-89BE9EAEB2D4}"/>
    <cellStyle name="常规 15 4 2" xfId="15389" xr:uid="{311B4BE5-9846-4C90-B60D-91AF4DEE4A69}"/>
    <cellStyle name="常规 15 5" xfId="15390" xr:uid="{1E7287EC-4DBC-437C-BB9F-B687521E6B0B}"/>
    <cellStyle name="常规 15 5 2" xfId="15391" xr:uid="{F86F836D-3B7C-4B27-81D5-6BEE125A676D}"/>
    <cellStyle name="常规 15 5 3" xfId="15392" xr:uid="{2ECAD27E-D743-4052-8ADF-53759EF08440}"/>
    <cellStyle name="常规 15 5 4" xfId="15393" xr:uid="{A4837F09-4850-476C-905D-5BA81A4C0ADE}"/>
    <cellStyle name="常规 15 5 5" xfId="15394" xr:uid="{83F660BA-40B8-41BB-82BD-A0EC4B28F75D}"/>
    <cellStyle name="常规 15 5 6" xfId="15395" xr:uid="{45151875-F5F6-479F-9174-66B48C20D6CB}"/>
    <cellStyle name="常规 15 5 7" xfId="15396" xr:uid="{92C979F9-7DFA-42F9-A143-903B2182E3D9}"/>
    <cellStyle name="常规 15 6" xfId="15397" xr:uid="{494213FB-8CF4-4D13-9F0C-49DD4290852C}"/>
    <cellStyle name="常规 15 6 2" xfId="15398" xr:uid="{4C490759-9C0C-4E6C-B532-82D2A3555918}"/>
    <cellStyle name="常规 15 6 3" xfId="15399" xr:uid="{2F53E570-5DF6-4010-85FE-5028BAE1C9AD}"/>
    <cellStyle name="常规 15 6 4" xfId="15400" xr:uid="{C6790BB6-997B-4165-99AE-234CC8E63F74}"/>
    <cellStyle name="常规 15 6 5" xfId="15401" xr:uid="{A8DCBD55-C58F-47E2-987B-CC755D8F26E3}"/>
    <cellStyle name="常规 15 6 6" xfId="15402" xr:uid="{183FBBA3-38F3-4746-915E-E3FF4EF4CDD3}"/>
    <cellStyle name="常规 15 7" xfId="15403" xr:uid="{1E53093D-7FBC-42E3-A618-8521E9613A30}"/>
    <cellStyle name="常规 16" xfId="15404" xr:uid="{EDDE8A80-1E45-493D-B0CA-F44B9DE7C104}"/>
    <cellStyle name="常规 16 10" xfId="15405" xr:uid="{02E7D5F1-5DCA-4D0A-A51F-8D0E32ADD79B}"/>
    <cellStyle name="常规 16 2" xfId="15406" xr:uid="{178FADD6-1CBD-49B6-900E-05BB296EAB68}"/>
    <cellStyle name="常规 16 2 2" xfId="15407" xr:uid="{2D2A66FC-892B-44C7-81B8-59ED1915E70D}"/>
    <cellStyle name="常规 16 2 3" xfId="15408" xr:uid="{302D3106-C133-49F7-A2DD-605E78E22D9E}"/>
    <cellStyle name="常规 16 2 4" xfId="15409" xr:uid="{97736DCC-22E5-4CE0-B97A-56763D324036}"/>
    <cellStyle name="常规 16 3" xfId="15410" xr:uid="{830E4156-619C-4B37-9853-DE47D6BEC4BD}"/>
    <cellStyle name="常规 16 3 2" xfId="15411" xr:uid="{9EBEB0F0-9746-4DFE-A2FF-0B08252CE2F7}"/>
    <cellStyle name="常规 16 3 3" xfId="15412" xr:uid="{A42BC308-475C-4307-9DEB-418541428917}"/>
    <cellStyle name="常规 16 4" xfId="15413" xr:uid="{CB65FE0B-9B60-4B33-AC31-CD1A2BDF0DC9}"/>
    <cellStyle name="常规 16 4 2" xfId="15414" xr:uid="{8CD5C682-62EF-4306-88D1-37BA6BA6E6B5}"/>
    <cellStyle name="常规 16 4 3" xfId="15415" xr:uid="{6B8DE415-065F-4F9A-B71E-84C538595DDB}"/>
    <cellStyle name="常规 16 4 4" xfId="15416" xr:uid="{8D524E77-69B8-4B02-ADC0-D100859881C4}"/>
    <cellStyle name="常规 16 4 5" xfId="15417" xr:uid="{598C76D3-353E-4507-BB57-DA94B3758CB2}"/>
    <cellStyle name="常规 16 4 6" xfId="15418" xr:uid="{18E82F08-EB22-43B7-8E5B-5E46A5ECF0D0}"/>
    <cellStyle name="常规 16 5" xfId="15419" xr:uid="{79720493-AC86-4A32-BF43-43101F6740DA}"/>
    <cellStyle name="常规 16 5 2" xfId="15420" xr:uid="{64EBA002-7DE6-4B5D-BD5F-7E62F73EAB3D}"/>
    <cellStyle name="常规 16 6" xfId="15421" xr:uid="{4F64F47C-66D0-464C-9BBA-D5C2DA635837}"/>
    <cellStyle name="常规 16 7" xfId="15422" xr:uid="{D70AAA63-A515-46B9-B6B2-A23C1B501A26}"/>
    <cellStyle name="常规 16 8" xfId="15423" xr:uid="{60F812C9-73B0-4FEB-B760-EB0A2F45D26B}"/>
    <cellStyle name="常规 16 9" xfId="15424" xr:uid="{8FB654CD-AA04-4B37-806B-671EB89B1EFE}"/>
    <cellStyle name="常规 17" xfId="15425" xr:uid="{D6D7EB68-B8AF-4526-891C-71DE20C1C260}"/>
    <cellStyle name="常规 17 10" xfId="15426" xr:uid="{7DF5CD25-C406-4DC4-AC7C-0480BD29ECFC}"/>
    <cellStyle name="常规 17 2" xfId="15427" xr:uid="{3173F5A3-E0C2-40D5-99B6-96136DD57B40}"/>
    <cellStyle name="常规 17 2 2" xfId="15428" xr:uid="{F5A02E32-AD51-4E57-8396-FED2B5A37248}"/>
    <cellStyle name="常规 17 2 2 2" xfId="15429" xr:uid="{563435CF-0C7A-4C88-9D7C-8031CE6589D8}"/>
    <cellStyle name="常规 17 2 2 3" xfId="15430" xr:uid="{5402F320-9827-48C2-87C9-18D94FFB2BE2}"/>
    <cellStyle name="常规 17 2 3" xfId="15431" xr:uid="{29F32517-3396-462E-B1B3-7C67CD0CED79}"/>
    <cellStyle name="常规 17 2 3 2" xfId="15432" xr:uid="{FFB07D18-84DC-46BD-B00A-AEC9B50C9D70}"/>
    <cellStyle name="常规 17 2 3 3" xfId="15433" xr:uid="{44D5C463-2198-4FC9-80EE-F64AB1114BF2}"/>
    <cellStyle name="常规 17 2 3 4" xfId="15434" xr:uid="{2800B98E-F30E-4FA5-BE63-0FA720650D1F}"/>
    <cellStyle name="常规 17 2 3 5" xfId="15435" xr:uid="{A6586F0B-986E-4729-BA20-4C6BA088B416}"/>
    <cellStyle name="常规 17 2 3 6" xfId="15436" xr:uid="{FE58ED46-78A9-4CA6-8AE8-E547A4623D02}"/>
    <cellStyle name="常规 17 2 3 7" xfId="15437" xr:uid="{9EBFC738-27A5-43A4-88A9-E392517CD8F2}"/>
    <cellStyle name="常规 17 2 3 8" xfId="15438" xr:uid="{E43A65C3-A188-4DF6-9F36-4F73F9EC5231}"/>
    <cellStyle name="常规 17 2 4" xfId="15439" xr:uid="{6313661F-5E1C-4884-A4E7-BC6EE27FCE5F}"/>
    <cellStyle name="常规 17 2 4 2" xfId="15440" xr:uid="{B6B3C228-2C4B-4764-B67E-B89B4BA5D699}"/>
    <cellStyle name="常规 17 2 5" xfId="15441" xr:uid="{EA4CC551-DD33-4AF5-9A7A-5CE91DD12D14}"/>
    <cellStyle name="常规 17 2 5 2" xfId="15442" xr:uid="{49DD3C3A-28E1-4FD1-B424-B67F8B50527D}"/>
    <cellStyle name="常规 17 2 5 3" xfId="33856" xr:uid="{5AFF6F42-C38E-40B1-84A4-8B42CC590CE1}"/>
    <cellStyle name="常规 17 2 6" xfId="15443" xr:uid="{BE83D947-5186-4BEB-90F2-26CD4CD1FEC3}"/>
    <cellStyle name="常规 17 2 7" xfId="15444" xr:uid="{FACB028D-E787-4B5B-91C6-CB83D21A0C94}"/>
    <cellStyle name="常规 17 2 8" xfId="15445" xr:uid="{6F12F72D-76AE-4C2A-BE6E-C7F7C55D9819}"/>
    <cellStyle name="常规 17 2 9" xfId="15446" xr:uid="{18F6AF77-8FCC-40BC-BF48-9C70C37DB562}"/>
    <cellStyle name="常规 17 3" xfId="15447" xr:uid="{6F7A9841-1FCC-4A1A-9866-743006E8B07A}"/>
    <cellStyle name="常规 17 3 2" xfId="15448" xr:uid="{E6092E1D-D2B0-493B-9C5F-B61859732722}"/>
    <cellStyle name="常规 17 3 2 2" xfId="15449" xr:uid="{A7A63C4F-1AF6-41C8-82CF-5C39A15221B5}"/>
    <cellStyle name="常规 17 3 2 3" xfId="15450" xr:uid="{DCA92930-2628-435F-8198-DE14A1573A83}"/>
    <cellStyle name="常规 17 3 2 4" xfId="15451" xr:uid="{7738200D-2DFE-4CDB-BC4E-2A37D4509F2E}"/>
    <cellStyle name="常规 17 3 2 5" xfId="15452" xr:uid="{761CBDE1-F93F-45D5-8E8B-2BF0FC3025C1}"/>
    <cellStyle name="常规 17 3 2 6" xfId="15453" xr:uid="{4D9ED98C-3099-442A-8005-12706791ACD9}"/>
    <cellStyle name="常规 17 3 2 7" xfId="15454" xr:uid="{C6012B31-50E8-40DE-B040-C038BB8E78B5}"/>
    <cellStyle name="常规 17 3 2 8" xfId="15455" xr:uid="{02E8150B-1AFF-4D48-94D0-AA8334AAE72E}"/>
    <cellStyle name="常规 17 3 3" xfId="15456" xr:uid="{5047E678-22F6-4D69-BDE3-1177303F4328}"/>
    <cellStyle name="常规 17 3 3 2" xfId="15457" xr:uid="{D54A6609-6154-4554-AC22-8FF01F16995A}"/>
    <cellStyle name="常规 17 3 4" xfId="15458" xr:uid="{4A7FCB3F-E6CE-4938-89DE-CC18ACCF2E75}"/>
    <cellStyle name="常规 17 3 4 2" xfId="15459" xr:uid="{C8D8BE78-92FE-4ACF-99C9-76976FD43E6C}"/>
    <cellStyle name="常规 17 3 4 3" xfId="33857" xr:uid="{6BE692A2-6874-472F-B68C-75B331039CB3}"/>
    <cellStyle name="常规 17 3 5" xfId="15460" xr:uid="{8C06B6B1-9C2F-4628-9A63-BB7C73A64692}"/>
    <cellStyle name="常规 17 3 6" xfId="15461" xr:uid="{ADEBDCB6-36ED-4E92-B5E8-604F0414EF03}"/>
    <cellStyle name="常规 17 3 7" xfId="15462" xr:uid="{56C3A9DC-24A2-428A-AEBD-B6DDE951AFCC}"/>
    <cellStyle name="常规 17 3 8" xfId="15463" xr:uid="{A8285E23-F2BE-4A04-95C0-321F706C1879}"/>
    <cellStyle name="常规 17 4" xfId="15464" xr:uid="{2CDD18EB-ABB1-4CEB-BE5A-50A7BCDA23A7}"/>
    <cellStyle name="常规 17 4 2" xfId="15465" xr:uid="{AEF2FEED-2F2F-4509-91AF-BE31EB504748}"/>
    <cellStyle name="常规 17 4 2 2" xfId="15466" xr:uid="{69C324E5-0869-4740-B6EE-78EB4144719C}"/>
    <cellStyle name="常规 17 4 2 3" xfId="15467" xr:uid="{49B6202A-D18B-4B6C-8F6B-9F780C21DAC2}"/>
    <cellStyle name="常规 17 4 3" xfId="15468" xr:uid="{43F52A47-2C2B-40F7-B619-62B4D5A3EB12}"/>
    <cellStyle name="常规 17 4 3 2" xfId="15469" xr:uid="{3BC82E19-DAAE-4106-9708-060ACFA53AFF}"/>
    <cellStyle name="常规 17 4 4" xfId="15470" xr:uid="{0AEC993E-761C-4B1B-8CCE-8F035BA5F9D3}"/>
    <cellStyle name="常规 17 4 4 2" xfId="15471" xr:uid="{16966769-F341-48EC-ACB9-B07EB6393E4F}"/>
    <cellStyle name="常规 17 4 4 3" xfId="33858" xr:uid="{2E615782-4399-486B-A3CC-386007BA84D3}"/>
    <cellStyle name="常规 17 4 5" xfId="15472" xr:uid="{5056C33B-5C16-4277-A2B6-809A403A7B61}"/>
    <cellStyle name="常规 17 4 6" xfId="15473" xr:uid="{30263B30-5ADC-4D16-A5DC-07FD3318B4E6}"/>
    <cellStyle name="常规 17 4 7" xfId="15474" xr:uid="{AED4E4C2-76BD-45B3-9FD1-B628D624BCA9}"/>
    <cellStyle name="常规 17 5" xfId="15475" xr:uid="{AB7BC190-46C7-4E39-9C58-06A1EC995167}"/>
    <cellStyle name="常规 17 5 2" xfId="15476" xr:uid="{96E199DB-0216-4461-A8FC-83D1B760A134}"/>
    <cellStyle name="常规 17 5 3" xfId="15477" xr:uid="{D85E1536-1F67-4B2B-8477-1F97F780A2D1}"/>
    <cellStyle name="常规 17 6" xfId="15478" xr:uid="{D8BDEF74-5393-4F3F-B8EC-7D33C669E594}"/>
    <cellStyle name="常规 17 6 2" xfId="15479" xr:uid="{90ED0B5D-3FA4-4656-824C-A61F6743E321}"/>
    <cellStyle name="常规 17 7" xfId="15480" xr:uid="{E262C07E-36AA-4547-AFFD-D4ED4C0DB9CD}"/>
    <cellStyle name="常规 17 7 2" xfId="15481" xr:uid="{8D4E3126-8F10-4EF7-8BDF-2A4242FF21AE}"/>
    <cellStyle name="常规 17 7 3" xfId="33859" xr:uid="{5F369AB6-2810-4F17-96EF-427950E462B0}"/>
    <cellStyle name="常规 17 8" xfId="15482" xr:uid="{29779699-F223-44A8-B9DE-0372A6449387}"/>
    <cellStyle name="常规 17 8 2" xfId="15483" xr:uid="{F33A3EAD-4753-4B39-84DD-9470CD35272F}"/>
    <cellStyle name="常规 17 9" xfId="15484" xr:uid="{97E725AB-17ED-4A62-9B0B-7F2C413660F7}"/>
    <cellStyle name="常规 18" xfId="15485" xr:uid="{422F51FA-A7EA-4260-8477-ECDE5DFE3CEF}"/>
    <cellStyle name="常规 18 2" xfId="15486" xr:uid="{9B370F7C-1EE0-4AE3-B078-F29263F630D1}"/>
    <cellStyle name="常规 18 2 2" xfId="15487" xr:uid="{A718D446-51AA-47DB-9588-DDF568B140C8}"/>
    <cellStyle name="常规 18 3" xfId="15488" xr:uid="{74AAA8C7-9A43-42B4-BDFA-C09E24F2E189}"/>
    <cellStyle name="常规 18 4" xfId="15489" xr:uid="{44E13BF8-27E9-4818-8C49-54764A1F7234}"/>
    <cellStyle name="常规 19" xfId="15490" xr:uid="{0F463240-E2A2-4C94-BE5E-D67C16161188}"/>
    <cellStyle name="常规 19 2" xfId="15491" xr:uid="{638C1399-44EA-40A4-8694-687A3D31E41D}"/>
    <cellStyle name="常规 19 2 2" xfId="15492" xr:uid="{CD44C860-92F8-442E-A398-911DF9FBE3FD}"/>
    <cellStyle name="常规 19 3" xfId="15493" xr:uid="{B7D9CFA5-0A8B-47F4-9B9E-197C0B7663A6}"/>
    <cellStyle name="常规 19 3 2" xfId="15494" xr:uid="{E11C5DFC-4E1C-4670-AE61-B62C6B1A2077}"/>
    <cellStyle name="常规 19 3 3" xfId="15495" xr:uid="{F91C575A-2EDE-43F8-96D7-9779E604BFB5}"/>
    <cellStyle name="常规 19 3 4" xfId="15496" xr:uid="{35DFABEB-E34A-4AA5-B42D-4F9082B18661}"/>
    <cellStyle name="常规 19 3 5" xfId="15497" xr:uid="{CFBE81F2-0F64-4803-AD30-F3498FA4CC19}"/>
    <cellStyle name="常规 19 3 6" xfId="15498" xr:uid="{42E69C67-DC6E-4DE7-B828-E93FCEB8F3C3}"/>
    <cellStyle name="常规 19 3 7" xfId="15499" xr:uid="{4919D1F0-27F8-4AD6-9D1C-278A382ED3DC}"/>
    <cellStyle name="常规 19 4" xfId="15500" xr:uid="{90CAFFA4-E7DC-4579-A7C4-F69D2C6254EF}"/>
    <cellStyle name="常规 19 5" xfId="15501" xr:uid="{78A586F3-0BD6-465F-8E9D-2F0A99D3A4D9}"/>
    <cellStyle name="常规 19 6" xfId="15502" xr:uid="{2CA2C5A2-3731-4B66-9E0D-749DDE676D83}"/>
    <cellStyle name="常规 19 7" xfId="15503" xr:uid="{92F81B4C-3A4C-4F89-A951-4F697CD8633E}"/>
    <cellStyle name="常规 19 8" xfId="15504" xr:uid="{80697AD3-B890-46A4-A1C3-00890D10FC0C}"/>
    <cellStyle name="常规 19 9" xfId="15505" xr:uid="{DADAB41B-B546-4739-B98A-9DE682A4A4A6}"/>
    <cellStyle name="常规 2" xfId="2" xr:uid="{77333E5C-2DB5-4D72-B13D-9C93B5A31613}"/>
    <cellStyle name="常规 2 10" xfId="15507" xr:uid="{C2C93A69-181E-4ACC-BB30-CFC716236C77}"/>
    <cellStyle name="常规 2 10 10" xfId="15508" xr:uid="{ABD87FA1-16A3-4EBB-8939-F5A89118C58C}"/>
    <cellStyle name="常规 2 10 2" xfId="15509" xr:uid="{9CEE2C54-0D79-482B-B4DE-B1091A460F1B}"/>
    <cellStyle name="常规 2 10 2 10" xfId="15510" xr:uid="{A05F90F1-B8EB-4F2A-A512-34EF10254FA7}"/>
    <cellStyle name="常规 2 10 2 2" xfId="15511" xr:uid="{5988B165-7EA5-44BF-B29D-D008245DBA55}"/>
    <cellStyle name="常规 2 10 2 2 2" xfId="15512" xr:uid="{D3C4FA58-5ECC-475D-95BF-27838AD762D9}"/>
    <cellStyle name="常规 2 10 2 2 2 2" xfId="15513" xr:uid="{3B11FACF-576F-4CA4-B700-79B61734F6EC}"/>
    <cellStyle name="常规 2 10 2 2 2 2 2" xfId="15514" xr:uid="{93FC851D-7B20-42E5-A599-BC0D9F19D8DE}"/>
    <cellStyle name="常规 2 10 2 2 2 2 3" xfId="15515" xr:uid="{EDD55E17-4D49-44FB-898E-82735118116C}"/>
    <cellStyle name="常规 2 10 2 2 2 3" xfId="15516" xr:uid="{4F0607B1-AB66-4A82-93C5-6C6241C0AD3E}"/>
    <cellStyle name="常规 2 10 2 2 2 3 2" xfId="15517" xr:uid="{56B130F3-5C5D-42A3-A872-8451E7D14214}"/>
    <cellStyle name="常规 2 10 2 2 2 4" xfId="15518" xr:uid="{A79227FF-80B6-4BD4-B97B-A890B3E434FE}"/>
    <cellStyle name="常规 2 10 2 2 2 4 2" xfId="15519" xr:uid="{01570F09-35F7-4DB9-BEF7-35113A98E353}"/>
    <cellStyle name="常规 2 10 2 2 2 4 3" xfId="33860" xr:uid="{8E98B236-785F-4A2A-80C8-93FBCEF5D213}"/>
    <cellStyle name="常规 2 10 2 2 2 5" xfId="15520" xr:uid="{BD4130B8-780B-4D0E-A705-A01A30A931FB}"/>
    <cellStyle name="常规 2 10 2 2 2 6" xfId="15521" xr:uid="{71C7EC78-0450-4AD6-B21A-F0B607FC0DD5}"/>
    <cellStyle name="常规 2 10 2 2 2 7" xfId="15522" xr:uid="{D9EC1DEC-361A-417B-B3D9-3F37D07901BE}"/>
    <cellStyle name="常规 2 10 2 2 3" xfId="15523" xr:uid="{35864867-CFE0-4E5F-8B00-1FE206DE66A0}"/>
    <cellStyle name="常规 2 10 2 2 3 2" xfId="15524" xr:uid="{64FBCECB-24E6-4A48-9184-56387D38F1BA}"/>
    <cellStyle name="常规 2 10 2 2 3 3" xfId="15525" xr:uid="{ECED11B7-AA9F-40C1-A566-5B8C162292D4}"/>
    <cellStyle name="常规 2 10 2 2 4" xfId="15526" xr:uid="{CCA47E52-E1B6-4202-B3C1-38DB3013A384}"/>
    <cellStyle name="常规 2 10 2 2 4 2" xfId="15527" xr:uid="{D39BC5FE-C3A4-4E37-872F-C939A49316E5}"/>
    <cellStyle name="常规 2 10 2 2 5" xfId="15528" xr:uid="{9597804B-69E9-465D-9E09-26E96DA68772}"/>
    <cellStyle name="常规 2 10 2 2 5 2" xfId="15529" xr:uid="{9A3ED191-A2D9-48B7-AF9C-BCCF1CDCA7A8}"/>
    <cellStyle name="常规 2 10 2 2 5 3" xfId="33861" xr:uid="{A15823C4-79F8-452E-908F-3288D00CBC71}"/>
    <cellStyle name="常规 2 10 2 2 6" xfId="15530" xr:uid="{C48E0049-561B-46C4-94B8-050D2FBB4BF3}"/>
    <cellStyle name="常规 2 10 2 2 7" xfId="15531" xr:uid="{33B07B51-4553-4D13-A687-36B0EDE6AD01}"/>
    <cellStyle name="常规 2 10 2 2 8" xfId="15532" xr:uid="{3F538D79-A2D0-44BB-9159-8345AFA59F2E}"/>
    <cellStyle name="常规 2 10 2 3" xfId="15533" xr:uid="{6C4F0FCE-AC95-40F3-ABFB-FA0E26F93355}"/>
    <cellStyle name="常规 2 10 2 3 2" xfId="15534" xr:uid="{57472263-6667-4522-A16C-8729A1FCEAC5}"/>
    <cellStyle name="常规 2 10 2 3 2 2" xfId="15535" xr:uid="{6AB92E13-5508-433A-B1F8-2C3629364453}"/>
    <cellStyle name="常规 2 10 2 3 2 3" xfId="15536" xr:uid="{32F01409-E43D-49AD-9AEA-EAFB45F1DEE4}"/>
    <cellStyle name="常规 2 10 2 3 2 4" xfId="15537" xr:uid="{9440DE15-2206-4B49-B9D1-7DC09A1B1A5B}"/>
    <cellStyle name="常规 2 10 2 3 2 5" xfId="15538" xr:uid="{F0554258-0FFC-48E1-8FD7-9B1CB9123AA4}"/>
    <cellStyle name="常规 2 10 2 3 2 6" xfId="15539" xr:uid="{7339984E-D720-44DC-88BB-154FE397F3AB}"/>
    <cellStyle name="常规 2 10 2 3 2 7" xfId="15540" xr:uid="{E872CB4A-7B1A-48F4-A8DD-FD46AA4656FF}"/>
    <cellStyle name="常规 2 10 2 3 2 8" xfId="15541" xr:uid="{29DF70F9-CE9D-495E-B983-B733B945F306}"/>
    <cellStyle name="常规 2 10 2 3 3" xfId="15542" xr:uid="{624A82C5-74D9-4B4C-9BA7-CF6760B59E6A}"/>
    <cellStyle name="常规 2 10 2 3 3 2" xfId="15543" xr:uid="{96E3F441-9814-498D-BA13-0AE7D8CC52CD}"/>
    <cellStyle name="常规 2 10 2 3 4" xfId="15544" xr:uid="{D9BDAF8A-4899-4B47-A7B3-B1C993AF83B2}"/>
    <cellStyle name="常规 2 10 2 3 4 2" xfId="15545" xr:uid="{451B0F7B-C921-41CC-870B-DFF541EDF58E}"/>
    <cellStyle name="常规 2 10 2 3 4 3" xfId="33862" xr:uid="{C68BD940-1E67-47BF-B9BE-FBF1FCE6986D}"/>
    <cellStyle name="常规 2 10 2 3 5" xfId="15546" xr:uid="{D716E710-68E1-4E13-955D-4D71807D1CDA}"/>
    <cellStyle name="常规 2 10 2 3 6" xfId="15547" xr:uid="{850E8B9F-E964-4706-BAF1-5E4ABCE756C1}"/>
    <cellStyle name="常规 2 10 2 3 7" xfId="15548" xr:uid="{AD2C921E-5914-4187-B453-2C93897CD1D3}"/>
    <cellStyle name="常规 2 10 2 3 8" xfId="15549" xr:uid="{D7F3311D-672F-4B2E-98B2-F297E0439793}"/>
    <cellStyle name="常规 2 10 2 4" xfId="15550" xr:uid="{1B6662DF-2F9D-4A18-97A4-0C1F6F9FDDE0}"/>
    <cellStyle name="常规 2 10 2 4 2" xfId="15551" xr:uid="{836C2AB5-8928-40CE-A6AA-3DE63DDC157F}"/>
    <cellStyle name="常规 2 10 2 4 2 2" xfId="15552" xr:uid="{31441D57-6BF3-4A80-BD7D-B4CDEC186608}"/>
    <cellStyle name="常规 2 10 2 4 2 3" xfId="15553" xr:uid="{E6F8511D-0BDB-4B6E-B618-80291AED75C8}"/>
    <cellStyle name="常规 2 10 2 4 3" xfId="15554" xr:uid="{C3799AB1-DCC5-4780-BC66-714F28AC2F9D}"/>
    <cellStyle name="常规 2 10 2 4 3 2" xfId="15555" xr:uid="{FA7D150F-A829-48E5-8C1E-64BF9F2A1933}"/>
    <cellStyle name="常规 2 10 2 4 4" xfId="15556" xr:uid="{50F196BC-E5DC-4103-A7A1-90B4E8315C29}"/>
    <cellStyle name="常规 2 10 2 4 4 2" xfId="15557" xr:uid="{4CBF64E7-B36E-4133-9067-8AEAA72E2A28}"/>
    <cellStyle name="常规 2 10 2 4 4 3" xfId="33863" xr:uid="{F4FFFD28-23AE-4AA5-B89A-0DFFFB7BAED1}"/>
    <cellStyle name="常规 2 10 2 4 5" xfId="15558" xr:uid="{9852A560-E43E-46C5-BB84-28E038FB3F66}"/>
    <cellStyle name="常规 2 10 2 4 6" xfId="15559" xr:uid="{6A2445BB-CCFF-4877-A5DF-91D6AC1A399E}"/>
    <cellStyle name="常规 2 10 2 4 7" xfId="15560" xr:uid="{87DB599F-95BC-4A1E-8AD3-0BEBA9E690CD}"/>
    <cellStyle name="常规 2 10 2 5" xfId="15561" xr:uid="{0D9A2B94-E16D-4C5C-BF36-18785B07C0A9}"/>
    <cellStyle name="常规 2 10 2 5 2" xfId="15562" xr:uid="{0BA3161E-7BE0-4D3B-B615-CEF1565E4805}"/>
    <cellStyle name="常规 2 10 2 5 3" xfId="15563" xr:uid="{A8B16BF5-92FE-4DD9-B548-0D03CDCD2A4E}"/>
    <cellStyle name="常规 2 10 2 6" xfId="15564" xr:uid="{C46B565F-522B-446D-B1F4-A48BA4EF9363}"/>
    <cellStyle name="常规 2 10 2 6 2" xfId="15565" xr:uid="{CD70E8F7-DBF0-4F00-B4EE-9FB51FFF36C0}"/>
    <cellStyle name="常规 2 10 2 7" xfId="15566" xr:uid="{38A3B03F-34E0-42FD-9534-5826FB2F2D53}"/>
    <cellStyle name="常规 2 10 2 7 2" xfId="15567" xr:uid="{5A0AEECE-9D70-4E4D-853E-02C460928C95}"/>
    <cellStyle name="常规 2 10 2 7 3" xfId="33864" xr:uid="{A8DC55B4-923C-452E-95DE-213A2D5AD80E}"/>
    <cellStyle name="常规 2 10 2 8" xfId="15568" xr:uid="{8CDAA2B8-A994-4854-AC7E-B91BD8DB6361}"/>
    <cellStyle name="常规 2 10 2 9" xfId="15569" xr:uid="{9EC46CA3-1C60-4A22-A4DB-671D050B563C}"/>
    <cellStyle name="常规 2 10 3" xfId="15570" xr:uid="{320097E9-E963-438F-8578-117784A858E9}"/>
    <cellStyle name="常规 2 10 3 2" xfId="15571" xr:uid="{317C0A22-97B9-41F2-9CEF-8E3E0380ED75}"/>
    <cellStyle name="常规 2 10 3 2 2" xfId="15572" xr:uid="{A20DA949-8555-4912-9BD6-A807A6E65C75}"/>
    <cellStyle name="常规 2 10 3 2 2 2" xfId="15573" xr:uid="{8AFF73D6-17E2-46BA-A24C-F113D60AA9D5}"/>
    <cellStyle name="常规 2 10 3 2 3" xfId="15574" xr:uid="{38E5178C-5E52-4B17-88EE-D41F86DBA99E}"/>
    <cellStyle name="常规 2 10 3 2 4" xfId="15575" xr:uid="{0A925194-4D9F-4BC3-902C-07FD1AE6292E}"/>
    <cellStyle name="常规 2 10 3 2 4 2" xfId="33865" xr:uid="{A93EAEC3-7E47-4D90-9259-ABF41658A774}"/>
    <cellStyle name="常规 2 10 3 2 5" xfId="15576" xr:uid="{7B701A13-D870-47F5-B782-AED74D8BE887}"/>
    <cellStyle name="常规 2 10 3 3" xfId="15577" xr:uid="{E13F071B-71C6-472E-9D45-CFAD4AE3E43A}"/>
    <cellStyle name="常规 2 10 3 3 2" xfId="15578" xr:uid="{C06DA257-1099-4A59-9189-4E0AE3087699}"/>
    <cellStyle name="常规 2 10 3 3 3" xfId="15579" xr:uid="{256F4801-E462-4F02-9AF9-EF8DB9485544}"/>
    <cellStyle name="常规 2 10 3 3 4" xfId="15580" xr:uid="{69246F35-B0C5-43F5-BBBB-F7B25D1A16B5}"/>
    <cellStyle name="常规 2 10 3 3 5" xfId="15581" xr:uid="{BF3BDAF4-C5A2-4574-96F4-524A18D25239}"/>
    <cellStyle name="常规 2 10 3 3 6" xfId="15582" xr:uid="{B8FCCC89-EA5A-4AE2-A49C-F6F66E4547C2}"/>
    <cellStyle name="常规 2 10 3 3 7" xfId="15583" xr:uid="{5AF30256-6606-406B-A60F-4A28883A2524}"/>
    <cellStyle name="常规 2 10 3 3 8" xfId="15584" xr:uid="{90AE424B-9E04-4B36-9A40-5BC020418C1A}"/>
    <cellStyle name="常规 2 10 3 4" xfId="15585" xr:uid="{30165421-AEF8-4698-ACA0-A2375FE96734}"/>
    <cellStyle name="常规 2 10 3 4 2" xfId="15586" xr:uid="{C1631CA0-AB76-44E6-945A-C8CD582A54F2}"/>
    <cellStyle name="常规 2 10 3 5" xfId="15587" xr:uid="{EF3F3EA9-038D-4F81-B169-8238AACEA7E1}"/>
    <cellStyle name="常规 2 10 3 5 2" xfId="15588" xr:uid="{A1AC668E-7960-49B9-B02A-501B3D206BC4}"/>
    <cellStyle name="常规 2 10 3 5 3" xfId="33866" xr:uid="{AB0A256B-F3FD-47BB-A595-7FE5B9E99D9D}"/>
    <cellStyle name="常规 2 10 3 6" xfId="15589" xr:uid="{3C43B645-DA96-4EB8-9C1A-890576A26CBF}"/>
    <cellStyle name="常规 2 10 3 7" xfId="15590" xr:uid="{E41EF417-8F67-4592-A9C5-B9FD16E5C0FD}"/>
    <cellStyle name="常规 2 10 3 8" xfId="15591" xr:uid="{DA877DC8-4B6A-482D-ABEF-71B3458159BC}"/>
    <cellStyle name="常规 2 10 3 9" xfId="15592" xr:uid="{F0199334-A00A-4996-BA88-4F8C046C34F3}"/>
    <cellStyle name="常规 2 10 4" xfId="15593" xr:uid="{2F473C7B-AFCB-4FA2-8768-EC8ECE0C44C7}"/>
    <cellStyle name="常规 2 10 4 2" xfId="15594" xr:uid="{F329C5BB-FD16-4948-B6A2-D2CE9FC9E7BB}"/>
    <cellStyle name="常规 2 10 4 2 2" xfId="15595" xr:uid="{EE1C0EE4-C2A6-4DBC-B84A-16D8332D6DF4}"/>
    <cellStyle name="常规 2 10 4 3" xfId="15596" xr:uid="{00D8BC4E-0344-448F-BDF2-BD33F3DD5D9B}"/>
    <cellStyle name="常规 2 10 4 4" xfId="15597" xr:uid="{9000EAF6-F17C-41B3-AA8C-EFBCC0F84372}"/>
    <cellStyle name="常规 2 10 4 4 2" xfId="33867" xr:uid="{7F35C2C6-2F25-416F-9095-F258DCA2F890}"/>
    <cellStyle name="常规 2 10 4 5" xfId="15598" xr:uid="{6C24ED37-6E50-4E60-B8B4-9CBF9286864E}"/>
    <cellStyle name="常规 2 10 5" xfId="15599" xr:uid="{BBAF13BF-52A4-4999-9741-F1CC85CD3B01}"/>
    <cellStyle name="常规 2 10 5 2" xfId="15600" xr:uid="{884B95B7-0389-4BFD-A49E-35DAEF8D00FE}"/>
    <cellStyle name="常规 2 10 5 2 2" xfId="15601" xr:uid="{FFE7B90A-2F82-4BDA-8575-14AE64E890AB}"/>
    <cellStyle name="常规 2 10 5 3" xfId="15602" xr:uid="{81097460-AAB5-464C-AD89-F6FEE7C58FA9}"/>
    <cellStyle name="常规 2 10 5 4" xfId="15603" xr:uid="{04C722B6-7F99-418E-8E5D-5AC2EED485D5}"/>
    <cellStyle name="常规 2 10 5 4 2" xfId="33868" xr:uid="{B808D84B-B90B-446B-BA2A-F90E2405EDDD}"/>
    <cellStyle name="常规 2 10 6" xfId="15604" xr:uid="{CD597C52-400E-420C-BEFD-4959C636AC53}"/>
    <cellStyle name="常规 2 10 6 2" xfId="15605" xr:uid="{4D425136-0257-411F-93C7-B857DC126334}"/>
    <cellStyle name="常规 2 10 6 3" xfId="15606" xr:uid="{9B675FF8-2A58-488B-A64F-CE08F044B0F3}"/>
    <cellStyle name="常规 2 10 7" xfId="15607" xr:uid="{AA6B9CC7-DC98-4A69-9EF1-A3278B23B92D}"/>
    <cellStyle name="常规 2 10 7 2" xfId="15608" xr:uid="{84D302EC-7990-4C1E-80D2-856C7F68EE8D}"/>
    <cellStyle name="常规 2 10 8" xfId="15609" xr:uid="{9FAD93C2-3E8F-4872-831B-69E664C113EC}"/>
    <cellStyle name="常规 2 10 8 2" xfId="33869" xr:uid="{2092E517-D712-40B6-B677-5BFAF3867816}"/>
    <cellStyle name="常规 2 10 9" xfId="15610" xr:uid="{29FB7F8C-C236-47F2-A7F1-77F1A2682BD0}"/>
    <cellStyle name="常规 2 11" xfId="15611" xr:uid="{D407379E-2D54-4179-8CE8-260F89560CE2}"/>
    <cellStyle name="常规 2 11 2" xfId="15612" xr:uid="{F05A5233-B215-4D62-8BA4-4E9FF583D8B9}"/>
    <cellStyle name="常规 2 11 2 2" xfId="15613" xr:uid="{316CA1BD-4BBC-4432-B166-E16249FFB2B2}"/>
    <cellStyle name="常规 2 11 2 3" xfId="32840" xr:uid="{FAC3D8A1-E56D-48B5-9BFD-79A70CD70130}"/>
    <cellStyle name="常规 2 11 3" xfId="15614" xr:uid="{676BD2CB-B0DC-4EC1-A945-CA7C5DCB1595}"/>
    <cellStyle name="常规 2 11 3 2" xfId="15615" xr:uid="{4D3CC2F0-8C7C-4364-AA88-222BB41A229D}"/>
    <cellStyle name="常规 2 11 3 3" xfId="15616" xr:uid="{A900EB45-EFBD-4221-BAAE-BF1ED41F02A7}"/>
    <cellStyle name="常规 2 11 3 3 2" xfId="32841" xr:uid="{BAE1E259-12A4-4A41-84BE-146535A9C8E4}"/>
    <cellStyle name="常规 2 11 3 4" xfId="15617" xr:uid="{11CA262E-9876-466A-B477-4BAA24301FC3}"/>
    <cellStyle name="常规 2 11 4" xfId="15618" xr:uid="{237B2426-C069-4BD7-944B-9DE19E7ABE34}"/>
    <cellStyle name="常规 2 11 4 2" xfId="15619" xr:uid="{14D1CDA5-76B5-435A-996E-457460855770}"/>
    <cellStyle name="常规 2 11 4 3" xfId="15620" xr:uid="{3B564350-BA86-419F-A8F4-A2295CFD3A87}"/>
    <cellStyle name="常规 2 11 5" xfId="15621" xr:uid="{0C080F4F-3A01-497F-9EAA-002375C50546}"/>
    <cellStyle name="常规 2 11 6" xfId="15622" xr:uid="{526E776E-3BD8-4A9F-BDAF-5A3B47867FA4}"/>
    <cellStyle name="常规 2 11 7" xfId="15623" xr:uid="{A5073D46-E12D-40C2-827E-DE4309531181}"/>
    <cellStyle name="常规 2 12" xfId="15624" xr:uid="{698D1088-06B5-4760-8A18-DEA8FF75F703}"/>
    <cellStyle name="常规 2 12 2" xfId="15625" xr:uid="{CE1FE635-8E98-433D-98FC-36C198936140}"/>
    <cellStyle name="常规 2 12 2 2" xfId="15626" xr:uid="{2982F02A-F0F7-4858-B64F-14B31610D666}"/>
    <cellStyle name="常规 2 12 2 2 2" xfId="15627" xr:uid="{3880B8DF-9A07-44BC-ABDF-D40F540133A3}"/>
    <cellStyle name="常规 2 12 2 2 2 2" xfId="15628" xr:uid="{AC13B6A6-3AF6-4C16-A7F8-0C13F15788BE}"/>
    <cellStyle name="常规 2 12 2 2 2 2 2" xfId="15629" xr:uid="{5DB882E8-B598-4F71-8C11-CBA5A8E7EAF3}"/>
    <cellStyle name="常规 2 12 2 2 2 2 3" xfId="15630" xr:uid="{7D2C3235-C32B-4D68-BC7A-37F26EE35DF5}"/>
    <cellStyle name="常规 2 12 2 2 2 3" xfId="15631" xr:uid="{F5AD5345-E827-48AF-BED5-471092FEFBC9}"/>
    <cellStyle name="常规 2 12 2 2 2 3 2" xfId="15632" xr:uid="{2D43E983-EFDE-40B9-8C91-AEFF0FB894A3}"/>
    <cellStyle name="常规 2 12 2 2 2 4" xfId="15633" xr:uid="{F0B93B2D-0C1E-451A-A65E-BA2E31DDD145}"/>
    <cellStyle name="常规 2 12 2 2 2 4 2" xfId="15634" xr:uid="{554DA5D9-CEA0-49BC-9CC2-4ACA3107CCD5}"/>
    <cellStyle name="常规 2 12 2 2 2 4 3" xfId="33870" xr:uid="{CBBDD274-E90D-4A87-9658-921A3F9D9B73}"/>
    <cellStyle name="常规 2 12 2 2 2 5" xfId="15635" xr:uid="{2234A51F-BF7C-435D-AFBF-9730945A2E2D}"/>
    <cellStyle name="常规 2 12 2 2 2 6" xfId="15636" xr:uid="{1CF4C36E-B68A-4B63-A339-74722832D019}"/>
    <cellStyle name="常规 2 12 2 2 2 7" xfId="15637" xr:uid="{494BEEDF-9F3A-424D-94B0-DEC993AD20B6}"/>
    <cellStyle name="常规 2 12 2 2 3" xfId="15638" xr:uid="{280A9614-6240-43F3-88E8-D3ADAA881160}"/>
    <cellStyle name="常规 2 12 2 2 3 2" xfId="15639" xr:uid="{84F73F4E-8807-4CE3-8345-9F5405AC4914}"/>
    <cellStyle name="常规 2 12 2 2 3 3" xfId="15640" xr:uid="{D0734CD1-40BD-4D91-9D08-50D5F9331C18}"/>
    <cellStyle name="常规 2 12 2 2 4" xfId="15641" xr:uid="{08FA802E-E357-4484-8236-17A049077139}"/>
    <cellStyle name="常规 2 12 2 2 4 2" xfId="15642" xr:uid="{4E8183CD-510D-454A-930C-D9F3F4328698}"/>
    <cellStyle name="常规 2 12 2 2 5" xfId="15643" xr:uid="{BFF059A8-0C6B-44ED-837C-F0CF0A126D28}"/>
    <cellStyle name="常规 2 12 2 2 5 2" xfId="15644" xr:uid="{1B8E3FE7-B805-4ED2-A666-7B09A45B5833}"/>
    <cellStyle name="常规 2 12 2 2 5 3" xfId="33871" xr:uid="{71A2B197-84F7-43EC-A6C0-0F0CDECCA861}"/>
    <cellStyle name="常规 2 12 2 2 6" xfId="15645" xr:uid="{B7D3473F-0D6E-4698-9580-3D697C69EE9D}"/>
    <cellStyle name="常规 2 12 2 2 7" xfId="15646" xr:uid="{8F44C69F-214B-4413-B000-F7BE1C57B815}"/>
    <cellStyle name="常规 2 12 2 2 8" xfId="15647" xr:uid="{497C94AA-7F76-4FF9-9CCC-A767B60BF867}"/>
    <cellStyle name="常规 2 12 2 3" xfId="15648" xr:uid="{CF6CAADC-8BD0-48B7-AEE4-A6A1C4559602}"/>
    <cellStyle name="常规 2 12 2 3 2" xfId="15649" xr:uid="{990EAECC-EBA0-4F63-A4F4-732A3C500747}"/>
    <cellStyle name="常规 2 12 2 3 2 2" xfId="15650" xr:uid="{F1F05B42-0F94-44B6-81DF-B5BB71CE20FC}"/>
    <cellStyle name="常规 2 12 2 3 2 3" xfId="15651" xr:uid="{A9F55A97-EE59-46BD-85FD-98ECB039F7F3}"/>
    <cellStyle name="常规 2 12 2 3 3" xfId="15652" xr:uid="{737F774B-41DD-4ED2-8152-7D0BD1A7352E}"/>
    <cellStyle name="常规 2 12 2 3 3 2" xfId="15653" xr:uid="{46E565FD-EAF6-47AC-9EEF-1B83C1F93BC0}"/>
    <cellStyle name="常规 2 12 2 3 4" xfId="15654" xr:uid="{FC1D0EB0-6A63-4448-887F-1DCA46D26CCC}"/>
    <cellStyle name="常规 2 12 2 3 4 2" xfId="15655" xr:uid="{333C7A5F-F90A-4021-A65E-9384D09240AF}"/>
    <cellStyle name="常规 2 12 2 3 4 3" xfId="33872" xr:uid="{C7D6070D-F44D-47D1-AB64-83BE341DE064}"/>
    <cellStyle name="常规 2 12 2 3 5" xfId="15656" xr:uid="{2F53C28D-618A-438F-A6C9-4DDCED19D16E}"/>
    <cellStyle name="常规 2 12 2 3 6" xfId="15657" xr:uid="{2AE9EA75-190F-4F29-98A6-21FEEA1A5E26}"/>
    <cellStyle name="常规 2 12 2 3 7" xfId="15658" xr:uid="{1DA8F155-BAC8-441C-9BF6-AF1D340CDFBF}"/>
    <cellStyle name="常规 2 12 2 4" xfId="15659" xr:uid="{3D482859-3ACE-4E3E-9499-1C05F6CC4143}"/>
    <cellStyle name="常规 2 12 2 4 2" xfId="15660" xr:uid="{DD2D8511-F0B6-4F18-A111-8851FC118960}"/>
    <cellStyle name="常规 2 12 2 4 3" xfId="15661" xr:uid="{465B4F04-CE31-4309-B84D-3BE414519319}"/>
    <cellStyle name="常规 2 12 2 5" xfId="15662" xr:uid="{D67F4469-786A-402F-B727-B7223AACDDE6}"/>
    <cellStyle name="常规 2 12 2 5 2" xfId="15663" xr:uid="{8509D707-ADCC-46AB-B3DF-CB4758256765}"/>
    <cellStyle name="常规 2 12 2 6" xfId="15664" xr:uid="{5A3FDE4F-46C2-4180-BB02-9A899BD973CF}"/>
    <cellStyle name="常规 2 12 2 6 2" xfId="15665" xr:uid="{BBAA85C6-B7E1-4CC2-94C8-136652576335}"/>
    <cellStyle name="常规 2 12 2 6 3" xfId="33873" xr:uid="{D83CE5AB-F71D-4C52-AB11-A97A9B1698F6}"/>
    <cellStyle name="常规 2 12 2 7" xfId="15666" xr:uid="{3ECA3953-2171-4AE2-B36E-A1C6B58B9CA5}"/>
    <cellStyle name="常规 2 12 2 8" xfId="15667" xr:uid="{CFAF7811-82C9-4CAE-8E87-38170B0A5787}"/>
    <cellStyle name="常规 2 12 2 9" xfId="15668" xr:uid="{CBAE02DD-65AB-4748-9EF0-32F26B8587B2}"/>
    <cellStyle name="常规 2 12 3" xfId="15669" xr:uid="{8134D0FB-C020-4F0F-B057-1F8705E1C5C1}"/>
    <cellStyle name="常规 2 12 3 2" xfId="15670" xr:uid="{DBB346C0-7761-496C-A4AE-5EDA389CBAC8}"/>
    <cellStyle name="常规 2 12 3 2 2" xfId="15671" xr:uid="{B7509066-A2E4-4254-86D2-E475A0AD04C8}"/>
    <cellStyle name="常规 2 12 3 2 2 2" xfId="15672" xr:uid="{79AB1AFE-44EA-4AA0-B996-7502E56427BD}"/>
    <cellStyle name="常规 2 12 3 2 2 3" xfId="15673" xr:uid="{FC9F7644-53EC-4674-873D-8B4EA2E6B72E}"/>
    <cellStyle name="常规 2 12 3 2 3" xfId="15674" xr:uid="{4C8F5AC6-8318-4808-B110-999BA1BCF1D5}"/>
    <cellStyle name="常规 2 12 3 2 3 2" xfId="15675" xr:uid="{F4398836-213B-4A36-A4FD-C3C3568DFC08}"/>
    <cellStyle name="常规 2 12 3 2 4" xfId="15676" xr:uid="{2669C06F-BFC5-4410-B2BE-2D65E869A41A}"/>
    <cellStyle name="常规 2 12 3 2 4 2" xfId="15677" xr:uid="{EAEEB116-DC87-475E-9593-0C842099E234}"/>
    <cellStyle name="常规 2 12 3 2 4 3" xfId="33874" xr:uid="{B1BEEA8A-C268-4898-8D66-7F7B86AA7C9F}"/>
    <cellStyle name="常规 2 12 3 2 5" xfId="15678" xr:uid="{3C260BD1-0797-4A3F-9645-92324C7DCE1B}"/>
    <cellStyle name="常规 2 12 3 2 6" xfId="15679" xr:uid="{8D36CAD4-2450-41E9-B061-157D0CED5D3A}"/>
    <cellStyle name="常规 2 12 3 2 7" xfId="15680" xr:uid="{A1BF184A-4F8F-4652-8584-53F82463FD7B}"/>
    <cellStyle name="常规 2 12 3 3" xfId="15681" xr:uid="{688898C8-9B3B-4E33-A2FF-B55ED73E13D4}"/>
    <cellStyle name="常规 2 12 3 3 2" xfId="15682" xr:uid="{9D56E482-BBC8-4555-8C15-39FF17C5830C}"/>
    <cellStyle name="常规 2 12 3 3 3" xfId="15683" xr:uid="{5C6BFBC7-E87D-4995-806D-2FE1C2671132}"/>
    <cellStyle name="常规 2 12 3 4" xfId="15684" xr:uid="{B8FAF212-2820-40FC-BB35-5A6271154413}"/>
    <cellStyle name="常规 2 12 3 4 2" xfId="15685" xr:uid="{008FA51E-DF43-449C-ABD4-8F5DC7F6A624}"/>
    <cellStyle name="常规 2 12 3 5" xfId="15686" xr:uid="{59F094EC-035E-4942-A4CE-5BFA44CAE3CF}"/>
    <cellStyle name="常规 2 12 3 5 2" xfId="15687" xr:uid="{37728542-F356-46AF-AC03-EB52D28CCE31}"/>
    <cellStyle name="常规 2 12 3 5 3" xfId="33875" xr:uid="{9C80EA1B-1890-44EB-8AA7-D0347027D02F}"/>
    <cellStyle name="常规 2 12 3 6" xfId="15688" xr:uid="{68B4860F-54B1-46C2-9A3D-E0CCA07F003C}"/>
    <cellStyle name="常规 2 12 3 7" xfId="15689" xr:uid="{62564283-9E07-4C3A-B9C6-56165FA47A8B}"/>
    <cellStyle name="常规 2 12 3 8" xfId="15690" xr:uid="{6CBAAEF2-EE85-4F38-B3B5-521F806CAB67}"/>
    <cellStyle name="常规 2 12 4" xfId="15691" xr:uid="{76D497BD-3735-4A9F-BE57-6808B77461A9}"/>
    <cellStyle name="常规 2 12 4 2" xfId="15692" xr:uid="{E983C7EE-6386-4C0A-9639-4D83D3955DAE}"/>
    <cellStyle name="常规 2 12 4 2 2" xfId="15693" xr:uid="{16D4DDAB-6A11-4A8F-8A18-075814CA5D38}"/>
    <cellStyle name="常规 2 12 4 2 3" xfId="15694" xr:uid="{A73A43D5-E680-4716-BB87-404E55A3F5D0}"/>
    <cellStyle name="常规 2 12 4 2 4" xfId="15695" xr:uid="{69049185-0B58-4370-AB1B-EC32360EB1BF}"/>
    <cellStyle name="常规 2 12 4 2 5" xfId="15696" xr:uid="{87061FFB-51BF-4962-A144-7A6C2CBDD24F}"/>
    <cellStyle name="常规 2 12 4 2 6" xfId="15697" xr:uid="{50B03F8C-6000-4F45-91E5-D9851D7B2436}"/>
    <cellStyle name="常规 2 12 4 2 7" xfId="15698" xr:uid="{4B3277CD-3638-40E4-A359-82D7DF67DA76}"/>
    <cellStyle name="常规 2 12 4 2 8" xfId="15699" xr:uid="{D419C328-B7A5-425C-B1FC-9350A856C93D}"/>
    <cellStyle name="常规 2 12 4 3" xfId="15700" xr:uid="{A57EDE12-04FC-4890-B485-593353DB02CB}"/>
    <cellStyle name="常规 2 12 4 3 2" xfId="15701" xr:uid="{7F3FF4DA-FC04-4DB9-9B4F-42314CD0C704}"/>
    <cellStyle name="常规 2 12 4 4" xfId="15702" xr:uid="{B097570E-205E-4007-9645-36742F6F6351}"/>
    <cellStyle name="常规 2 12 4 4 2" xfId="15703" xr:uid="{A4F3B25B-7317-4D24-97B3-2C48EE28AFA1}"/>
    <cellStyle name="常规 2 12 4 4 3" xfId="33876" xr:uid="{412014EE-3AC7-4E67-8E82-3B28E9A35AF2}"/>
    <cellStyle name="常规 2 12 4 5" xfId="15704" xr:uid="{A7A6BDF8-3A50-4A0D-8355-98DB1CDEDBA1}"/>
    <cellStyle name="常规 2 12 4 6" xfId="15705" xr:uid="{6056A588-DC31-404D-88D5-9C0A912AA68F}"/>
    <cellStyle name="常规 2 12 4 7" xfId="15706" xr:uid="{9C14D167-6C5A-4DDA-94FC-5E395C267301}"/>
    <cellStyle name="常规 2 12 4 8" xfId="15707" xr:uid="{77737341-E23F-4430-96DC-6CAB5508BC83}"/>
    <cellStyle name="常规 2 12 5" xfId="15708" xr:uid="{3B972CB5-1B55-4EC4-8C4C-10BDC9F85A65}"/>
    <cellStyle name="常规 2 12 5 2" xfId="15709" xr:uid="{9A84FB90-6487-46E4-9C9F-795417D6C306}"/>
    <cellStyle name="常规 2 12 5 2 2" xfId="15710" xr:uid="{0049D992-9FAF-4C93-A184-A6108333DAFE}"/>
    <cellStyle name="常规 2 12 5 3" xfId="15711" xr:uid="{5CC65FF0-C49A-4E5E-AB16-5D8F3676FE66}"/>
    <cellStyle name="常规 2 12 6" xfId="15712" xr:uid="{B896B7D6-18A5-49BC-BBAA-49C3DD4DFFA0}"/>
    <cellStyle name="常规 2 12 6 2" xfId="15713" xr:uid="{6EFD0EB4-F2C1-4ECC-9248-A955396BA372}"/>
    <cellStyle name="常规 2 12 7" xfId="15714" xr:uid="{D1A05EAF-02C5-4657-A0AD-E7336FEE9836}"/>
    <cellStyle name="常规 2 12 7 2" xfId="33877" xr:uid="{53C7C391-0E64-4D58-ADD2-64B3C0B744F9}"/>
    <cellStyle name="常规 2 12 8" xfId="15715" xr:uid="{86C1CC6A-78E3-470E-95B1-518065B39DF6}"/>
    <cellStyle name="常规 2 13" xfId="15716" xr:uid="{B210164E-A243-4C57-855A-8063EDA31078}"/>
    <cellStyle name="常规 2 13 2" xfId="15717" xr:uid="{9180CBEF-74AE-4D44-9E58-0C8113A94BF6}"/>
    <cellStyle name="常规 2 13 2 2" xfId="15718" xr:uid="{C20F2C04-3CC9-49A3-BC02-855F65E557AB}"/>
    <cellStyle name="常规 2 13 2 2 2" xfId="15719" xr:uid="{91C596E7-7FF7-4299-953C-89A0393D17CD}"/>
    <cellStyle name="常规 2 13 2 2 2 2" xfId="15720" xr:uid="{6EC66839-D1A6-4B6B-B28A-827E415B467B}"/>
    <cellStyle name="常规 2 13 2 2 2 2 2" xfId="15721" xr:uid="{FCA8A165-2307-42FA-AF6C-EE501FF07DC7}"/>
    <cellStyle name="常规 2 13 2 2 2 3" xfId="15722" xr:uid="{525E8226-715E-4E4E-861E-6D159FADCE52}"/>
    <cellStyle name="常规 2 13 2 2 2 4" xfId="15723" xr:uid="{1B1EB58F-087C-420C-BEB9-FC29D9378E6A}"/>
    <cellStyle name="常规 2 13 2 2 2 4 2" xfId="33878" xr:uid="{F75D173A-5543-4F19-94F6-09A320A31387}"/>
    <cellStyle name="常规 2 13 2 2 3" xfId="15724" xr:uid="{FF0E94C6-3EE2-496F-B16E-942E2DEE95C9}"/>
    <cellStyle name="常规 2 13 2 2 3 2" xfId="15725" xr:uid="{5D0CB453-DC56-46BA-B2CC-4FFF32AFE6AD}"/>
    <cellStyle name="常规 2 13 2 2 4" xfId="15726" xr:uid="{F027C8D9-15B1-4386-9B59-E055685F3276}"/>
    <cellStyle name="常规 2 13 2 2 5" xfId="15727" xr:uid="{9CF2FCB5-877A-40A3-B94D-8E7B4DFBA0EE}"/>
    <cellStyle name="常规 2 13 2 2 5 2" xfId="33879" xr:uid="{16AC4BAE-86E4-4B15-8960-8BE5A0194ADE}"/>
    <cellStyle name="常规 2 13 2 3" xfId="15728" xr:uid="{288EC715-3461-471B-84B0-36C99CDCF8FB}"/>
    <cellStyle name="常规 2 13 2 3 2" xfId="15729" xr:uid="{5D0BF030-9D4C-4CAA-86A3-3178E40A1B6F}"/>
    <cellStyle name="常规 2 13 2 3 2 2" xfId="15730" xr:uid="{71E071C0-8641-46CD-ADFF-D24CD2E23DA5}"/>
    <cellStyle name="常规 2 13 2 3 3" xfId="15731" xr:uid="{361CF110-76AB-456C-8BE4-C2BA573D2F54}"/>
    <cellStyle name="常规 2 13 2 3 4" xfId="15732" xr:uid="{99423BE7-A3E5-49D6-97E8-621A59C8EE4B}"/>
    <cellStyle name="常规 2 13 2 3 4 2" xfId="33880" xr:uid="{631ED4A6-595D-4396-8215-AF872E90D7EB}"/>
    <cellStyle name="常规 2 13 2 4" xfId="15733" xr:uid="{22F1FCCF-9104-422D-8276-4F7870A4267C}"/>
    <cellStyle name="常规 2 13 2 4 2" xfId="15734" xr:uid="{BAB9FC3C-A74D-4893-9DB7-C082F5096B36}"/>
    <cellStyle name="常规 2 13 2 5" xfId="15735" xr:uid="{72F4D283-0D04-4148-8FD7-D3C585E530B3}"/>
    <cellStyle name="常规 2 13 2 6" xfId="15736" xr:uid="{9ED2B76A-47D5-4F70-B2D5-58DC6EEC598D}"/>
    <cellStyle name="常规 2 13 2 6 2" xfId="33881" xr:uid="{8BDAB0A5-C64E-4C36-9EA1-21011483E8EF}"/>
    <cellStyle name="常规 2 13 3" xfId="15737" xr:uid="{DF52F1AF-191C-4881-9B10-738D7FDBACC8}"/>
    <cellStyle name="常规 2 13 3 2" xfId="15738" xr:uid="{47FD0B4F-0567-46EF-9CE2-862D612C8213}"/>
    <cellStyle name="常规 2 13 3 2 2" xfId="15739" xr:uid="{44BE572C-8430-49E5-B170-3B3DBB52CA8B}"/>
    <cellStyle name="常规 2 13 3 2 2 2" xfId="15740" xr:uid="{48E8456A-D267-4648-8A06-82B01834BD47}"/>
    <cellStyle name="常规 2 13 3 2 3" xfId="15741" xr:uid="{A1A9EA77-C63D-4607-A313-E318EC366EF6}"/>
    <cellStyle name="常规 2 13 3 2 4" xfId="15742" xr:uid="{2D5FE072-5DFB-4DDB-A8F2-841584E8E8D8}"/>
    <cellStyle name="常规 2 13 3 2 4 2" xfId="33882" xr:uid="{C6FBBACC-A01D-4BA2-8F84-7426A37619B1}"/>
    <cellStyle name="常规 2 13 3 3" xfId="15743" xr:uid="{82719EF7-5ABF-4BA6-B11B-2CA91C4136A5}"/>
    <cellStyle name="常规 2 13 3 3 2" xfId="15744" xr:uid="{8BCB74BE-2E15-4877-8986-9886D25B50C9}"/>
    <cellStyle name="常规 2 13 3 4" xfId="15745" xr:uid="{035C7C11-44BA-4FEF-87F9-1A4519FD4BD7}"/>
    <cellStyle name="常规 2 13 3 5" xfId="15746" xr:uid="{F91017FB-0572-4805-8870-A775E56187CE}"/>
    <cellStyle name="常规 2 13 3 5 2" xfId="33883" xr:uid="{787ADAD6-4984-48CF-984E-8048EB4F65B4}"/>
    <cellStyle name="常规 2 13 4" xfId="15747" xr:uid="{D837C94A-AB43-4D0A-89FC-5A4F5ED732E3}"/>
    <cellStyle name="常规 2 13 4 2" xfId="15748" xr:uid="{7C1F7D56-170F-49A6-BE83-21342FA08736}"/>
    <cellStyle name="常规 2 13 4 2 2" xfId="15749" xr:uid="{D1B5777B-5527-4BE1-ACE5-1D4D44CE9C06}"/>
    <cellStyle name="常规 2 13 4 3" xfId="15750" xr:uid="{CFE288F7-C491-4B63-B8E5-00EC5AD42263}"/>
    <cellStyle name="常规 2 13 4 4" xfId="15751" xr:uid="{263FDF84-EFC8-426C-8590-8A31081A466C}"/>
    <cellStyle name="常规 2 13 4 4 2" xfId="33884" xr:uid="{8DFDC8FC-31A0-4EEE-B50C-1793DA1EC5D0}"/>
    <cellStyle name="常规 2 13 5" xfId="15752" xr:uid="{FDB1FF53-F115-4505-AEEA-D00B89EDDC7C}"/>
    <cellStyle name="常规 2 13 5 2" xfId="15753" xr:uid="{62E1AD21-45D2-4FEB-B991-614E3E32AFF1}"/>
    <cellStyle name="常规 2 13 6" xfId="15754" xr:uid="{DA16B193-44B5-4765-A229-5914EF7A7D53}"/>
    <cellStyle name="常规 2 13 7" xfId="15755" xr:uid="{FB474F7A-364F-462D-99CB-B067EA16CCAE}"/>
    <cellStyle name="常规 2 13 7 2" xfId="33885" xr:uid="{43584C04-37CA-41C0-B0E5-CA9E623B6262}"/>
    <cellStyle name="常规 2 13 8" xfId="15756" xr:uid="{977A6EC5-97BB-442E-87B0-9E7B823A3B7F}"/>
    <cellStyle name="常规 2 14" xfId="15757" xr:uid="{F06E0643-CBB9-48D4-AC6E-C66112878E74}"/>
    <cellStyle name="常规 2 14 2" xfId="15758" xr:uid="{A6BDF1DB-9D04-4CC4-9029-140E4E2BA172}"/>
    <cellStyle name="常规 2 14 3" xfId="15759" xr:uid="{C933BBD4-47F4-4E6D-B37B-2941E391BA21}"/>
    <cellStyle name="常规 2 14 4" xfId="15760" xr:uid="{8776B4AE-0C96-4B30-B90C-E3E387F2F8B0}"/>
    <cellStyle name="常规 2 14 5" xfId="15761" xr:uid="{73DA5B78-0BB8-4970-B0C7-373B954F8BA2}"/>
    <cellStyle name="常规 2 15" xfId="15762" xr:uid="{3A935E43-5052-4D1B-B02D-206364CC3A25}"/>
    <cellStyle name="常规 2 15 2" xfId="15763" xr:uid="{654CFE3C-40C3-4DDC-A2FC-7A3916EF2607}"/>
    <cellStyle name="常规 2 15 3" xfId="15764" xr:uid="{382F43C5-8DA1-4810-8AA7-40F391C285DE}"/>
    <cellStyle name="常规 2 15 4" xfId="15765" xr:uid="{24815E6A-1091-47DF-8333-E944C7B70010}"/>
    <cellStyle name="常规 2 15 5" xfId="15766" xr:uid="{AEDED542-CBFB-4CF4-B052-B15329A5E604}"/>
    <cellStyle name="常规 2 16" xfId="15767" xr:uid="{7F32752F-AEB1-4699-B51C-4347B3F9B68D}"/>
    <cellStyle name="常规 2 16 2" xfId="15768" xr:uid="{F703C6B1-96C3-4920-AED3-654D7C048569}"/>
    <cellStyle name="常规 2 16 3" xfId="15769" xr:uid="{1D22DABB-0438-4097-B7A1-0B1BFCDF2292}"/>
    <cellStyle name="常规 2 16 4" xfId="15770" xr:uid="{27327C9A-38B9-4C0C-9101-98AF8C0B8AC0}"/>
    <cellStyle name="常规 2 16 5" xfId="15771" xr:uid="{1DCB466E-3C82-4BD6-91BD-5EE858595D5F}"/>
    <cellStyle name="常规 2 17" xfId="15772" xr:uid="{D2010D78-A2F3-40C9-B8CB-1AD253E64CC8}"/>
    <cellStyle name="常规 2 17 2" xfId="15773" xr:uid="{500DAC49-95C5-4940-B127-E6D483193B8B}"/>
    <cellStyle name="常规 2 17 3" xfId="15774" xr:uid="{D202115E-C7EF-4E11-8461-2CECB1A76F79}"/>
    <cellStyle name="常规 2 18" xfId="15775" xr:uid="{B2284994-71CE-4424-A5AF-C80FD63A981E}"/>
    <cellStyle name="常规 2 18 2" xfId="15776" xr:uid="{28439B08-4C8B-4DFA-BF1E-3FA0D41F2539}"/>
    <cellStyle name="常规 2 18 2 2" xfId="15777" xr:uid="{929A51C0-651B-421A-A53A-A4C383AB147B}"/>
    <cellStyle name="常规 2 18 2 2 2" xfId="15778" xr:uid="{AC36D6D7-2AAB-4FCD-8FD9-3819536CA72F}"/>
    <cellStyle name="常规 2 18 2 2 2 2" xfId="15779" xr:uid="{0E45E1FF-3F54-42A5-BD51-9A5C5A9E5C92}"/>
    <cellStyle name="常规 2 18 2 2 3" xfId="15780" xr:uid="{6D3521E7-0743-4C97-9191-B20C47FF5D5A}"/>
    <cellStyle name="常规 2 18 2 2 4" xfId="15781" xr:uid="{0B7EB68A-E018-4B20-BF9E-E6FB406BA0F3}"/>
    <cellStyle name="常规 2 18 2 2 4 2" xfId="33886" xr:uid="{7267DF13-7CCF-411F-A503-AD5480D10E58}"/>
    <cellStyle name="常规 2 18 2 3" xfId="15782" xr:uid="{B0AF67B7-9319-4AF1-A49F-58623912FF79}"/>
    <cellStyle name="常规 2 18 2 3 2" xfId="15783" xr:uid="{D5E99253-59A7-4458-9484-57B067E533B6}"/>
    <cellStyle name="常规 2 18 2 4" xfId="15784" xr:uid="{D241D08A-0E66-47A6-9D0A-9522763928F5}"/>
    <cellStyle name="常规 2 18 2 5" xfId="15785" xr:uid="{517EC423-367A-48F4-A92E-9D2B3FAC2F96}"/>
    <cellStyle name="常规 2 18 2 5 2" xfId="33887" xr:uid="{ECFA54F1-8021-4691-A3D9-0369543DC253}"/>
    <cellStyle name="常规 2 18 3" xfId="15786" xr:uid="{955B5F6E-449F-45E9-9D42-761F7D3085D9}"/>
    <cellStyle name="常规 2 18 3 2" xfId="15787" xr:uid="{6335A54B-018E-46DA-8A26-8B05A589CC88}"/>
    <cellStyle name="常规 2 18 3 2 2" xfId="15788" xr:uid="{A68F25E4-0FA3-4DA4-8541-165C45766E08}"/>
    <cellStyle name="常规 2 18 3 3" xfId="15789" xr:uid="{F38D27C7-23DD-4F1C-9061-5DA156F90596}"/>
    <cellStyle name="常规 2 18 3 4" xfId="15790" xr:uid="{65FA6510-245B-4922-AEBB-D3CDA91EB61C}"/>
    <cellStyle name="常规 2 18 3 4 2" xfId="33888" xr:uid="{593A2A1A-41FC-42A4-95B9-F7252808D91C}"/>
    <cellStyle name="常规 2 18 4" xfId="15791" xr:uid="{51C5DEB9-544D-4453-B701-76E16D48E3C2}"/>
    <cellStyle name="常规 2 18 4 2" xfId="15792" xr:uid="{726783F6-B96B-46AF-B9E7-44B09CFC0B2F}"/>
    <cellStyle name="常规 2 18 5" xfId="15793" xr:uid="{DB3222A5-055E-488C-893D-E07C1C95030C}"/>
    <cellStyle name="常规 2 18 6" xfId="15794" xr:uid="{84F16F4A-EAD7-43FF-ACC7-7F7A3CCD7A96}"/>
    <cellStyle name="常规 2 18 6 2" xfId="33889" xr:uid="{1146542D-AA83-4EF0-85D9-A7D70184B3AB}"/>
    <cellStyle name="常规 2 18 7" xfId="15795" xr:uid="{59610DB1-004D-4A4C-BE0C-FCE7487C95BD}"/>
    <cellStyle name="常规 2 19" xfId="15796" xr:uid="{F2B8C6D7-8F41-41AC-8424-D64CC45126E9}"/>
    <cellStyle name="常规 2 19 2" xfId="15797" xr:uid="{660D585D-F521-4F6E-A7A6-1B819DEE408A}"/>
    <cellStyle name="常规 2 19 2 2" xfId="15798" xr:uid="{B8F303DA-2685-4A99-8166-5A70E03424B1}"/>
    <cellStyle name="常规 2 19 2 2 2" xfId="15799" xr:uid="{3A493313-41F9-458E-A936-F99F9320596B}"/>
    <cellStyle name="常规 2 19 2 3" xfId="15800" xr:uid="{DD1533D0-4E3C-4DC4-8E41-FD71ADCC93BC}"/>
    <cellStyle name="常规 2 19 2 4" xfId="15801" xr:uid="{69E9F6B7-4323-44A8-8709-381BDD2F1E39}"/>
    <cellStyle name="常规 2 19 2 4 2" xfId="33890" xr:uid="{CAE49674-70A1-499A-AB9E-F8B9697AD3EB}"/>
    <cellStyle name="常规 2 19 3" xfId="15802" xr:uid="{6311C23A-FB8A-4A0B-A159-54C2FFF1E14E}"/>
    <cellStyle name="常规 2 19 3 2" xfId="15803" xr:uid="{2ED87359-7755-41B7-ADDC-5422742F5853}"/>
    <cellStyle name="常规 2 19 4" xfId="15804" xr:uid="{C94E58B0-0A5B-4129-A964-972E952AF9BD}"/>
    <cellStyle name="常规 2 19 5" xfId="15805" xr:uid="{01707824-4EE2-4701-8F4F-F3D753B8280E}"/>
    <cellStyle name="常规 2 19 5 2" xfId="33891" xr:uid="{A3CB0337-07A9-454C-94B7-BB258A0FA3B8}"/>
    <cellStyle name="常规 2 19 6" xfId="15806" xr:uid="{F6009A58-C27D-4DE9-AC75-FAF4B9AF3CA2}"/>
    <cellStyle name="常规 2 2" xfId="15807" xr:uid="{F0C0740C-3691-4A27-B50D-F37C56844FBB}"/>
    <cellStyle name="常规 2 2 10" xfId="15808" xr:uid="{D5D9E994-A751-4B7A-8F20-8B0ABC27E6C8}"/>
    <cellStyle name="常规 2 2 10 2" xfId="15809" xr:uid="{AB8ADAA9-0268-40EC-A10D-37F9DEB807E5}"/>
    <cellStyle name="常规 2 2 10 2 2" xfId="15810" xr:uid="{9363C361-789D-4B51-9893-1009EC7A3289}"/>
    <cellStyle name="常规 2 2 10 2 2 2" xfId="15811" xr:uid="{DBA58020-2AC6-48F9-A8D4-6EB60FB16A34}"/>
    <cellStyle name="常规 2 2 10 2 3" xfId="15812" xr:uid="{2BEF97A5-C722-46FB-8EDA-9F39F3554E02}"/>
    <cellStyle name="常规 2 2 10 2 4" xfId="15813" xr:uid="{8944BFC3-615D-441C-BCC5-BE0403C4ECC7}"/>
    <cellStyle name="常规 2 2 10 2 4 2" xfId="33892" xr:uid="{A59E7CAB-08CE-4D66-A650-9CBD31119D0C}"/>
    <cellStyle name="常规 2 2 10 3" xfId="15814" xr:uid="{C7B67B6C-8A25-4C88-9E8A-4007F95CC470}"/>
    <cellStyle name="常规 2 2 10 3 2" xfId="15815" xr:uid="{18D8E19E-C4D7-4096-8145-7F9A0C3DC92E}"/>
    <cellStyle name="常规 2 2 10 4" xfId="15816" xr:uid="{E930088F-72AA-48A2-A805-B5D449EB0456}"/>
    <cellStyle name="常规 2 2 10 5" xfId="15817" xr:uid="{9C938351-AF72-46AC-B2A3-D525E62BB3EA}"/>
    <cellStyle name="常规 2 2 10 5 2" xfId="33893" xr:uid="{5DDAFC23-A0D7-4928-A531-54A7C2D8D920}"/>
    <cellStyle name="常规 2 2 10 6" xfId="15818" xr:uid="{8BF09CD8-94C4-4122-851A-83529819B510}"/>
    <cellStyle name="常规 2 2 11" xfId="15819" xr:uid="{49E2064F-BAC9-4C97-B432-B316852C2A1C}"/>
    <cellStyle name="常规 2 2 11 2" xfId="15820" xr:uid="{4C4F1840-460D-40AD-A1A9-1FFB93B87360}"/>
    <cellStyle name="常规 2 2 12" xfId="15821" xr:uid="{10566D35-9C28-4C25-A28D-7CAA3E8EA156}"/>
    <cellStyle name="常规 2 2 12 2" xfId="15822" xr:uid="{189A3EFA-D2B9-407E-B312-599AA5876112}"/>
    <cellStyle name="常规 2 2 12 3" xfId="15823" xr:uid="{CCDB0E06-ADC5-422D-A44A-2B0FDD6F4559}"/>
    <cellStyle name="常规 2 2 13" xfId="15824" xr:uid="{1EBE7B79-176E-4A40-B8CD-69E4BC3FC74D}"/>
    <cellStyle name="常规 2 2 13 2" xfId="15825" xr:uid="{2C49F835-C2B9-427C-B7C5-992E85169603}"/>
    <cellStyle name="常规 2 2 13 2 2" xfId="15826" xr:uid="{0F1A2C77-5BD3-4B41-A56E-3A6992CA5136}"/>
    <cellStyle name="常规 2 2 13 3" xfId="15827" xr:uid="{58D98FA1-0CDD-45E4-B185-CB76775191D0}"/>
    <cellStyle name="常规 2 2 13 4" xfId="15828" xr:uid="{5AEBD4D9-C8B7-42CC-A0EB-E62756975499}"/>
    <cellStyle name="常规 2 2 13 4 2" xfId="33894" xr:uid="{5DAAD4BC-5578-4837-8D87-D0147658AF2C}"/>
    <cellStyle name="常规 2 2 13 5" xfId="15829" xr:uid="{D5E1F9C9-D542-4AD6-86E9-0A218C89EF1E}"/>
    <cellStyle name="常规 2 2 14" xfId="15830" xr:uid="{6708BCB1-DD7F-4126-9810-B578335865D4}"/>
    <cellStyle name="常规 2 2 14 2" xfId="15831" xr:uid="{52CFB21C-09C6-469E-ACD1-62182C55F099}"/>
    <cellStyle name="常规 2 2 14 2 2" xfId="15832" xr:uid="{3B2B1906-AA58-4426-97CF-3A96B2D651BF}"/>
    <cellStyle name="常规 2 2 14 3" xfId="15833" xr:uid="{F0525CAE-2C37-41B9-9BB0-E62E4E770DA1}"/>
    <cellStyle name="常规 2 2 14 4" xfId="15834" xr:uid="{00BE7860-3F8D-4230-9E4D-2BCC653B74F5}"/>
    <cellStyle name="常规 2 2 14 4 2" xfId="33895" xr:uid="{211A8161-34D1-4142-9F55-77172C6E0572}"/>
    <cellStyle name="常规 2 2 14 5" xfId="15835" xr:uid="{40114E42-D3B5-412B-821E-9180008D0B1A}"/>
    <cellStyle name="常规 2 2 15" xfId="15836" xr:uid="{5C93283E-365E-47EF-967A-42C00BAF8737}"/>
    <cellStyle name="常规 2 2 15 2" xfId="15837" xr:uid="{AB444FC4-6F6D-479A-9887-39DF4AF2158A}"/>
    <cellStyle name="常规 2 2 16" xfId="15838" xr:uid="{8697D307-7E79-4C48-9E63-AD484C2DC873}"/>
    <cellStyle name="常规 2 2 17" xfId="15839" xr:uid="{B8419C5A-0B4D-4E2A-9635-FAE854B313BB}"/>
    <cellStyle name="常规 2 2 18" xfId="15840" xr:uid="{B85C19F2-FFFC-477D-B669-495CB37795E3}"/>
    <cellStyle name="常规 2 2 19" xfId="15841" xr:uid="{DC12B84D-6B5A-4A7C-8F7A-37B84483695F}"/>
    <cellStyle name="常规 2 2 2" xfId="15842" xr:uid="{CD58D5A1-E0E8-4E84-942C-64AF23BF7CDC}"/>
    <cellStyle name="常规 2 2 2 10" xfId="15843" xr:uid="{0499B082-0802-4A26-A50D-738AD1768CEC}"/>
    <cellStyle name="常规 2 2 2 10 2" xfId="15844" xr:uid="{4145216C-00AE-4454-8ECF-85DA5162151B}"/>
    <cellStyle name="常规 2 2 2 10 2 2" xfId="15845" xr:uid="{3950D11F-10E8-479F-8634-61BB5CF85116}"/>
    <cellStyle name="常规 2 2 2 10 3" xfId="15846" xr:uid="{7CF33D91-03FA-4A88-93B9-F499FB643093}"/>
    <cellStyle name="常规 2 2 2 10 4" xfId="15847" xr:uid="{2791121A-1772-455D-9806-1DFE26CCECAA}"/>
    <cellStyle name="常规 2 2 2 10 4 2" xfId="33896" xr:uid="{2A9A493E-14C4-434B-9EA4-392366B43ABB}"/>
    <cellStyle name="常规 2 2 2 10 5" xfId="15848" xr:uid="{E01BB5BA-5A76-45C1-9284-1E1AA30D42DC}"/>
    <cellStyle name="常规 2 2 2 11" xfId="15849" xr:uid="{E75F7294-84B1-41D4-AEB8-B5FB1CD370FD}"/>
    <cellStyle name="常规 2 2 2 11 2" xfId="15850" xr:uid="{8CBE7222-9A6C-4693-B837-2F502C2BD4DC}"/>
    <cellStyle name="常规 2 2 2 11 3" xfId="15851" xr:uid="{14344F39-D138-4AD4-8F5C-86F33C82F21B}"/>
    <cellStyle name="常规 2 2 2 12" xfId="15852" xr:uid="{A4261264-720F-415E-A4EE-7884E0F1E79B}"/>
    <cellStyle name="常规 2 2 2 12 2" xfId="15853" xr:uid="{9FADF85F-D6C0-49BE-AF64-C25A97C3CB2E}"/>
    <cellStyle name="常规 2 2 2 13" xfId="15854" xr:uid="{E60EEDCD-CA05-4491-96AA-C99916E9725B}"/>
    <cellStyle name="常规 2 2 2 13 2" xfId="15855" xr:uid="{03AF1215-2C82-4C9A-8E37-0C698D97D78E}"/>
    <cellStyle name="常规 2 2 2 13 3" xfId="33897" xr:uid="{BED5A945-BBB1-48E7-81CB-2D1F24A9B69C}"/>
    <cellStyle name="常规 2 2 2 14" xfId="15856" xr:uid="{AA03E6DE-61FC-4539-9F47-9288D8D31D71}"/>
    <cellStyle name="常规 2 2 2 15" xfId="33898" xr:uid="{8908733D-2FE1-4893-8CFE-C8F3E5FEC99D}"/>
    <cellStyle name="常规 2 2 2 2" xfId="15857" xr:uid="{BEECDA30-A2F7-4077-83CF-32D206A7A92D}"/>
    <cellStyle name="常规 2 2 2 2 10" xfId="15858" xr:uid="{6D4B182F-E07C-4F43-BC96-65BD32DAB88C}"/>
    <cellStyle name="常规 2 2 2 2 10 2" xfId="15859" xr:uid="{EEE44794-1787-4F70-8124-35401DB66B80}"/>
    <cellStyle name="常规 2 2 2 2 10 3" xfId="33899" xr:uid="{C5AC4A6A-DF49-4D49-B030-6C2DC303BB71}"/>
    <cellStyle name="常规 2 2 2 2 11" xfId="15860" xr:uid="{DF52892D-D86C-4FA3-81F0-311D0BF569A0}"/>
    <cellStyle name="常规 2 2 2 2 11 2" xfId="15861" xr:uid="{50B97EDB-24C3-45A5-928F-1ACE551AC080}"/>
    <cellStyle name="常规 2 2 2 2 12" xfId="15862" xr:uid="{11F69259-26E4-43A1-B3C1-C91A6BA26556}"/>
    <cellStyle name="常规 2 2 2 2 13" xfId="15863" xr:uid="{DA855899-7353-499B-997A-35232DF7FCD1}"/>
    <cellStyle name="常规 2 2 2 2 2" xfId="15864" xr:uid="{D5144CE3-2C67-473D-B8B3-F73CDDA28BBF}"/>
    <cellStyle name="常规 2 2 2 2 2 10" xfId="15865" xr:uid="{ADECCC70-2DF6-4B1B-ACC9-DFE33AC688D6}"/>
    <cellStyle name="常规 2 2 2 2 2 2" xfId="15866" xr:uid="{BB11EF11-9B96-449A-A037-82B4CF64A979}"/>
    <cellStyle name="常规 2 2 2 2 2 2 2" xfId="15867" xr:uid="{9B52F7AE-7397-42E3-ABEE-21B671C43A80}"/>
    <cellStyle name="常规 2 2 2 2 2 2 2 2" xfId="15868" xr:uid="{F1932A1B-5AEE-4664-918A-1DA2E8106A19}"/>
    <cellStyle name="常规 2 2 2 2 2 2 2 2 2" xfId="15869" xr:uid="{669C0070-A1AD-4720-914F-D8617B35307A}"/>
    <cellStyle name="常规 2 2 2 2 2 2 2 2 2 2" xfId="15870" xr:uid="{86DF70DA-C683-4E0C-B404-1F179F1CFEA3}"/>
    <cellStyle name="常规 2 2 2 2 2 2 2 2 3" xfId="15871" xr:uid="{438E2212-A89D-4363-AABD-5840FB8D23FB}"/>
    <cellStyle name="常规 2 2 2 2 2 2 2 2 4" xfId="15872" xr:uid="{6807335E-2128-4FEB-9FB2-912FD866BE97}"/>
    <cellStyle name="常规 2 2 2 2 2 2 2 2 4 2" xfId="33900" xr:uid="{508D0AEA-F38F-42B9-A3BA-48C51AFF924B}"/>
    <cellStyle name="常规 2 2 2 2 2 2 2 3" xfId="15873" xr:uid="{32CF1CD6-E3D6-47F8-8E79-9E8D44FB534F}"/>
    <cellStyle name="常规 2 2 2 2 2 2 2 3 2" xfId="15874" xr:uid="{4101E2DA-BC31-44E1-9F20-7AF2D651ACB3}"/>
    <cellStyle name="常规 2 2 2 2 2 2 2 3 2 2" xfId="15875" xr:uid="{31BBBA3D-B751-4BD5-BEBC-8C80E8E2B017}"/>
    <cellStyle name="常规 2 2 2 2 2 2 2 3 3" xfId="15876" xr:uid="{A7B40665-A893-4967-9995-1694ADEEF1C4}"/>
    <cellStyle name="常规 2 2 2 2 2 2 2 3 4" xfId="15877" xr:uid="{AEE096C4-46DB-42FC-8180-7CA8855081AE}"/>
    <cellStyle name="常规 2 2 2 2 2 2 2 3 4 2" xfId="33901" xr:uid="{445D2604-8E28-498F-900E-F23325E757D0}"/>
    <cellStyle name="常规 2 2 2 2 2 2 2 4" xfId="15878" xr:uid="{A825EE8F-3999-4F9D-96F5-15E4695628F2}"/>
    <cellStyle name="常规 2 2 2 2 2 2 2 4 2" xfId="15879" xr:uid="{38AB5353-238B-497B-BBA0-CBB89F3719BF}"/>
    <cellStyle name="常规 2 2 2 2 2 2 2 5" xfId="15880" xr:uid="{F0A2722E-26DE-4329-AB0A-53467A28873B}"/>
    <cellStyle name="常规 2 2 2 2 2 2 2 6" xfId="15881" xr:uid="{D6B7BF4C-52A1-408A-9E72-99CFCB6394B0}"/>
    <cellStyle name="常规 2 2 2 2 2 2 2 6 2" xfId="33902" xr:uid="{FD477B27-49F2-49DE-ABDD-4CC6B57878D1}"/>
    <cellStyle name="常规 2 2 2 2 2 2 3" xfId="15882" xr:uid="{8A71C3F1-D816-49CD-802B-9EBC11ADA8A3}"/>
    <cellStyle name="常规 2 2 2 2 2 2 3 2" xfId="15883" xr:uid="{CC00EB03-833C-40BE-A443-EBD64F9109CC}"/>
    <cellStyle name="常规 2 2 2 2 2 2 3 2 2" xfId="15884" xr:uid="{8D64C97E-D51B-49D0-B601-79196BC724A6}"/>
    <cellStyle name="常规 2 2 2 2 2 2 3 3" xfId="15885" xr:uid="{BF4D7AD1-3E8E-4FB6-93A2-369A00DFF2A9}"/>
    <cellStyle name="常规 2 2 2 2 2 2 3 4" xfId="15886" xr:uid="{EA40199B-B617-4ABD-89EE-6B9910AF2BFD}"/>
    <cellStyle name="常规 2 2 2 2 2 2 3 4 2" xfId="33903" xr:uid="{EB634D44-D2AE-493C-B786-C654B51457B1}"/>
    <cellStyle name="常规 2 2 2 2 2 2 4" xfId="15887" xr:uid="{CCEC2187-7A93-4254-9D1A-45A6C4E20CED}"/>
    <cellStyle name="常规 2 2 2 2 2 2 4 2" xfId="15888" xr:uid="{7E81879B-67C9-4F9D-91D6-6C40A380A47B}"/>
    <cellStyle name="常规 2 2 2 2 2 2 4 2 2" xfId="15889" xr:uid="{52D627AF-4F91-48B4-873C-DE9D54D9609F}"/>
    <cellStyle name="常规 2 2 2 2 2 2 4 3" xfId="15890" xr:uid="{20925114-E617-49DD-9A98-73C4456D434E}"/>
    <cellStyle name="常规 2 2 2 2 2 2 4 4" xfId="15891" xr:uid="{96D6AF20-A548-4559-AC90-7BC049D841F4}"/>
    <cellStyle name="常规 2 2 2 2 2 2 4 4 2" xfId="33904" xr:uid="{104D81AC-9A25-4CF8-8978-D3A195FCB0CC}"/>
    <cellStyle name="常规 2 2 2 2 2 2 5" xfId="15892" xr:uid="{B0A4C545-4901-408D-BF9D-14A5E04AE79D}"/>
    <cellStyle name="常规 2 2 2 2 2 2 5 2" xfId="15893" xr:uid="{6B1ED178-FC42-4381-8899-493FCC2689F4}"/>
    <cellStyle name="常规 2 2 2 2 2 2 6" xfId="15894" xr:uid="{8C702D57-AB31-46CC-890B-EB08B35C9BD7}"/>
    <cellStyle name="常规 2 2 2 2 2 2 7" xfId="15895" xr:uid="{FDEBE4DE-11F8-4F0D-BBF0-89C3218ED079}"/>
    <cellStyle name="常规 2 2 2 2 2 2 7 2" xfId="33905" xr:uid="{A70F0882-DE62-4A25-B959-61B2EEAB878A}"/>
    <cellStyle name="常规 2 2 2 2 2 2 8" xfId="15896" xr:uid="{91D22A5B-8194-4DF7-AD46-106483D4780B}"/>
    <cellStyle name="常规 2 2 2 2 2 3" xfId="15897" xr:uid="{73095B5F-16E5-46DA-B32D-05BC23FEC687}"/>
    <cellStyle name="常规 2 2 2 2 2 3 2" xfId="15898" xr:uid="{799C3772-578C-4555-B62F-3661C34B1F5E}"/>
    <cellStyle name="常规 2 2 2 2 2 3 2 2" xfId="15899" xr:uid="{9F0624F1-63B6-44C3-8A21-2B81BB0050E4}"/>
    <cellStyle name="常规 2 2 2 2 2 3 2 2 2" xfId="15900" xr:uid="{018C1D39-A393-403F-9040-CE26A1365F8C}"/>
    <cellStyle name="常规 2 2 2 2 2 3 2 3" xfId="15901" xr:uid="{34F5E4B0-FA66-4547-9D98-3B0BA2229F9F}"/>
    <cellStyle name="常规 2 2 2 2 2 3 2 4" xfId="15902" xr:uid="{3846ABE9-9FDC-4748-8B94-84BF9B3203AF}"/>
    <cellStyle name="常规 2 2 2 2 2 3 2 4 2" xfId="33906" xr:uid="{10C04B3B-46D9-4D0E-A776-374F5BCDDD77}"/>
    <cellStyle name="常规 2 2 2 2 2 3 2 5" xfId="15903" xr:uid="{33EFB2F9-EA5D-4AA3-A210-4D4FA53A418C}"/>
    <cellStyle name="常规 2 2 2 2 2 3 3" xfId="15904" xr:uid="{256A2318-5977-47B7-BAC2-31979CBB86E8}"/>
    <cellStyle name="常规 2 2 2 2 2 3 3 2" xfId="15905" xr:uid="{26F4F3B8-4910-4ACE-A96A-8751138FA696}"/>
    <cellStyle name="常规 2 2 2 2 2 3 3 2 2" xfId="15906" xr:uid="{59174104-8B3B-40B9-BAB6-FB5E587C65C7}"/>
    <cellStyle name="常规 2 2 2 2 2 3 3 3" xfId="15907" xr:uid="{7FF3BACC-B1A3-4B28-8D29-EC8E7587EA55}"/>
    <cellStyle name="常规 2 2 2 2 2 3 3 4" xfId="15908" xr:uid="{88F632E0-F5FD-4F92-B441-94C4A583767C}"/>
    <cellStyle name="常规 2 2 2 2 2 3 3 4 2" xfId="33907" xr:uid="{3265F319-7B12-4159-A194-2B9FBB0ED7B2}"/>
    <cellStyle name="常规 2 2 2 2 2 3 3 5" xfId="15909" xr:uid="{AEE5BC15-BACF-41F2-B8F5-2B7B43167E1E}"/>
    <cellStyle name="常规 2 2 2 2 2 3 4" xfId="15910" xr:uid="{48764C8F-6941-431C-BC5A-7B148BD8F752}"/>
    <cellStyle name="常规 2 2 2 2 2 3 4 2" xfId="15911" xr:uid="{BD01DAFE-6762-4A10-B183-8A98EF1C6EFF}"/>
    <cellStyle name="常规 2 2 2 2 2 3 4 3" xfId="15912" xr:uid="{20182B6D-539A-4FFC-B1BE-2FCA907176DB}"/>
    <cellStyle name="常规 2 2 2 2 2 3 5" xfId="15913" xr:uid="{4E64356F-586E-490F-B703-26925F0496F8}"/>
    <cellStyle name="常规 2 2 2 2 2 3 5 2" xfId="15914" xr:uid="{1BE732C0-E3FD-4020-8F72-A2097A6D5DFE}"/>
    <cellStyle name="常规 2 2 2 2 2 3 6" xfId="15915" xr:uid="{2B8ABCBA-010A-4E73-84CA-45F8EC3E6912}"/>
    <cellStyle name="常规 2 2 2 2 2 3 6 2" xfId="15916" xr:uid="{50FFF178-02B4-42B3-A2A1-F34424ADB9FA}"/>
    <cellStyle name="常规 2 2 2 2 2 3 6 3" xfId="33908" xr:uid="{BD5FEF4F-1203-43E4-A075-4479152F0A2A}"/>
    <cellStyle name="常规 2 2 2 2 2 3 7" xfId="15917" xr:uid="{FF1EF728-2FB1-44B9-A736-B9E3CB57BDAD}"/>
    <cellStyle name="常规 2 2 2 2 2 4" xfId="15918" xr:uid="{FF16938B-1389-4473-B492-19B9401B0F09}"/>
    <cellStyle name="常规 2 2 2 2 2 4 2" xfId="15919" xr:uid="{939A23E1-71CC-47B6-9A57-9D098B794664}"/>
    <cellStyle name="常规 2 2 2 2 2 4 2 2" xfId="15920" xr:uid="{684C2CEE-0031-4A61-AAD6-2236B68F7EFB}"/>
    <cellStyle name="常规 2 2 2 2 2 4 2 2 2" xfId="15921" xr:uid="{FE523258-3F51-4216-A188-2F466E741099}"/>
    <cellStyle name="常规 2 2 2 2 2 4 2 3" xfId="15922" xr:uid="{6DEC0EA2-4B29-49B2-A1B2-468F8E1EB719}"/>
    <cellStyle name="常规 2 2 2 2 2 4 2 4" xfId="15923" xr:uid="{784A1C10-4A39-4959-8C07-C90C449714AD}"/>
    <cellStyle name="常规 2 2 2 2 2 4 2 4 2" xfId="33909" xr:uid="{418A0066-8E40-49BD-995F-EC54819512F0}"/>
    <cellStyle name="常规 2 2 2 2 2 4 3" xfId="15924" xr:uid="{109EF569-6395-47AD-B01D-EF8A2B2367E5}"/>
    <cellStyle name="常规 2 2 2 2 2 4 3 2" xfId="15925" xr:uid="{0B5C219E-7404-454C-B492-BB08334CE0DD}"/>
    <cellStyle name="常规 2 2 2 2 2 4 4" xfId="15926" xr:uid="{1142666B-056F-40A5-9700-351CACB502B6}"/>
    <cellStyle name="常规 2 2 2 2 2 4 5" xfId="15927" xr:uid="{19C47D17-8EE6-4DB1-9435-3583D0E4EDAF}"/>
    <cellStyle name="常规 2 2 2 2 2 4 5 2" xfId="33910" xr:uid="{EB959BAA-792C-4144-8C24-6A06D97F7876}"/>
    <cellStyle name="常规 2 2 2 2 2 4 6" xfId="15928" xr:uid="{27C812A0-D4C2-42BE-B822-0753F7815116}"/>
    <cellStyle name="常规 2 2 2 2 2 5" xfId="15929" xr:uid="{CB4B86B4-B097-452C-8278-6439D73F04DC}"/>
    <cellStyle name="常规 2 2 2 2 2 5 2" xfId="15930" xr:uid="{DD2DCB77-277F-4E63-A83B-A5EA51D25826}"/>
    <cellStyle name="常规 2 2 2 2 2 5 2 2" xfId="15931" xr:uid="{2C148FE3-B679-40C8-9D54-5926A04FC2FF}"/>
    <cellStyle name="常规 2 2 2 2 2 5 3" xfId="15932" xr:uid="{ECF638EE-37E8-4710-8B59-408F6AEB45B8}"/>
    <cellStyle name="常规 2 2 2 2 2 5 4" xfId="15933" xr:uid="{3BF1EC7D-48C6-4E03-A3BD-C08442609B24}"/>
    <cellStyle name="常规 2 2 2 2 2 5 4 2" xfId="33911" xr:uid="{05098991-6732-4CEC-BF8F-DFD65C338F90}"/>
    <cellStyle name="常规 2 2 2 2 2 5 5" xfId="15934" xr:uid="{7416E5A5-0801-4C09-9AB3-4FFB29D746AB}"/>
    <cellStyle name="常规 2 2 2 2 2 6" xfId="15935" xr:uid="{DAC97549-F358-4B56-AC72-C01B4A206B4E}"/>
    <cellStyle name="常规 2 2 2 2 2 6 2" xfId="15936" xr:uid="{0C73F592-81FC-4C34-BBB1-3153F8142C0A}"/>
    <cellStyle name="常规 2 2 2 2 2 6 2 2" xfId="15937" xr:uid="{32F2AE62-E71D-4985-A3AD-905C737EB0FB}"/>
    <cellStyle name="常规 2 2 2 2 2 6 3" xfId="15938" xr:uid="{10939AA4-1596-406D-AFF0-EA8DDABCEDBE}"/>
    <cellStyle name="常规 2 2 2 2 2 6 4" xfId="15939" xr:uid="{7DDF92E0-D539-47E0-81AE-FF574A28D9E6}"/>
    <cellStyle name="常规 2 2 2 2 2 6 4 2" xfId="33912" xr:uid="{D40C5952-7AAB-4233-994E-79828ADD3657}"/>
    <cellStyle name="常规 2 2 2 2 2 6 5" xfId="15940" xr:uid="{A3E4191A-4E82-4468-B391-089B9444DFC6}"/>
    <cellStyle name="常规 2 2 2 2 2 7" xfId="15941" xr:uid="{AB27D778-17C9-48C4-A20D-DBB3A3D5272A}"/>
    <cellStyle name="常规 2 2 2 2 2 7 2" xfId="15942" xr:uid="{E7725E06-D7DB-4F3D-AC8B-CD090A953BC1}"/>
    <cellStyle name="常规 2 2 2 2 2 7 3" xfId="15943" xr:uid="{5D1ACD77-52F6-4C7B-BB7E-7CC97C14A1D2}"/>
    <cellStyle name="常规 2 2 2 2 2 8" xfId="15944" xr:uid="{568E9539-C90C-47BB-80CA-F2922D9518BB}"/>
    <cellStyle name="常规 2 2 2 2 2 8 2" xfId="15945" xr:uid="{57492F86-7019-4404-83E6-86D06D693DD1}"/>
    <cellStyle name="常规 2 2 2 2 2 9" xfId="15946" xr:uid="{07EDE54B-8C79-4A1C-930D-3DFFA6FF2081}"/>
    <cellStyle name="常规 2 2 2 2 2 9 2" xfId="33913" xr:uid="{F23DA3A8-FC1F-443B-89DB-E7BA628F3F37}"/>
    <cellStyle name="常规 2 2 2 2 3" xfId="15947" xr:uid="{429E7440-3A24-4E4A-AC06-05455541BC78}"/>
    <cellStyle name="常规 2 2 2 2 3 2" xfId="15948" xr:uid="{A4C2AF4F-F228-4067-A967-4AA50B993983}"/>
    <cellStyle name="常规 2 2 2 2 3 2 2" xfId="15949" xr:uid="{8B4B3107-4AB2-430B-AD98-461858BA15C1}"/>
    <cellStyle name="常规 2 2 2 2 3 2 2 2" xfId="15950" xr:uid="{541D52C4-8A27-4FC7-B034-8C9B431989EC}"/>
    <cellStyle name="常规 2 2 2 2 3 2 2 2 2" xfId="15951" xr:uid="{D1C2F77F-809D-4137-9EAF-DF1EA573953C}"/>
    <cellStyle name="常规 2 2 2 2 3 2 2 2 3" xfId="15952" xr:uid="{67CE4AFE-5B7A-4DA0-8B63-5B8677E731FC}"/>
    <cellStyle name="常规 2 2 2 2 3 2 2 3" xfId="15953" xr:uid="{F9E70785-2AB5-4A14-9651-2906529ED9C0}"/>
    <cellStyle name="常规 2 2 2 2 3 2 2 3 2" xfId="15954" xr:uid="{53AE923A-3F25-4CA9-8D95-7B92ADF79C41}"/>
    <cellStyle name="常规 2 2 2 2 3 2 2 4" xfId="15955" xr:uid="{025AAA2E-235E-4A95-8918-B81F27697CA5}"/>
    <cellStyle name="常规 2 2 2 2 3 2 2 4 2" xfId="15956" xr:uid="{DA48B131-74EA-424E-B642-FFBCB3FA4E04}"/>
    <cellStyle name="常规 2 2 2 2 3 2 2 4 3" xfId="33914" xr:uid="{66AE100F-7200-4A64-A3B3-AD3EB372CD16}"/>
    <cellStyle name="常规 2 2 2 2 3 2 2 5" xfId="15957" xr:uid="{2F12B0FA-F5A3-49D7-941F-674922202759}"/>
    <cellStyle name="常规 2 2 2 2 3 2 2 6" xfId="15958" xr:uid="{D704F17A-3234-4607-91B1-6ADB1EB63FAE}"/>
    <cellStyle name="常规 2 2 2 2 3 2 2 7" xfId="15959" xr:uid="{2987391E-86EC-4EA1-9791-F901CE2C928F}"/>
    <cellStyle name="常规 2 2 2 2 3 2 3" xfId="15960" xr:uid="{1794DD13-E530-4163-9DB6-EE1E36B3937F}"/>
    <cellStyle name="常规 2 2 2 2 3 2 3 2" xfId="15961" xr:uid="{A4F94905-2CD2-42F2-9B6F-B56528A5FBB9}"/>
    <cellStyle name="常规 2 2 2 2 3 2 3 2 2" xfId="15962" xr:uid="{D8E78644-E3A9-474B-8DA7-27026937557C}"/>
    <cellStyle name="常规 2 2 2 2 3 2 3 3" xfId="15963" xr:uid="{0F71B621-FFB4-4A79-9C20-5D38B5D7CDA8}"/>
    <cellStyle name="常规 2 2 2 2 3 2 3 4" xfId="15964" xr:uid="{183760C8-0C5C-4545-8989-54E69C916D72}"/>
    <cellStyle name="常规 2 2 2 2 3 2 3 4 2" xfId="33915" xr:uid="{64C2DC49-9CEA-4E8C-9F92-9BE0D00CC4DC}"/>
    <cellStyle name="常规 2 2 2 2 3 2 3 5" xfId="15965" xr:uid="{70D72F59-A542-490F-A6D7-70630BBA49FD}"/>
    <cellStyle name="常规 2 2 2 2 3 2 4" xfId="15966" xr:uid="{F1BC7583-8C7E-4104-8C89-5124621FD003}"/>
    <cellStyle name="常规 2 2 2 2 3 2 4 2" xfId="15967" xr:uid="{4A43A773-1E20-46D3-B9B4-C1DFD07DDF0F}"/>
    <cellStyle name="常规 2 2 2 2 3 2 4 3" xfId="15968" xr:uid="{71DC5C72-B1D0-43A3-B25C-CEAE515ED214}"/>
    <cellStyle name="常规 2 2 2 2 3 2 5" xfId="15969" xr:uid="{9B5C1B73-7ACA-437F-B7FE-7A911B4CEF28}"/>
    <cellStyle name="常规 2 2 2 2 3 2 5 2" xfId="15970" xr:uid="{B90FD959-CE6F-46AC-A114-D1D565B4B6F2}"/>
    <cellStyle name="常规 2 2 2 2 3 2 6" xfId="15971" xr:uid="{3731F1E0-B6F0-4377-8353-6D0BE06E2E40}"/>
    <cellStyle name="常规 2 2 2 2 3 2 6 2" xfId="15972" xr:uid="{34B77EAB-018A-4E5B-9CFA-0059FF3CFD94}"/>
    <cellStyle name="常规 2 2 2 2 3 2 6 3" xfId="33916" xr:uid="{B1E59C65-9CC0-4C86-827A-2DAAA5B77449}"/>
    <cellStyle name="常规 2 2 2 2 3 2 7" xfId="15973" xr:uid="{84AD194A-D72A-4ABA-99E0-9054F9273148}"/>
    <cellStyle name="常规 2 2 2 2 3 2 8" xfId="15974" xr:uid="{67A42831-14F0-4E06-916A-65D56A7851A0}"/>
    <cellStyle name="常规 2 2 2 2 3 3" xfId="15975" xr:uid="{916BE614-3709-420C-BF7B-659A077363B8}"/>
    <cellStyle name="常规 2 2 2 2 3 3 2" xfId="15976" xr:uid="{AFE8F153-A272-4BC9-BB0A-B96A7CB785B9}"/>
    <cellStyle name="常规 2 2 2 2 3 3 2 2" xfId="15977" xr:uid="{E45953B4-6C72-4A0E-94FD-0AB490115435}"/>
    <cellStyle name="常规 2 2 2 2 3 3 2 3" xfId="15978" xr:uid="{08B29BD3-D885-4CC2-8BA5-20A2FDBC03E9}"/>
    <cellStyle name="常规 2 2 2 2 3 3 3" xfId="15979" xr:uid="{3D73CB87-37A9-4A46-97E8-566A7D8D1EDB}"/>
    <cellStyle name="常规 2 2 2 2 3 3 3 2" xfId="15980" xr:uid="{62698A60-5ACB-4B2C-A051-4D53F152AD12}"/>
    <cellStyle name="常规 2 2 2 2 3 3 4" xfId="15981" xr:uid="{987D8B7B-9B7C-4F96-B49C-B3600B5FB809}"/>
    <cellStyle name="常规 2 2 2 2 3 3 4 2" xfId="15982" xr:uid="{D85C113F-F9CB-42BA-BEAC-EB598A85AE42}"/>
    <cellStyle name="常规 2 2 2 2 3 3 4 3" xfId="33917" xr:uid="{72A9E501-1652-4AC8-9EC1-328F2C8D6ABB}"/>
    <cellStyle name="常规 2 2 2 2 3 3 5" xfId="15983" xr:uid="{A1989F79-A016-4051-8D20-E36E868DC3AC}"/>
    <cellStyle name="常规 2 2 2 2 3 3 6" xfId="15984" xr:uid="{463B446D-E3C4-40C5-AB90-9B71CA38F0F9}"/>
    <cellStyle name="常规 2 2 2 2 3 3 7" xfId="15985" xr:uid="{6DEF8A06-7EE9-4E4E-9D37-41A8A58172E6}"/>
    <cellStyle name="常规 2 2 2 2 3 4" xfId="15986" xr:uid="{225F7D52-D6C5-40D6-A750-6128AFE52161}"/>
    <cellStyle name="常规 2 2 2 2 3 4 2" xfId="15987" xr:uid="{725608DE-14D9-4475-B20F-D1FB7E31911D}"/>
    <cellStyle name="常规 2 2 2 2 3 4 2 2" xfId="15988" xr:uid="{93D8E67C-240D-44FB-9219-4D953BF0D220}"/>
    <cellStyle name="常规 2 2 2 2 3 4 3" xfId="15989" xr:uid="{705E4848-E29A-4AC0-AECA-80438F2BCDD3}"/>
    <cellStyle name="常规 2 2 2 2 3 4 4" xfId="15990" xr:uid="{2C3EBC2D-EB5E-4ECE-B752-3C88FA61A9EB}"/>
    <cellStyle name="常规 2 2 2 2 3 4 4 2" xfId="33918" xr:uid="{921E230B-2649-4BA9-B23F-B2598BA12684}"/>
    <cellStyle name="常规 2 2 2 2 3 4 5" xfId="15991" xr:uid="{7B1B976A-AE58-43C4-ABC3-505FDD2894D0}"/>
    <cellStyle name="常规 2 2 2 2 3 5" xfId="15992" xr:uid="{1C1B952B-CDFA-4507-9136-B28004867D77}"/>
    <cellStyle name="常规 2 2 2 2 3 5 2" xfId="15993" xr:uid="{F84015FC-F687-4556-A147-A74540C9C61A}"/>
    <cellStyle name="常规 2 2 2 2 3 5 3" xfId="15994" xr:uid="{34066291-AF2C-42AE-8896-7EC93AE78824}"/>
    <cellStyle name="常规 2 2 2 2 3 6" xfId="15995" xr:uid="{78F30549-A2C4-4F29-9426-D6AE0EC8B17F}"/>
    <cellStyle name="常规 2 2 2 2 3 6 2" xfId="15996" xr:uid="{4ECBA475-AAC5-407E-BB3A-18973D5F1A1E}"/>
    <cellStyle name="常规 2 2 2 2 3 7" xfId="15997" xr:uid="{7412B9EC-E373-49A0-9030-E4BDF711A25B}"/>
    <cellStyle name="常规 2 2 2 2 3 7 2" xfId="15998" xr:uid="{96AE4421-3BD3-4B26-9898-79B578AAE284}"/>
    <cellStyle name="常规 2 2 2 2 3 7 3" xfId="33919" xr:uid="{95A78A5D-4A4A-4D3C-AF0F-38083FACC707}"/>
    <cellStyle name="常规 2 2 2 2 3 8" xfId="15999" xr:uid="{09E7251A-403B-485E-BF51-7FDE91FD064D}"/>
    <cellStyle name="常规 2 2 2 2 3 9" xfId="16000" xr:uid="{67386B00-C789-4B75-B72F-B997669F8EBB}"/>
    <cellStyle name="常规 2 2 2 2 4" xfId="16001" xr:uid="{1432572E-6C16-466A-B25C-5C7AFFEF176B}"/>
    <cellStyle name="常规 2 2 2 2 4 2" xfId="16002" xr:uid="{82C4EB41-41AB-4079-9D03-A15EEAADDDF4}"/>
    <cellStyle name="常规 2 2 2 2 4 2 2" xfId="16003" xr:uid="{E120DB47-BFC4-41C4-BF78-907022C849CE}"/>
    <cellStyle name="常规 2 2 2 2 4 2 2 2" xfId="16004" xr:uid="{48C6CB8C-7C34-44BB-ACCA-7ECFAB20014D}"/>
    <cellStyle name="常规 2 2 2 2 4 2 2 3" xfId="16005" xr:uid="{4F1E7256-CD34-4C09-B211-1A3E13ADE507}"/>
    <cellStyle name="常规 2 2 2 2 4 2 2 4" xfId="16006" xr:uid="{1F346FD1-D3B6-49A0-AC52-93BD44D618D6}"/>
    <cellStyle name="常规 2 2 2 2 4 2 2 5" xfId="16007" xr:uid="{4E6D6C8B-64C2-468E-B49B-F8D98820A331}"/>
    <cellStyle name="常规 2 2 2 2 4 2 2 6" xfId="16008" xr:uid="{C589120A-63D9-46DF-92B8-2B59C69A8953}"/>
    <cellStyle name="常规 2 2 2 2 4 2 2 7" xfId="16009" xr:uid="{02890E3B-3242-4284-BEB3-E8D7709B0C39}"/>
    <cellStyle name="常规 2 2 2 2 4 2 2 8" xfId="16010" xr:uid="{5837377A-1011-4A00-85FB-ACBDAF6678A0}"/>
    <cellStyle name="常规 2 2 2 2 4 2 3" xfId="16011" xr:uid="{5C0A28A0-0E32-4E4A-B6F7-347F805C5BFA}"/>
    <cellStyle name="常规 2 2 2 2 4 2 3 2" xfId="16012" xr:uid="{68F45812-EF33-4CE6-9977-5AAE1910BB89}"/>
    <cellStyle name="常规 2 2 2 2 4 2 4" xfId="16013" xr:uid="{9EA6A850-8433-4DC9-9C53-DC6603C8CAC5}"/>
    <cellStyle name="常规 2 2 2 2 4 2 4 2" xfId="16014" xr:uid="{EACD7796-BA15-4D64-8B67-5D4C0BE7A4E2}"/>
    <cellStyle name="常规 2 2 2 2 4 2 4 3" xfId="33920" xr:uid="{2884F99C-488D-46E2-BF0D-7226B78E5F30}"/>
    <cellStyle name="常规 2 2 2 2 4 2 5" xfId="16015" xr:uid="{C9837F81-488C-42CD-8FE4-12E9A84C3DE7}"/>
    <cellStyle name="常规 2 2 2 2 4 2 6" xfId="16016" xr:uid="{403223D3-5D85-4F16-9EAA-EB763E9929C6}"/>
    <cellStyle name="常规 2 2 2 2 4 2 7" xfId="16017" xr:uid="{1DC4A27F-1EA6-4C25-8F8F-FF43A34E9C25}"/>
    <cellStyle name="常规 2 2 2 2 4 2 8" xfId="16018" xr:uid="{A2444D67-0F92-4BF1-B291-E4C9BA62AD69}"/>
    <cellStyle name="常规 2 2 2 2 4 3" xfId="16019" xr:uid="{B6503555-27D0-4298-A917-2689F32B133A}"/>
    <cellStyle name="常规 2 2 2 2 4 3 2" xfId="16020" xr:uid="{AAA9C7E6-9CAA-4162-B59D-A33BA5F1E50A}"/>
    <cellStyle name="常规 2 2 2 2 4 3 2 2" xfId="16021" xr:uid="{4259BE00-1941-46F2-8AAF-BEE3DD8D807A}"/>
    <cellStyle name="常规 2 2 2 2 4 3 2 3" xfId="16022" xr:uid="{6634D1F5-68F9-4BCD-B913-1FEABB04EBDE}"/>
    <cellStyle name="常规 2 2 2 2 4 3 3" xfId="16023" xr:uid="{B9A4F707-315D-4F96-8256-E2417139E961}"/>
    <cellStyle name="常规 2 2 2 2 4 3 3 2" xfId="16024" xr:uid="{67E6ECC2-F9F7-4A0F-9C9E-842A9D11168B}"/>
    <cellStyle name="常规 2 2 2 2 4 3 4" xfId="16025" xr:uid="{0ACCB785-8B54-441B-AD9A-8F83356EFAE0}"/>
    <cellStyle name="常规 2 2 2 2 4 3 4 2" xfId="16026" xr:uid="{87AC5E78-5D7A-498A-92E2-70DDA365E6AA}"/>
    <cellStyle name="常规 2 2 2 2 4 3 4 3" xfId="33921" xr:uid="{81F22D3A-5EE3-4ADA-BA29-BFFE38ED296B}"/>
    <cellStyle name="常规 2 2 2 2 4 3 5" xfId="16027" xr:uid="{ABB43100-60CC-43B2-A376-7F34799BB0CC}"/>
    <cellStyle name="常规 2 2 2 2 4 3 6" xfId="16028" xr:uid="{3154A9DD-31D8-4950-B45F-C3172B66E073}"/>
    <cellStyle name="常规 2 2 2 2 4 3 7" xfId="16029" xr:uid="{2BCE21AB-01FD-49F8-AF3D-C89F9C3D6DB5}"/>
    <cellStyle name="常规 2 2 2 2 4 4" xfId="16030" xr:uid="{B76B0A96-C0BF-449F-B6E3-56AAC7D87FB7}"/>
    <cellStyle name="常规 2 2 2 2 4 4 2" xfId="16031" xr:uid="{6BDBAC1E-4CAC-4D89-907A-3634BC7A953E}"/>
    <cellStyle name="常规 2 2 2 2 4 4 3" xfId="16032" xr:uid="{ECC8A0EE-5244-4DC1-AA1F-A3C092448F3B}"/>
    <cellStyle name="常规 2 2 2 2 4 5" xfId="16033" xr:uid="{C0FBA8FD-B05A-4251-82CB-750931367CA8}"/>
    <cellStyle name="常规 2 2 2 2 4 5 2" xfId="16034" xr:uid="{0E935AD3-AABE-4A06-9316-70D7260FAA38}"/>
    <cellStyle name="常规 2 2 2 2 4 6" xfId="16035" xr:uid="{B7D146BA-63C9-415E-8621-168E2F4F6E1F}"/>
    <cellStyle name="常规 2 2 2 2 4 6 2" xfId="16036" xr:uid="{4D8FDD7D-9958-4D90-91EC-545150CB37D1}"/>
    <cellStyle name="常规 2 2 2 2 4 6 3" xfId="33922" xr:uid="{431E51F0-77DF-44DD-A23B-FC990828B83D}"/>
    <cellStyle name="常规 2 2 2 2 4 7" xfId="16037" xr:uid="{A09AEA07-E721-42E0-A28C-459DEE968B85}"/>
    <cellStyle name="常规 2 2 2 2 4 8" xfId="16038" xr:uid="{F673A69C-07B2-48D1-A12D-DFA7A74FD523}"/>
    <cellStyle name="常规 2 2 2 2 4 9" xfId="16039" xr:uid="{DC16E54E-8B67-4DDE-9F5C-CEBAB4781389}"/>
    <cellStyle name="常规 2 2 2 2 5" xfId="16040" xr:uid="{648C603C-C1A1-4525-BB25-24CA6254FE20}"/>
    <cellStyle name="常规 2 2 2 2 5 2" xfId="16041" xr:uid="{D1D823CB-DE26-4493-B7C6-317B6AC97603}"/>
    <cellStyle name="常规 2 2 2 2 5 2 2" xfId="16042" xr:uid="{D8834F18-717F-4FF7-9391-39EF411321D8}"/>
    <cellStyle name="常规 2 2 2 2 5 2 2 2" xfId="16043" xr:uid="{83FF4E2B-566F-42CA-9CC6-70E1D9403E6C}"/>
    <cellStyle name="常规 2 2 2 2 5 2 3" xfId="16044" xr:uid="{3CA3E672-39EF-4373-8620-70AC1BF55166}"/>
    <cellStyle name="常规 2 2 2 2 5 2 4" xfId="16045" xr:uid="{E525495F-2CBC-4175-9D30-39AAE1676232}"/>
    <cellStyle name="常规 2 2 2 2 5 2 4 2" xfId="33923" xr:uid="{AF3D6560-681A-4F2D-96DC-EFCC6C70510E}"/>
    <cellStyle name="常规 2 2 2 2 5 3" xfId="16046" xr:uid="{FFB04503-9CD5-4844-B1EB-D027381BD4EC}"/>
    <cellStyle name="常规 2 2 2 2 5 3 2" xfId="16047" xr:uid="{4C43A4E2-1D42-4843-B1B8-25763F0E57EF}"/>
    <cellStyle name="常规 2 2 2 2 5 4" xfId="16048" xr:uid="{5EFD6B02-7C6B-4F66-9600-B73BF4DF2503}"/>
    <cellStyle name="常规 2 2 2 2 5 5" xfId="16049" xr:uid="{F5433406-9EE1-4301-B901-2F9259BD697F}"/>
    <cellStyle name="常规 2 2 2 2 5 5 2" xfId="33924" xr:uid="{A1317532-3DF7-41F2-BF02-7F60119D41FF}"/>
    <cellStyle name="常规 2 2 2 2 5 6" xfId="16050" xr:uid="{36220D29-0A4B-4C37-AE1A-E164754D33BC}"/>
    <cellStyle name="常规 2 2 2 2 6" xfId="16051" xr:uid="{C0A33BD3-9F3C-40C6-976F-394385489654}"/>
    <cellStyle name="常规 2 2 2 2 6 2" xfId="16052" xr:uid="{1231EFC9-A185-4233-B0C3-CCB2D11AAC41}"/>
    <cellStyle name="常规 2 2 2 2 6 2 2" xfId="16053" xr:uid="{B8F26159-F25F-452D-988E-85542A77B6B0}"/>
    <cellStyle name="常规 2 2 2 2 6 2 3" xfId="16054" xr:uid="{2C7D3241-E3B1-4916-B597-AD83CB6FD3A5}"/>
    <cellStyle name="常规 2 2 2 2 6 2 4" xfId="16055" xr:uid="{DF7D4E30-67E2-45EE-977B-183F9F89936C}"/>
    <cellStyle name="常规 2 2 2 2 6 2 5" xfId="16056" xr:uid="{B6C04E83-B6B9-41E0-9988-285E8FE468C5}"/>
    <cellStyle name="常规 2 2 2 2 6 2 6" xfId="16057" xr:uid="{1065CB80-9EDB-4B46-A536-6A0E0D8796CB}"/>
    <cellStyle name="常规 2 2 2 2 6 2 7" xfId="16058" xr:uid="{A69F3F4E-CCE1-407A-8424-F4C8A4FCB892}"/>
    <cellStyle name="常规 2 2 2 2 6 2 8" xfId="16059" xr:uid="{A86BBA31-366A-4C3D-8279-E452644F7F70}"/>
    <cellStyle name="常规 2 2 2 2 6 3" xfId="16060" xr:uid="{C6BCB5AB-234E-4687-B8B8-EDFB0B12908C}"/>
    <cellStyle name="常规 2 2 2 2 6 3 2" xfId="16061" xr:uid="{85BD06A9-11D3-4F8E-9855-DDC1CC237223}"/>
    <cellStyle name="常规 2 2 2 2 6 4" xfId="16062" xr:uid="{A5F1BA16-F50A-4ECA-A1CE-5B5B81F6BF1A}"/>
    <cellStyle name="常规 2 2 2 2 6 4 2" xfId="16063" xr:uid="{8983A236-2FDB-46CD-A230-7E9D7A7258ED}"/>
    <cellStyle name="常规 2 2 2 2 6 4 3" xfId="33925" xr:uid="{D38FCB7D-CA79-4985-BB90-09988A69E929}"/>
    <cellStyle name="常规 2 2 2 2 6 5" xfId="16064" xr:uid="{7A94D9E3-4EF0-4256-B0BD-7F9CBD6907C2}"/>
    <cellStyle name="常规 2 2 2 2 6 6" xfId="16065" xr:uid="{A13E54BE-3F1E-4FC7-878C-36727B2D8D88}"/>
    <cellStyle name="常规 2 2 2 2 6 7" xfId="16066" xr:uid="{CE5F61AA-C0EE-43DB-ABDD-C9E1ABE9BB99}"/>
    <cellStyle name="常规 2 2 2 2 6 8" xfId="16067" xr:uid="{AED51BBF-97E6-4158-BEBE-ED1D458D11DD}"/>
    <cellStyle name="常规 2 2 2 2 7" xfId="16068" xr:uid="{6D7D61C1-E3E2-4A44-8339-170F2966384A}"/>
    <cellStyle name="常规 2 2 2 2 7 2" xfId="16069" xr:uid="{BAD2D869-8837-4965-AF15-C3D35CE78D1D}"/>
    <cellStyle name="常规 2 2 2 2 7 2 2" xfId="16070" xr:uid="{CDF00133-8EB0-4C7F-9FAD-7C29CA90C38A}"/>
    <cellStyle name="常规 2 2 2 2 7 2 3" xfId="16071" xr:uid="{0964FC72-1F19-471E-AFC5-6160759566A9}"/>
    <cellStyle name="常规 2 2 2 2 7 3" xfId="16072" xr:uid="{676BAB98-C7D7-4FD7-9288-01FF9599F070}"/>
    <cellStyle name="常规 2 2 2 2 7 3 2" xfId="16073" xr:uid="{B0F1EA92-95D1-45FF-9092-5FDD77CF983E}"/>
    <cellStyle name="常规 2 2 2 2 7 4" xfId="16074" xr:uid="{8DB0CC82-7B03-42E4-826B-C07150F47BB2}"/>
    <cellStyle name="常规 2 2 2 2 7 4 2" xfId="16075" xr:uid="{7D92C201-89DA-4019-80C9-4324D8F60A1B}"/>
    <cellStyle name="常规 2 2 2 2 7 4 3" xfId="33926" xr:uid="{95CC701F-EB63-414D-8ECA-22BB6A911A74}"/>
    <cellStyle name="常规 2 2 2 2 7 5" xfId="16076" xr:uid="{7EA557B8-CF78-4B19-884A-6B1999187421}"/>
    <cellStyle name="常规 2 2 2 2 7 6" xfId="16077" xr:uid="{C4D96A39-D414-4A49-865F-B41A42FBF681}"/>
    <cellStyle name="常规 2 2 2 2 7 7" xfId="16078" xr:uid="{F1000DE4-29A5-4E56-BA8D-20F611FC9070}"/>
    <cellStyle name="常规 2 2 2 2 8" xfId="16079" xr:uid="{CB4CB2C1-0A5A-4FD8-93FC-DA90FB23DFF4}"/>
    <cellStyle name="常规 2 2 2 2 8 2" xfId="16080" xr:uid="{F0636669-FD90-4619-9497-704D16AEF138}"/>
    <cellStyle name="常规 2 2 2 2 8 3" xfId="16081" xr:uid="{E38CE699-3D6C-4612-A841-EBC4E467C691}"/>
    <cellStyle name="常规 2 2 2 2 9" xfId="16082" xr:uid="{292A7CF8-DA80-4C6A-BFAE-29A88C2AA36D}"/>
    <cellStyle name="常规 2 2 2 2 9 2" xfId="16083" xr:uid="{141904B3-7D48-4BE1-8C8C-991666F20521}"/>
    <cellStyle name="常规 2 2 2 3" xfId="16084" xr:uid="{EC631298-4D08-4E67-9C73-47FAD4670AD0}"/>
    <cellStyle name="常规 2 2 2 3 10" xfId="16085" xr:uid="{03AABA4F-AEAA-4B87-9D44-7106C3E56BF9}"/>
    <cellStyle name="常规 2 2 2 3 10 2" xfId="16086" xr:uid="{4FF8759C-E288-4980-B991-E3E9991E744C}"/>
    <cellStyle name="常规 2 2 2 3 11" xfId="16087" xr:uid="{9B8E285B-15F8-4D33-A5C7-152954EE4F98}"/>
    <cellStyle name="常规 2 2 2 3 2" xfId="16088" xr:uid="{6C0877E3-5C4D-4367-B76A-60CCF4A65497}"/>
    <cellStyle name="常规 2 2 2 3 2 2" xfId="16089" xr:uid="{A66276A1-04C5-4DD0-A11D-249497767F39}"/>
    <cellStyle name="常规 2 2 2 3 2 2 2" xfId="16090" xr:uid="{59217F1A-5279-4D3C-8BD3-20EB0FEE5E81}"/>
    <cellStyle name="常规 2 2 2 3 2 2 2 2" xfId="16091" xr:uid="{79108C19-F83E-4E32-93F0-B300F105F80E}"/>
    <cellStyle name="常规 2 2 2 3 2 2 2 2 2" xfId="16092" xr:uid="{1BB36136-AED4-492F-8464-7C6FF2C017DA}"/>
    <cellStyle name="常规 2 2 2 3 2 2 2 2 3" xfId="16093" xr:uid="{9CD99755-47EA-4168-AFB2-CB8FC5941FE7}"/>
    <cellStyle name="常规 2 2 2 3 2 2 2 3" xfId="16094" xr:uid="{61E24EBF-81CD-408D-B155-28697B569AAB}"/>
    <cellStyle name="常规 2 2 2 3 2 2 2 3 2" xfId="16095" xr:uid="{07D17B44-5CE8-40E8-B078-CDF93AB78BDE}"/>
    <cellStyle name="常规 2 2 2 3 2 2 2 4" xfId="16096" xr:uid="{FE01633A-C6F2-494D-96B1-37B841E79453}"/>
    <cellStyle name="常规 2 2 2 3 2 2 2 4 2" xfId="16097" xr:uid="{C850BDB9-B7C3-41E7-83B5-1601610E78CA}"/>
    <cellStyle name="常规 2 2 2 3 2 2 2 4 3" xfId="33927" xr:uid="{A9C9B8E2-F0B4-4845-ADBD-493A67901ABB}"/>
    <cellStyle name="常规 2 2 2 3 2 2 2 5" xfId="16098" xr:uid="{86BFCD61-BE92-47D7-BCD0-BDCD002DAA3D}"/>
    <cellStyle name="常规 2 2 2 3 2 2 2 6" xfId="16099" xr:uid="{FCCD234E-CC27-4FF7-8D58-439F5F6AFD77}"/>
    <cellStyle name="常规 2 2 2 3 2 2 2 7" xfId="16100" xr:uid="{9E96F1C3-A509-4EFC-A5A0-9F7049A328BB}"/>
    <cellStyle name="常规 2 2 2 3 2 2 3" xfId="16101" xr:uid="{B4CBAD16-5D1C-4A5C-859D-FA55F3FF6797}"/>
    <cellStyle name="常规 2 2 2 3 2 2 3 2" xfId="16102" xr:uid="{155C226D-C0CE-40DD-BA03-54A67C593EC0}"/>
    <cellStyle name="常规 2 2 2 3 2 2 3 2 2" xfId="16103" xr:uid="{66B8B3DC-F521-4E50-8CDD-3FB976A53AAF}"/>
    <cellStyle name="常规 2 2 2 3 2 2 3 3" xfId="16104" xr:uid="{496F3CC9-0016-4042-B5F6-7C2501B0915F}"/>
    <cellStyle name="常规 2 2 2 3 2 2 3 4" xfId="16105" xr:uid="{760080A1-5DC9-4B66-B014-45436BC85AF9}"/>
    <cellStyle name="常规 2 2 2 3 2 2 3 4 2" xfId="33928" xr:uid="{714B224C-F60F-411F-931D-E559E70E66E5}"/>
    <cellStyle name="常规 2 2 2 3 2 2 3 5" xfId="16106" xr:uid="{F6E55D51-C5C6-4FEA-BE0D-4C7F2AE6709B}"/>
    <cellStyle name="常规 2 2 2 3 2 2 4" xfId="16107" xr:uid="{4D805820-BC68-415F-BC6A-96418F3AE677}"/>
    <cellStyle name="常规 2 2 2 3 2 2 4 2" xfId="16108" xr:uid="{7399B1DF-E857-48FC-A7AE-666F472DEE78}"/>
    <cellStyle name="常规 2 2 2 3 2 2 4 3" xfId="16109" xr:uid="{405BC0FE-AE02-49B3-BE0F-8C142BBC2436}"/>
    <cellStyle name="常规 2 2 2 3 2 2 5" xfId="16110" xr:uid="{5A3D1096-A91B-4E8C-9B61-B6FE51AC3F5B}"/>
    <cellStyle name="常规 2 2 2 3 2 2 5 2" xfId="16111" xr:uid="{4F5A1512-BDF1-488C-8106-C4DBE3F9C2E4}"/>
    <cellStyle name="常规 2 2 2 3 2 2 6" xfId="16112" xr:uid="{975E621F-B3E8-434D-B20B-43878F5272A6}"/>
    <cellStyle name="常规 2 2 2 3 2 2 6 2" xfId="16113" xr:uid="{D8C155B9-CF51-4D1F-8198-F96D0DAA6722}"/>
    <cellStyle name="常规 2 2 2 3 2 2 6 3" xfId="33929" xr:uid="{E85EECBF-EF4E-4DB8-BB76-CC5CFEF606AA}"/>
    <cellStyle name="常规 2 2 2 3 2 2 7" xfId="16114" xr:uid="{DE0FB8C4-89C2-4590-9331-DFD2E70961BE}"/>
    <cellStyle name="常规 2 2 2 3 2 2 8" xfId="16115" xr:uid="{FD332805-3048-4053-AF54-DAABEFD9A2EF}"/>
    <cellStyle name="常规 2 2 2 3 2 3" xfId="16116" xr:uid="{C274EC09-BBAF-4023-89D7-5E7983B270AF}"/>
    <cellStyle name="常规 2 2 2 3 2 3 2" xfId="16117" xr:uid="{588B90E1-9AB5-4B5A-9A82-09B211236E89}"/>
    <cellStyle name="常规 2 2 2 3 2 3 2 2" xfId="16118" xr:uid="{FB16ADE1-8E19-4ACA-9DB4-2C81B4479B08}"/>
    <cellStyle name="常规 2 2 2 3 2 3 2 2 2" xfId="16119" xr:uid="{00FE3932-2E6E-4D4E-B9ED-C41E56C82D06}"/>
    <cellStyle name="常规 2 2 2 3 2 3 2 3" xfId="16120" xr:uid="{4B53F72B-7B16-4EE1-BDF0-EE9A0C0D263E}"/>
    <cellStyle name="常规 2 2 2 3 2 3 2 4" xfId="16121" xr:uid="{3AC9A8A4-D272-449F-B4B5-A7ABBFAB38F1}"/>
    <cellStyle name="常规 2 2 2 3 2 3 2 4 2" xfId="33930" xr:uid="{658FFF08-9F5C-46EB-B980-7F427D4D712C}"/>
    <cellStyle name="常规 2 2 2 3 2 3 2 5" xfId="16122" xr:uid="{902EA772-76DD-4404-BA30-7C18927C8B44}"/>
    <cellStyle name="常规 2 2 2 3 2 3 3" xfId="16123" xr:uid="{0BDC28C9-9792-4AB4-A837-25E959B38FA6}"/>
    <cellStyle name="常规 2 2 2 3 2 3 3 2" xfId="16124" xr:uid="{D17D7BFF-0075-463A-9437-77910FB97447}"/>
    <cellStyle name="常规 2 2 2 3 2 3 3 3" xfId="16125" xr:uid="{63CB022E-74A3-44DD-83A3-D2B941AF7732}"/>
    <cellStyle name="常规 2 2 2 3 2 3 4" xfId="16126" xr:uid="{10F35F01-6F76-477E-A49D-64121FCD975E}"/>
    <cellStyle name="常规 2 2 2 3 2 3 4 2" xfId="16127" xr:uid="{DEF087C9-BD99-4265-A6DC-2AB82C901A29}"/>
    <cellStyle name="常规 2 2 2 3 2 3 5" xfId="16128" xr:uid="{7975DF92-65FA-4E5C-953D-11415E634E3E}"/>
    <cellStyle name="常规 2 2 2 3 2 3 5 2" xfId="16129" xr:uid="{19D49470-2D34-42D1-959B-ABA2462CBC12}"/>
    <cellStyle name="常规 2 2 2 3 2 3 5 3" xfId="33931" xr:uid="{64626F07-542E-4634-806E-6DA342E7747E}"/>
    <cellStyle name="常规 2 2 2 3 2 3 6" xfId="16130" xr:uid="{A83705CE-0E58-4E58-A7EA-EBDD6821D80C}"/>
    <cellStyle name="常规 2 2 2 3 2 3 7" xfId="16131" xr:uid="{C9DE6ABA-205A-4610-979C-56C1840D4743}"/>
    <cellStyle name="常规 2 2 2 3 2 4" xfId="16132" xr:uid="{BDEF16DE-B1CD-4523-B559-A73D31C1F918}"/>
    <cellStyle name="常规 2 2 2 3 2 4 2" xfId="16133" xr:uid="{3638C3B8-BBD2-4978-982A-ACFF16980FAA}"/>
    <cellStyle name="常规 2 2 2 3 2 4 2 2" xfId="16134" xr:uid="{3CC4426F-CD24-48B7-8AD5-065702F9923B}"/>
    <cellStyle name="常规 2 2 2 3 2 4 3" xfId="16135" xr:uid="{F3D47FF2-EADB-4397-84CF-58B0179CFE23}"/>
    <cellStyle name="常规 2 2 2 3 2 4 4" xfId="16136" xr:uid="{A0EEEA7B-5DC2-4245-AB34-3F7E2F653FBE}"/>
    <cellStyle name="常规 2 2 2 3 2 4 4 2" xfId="33932" xr:uid="{10B3FD80-40AF-4F53-8766-E7E1D212DD1F}"/>
    <cellStyle name="常规 2 2 2 3 2 4 5" xfId="16137" xr:uid="{4B289A8D-2BB9-4C69-9BC3-86B61DA0C9B3}"/>
    <cellStyle name="常规 2 2 2 3 2 5" xfId="16138" xr:uid="{FF45B834-F856-49DC-ACA9-21357E62FE5C}"/>
    <cellStyle name="常规 2 2 2 3 2 5 2" xfId="16139" xr:uid="{E52BC331-026A-4B7B-B178-014489646D6E}"/>
    <cellStyle name="常规 2 2 2 3 2 5 2 2" xfId="16140" xr:uid="{DAEF5CF8-1A31-42C0-8461-91CAB1DE19A5}"/>
    <cellStyle name="常规 2 2 2 3 2 5 3" xfId="16141" xr:uid="{4A360880-76FF-486F-B47B-23090B89FAED}"/>
    <cellStyle name="常规 2 2 2 3 2 5 4" xfId="16142" xr:uid="{C3C52F05-0A1B-4D09-85F2-C464DC682E9E}"/>
    <cellStyle name="常规 2 2 2 3 2 5 4 2" xfId="33933" xr:uid="{BEB2F105-986C-461A-A76E-5A2EC1637684}"/>
    <cellStyle name="常规 2 2 2 3 2 5 5" xfId="16143" xr:uid="{B1698069-B123-4843-9B38-A19968099BC4}"/>
    <cellStyle name="常规 2 2 2 3 2 6" xfId="16144" xr:uid="{756A3735-0D35-4204-BE80-37F72C4EEFE8}"/>
    <cellStyle name="常规 2 2 2 3 2 6 2" xfId="16145" xr:uid="{F58DC76C-0240-42EA-90F0-217416790F16}"/>
    <cellStyle name="常规 2 2 2 3 2 6 3" xfId="16146" xr:uid="{EA82F745-E131-4C61-8D05-6E1CADA45AAB}"/>
    <cellStyle name="常规 2 2 2 3 2 7" xfId="16147" xr:uid="{47B78BBD-07A7-4F19-B11A-F5488AC9F058}"/>
    <cellStyle name="常规 2 2 2 3 2 7 2" xfId="16148" xr:uid="{3394B1DD-F147-453A-91F5-0892EA1B5AB7}"/>
    <cellStyle name="常规 2 2 2 3 2 8" xfId="16149" xr:uid="{1A904421-42F2-4844-864A-018C9EF20A1E}"/>
    <cellStyle name="常规 2 2 2 3 2 8 2" xfId="16150" xr:uid="{B5EAC46F-A30C-4578-BF57-66CA420267E6}"/>
    <cellStyle name="常规 2 2 2 3 2 8 3" xfId="33934" xr:uid="{76298D07-4479-4389-8689-5F835FCBBA02}"/>
    <cellStyle name="常规 2 2 2 3 2 9" xfId="16151" xr:uid="{B65E3D9A-D37B-4D5F-BEDB-7AADC650DC66}"/>
    <cellStyle name="常规 2 2 2 3 3" xfId="16152" xr:uid="{56A5ABAB-AF4D-4CCF-A9F3-0CF2FF1A1CBD}"/>
    <cellStyle name="常规 2 2 2 3 3 2" xfId="16153" xr:uid="{618B9DE6-5EAE-4B6D-A211-910D5355F739}"/>
    <cellStyle name="常规 2 2 2 3 3 2 2" xfId="16154" xr:uid="{14CA85CA-E407-478C-BCF3-0F9541EFEF09}"/>
    <cellStyle name="常规 2 2 2 3 3 2 2 2" xfId="16155" xr:uid="{ED2F788D-BFCE-4329-B053-967602ACD15C}"/>
    <cellStyle name="常规 2 2 2 3 3 2 2 2 2" xfId="16156" xr:uid="{FC1CC91E-5538-4C12-B0D6-06AA031B010B}"/>
    <cellStyle name="常规 2 2 2 3 3 2 2 3" xfId="16157" xr:uid="{C130C3D5-5B6E-49DC-82F4-C5A6D4F6C54E}"/>
    <cellStyle name="常规 2 2 2 3 3 2 2 4" xfId="16158" xr:uid="{1BA2931A-223B-48B7-ACB9-F7FC9D3599EE}"/>
    <cellStyle name="常规 2 2 2 3 3 2 2 4 2" xfId="33935" xr:uid="{B6161CE7-917E-4532-AA92-D167356CE19F}"/>
    <cellStyle name="常规 2 2 2 3 3 2 2 5" xfId="16159" xr:uid="{6F36F273-F244-4AB1-AF48-38AC7C4385A8}"/>
    <cellStyle name="常规 2 2 2 3 3 2 3" xfId="16160" xr:uid="{E2BB0D7B-02E8-465C-9D9B-2B37A9F552E4}"/>
    <cellStyle name="常规 2 2 2 3 3 2 3 2" xfId="16161" xr:uid="{58DFB4AC-E678-401A-A079-CCC2B11CB412}"/>
    <cellStyle name="常规 2 2 2 3 3 2 3 3" xfId="16162" xr:uid="{BD6494A8-12A7-458C-8B14-195505748011}"/>
    <cellStyle name="常规 2 2 2 3 3 2 4" xfId="16163" xr:uid="{390B93E2-40AD-4A54-A09E-2C4941427E88}"/>
    <cellStyle name="常规 2 2 2 3 3 2 4 2" xfId="16164" xr:uid="{555371AE-4690-4F70-BD92-20F2625E436E}"/>
    <cellStyle name="常规 2 2 2 3 3 2 5" xfId="16165" xr:uid="{236E7B09-DF7F-4F4B-9E91-24AA9C541690}"/>
    <cellStyle name="常规 2 2 2 3 3 2 5 2" xfId="16166" xr:uid="{2B8316E0-F6BA-41F6-85DE-C765260B173E}"/>
    <cellStyle name="常规 2 2 2 3 3 2 5 3" xfId="33936" xr:uid="{F54885BA-377E-477B-905F-A99BFCB374DD}"/>
    <cellStyle name="常规 2 2 2 3 3 2 6" xfId="16167" xr:uid="{92DAF4AC-FA20-4C20-A0D9-4F4B74C4EFA0}"/>
    <cellStyle name="常规 2 2 2 3 3 2 7" xfId="16168" xr:uid="{61A784FB-C477-4641-9AFA-97849902F7AF}"/>
    <cellStyle name="常规 2 2 2 3 3 3" xfId="16169" xr:uid="{CD186A04-03CA-4B72-8FA1-E5DDF5207F39}"/>
    <cellStyle name="常规 2 2 2 3 3 3 2" xfId="16170" xr:uid="{736E38C1-B5AE-4E95-A1A2-902E14108BC7}"/>
    <cellStyle name="常规 2 2 2 3 3 3 2 2" xfId="16171" xr:uid="{AAD4A3F0-AC3B-495B-B1B1-42931861472E}"/>
    <cellStyle name="常规 2 2 2 3 3 3 3" xfId="16172" xr:uid="{6870A778-FAC6-4B56-A439-C25DE873CCE7}"/>
    <cellStyle name="常规 2 2 2 3 3 3 4" xfId="16173" xr:uid="{18406497-5E7F-475D-8CB2-166350D1BF47}"/>
    <cellStyle name="常规 2 2 2 3 3 3 4 2" xfId="33937" xr:uid="{A95DF1A9-CF81-4426-BB9E-7EA8C9C3B1E4}"/>
    <cellStyle name="常规 2 2 2 3 3 3 5" xfId="16174" xr:uid="{6BF9AF97-0472-4568-8FB8-0B60190BF9FC}"/>
    <cellStyle name="常规 2 2 2 3 3 4" xfId="16175" xr:uid="{F27D4E28-AEB5-4ACD-98EB-8720ECC8ECA1}"/>
    <cellStyle name="常规 2 2 2 3 3 4 2" xfId="16176" xr:uid="{7788C94E-829C-42C1-B53A-7B2596FB8446}"/>
    <cellStyle name="常规 2 2 2 3 3 4 3" xfId="16177" xr:uid="{F00EC891-651F-412B-ACFA-B098369DCB8A}"/>
    <cellStyle name="常规 2 2 2 3 3 5" xfId="16178" xr:uid="{7E62E94B-F62E-40D9-8D03-5149D435E9F4}"/>
    <cellStyle name="常规 2 2 2 3 3 5 2" xfId="16179" xr:uid="{2D1526CA-177D-4E4F-95B0-17A93A7487BA}"/>
    <cellStyle name="常规 2 2 2 3 3 6" xfId="16180" xr:uid="{3F6DE6BB-488E-42E1-B618-F03F672D3E32}"/>
    <cellStyle name="常规 2 2 2 3 3 6 2" xfId="16181" xr:uid="{8CAC8E9C-DB36-4EE4-A8E2-E36E8369AADB}"/>
    <cellStyle name="常规 2 2 2 3 3 6 3" xfId="33938" xr:uid="{6B6A2249-EE92-4F86-B885-BC0D830F1C46}"/>
    <cellStyle name="常规 2 2 2 3 3 7" xfId="16182" xr:uid="{C89298A0-0C32-4FDE-8268-A236D4A14602}"/>
    <cellStyle name="常规 2 2 2 3 3 8" xfId="16183" xr:uid="{21C9A42F-69F8-46B4-BF8E-B90A41E322AB}"/>
    <cellStyle name="常规 2 2 2 3 4" xfId="16184" xr:uid="{D3B84380-9536-42D8-B974-C5EA5B142F9C}"/>
    <cellStyle name="常规 2 2 2 3 4 2" xfId="16185" xr:uid="{2D716F6F-C511-4896-A63F-5DCEA718B9D4}"/>
    <cellStyle name="常规 2 2 2 3 4 2 2" xfId="16186" xr:uid="{1BD1FD10-DEE7-49EA-8E1F-891EE3B06E3E}"/>
    <cellStyle name="常规 2 2 2 3 4 2 2 2" xfId="16187" xr:uid="{D8577FA3-968C-4356-8CE8-DEBB1A9E4962}"/>
    <cellStyle name="常规 2 2 2 3 4 2 2 3" xfId="16188" xr:uid="{510A5A9B-CBE6-4914-9586-A4EDAA8C745F}"/>
    <cellStyle name="常规 2 2 2 3 4 2 3" xfId="16189" xr:uid="{EEA13CF1-A39E-45C3-9F2D-1A9CA294508E}"/>
    <cellStyle name="常规 2 2 2 3 4 2 3 2" xfId="16190" xr:uid="{7CD71028-45B6-4815-AF90-754E2E61AF4E}"/>
    <cellStyle name="常规 2 2 2 3 4 2 4" xfId="16191" xr:uid="{97E3A723-4A2D-4E8C-BAA1-1C8B19526F35}"/>
    <cellStyle name="常规 2 2 2 3 4 2 4 2" xfId="16192" xr:uid="{F3A24C4D-003B-4EA8-A472-5089AEE98476}"/>
    <cellStyle name="常规 2 2 2 3 4 2 4 3" xfId="33939" xr:uid="{18C535E4-5F1A-4119-AFAE-AE7A951F480A}"/>
    <cellStyle name="常规 2 2 2 3 4 2 5" xfId="16193" xr:uid="{24161F4C-6E11-4223-8E22-A3F43DF64835}"/>
    <cellStyle name="常规 2 2 2 3 4 2 6" xfId="16194" xr:uid="{D263D280-61F9-4522-B9EE-71B5DBE97FBA}"/>
    <cellStyle name="常规 2 2 2 3 4 2 7" xfId="16195" xr:uid="{9624F16C-A22F-4179-A330-2FE487C36667}"/>
    <cellStyle name="常规 2 2 2 3 4 3" xfId="16196" xr:uid="{E75A29B5-6332-4C88-9E74-7D53B558B6A1}"/>
    <cellStyle name="常规 2 2 2 3 4 3 2" xfId="16197" xr:uid="{D52836FD-8778-4621-A15B-9A768CC0388C}"/>
    <cellStyle name="常规 2 2 2 3 4 3 2 2" xfId="16198" xr:uid="{BEBF7A19-A96D-4FA0-A574-332C06A38F8D}"/>
    <cellStyle name="常规 2 2 2 3 4 3 3" xfId="16199" xr:uid="{8EBA7EA4-DB7F-4F2D-B41A-F2DB1B0D4375}"/>
    <cellStyle name="常规 2 2 2 3 4 3 4" xfId="16200" xr:uid="{49510294-881A-431F-9914-91640D7B6CCE}"/>
    <cellStyle name="常规 2 2 2 3 4 3 4 2" xfId="33940" xr:uid="{4F10EE2D-C195-4F4F-951A-91E80814649D}"/>
    <cellStyle name="常规 2 2 2 3 4 3 5" xfId="16201" xr:uid="{FAA56417-19E7-428F-BA0D-38531F85D466}"/>
    <cellStyle name="常规 2 2 2 3 4 4" xfId="16202" xr:uid="{ED6BFCA0-F8C4-4E1F-9EE9-DF087149CF9D}"/>
    <cellStyle name="常规 2 2 2 3 4 4 2" xfId="16203" xr:uid="{87D1977C-7FD2-40F8-8519-0C1E6AA05A06}"/>
    <cellStyle name="常规 2 2 2 3 4 4 3" xfId="16204" xr:uid="{67EE9D21-857B-4BA2-AF78-F71A886B5340}"/>
    <cellStyle name="常规 2 2 2 3 4 5" xfId="16205" xr:uid="{55327220-A50A-4C13-8F8B-452E364057C3}"/>
    <cellStyle name="常规 2 2 2 3 4 5 2" xfId="16206" xr:uid="{F0FF71CD-83EF-43B2-9A98-D8FF4318AA83}"/>
    <cellStyle name="常规 2 2 2 3 4 6" xfId="16207" xr:uid="{8C3ACE59-BC93-4567-9AD6-A4124801EA5A}"/>
    <cellStyle name="常规 2 2 2 3 4 6 2" xfId="16208" xr:uid="{0EAC933B-28CB-4566-9AED-81F754B4F5BB}"/>
    <cellStyle name="常规 2 2 2 3 4 6 3" xfId="33941" xr:uid="{CC15DB74-5FE0-4EA4-89CA-0F31C643BEA7}"/>
    <cellStyle name="常规 2 2 2 3 4 7" xfId="16209" xr:uid="{51D0B341-D423-48EC-826A-E3656F0A0BDD}"/>
    <cellStyle name="常规 2 2 2 3 4 8" xfId="16210" xr:uid="{77FD2D72-F5BD-4760-9EC5-6E905C0DEB8C}"/>
    <cellStyle name="常规 2 2 2 3 5" xfId="16211" xr:uid="{BBBA2666-3CC4-4A4C-AEDC-EFBAEF73B387}"/>
    <cellStyle name="常规 2 2 2 3 5 2" xfId="16212" xr:uid="{22FB447D-72B4-4942-9686-3A4915C722A8}"/>
    <cellStyle name="常规 2 2 2 3 5 2 2" xfId="16213" xr:uid="{316E2E8B-5674-4B34-B21D-C0A5656E3C19}"/>
    <cellStyle name="常规 2 2 2 3 5 2 3" xfId="16214" xr:uid="{E745D8A7-4DFD-4407-B805-ED45E1A908F3}"/>
    <cellStyle name="常规 2 2 2 3 5 3" xfId="16215" xr:uid="{661888FA-228B-4EA2-802D-8D520CA5871E}"/>
    <cellStyle name="常规 2 2 2 3 5 3 2" xfId="16216" xr:uid="{7FD20CBF-30F6-4068-9D4D-1E0ECA7B88AA}"/>
    <cellStyle name="常规 2 2 2 3 5 4" xfId="16217" xr:uid="{A75EB532-3264-4BB9-AC23-F35C9FA5E18C}"/>
    <cellStyle name="常规 2 2 2 3 5 4 2" xfId="16218" xr:uid="{0994471F-A77B-4C0E-8A26-CEED4D160C5F}"/>
    <cellStyle name="常规 2 2 2 3 5 4 3" xfId="33942" xr:uid="{F1E18AD9-46A1-45BD-ADD6-5470D07E782E}"/>
    <cellStyle name="常规 2 2 2 3 5 5" xfId="16219" xr:uid="{62A10970-4B9B-463A-8D6B-FDCE38AD7F31}"/>
    <cellStyle name="常规 2 2 2 3 5 6" xfId="16220" xr:uid="{F7265BF6-9E45-4860-81E3-B103CA50AF09}"/>
    <cellStyle name="常规 2 2 2 3 5 7" xfId="16221" xr:uid="{84B866A0-FC39-481A-B4D7-0A24F2CE90B0}"/>
    <cellStyle name="常规 2 2 2 3 6" xfId="16222" xr:uid="{6DDEF948-77C6-450A-9453-5862E8599B0F}"/>
    <cellStyle name="常规 2 2 2 3 6 2" xfId="16223" xr:uid="{F92DBA78-C5D1-4E46-A58B-34AFF55D77AD}"/>
    <cellStyle name="常规 2 2 2 3 6 2 2" xfId="16224" xr:uid="{BC52B603-F801-4533-BB94-819C9DB2D71D}"/>
    <cellStyle name="常规 2 2 2 3 6 3" xfId="16225" xr:uid="{2E4CD8F4-46E5-477B-99EF-D383881D4DF4}"/>
    <cellStyle name="常规 2 2 2 3 6 4" xfId="16226" xr:uid="{10D0E430-705D-49B5-9015-26E495D5A1D6}"/>
    <cellStyle name="常规 2 2 2 3 6 4 2" xfId="33943" xr:uid="{14F0655C-9022-402C-8772-1C629ACEA0D6}"/>
    <cellStyle name="常规 2 2 2 3 6 5" xfId="16227" xr:uid="{2BC185CA-AC91-4194-B82E-96EE72D88DB8}"/>
    <cellStyle name="常规 2 2 2 3 7" xfId="16228" xr:uid="{554AEE59-D2B2-4983-837D-D9C43C4E4D6E}"/>
    <cellStyle name="常规 2 2 2 3 7 2" xfId="16229" xr:uid="{51367374-104E-451B-8457-40BE6C07A633}"/>
    <cellStyle name="常规 2 2 2 3 7 3" xfId="16230" xr:uid="{13841DB7-7713-4539-BDC9-0954114007E3}"/>
    <cellStyle name="常规 2 2 2 3 8" xfId="16231" xr:uid="{9E18C5E6-8C37-4147-B559-F0640379DEEC}"/>
    <cellStyle name="常规 2 2 2 3 8 2" xfId="16232" xr:uid="{1547CA37-9FA5-443B-B1C7-B404AA0C77D0}"/>
    <cellStyle name="常规 2 2 2 3 9" xfId="16233" xr:uid="{7F55125B-29E5-4AE9-B529-72D4297C154C}"/>
    <cellStyle name="常规 2 2 2 3 9 2" xfId="16234" xr:uid="{6C0FC74E-45A6-4AFF-AD15-7BBAF0DD9B81}"/>
    <cellStyle name="常规 2 2 2 3 9 3" xfId="33944" xr:uid="{3D710DFA-B64C-423F-AF48-07724ED9F533}"/>
    <cellStyle name="常规 2 2 2 4" xfId="16235" xr:uid="{ED3E27CA-CE33-480D-B178-CC6B61980C88}"/>
    <cellStyle name="常规 2 2 2 4 10" xfId="16236" xr:uid="{5D1B4F6C-A927-4497-8F9D-A3116AF0EB97}"/>
    <cellStyle name="常规 2 2 2 4 11" xfId="16237" xr:uid="{43D765E0-BC67-4630-A263-53B781D92C6D}"/>
    <cellStyle name="常规 2 2 2 4 2" xfId="16238" xr:uid="{55EFD0B5-955E-4197-B172-FDDB0E39ABFC}"/>
    <cellStyle name="常规 2 2 2 4 2 2" xfId="16239" xr:uid="{C9E196C7-CF68-4EC2-A188-6EE7A18EB112}"/>
    <cellStyle name="常规 2 2 2 4 2 2 2" xfId="16240" xr:uid="{FD7E1627-9E81-4E93-8F8C-79579512E153}"/>
    <cellStyle name="常规 2 2 2 4 2 2 2 2" xfId="16241" xr:uid="{6269CF1A-1F63-4567-BDF3-FB58E29D0DCC}"/>
    <cellStyle name="常规 2 2 2 4 2 2 2 2 2" xfId="16242" xr:uid="{5A6BB36B-EDFF-49B9-9BB6-B805A8111D38}"/>
    <cellStyle name="常规 2 2 2 4 2 2 2 3" xfId="16243" xr:uid="{C5FF6BFC-67AF-468E-A5BC-4BCB44697F93}"/>
    <cellStyle name="常规 2 2 2 4 2 2 2 4" xfId="16244" xr:uid="{05A6060A-0F2D-40F0-A49E-5D2F1C2C3208}"/>
    <cellStyle name="常规 2 2 2 4 2 2 2 4 2" xfId="33945" xr:uid="{847648EA-6E9D-4418-9255-D750FBC1074E}"/>
    <cellStyle name="常规 2 2 2 4 2 2 3" xfId="16245" xr:uid="{4B74781C-6348-41A6-8210-D95D429F206A}"/>
    <cellStyle name="常规 2 2 2 4 2 2 3 2" xfId="16246" xr:uid="{986033A8-03A5-47BD-98E9-F69B9DAEB8B0}"/>
    <cellStyle name="常规 2 2 2 4 2 2 3 2 2" xfId="16247" xr:uid="{09EE4BDF-4527-4641-8BC8-13718A11516F}"/>
    <cellStyle name="常规 2 2 2 4 2 2 3 3" xfId="16248" xr:uid="{FD6A6511-032D-4B61-A597-99D098A9D9AF}"/>
    <cellStyle name="常规 2 2 2 4 2 2 3 4" xfId="16249" xr:uid="{AB3F4AF0-7315-4514-8E51-015F1F0451BD}"/>
    <cellStyle name="常规 2 2 2 4 2 2 3 4 2" xfId="33946" xr:uid="{BA5C162F-7155-4A43-A1FF-2E3A87330AC1}"/>
    <cellStyle name="常规 2 2 2 4 2 2 4" xfId="16250" xr:uid="{B7CBDF65-5E00-405F-B0F8-B04F5B6967AF}"/>
    <cellStyle name="常规 2 2 2 4 2 2 4 2" xfId="16251" xr:uid="{C9AB365B-4DDD-45B5-936A-9D1D34AD4259}"/>
    <cellStyle name="常规 2 2 2 4 2 2 5" xfId="16252" xr:uid="{C4F31C9A-27D8-4BEC-9BA0-25E3408F9F43}"/>
    <cellStyle name="常规 2 2 2 4 2 2 6" xfId="16253" xr:uid="{F7A94809-FD3C-4DE5-B925-D1F585E5DE54}"/>
    <cellStyle name="常规 2 2 2 4 2 2 6 2" xfId="33947" xr:uid="{67A84044-229D-4230-9A3A-6F42EC6891F9}"/>
    <cellStyle name="常规 2 2 2 4 2 3" xfId="16254" xr:uid="{07B72272-8BEB-4A86-82C6-CD60266A4930}"/>
    <cellStyle name="常规 2 2 2 4 2 3 2" xfId="16255" xr:uid="{E66B52AE-214A-4E28-AA91-60F5F074D89C}"/>
    <cellStyle name="常规 2 2 2 4 2 3 2 2" xfId="16256" xr:uid="{E38271BA-5464-4BAB-92AB-2E315C893EA0}"/>
    <cellStyle name="常规 2 2 2 4 2 3 3" xfId="16257" xr:uid="{3D6259C3-ECE7-4D4B-A8B0-02B40D7673C4}"/>
    <cellStyle name="常规 2 2 2 4 2 3 4" xfId="16258" xr:uid="{12F35997-EDAC-4860-A763-1DB701400EAE}"/>
    <cellStyle name="常规 2 2 2 4 2 3 4 2" xfId="33948" xr:uid="{EB00EDE7-8BC3-4EE2-8C11-57B21E39420E}"/>
    <cellStyle name="常规 2 2 2 4 2 4" xfId="16259" xr:uid="{C5E085C5-1D73-4760-ABEA-08964B81059D}"/>
    <cellStyle name="常规 2 2 2 4 2 4 2" xfId="16260" xr:uid="{01060426-122F-45FF-B2B0-441408C3C1C7}"/>
    <cellStyle name="常规 2 2 2 4 2 4 2 2" xfId="16261" xr:uid="{AE96ACB9-F7AD-4AD2-B26A-E97D8FDA99EF}"/>
    <cellStyle name="常规 2 2 2 4 2 4 3" xfId="16262" xr:uid="{730A17C2-7E6E-4B3E-BC30-DAC952CF038F}"/>
    <cellStyle name="常规 2 2 2 4 2 4 4" xfId="16263" xr:uid="{71F1D6EE-8260-439D-8659-3E22CD03092D}"/>
    <cellStyle name="常规 2 2 2 4 2 4 4 2" xfId="33949" xr:uid="{2C0F0D32-8630-4A8B-A9A3-51D82D8793A7}"/>
    <cellStyle name="常规 2 2 2 4 2 5" xfId="16264" xr:uid="{4E192BCF-1085-4B53-A780-80AB332912BC}"/>
    <cellStyle name="常规 2 2 2 4 2 5 2" xfId="16265" xr:uid="{3D15F7FE-82BC-4E37-9681-1FAB30362540}"/>
    <cellStyle name="常规 2 2 2 4 2 6" xfId="16266" xr:uid="{78C7674B-B405-4E7F-ACAF-DB40815A2075}"/>
    <cellStyle name="常规 2 2 2 4 2 7" xfId="16267" xr:uid="{2845D148-17D3-48EE-B7F0-9347B435EE88}"/>
    <cellStyle name="常规 2 2 2 4 2 7 2" xfId="33950" xr:uid="{FB641053-1C2A-4FF9-BDD6-E34E294C42B5}"/>
    <cellStyle name="常规 2 2 2 4 2 8" xfId="16268" xr:uid="{03140228-70FA-491C-847A-F389D928100F}"/>
    <cellStyle name="常规 2 2 2 4 3" xfId="16269" xr:uid="{C474F257-9F77-469F-BFC5-31FAFC746F81}"/>
    <cellStyle name="常规 2 2 2 4 3 2" xfId="16270" xr:uid="{E2934D1C-0239-4F24-8096-CA3A15C82B56}"/>
    <cellStyle name="常规 2 2 2 4 3 2 2" xfId="16271" xr:uid="{B2451349-24DC-4944-8279-1B2F506C64A9}"/>
    <cellStyle name="常规 2 2 2 4 3 2 2 2" xfId="16272" xr:uid="{7DDF845E-E69D-4E73-888D-ED7DED6F7543}"/>
    <cellStyle name="常规 2 2 2 4 3 2 3" xfId="16273" xr:uid="{DBF3851C-4F5B-4D57-AF6E-10B196004B2F}"/>
    <cellStyle name="常规 2 2 2 4 3 2 4" xfId="16274" xr:uid="{5A3D31E1-FFD8-4842-93C7-3F65C4E7BB32}"/>
    <cellStyle name="常规 2 2 2 4 3 2 4 2" xfId="33951" xr:uid="{F677C651-0DD1-4F7F-A47E-AADCC77521B9}"/>
    <cellStyle name="常规 2 2 2 4 3 3" xfId="16275" xr:uid="{FF6DC888-7E23-4561-B153-D0BEE07A9024}"/>
    <cellStyle name="常规 2 2 2 4 3 3 2" xfId="16276" xr:uid="{9E6A46FA-3C21-4598-A028-0B639AC20027}"/>
    <cellStyle name="常规 2 2 2 4 3 3 2 2" xfId="16277" xr:uid="{0D0175F2-D2A1-4963-BC70-B8D138464567}"/>
    <cellStyle name="常规 2 2 2 4 3 3 3" xfId="16278" xr:uid="{49C06AF8-7B5A-4E5E-98C9-0F28338994AD}"/>
    <cellStyle name="常规 2 2 2 4 3 3 4" xfId="16279" xr:uid="{B2B806CA-992D-4820-B169-16A90830EF6F}"/>
    <cellStyle name="常规 2 2 2 4 3 3 4 2" xfId="33952" xr:uid="{084C07E2-6D75-411C-AEF9-DAE10763B506}"/>
    <cellStyle name="常规 2 2 2 4 3 4" xfId="16280" xr:uid="{12CC4EBA-CE9D-413F-BFF8-9C233D267570}"/>
    <cellStyle name="常规 2 2 2 4 3 4 2" xfId="16281" xr:uid="{E8A070B6-9B69-4AF4-8A54-26E22CF6EBE1}"/>
    <cellStyle name="常规 2 2 2 4 3 5" xfId="16282" xr:uid="{D2C08024-01A4-4E8B-8051-23E8CD92D655}"/>
    <cellStyle name="常规 2 2 2 4 3 6" xfId="16283" xr:uid="{CE8DBFAB-B0F8-42ED-A66D-4AA63BB130AF}"/>
    <cellStyle name="常规 2 2 2 4 3 6 2" xfId="33953" xr:uid="{3CFDFF24-3CBF-4BF3-9BBA-B8D0C530FCE9}"/>
    <cellStyle name="常规 2 2 2 4 4" xfId="16284" xr:uid="{F190F91A-6E43-4796-9B04-330C09548F9A}"/>
    <cellStyle name="常规 2 2 2 4 4 2" xfId="16285" xr:uid="{4BA61AB5-36B1-449C-81B6-7D90DB48536C}"/>
    <cellStyle name="常规 2 2 2 4 4 2 2" xfId="16286" xr:uid="{4D2F9365-9D5B-465E-B5D5-DBA91E504D14}"/>
    <cellStyle name="常规 2 2 2 4 4 2 2 2" xfId="16287" xr:uid="{A7AE3656-A974-43A1-A9BD-D7A293B1C4FD}"/>
    <cellStyle name="常规 2 2 2 4 4 2 3" xfId="16288" xr:uid="{FA9C7D31-6EBE-44CB-B2D4-0E7A03992571}"/>
    <cellStyle name="常规 2 2 2 4 4 2 4" xfId="16289" xr:uid="{5C0627E5-399D-473E-A4FF-7B6B08CB5F0A}"/>
    <cellStyle name="常规 2 2 2 4 4 2 4 2" xfId="33954" xr:uid="{311F40D6-5110-415F-8ABD-24C0D72E5D54}"/>
    <cellStyle name="常规 2 2 2 4 4 3" xfId="16290" xr:uid="{2189D96F-9651-403B-8B21-5E0E34B85D9D}"/>
    <cellStyle name="常规 2 2 2 4 4 3 2" xfId="16291" xr:uid="{ECC7A316-2349-4C77-A742-1D407A47171C}"/>
    <cellStyle name="常规 2 2 2 4 4 4" xfId="16292" xr:uid="{6FA4BC55-FD7B-485E-952C-CE6F4A493DE0}"/>
    <cellStyle name="常规 2 2 2 4 4 5" xfId="16293" xr:uid="{562A3371-06EC-46D4-A820-C528A6907721}"/>
    <cellStyle name="常规 2 2 2 4 4 5 2" xfId="33955" xr:uid="{C54E7EAF-C7AA-447B-BAD2-AE1C04BEFC0C}"/>
    <cellStyle name="常规 2 2 2 4 5" xfId="16294" xr:uid="{E80A1C3B-E159-4AC4-928A-9811B1643160}"/>
    <cellStyle name="常规 2 2 2 4 5 2" xfId="16295" xr:uid="{2DD245D0-350A-436B-92BE-CAACE9900F5D}"/>
    <cellStyle name="常规 2 2 2 4 5 2 2" xfId="16296" xr:uid="{19F31E03-7D81-4754-866A-C30D02D5A8C6}"/>
    <cellStyle name="常规 2 2 2 4 5 3" xfId="16297" xr:uid="{FF876048-3851-464C-B0F4-609FF11747DD}"/>
    <cellStyle name="常规 2 2 2 4 5 4" xfId="16298" xr:uid="{5221B847-7662-4584-9247-B2FCD7C0F840}"/>
    <cellStyle name="常规 2 2 2 4 5 4 2" xfId="33956" xr:uid="{9F0DD906-6D1C-4AF9-BC99-50FAAD57FC6E}"/>
    <cellStyle name="常规 2 2 2 4 6" xfId="16299" xr:uid="{1321AD5C-C77F-44DC-9FD2-4CC9BBE9ABDA}"/>
    <cellStyle name="常规 2 2 2 4 6 2" xfId="16300" xr:uid="{4BD81085-B83E-4421-9684-67AA866BF509}"/>
    <cellStyle name="常规 2 2 2 4 6 2 2" xfId="16301" xr:uid="{8DC7D822-88BD-4780-A8C7-9558CF23D4C5}"/>
    <cellStyle name="常规 2 2 2 4 6 3" xfId="16302" xr:uid="{A8804A92-DBAB-4D46-A288-5D7DD92BCE5E}"/>
    <cellStyle name="常规 2 2 2 4 6 4" xfId="16303" xr:uid="{997184CC-2916-4DDE-A067-0882EAD4999F}"/>
    <cellStyle name="常规 2 2 2 4 6 4 2" xfId="33957" xr:uid="{8C71B82A-3148-4D0D-9FC4-994C5B0B8D0C}"/>
    <cellStyle name="常规 2 2 2 4 7" xfId="16304" xr:uid="{E19D8141-D0A3-47E3-BAC7-674C5637B0B8}"/>
    <cellStyle name="常规 2 2 2 4 7 2" xfId="16305" xr:uid="{2DB12AB8-7F92-484E-90EF-E2C14C2817ED}"/>
    <cellStyle name="常规 2 2 2 4 8" xfId="16306" xr:uid="{AF1AADD7-3BFD-43FD-97A6-2585DC0B759E}"/>
    <cellStyle name="常规 2 2 2 4 9" xfId="16307" xr:uid="{75670D87-A99C-4379-933C-0BF465C4074B}"/>
    <cellStyle name="常规 2 2 2 4 9 2" xfId="33958" xr:uid="{98171D5D-4820-4722-9505-BCFBAB954172}"/>
    <cellStyle name="常规 2 2 2 5" xfId="16308" xr:uid="{19E4DFDA-D857-4818-926D-AD981185527C}"/>
    <cellStyle name="常规 2 2 2 5 2" xfId="16309" xr:uid="{278E03EC-AE92-46F6-BB67-C7FD51DEAD68}"/>
    <cellStyle name="常规 2 2 2 5 2 2" xfId="16310" xr:uid="{1FB9023F-12BD-4ACA-B496-27A6E7C6EB9D}"/>
    <cellStyle name="常规 2 2 2 5 2 2 2" xfId="16311" xr:uid="{2583D80B-5A7A-4AD8-B5A9-E812C3B24744}"/>
    <cellStyle name="常规 2 2 2 5 2 2 2 2" xfId="16312" xr:uid="{C55EBB93-417A-4FC6-96AD-E22FB70A36FE}"/>
    <cellStyle name="常规 2 2 2 5 2 2 2 2 2" xfId="16313" xr:uid="{C3B63AC5-CE46-4599-8721-AE8B44125CBB}"/>
    <cellStyle name="常规 2 2 2 5 2 2 2 3" xfId="16314" xr:uid="{0573826B-B85A-4088-9C6C-9DA88BCD157A}"/>
    <cellStyle name="常规 2 2 2 5 2 2 2 4" xfId="16315" xr:uid="{63D94121-D710-4451-8C21-E7EA6845B986}"/>
    <cellStyle name="常规 2 2 2 5 2 2 2 4 2" xfId="33959" xr:uid="{B5D3BF43-F91F-46A6-95E5-0219817DBCE8}"/>
    <cellStyle name="常规 2 2 2 5 2 2 3" xfId="16316" xr:uid="{713F3B2C-5880-441C-95B2-F55DFCDBEED0}"/>
    <cellStyle name="常规 2 2 2 5 2 2 3 2" xfId="16317" xr:uid="{C8A2CE57-61B4-433C-B017-0A6A98F68384}"/>
    <cellStyle name="常规 2 2 2 5 2 2 4" xfId="16318" xr:uid="{D1404EDA-EB7B-4D70-B0B2-09651DF1DD2E}"/>
    <cellStyle name="常规 2 2 2 5 2 2 5" xfId="16319" xr:uid="{177D2B5D-1F28-4AD8-A869-49F4416B11A0}"/>
    <cellStyle name="常规 2 2 2 5 2 2 5 2" xfId="33960" xr:uid="{601E36D9-BCC4-421C-A86E-1AC51391C5A2}"/>
    <cellStyle name="常规 2 2 2 5 2 3" xfId="16320" xr:uid="{3A229819-11C5-4C24-9056-ACFBAD56F874}"/>
    <cellStyle name="常规 2 2 2 5 2 3 2" xfId="16321" xr:uid="{F868BAB0-DA2D-43C4-8FF4-80F3FAE0305A}"/>
    <cellStyle name="常规 2 2 2 5 2 3 2 2" xfId="16322" xr:uid="{69701548-28B4-4915-9D43-2556DCE71BEA}"/>
    <cellStyle name="常规 2 2 2 5 2 3 3" xfId="16323" xr:uid="{487697DF-DC84-4D55-91D1-EEAB08513A5A}"/>
    <cellStyle name="常规 2 2 2 5 2 3 4" xfId="16324" xr:uid="{3E3D41F6-6648-4573-BD25-9CB66EDDA8DB}"/>
    <cellStyle name="常规 2 2 2 5 2 3 4 2" xfId="33961" xr:uid="{0F0F0AA4-A151-4F54-BDAE-A6F343EA2C22}"/>
    <cellStyle name="常规 2 2 2 5 2 4" xfId="16325" xr:uid="{43974DE8-DA13-4D9A-86BA-4E3B53C6A6FA}"/>
    <cellStyle name="常规 2 2 2 5 2 4 2" xfId="16326" xr:uid="{A69ACD80-6911-40A9-B594-D1C3CA3DBAAC}"/>
    <cellStyle name="常规 2 2 2 5 2 4 2 2" xfId="16327" xr:uid="{405B5299-F8DC-4633-B5A2-3E740E41C871}"/>
    <cellStyle name="常规 2 2 2 5 2 4 3" xfId="16328" xr:uid="{713E6F6F-3C14-4CB8-9870-4E66981FFDFA}"/>
    <cellStyle name="常规 2 2 2 5 2 4 4" xfId="16329" xr:uid="{262F7367-0EB4-47E1-A3A7-743C4AD8E11A}"/>
    <cellStyle name="常规 2 2 2 5 2 4 4 2" xfId="33962" xr:uid="{4053BCF0-E2F6-483B-AE4E-31A352E37146}"/>
    <cellStyle name="常规 2 2 2 5 2 5" xfId="16330" xr:uid="{2F45BA1F-F1B2-4A6D-B359-F2DD83802639}"/>
    <cellStyle name="常规 2 2 2 5 2 5 2" xfId="16331" xr:uid="{07BF3D40-C758-4496-BF95-132CC063E535}"/>
    <cellStyle name="常规 2 2 2 5 2 6" xfId="16332" xr:uid="{4BEF5E54-61D9-4068-90A4-9B024297D854}"/>
    <cellStyle name="常规 2 2 2 5 2 7" xfId="16333" xr:uid="{0083AE60-F799-42F2-B353-32A41B49CB3E}"/>
    <cellStyle name="常规 2 2 2 5 2 7 2" xfId="33963" xr:uid="{384CACEE-120D-41FE-B6D8-1DC1F542FD5C}"/>
    <cellStyle name="常规 2 2 2 5 3" xfId="16334" xr:uid="{DADEE076-44E3-4CF7-93C8-8DEB339E20D0}"/>
    <cellStyle name="常规 2 2 2 5 3 2" xfId="16335" xr:uid="{9D8E06A2-F445-47D4-8C11-1C4AB5A8065B}"/>
    <cellStyle name="常规 2 2 2 5 3 2 2" xfId="16336" xr:uid="{DFFB5A0B-43E7-4D22-AE08-F0EA590D39D0}"/>
    <cellStyle name="常规 2 2 2 5 3 2 2 2" xfId="16337" xr:uid="{97F8A617-3AD9-4CC0-A26C-EDA981FF79AB}"/>
    <cellStyle name="常规 2 2 2 5 3 2 3" xfId="16338" xr:uid="{1758039D-1478-4B39-9CA0-D37588E969FC}"/>
    <cellStyle name="常规 2 2 2 5 3 2 4" xfId="16339" xr:uid="{36B128B7-24DB-4F60-BDAF-4E7785AE963A}"/>
    <cellStyle name="常规 2 2 2 5 3 2 4 2" xfId="33964" xr:uid="{3AA02945-4E6A-466F-9229-DD43EA1B70F6}"/>
    <cellStyle name="常规 2 2 2 5 3 3" xfId="16340" xr:uid="{9CF9EBD5-0B34-446E-986A-D1007DFA9115}"/>
    <cellStyle name="常规 2 2 2 5 3 3 2" xfId="16341" xr:uid="{F919768B-C1A6-43FA-8A6B-DBC37713F3AF}"/>
    <cellStyle name="常规 2 2 2 5 3 4" xfId="16342" xr:uid="{565D381C-A884-477C-8C39-DC7091616A2B}"/>
    <cellStyle name="常规 2 2 2 5 3 5" xfId="16343" xr:uid="{917FEAA3-3EF6-4F4C-A86A-AB92A65585F5}"/>
    <cellStyle name="常规 2 2 2 5 3 5 2" xfId="33965" xr:uid="{CBA50E6E-F916-402C-B0EF-08D77DA4EBC3}"/>
    <cellStyle name="常规 2 2 2 5 4" xfId="16344" xr:uid="{94D157B9-346A-43F6-A400-1B2ADB1F4469}"/>
    <cellStyle name="常规 2 2 2 5 4 2" xfId="16345" xr:uid="{3A3BF864-F30B-4E77-B16C-F7929D65F293}"/>
    <cellStyle name="常规 2 2 2 5 4 2 2" xfId="16346" xr:uid="{762937F9-111D-4A2B-9A00-EB4C914BE2F3}"/>
    <cellStyle name="常规 2 2 2 5 4 3" xfId="16347" xr:uid="{44AF46CF-FBC5-4D04-962E-E99CEF50F3A5}"/>
    <cellStyle name="常规 2 2 2 5 4 4" xfId="16348" xr:uid="{FA73E900-625C-4F6B-B2E0-2C40463C703E}"/>
    <cellStyle name="常规 2 2 2 5 4 4 2" xfId="33966" xr:uid="{2B9F75EE-B79A-4750-A659-5925A39570C2}"/>
    <cellStyle name="常规 2 2 2 5 5" xfId="16349" xr:uid="{67AEEA34-F190-49BA-8C97-487F1CF3B5DE}"/>
    <cellStyle name="常规 2 2 2 5 5 2" xfId="16350" xr:uid="{887C726C-E6E0-4C81-B4F4-C009C15AA976}"/>
    <cellStyle name="常规 2 2 2 5 5 2 2" xfId="16351" xr:uid="{E6B10A9E-E316-4A49-900B-431FFCE9456E}"/>
    <cellStyle name="常规 2 2 2 5 5 3" xfId="16352" xr:uid="{182DDA6E-B153-43A9-A04C-173171960C20}"/>
    <cellStyle name="常规 2 2 2 5 5 4" xfId="16353" xr:uid="{E74EF1AC-52A1-40BF-BDC6-4A7133781963}"/>
    <cellStyle name="常规 2 2 2 5 5 4 2" xfId="33967" xr:uid="{E6C897F6-E59F-4D6E-9B2E-344253993BA0}"/>
    <cellStyle name="常规 2 2 2 5 6" xfId="16354" xr:uid="{62910923-DA4C-451F-B1A0-E812BBB15D55}"/>
    <cellStyle name="常规 2 2 2 5 6 2" xfId="16355" xr:uid="{4806801A-8114-4CE7-9F4B-374A718D950A}"/>
    <cellStyle name="常规 2 2 2 5 7" xfId="16356" xr:uid="{2751E402-86D1-4BA8-B2C9-3E10C5AC18B1}"/>
    <cellStyle name="常规 2 2 2 5 8" xfId="16357" xr:uid="{8CC1C018-8FA1-4695-9E02-733101C0C636}"/>
    <cellStyle name="常规 2 2 2 5 8 2" xfId="33968" xr:uid="{B1DD5FF5-166D-4C47-9C06-26A3B6715BFD}"/>
    <cellStyle name="常规 2 2 2 5 9" xfId="16358" xr:uid="{E0D2348D-4B23-4457-84AA-8FD4CF32ECBF}"/>
    <cellStyle name="常规 2 2 2 6" xfId="16359" xr:uid="{F619042F-0800-4C03-BF67-ADBFD7F21BC4}"/>
    <cellStyle name="常规 2 2 2 6 2" xfId="16360" xr:uid="{103146E3-F401-4FF9-AEE4-5220983884D2}"/>
    <cellStyle name="常规 2 2 2 6 2 2" xfId="16361" xr:uid="{803E25AD-14BE-4ADE-9607-0752D1B6F136}"/>
    <cellStyle name="常规 2 2 2 6 2 2 2" xfId="16362" xr:uid="{728A400B-D825-4351-89DF-175F582F8DCA}"/>
    <cellStyle name="常规 2 2 2 6 2 2 2 2" xfId="16363" xr:uid="{2DDAE0F3-0BA6-45A7-846A-6738B633D32A}"/>
    <cellStyle name="常规 2 2 2 6 2 2 3" xfId="16364" xr:uid="{4D55DC31-2C07-40B4-9CAF-B9D7153D5BFA}"/>
    <cellStyle name="常规 2 2 2 6 2 2 4" xfId="16365" xr:uid="{CBB095B6-AC06-4D61-8762-A4DC2C6676A8}"/>
    <cellStyle name="常规 2 2 2 6 2 2 4 2" xfId="33969" xr:uid="{8C53CF86-066E-498E-BC81-12518B7482F6}"/>
    <cellStyle name="常规 2 2 2 6 2 3" xfId="16366" xr:uid="{FE5A59F8-D254-441B-A86F-F17A0D734927}"/>
    <cellStyle name="常规 2 2 2 6 2 3 2" xfId="16367" xr:uid="{D05728A6-2619-4577-A268-73619BFA74C0}"/>
    <cellStyle name="常规 2 2 2 6 2 4" xfId="16368" xr:uid="{FC45B575-E6F7-426D-B7F4-7F1C31F4CB07}"/>
    <cellStyle name="常规 2 2 2 6 2 5" xfId="16369" xr:uid="{24A17A02-3122-4428-9AD1-558E8949A56A}"/>
    <cellStyle name="常规 2 2 2 6 2 5 2" xfId="33970" xr:uid="{6AF55B79-3F3B-4815-8182-298D96A94B4D}"/>
    <cellStyle name="常规 2 2 2 6 3" xfId="16370" xr:uid="{1B22D7AA-6CC1-4F71-8389-A8F194082BA8}"/>
    <cellStyle name="常规 2 2 2 6 3 2" xfId="16371" xr:uid="{7921F7D4-51C0-4659-A1FA-CA2C6F6FC2F4}"/>
    <cellStyle name="常规 2 2 2 6 3 2 2" xfId="16372" xr:uid="{86DFC0DE-8E40-40D9-BE21-44B3B4705272}"/>
    <cellStyle name="常规 2 2 2 6 3 3" xfId="16373" xr:uid="{B3D95404-5580-4BC8-BBC8-813C97624DED}"/>
    <cellStyle name="常规 2 2 2 6 3 4" xfId="16374" xr:uid="{3B8D97E8-EA23-4506-BFC3-88B8BF1769EB}"/>
    <cellStyle name="常规 2 2 2 6 3 4 2" xfId="33971" xr:uid="{CDE9AEAB-8F20-42D9-B977-9C38FB1CF794}"/>
    <cellStyle name="常规 2 2 2 6 4" xfId="16375" xr:uid="{EA7CFA60-1990-42B9-9EA1-870B06DAF1CB}"/>
    <cellStyle name="常规 2 2 2 6 4 2" xfId="16376" xr:uid="{6E77DFC3-652B-47F1-A46B-CB0B7FA24627}"/>
    <cellStyle name="常规 2 2 2 6 4 2 2" xfId="16377" xr:uid="{F6D30CEC-DABA-42B1-96C0-89C3568F653A}"/>
    <cellStyle name="常规 2 2 2 6 4 3" xfId="16378" xr:uid="{46775B59-71D6-43E4-B0C0-9F33EA6D532D}"/>
    <cellStyle name="常规 2 2 2 6 4 4" xfId="16379" xr:uid="{1832BC85-BC00-47D6-8365-F4CF31924407}"/>
    <cellStyle name="常规 2 2 2 6 4 4 2" xfId="33972" xr:uid="{E455E4D6-D59C-4838-9E06-B665FB442DA7}"/>
    <cellStyle name="常规 2 2 2 6 5" xfId="16380" xr:uid="{F96A7691-A7BB-4E2A-980D-6A5DAE1583AD}"/>
    <cellStyle name="常规 2 2 2 6 5 2" xfId="16381" xr:uid="{3AC2F0A0-11D9-459B-B4CD-8E7208B04B7A}"/>
    <cellStyle name="常规 2 2 2 6 6" xfId="16382" xr:uid="{7E6603E7-6AA5-4C24-8AF2-F487303C6D01}"/>
    <cellStyle name="常规 2 2 2 6 7" xfId="16383" xr:uid="{B4EBF8EF-ED1D-42B8-BA87-C167482B5171}"/>
    <cellStyle name="常规 2 2 2 6 7 2" xfId="33973" xr:uid="{E6D4F081-51B1-466C-94A6-59032C77C771}"/>
    <cellStyle name="常规 2 2 2 6 8" xfId="16384" xr:uid="{3CC1E70A-6DE4-4B08-AC3B-748A546E52B2}"/>
    <cellStyle name="常规 2 2 2 7" xfId="16385" xr:uid="{31A62511-FC58-4184-A0C8-FF240CCFB2E7}"/>
    <cellStyle name="常规 2 2 2 7 2" xfId="16386" xr:uid="{6311C012-31A9-4F42-92ED-A1250890A89D}"/>
    <cellStyle name="常规 2 2 2 7 2 2" xfId="16387" xr:uid="{F2587DCD-D72C-49F8-8DB6-5951F6CC0978}"/>
    <cellStyle name="常规 2 2 2 7 2 2 2" xfId="16388" xr:uid="{3BEE7C83-93A8-4220-814F-758C2E897626}"/>
    <cellStyle name="常规 2 2 2 7 2 3" xfId="16389" xr:uid="{7E51CF13-75FC-4827-B4A8-CAB5A7E598D0}"/>
    <cellStyle name="常规 2 2 2 7 2 4" xfId="16390" xr:uid="{CB1A4112-4A29-488D-874B-4B959378C2F0}"/>
    <cellStyle name="常规 2 2 2 7 2 4 2" xfId="33974" xr:uid="{19F31A26-6EFE-4100-AB91-D251046D2F01}"/>
    <cellStyle name="常规 2 2 2 7 2 5" xfId="16391" xr:uid="{1AC1D709-864D-42B5-A816-7A10DA645B05}"/>
    <cellStyle name="常规 2 2 2 7 3" xfId="16392" xr:uid="{77D42BFA-341E-460C-94DE-696A6E77DFE8}"/>
    <cellStyle name="常规 2 2 2 7 3 2" xfId="16393" xr:uid="{1CA1759F-F8B7-4113-A962-5ECE094190B3}"/>
    <cellStyle name="常规 2 2 2 7 3 3" xfId="16394" xr:uid="{0C965E18-9302-48EB-A26D-B64FBAB39FCC}"/>
    <cellStyle name="常规 2 2 2 7 4" xfId="16395" xr:uid="{80784006-7C3C-4BC8-9705-93A4098D4DF3}"/>
    <cellStyle name="常规 2 2 2 7 4 2" xfId="16396" xr:uid="{3ED0BAF4-A078-43B6-A425-A6F703F950C4}"/>
    <cellStyle name="常规 2 2 2 7 5" xfId="16397" xr:uid="{41076E36-F83D-40D0-833B-3EF65AD67B07}"/>
    <cellStyle name="常规 2 2 2 7 5 2" xfId="16398" xr:uid="{D6A00CFF-8081-405E-9DA7-7916329442B3}"/>
    <cellStyle name="常规 2 2 2 7 5 3" xfId="33975" xr:uid="{4B365211-65E5-4C30-83B3-66829127D76E}"/>
    <cellStyle name="常规 2 2 2 7 6" xfId="16399" xr:uid="{C63C2065-2145-47F5-B128-00E7D33D8BCA}"/>
    <cellStyle name="常规 2 2 2 7 7" xfId="16400" xr:uid="{574E527C-6301-4620-808A-6EED0CC96609}"/>
    <cellStyle name="常规 2 2 2 8" xfId="16401" xr:uid="{EBC8ECDE-1F81-4A1F-8375-452DBBEE989D}"/>
    <cellStyle name="常规 2 2 2 8 2" xfId="16402" xr:uid="{EB21BE71-55D3-45B8-AECE-C9C9D6AF06F7}"/>
    <cellStyle name="常规 2 2 2 8 2 2" xfId="16403" xr:uid="{46B9B9D2-BDE7-421F-886F-13EAB5F00A63}"/>
    <cellStyle name="常规 2 2 2 8 2 2 2" xfId="16404" xr:uid="{FCFCE216-8B67-46D2-8D00-6DCC8257751C}"/>
    <cellStyle name="常规 2 2 2 8 2 3" xfId="16405" xr:uid="{9A4E1A3B-4568-4765-9132-C2BCBC4BB515}"/>
    <cellStyle name="常规 2 2 2 8 2 4" xfId="16406" xr:uid="{7229AD39-0BE4-49D8-8AB2-6032FDBFA6DC}"/>
    <cellStyle name="常规 2 2 2 8 2 4 2" xfId="33976" xr:uid="{BD835C0C-4610-4397-91F5-C815C6240D5D}"/>
    <cellStyle name="常规 2 2 2 8 3" xfId="16407" xr:uid="{53E42E8C-856D-4956-BA75-EC60D470F416}"/>
    <cellStyle name="常规 2 2 2 8 3 2" xfId="16408" xr:uid="{5C27575F-A35A-424D-9043-4A0E9EDB75B0}"/>
    <cellStyle name="常规 2 2 2 8 4" xfId="16409" xr:uid="{17F3014C-6DC5-44E5-81E1-C1690E68615B}"/>
    <cellStyle name="常规 2 2 2 8 5" xfId="16410" xr:uid="{D1537251-F664-451D-BDC9-681334B8E80D}"/>
    <cellStyle name="常规 2 2 2 8 5 2" xfId="33977" xr:uid="{ED8F0C3E-DB46-4D6C-8B5B-1D5E2FBBC9BE}"/>
    <cellStyle name="常规 2 2 2 8 6" xfId="16411" xr:uid="{3C77C9D4-E716-40E6-87D3-7DF2DBF62157}"/>
    <cellStyle name="常规 2 2 2 9" xfId="16412" xr:uid="{DF3D52B1-A1C0-4F92-A4FE-7D518F085E08}"/>
    <cellStyle name="常规 2 2 2 9 2" xfId="16413" xr:uid="{C3FE0EE7-0296-46E4-A0F1-BFA89B8BAAC7}"/>
    <cellStyle name="常规 2 2 2 9 2 2" xfId="16414" xr:uid="{95DA638B-045F-4D84-B7EB-D1F2C7352525}"/>
    <cellStyle name="常规 2 2 2 9 3" xfId="16415" xr:uid="{761F7899-8BA4-4878-8F5A-38E456060269}"/>
    <cellStyle name="常规 2 2 2 9 4" xfId="16416" xr:uid="{E5433B18-FDB1-4032-A882-8560AA661E4A}"/>
    <cellStyle name="常规 2 2 2 9 4 2" xfId="33978" xr:uid="{073A4C82-0837-4E9F-9BA3-6FA575B1DBBF}"/>
    <cellStyle name="常规 2 2 2 9 5" xfId="16417" xr:uid="{583C2D8B-88BF-4703-A629-EF2FF600D8B1}"/>
    <cellStyle name="常规 2 2 20" xfId="33979" xr:uid="{72CFA460-94F1-4630-AA48-FAB94DD4FE6B}"/>
    <cellStyle name="常规 2 2 21" xfId="16418" xr:uid="{D8348E72-5F59-4CEE-B528-0FABAAFB69D9}"/>
    <cellStyle name="常规 2 2 3" xfId="16419" xr:uid="{495B6108-8F5F-4B3F-9745-3234770FF6BB}"/>
    <cellStyle name="常规 2 2 3 10" xfId="16420" xr:uid="{D3105FC3-DD41-4304-B587-72CE147CDC35}"/>
    <cellStyle name="常规 2 2 3 10 2" xfId="16421" xr:uid="{BF9AE71A-9923-4E3C-8AE2-C6D591BB0F3B}"/>
    <cellStyle name="常规 2 2 3 10 3" xfId="33980" xr:uid="{5675F9CE-E011-4982-8995-642C81F2ECE8}"/>
    <cellStyle name="常规 2 2 3 11" xfId="16422" xr:uid="{4F736D15-7C34-4586-BE99-48C1BBCA6C39}"/>
    <cellStyle name="常规 2 2 3 11 2" xfId="16423" xr:uid="{A2677F29-4254-4DFA-B5E7-92573E473962}"/>
    <cellStyle name="常规 2 2 3 12" xfId="16424" xr:uid="{16763D6B-2C4C-495B-B1D2-E578DA27E159}"/>
    <cellStyle name="常规 2 2 3 13" xfId="16425" xr:uid="{9DEDFC39-919A-40E6-8D57-AF072FABBA77}"/>
    <cellStyle name="常规 2 2 3 2" xfId="16426" xr:uid="{BEEA7094-99E5-4F17-9E4D-DF25A36BB5C9}"/>
    <cellStyle name="常规 2 2 3 2 10" xfId="16427" xr:uid="{85CEDD19-262E-49D5-A1F8-336407AABA24}"/>
    <cellStyle name="常规 2 2 3 2 2" xfId="16428" xr:uid="{3F06B9DC-DAFD-4E35-ADD5-752D97162B4E}"/>
    <cellStyle name="常规 2 2 3 2 2 2" xfId="16429" xr:uid="{4A287086-1673-4596-8834-3BB65EA8A9E7}"/>
    <cellStyle name="常规 2 2 3 2 2 2 2" xfId="16430" xr:uid="{0532749C-87E4-473E-9D8A-8B5EFA023B2A}"/>
    <cellStyle name="常规 2 2 3 2 2 2 2 2" xfId="16431" xr:uid="{00E37F87-0862-46B3-8BBC-F2507E62CAA5}"/>
    <cellStyle name="常规 2 2 3 2 2 2 2 2 2" xfId="16432" xr:uid="{9AA81073-1F8C-4742-9CC2-B617BA32E1FA}"/>
    <cellStyle name="常规 2 2 3 2 2 2 2 3" xfId="16433" xr:uid="{1F8E3050-F035-41D0-8E16-E46C7A546E88}"/>
    <cellStyle name="常规 2 2 3 2 2 2 2 4" xfId="16434" xr:uid="{C6FDAED9-D173-441E-B4E4-C89EF9BBBCE3}"/>
    <cellStyle name="常规 2 2 3 2 2 2 2 4 2" xfId="33981" xr:uid="{F1728D03-86F9-41D6-AB87-0147C1A66FE8}"/>
    <cellStyle name="常规 2 2 3 2 2 2 3" xfId="16435" xr:uid="{E1A8BF7F-8A80-4C57-9337-2A9EA5D79672}"/>
    <cellStyle name="常规 2 2 3 2 2 2 3 2" xfId="16436" xr:uid="{68BD8BA7-DD07-4BFD-A27D-F01347744565}"/>
    <cellStyle name="常规 2 2 3 2 2 2 3 2 2" xfId="16437" xr:uid="{F84A27C3-37BC-4BC0-A3F3-7CF68D63FF5E}"/>
    <cellStyle name="常规 2 2 3 2 2 2 3 3" xfId="16438" xr:uid="{D317B222-A569-4DF5-9A9C-52EEE0E87E84}"/>
    <cellStyle name="常规 2 2 3 2 2 2 3 4" xfId="16439" xr:uid="{2C833EE7-1746-4AFA-9928-B6BB86833888}"/>
    <cellStyle name="常规 2 2 3 2 2 2 3 4 2" xfId="33982" xr:uid="{C3B2B1FA-EA1B-4314-BB0D-ED33A18CC1A1}"/>
    <cellStyle name="常规 2 2 3 2 2 2 4" xfId="16440" xr:uid="{10040389-0843-45C3-9308-0C9544A71514}"/>
    <cellStyle name="常规 2 2 3 2 2 2 4 2" xfId="16441" xr:uid="{89935EFA-F0D8-4D26-B1E2-A3D619798420}"/>
    <cellStyle name="常规 2 2 3 2 2 2 5" xfId="16442" xr:uid="{77385157-14D7-407C-B66C-7CC57D681D7A}"/>
    <cellStyle name="常规 2 2 3 2 2 2 6" xfId="16443" xr:uid="{630E082D-5A0A-45CB-B8A7-71527CC0378A}"/>
    <cellStyle name="常规 2 2 3 2 2 2 6 2" xfId="33983" xr:uid="{50EAD196-F6AC-44B9-B1F4-3F2EDC08A797}"/>
    <cellStyle name="常规 2 2 3 2 2 2 7" xfId="16444" xr:uid="{F9FDFBC8-E1EF-4E1D-B457-A13370AE57F9}"/>
    <cellStyle name="常规 2 2 3 2 2 3" xfId="16445" xr:uid="{4F1249E4-B6E0-4B49-8913-1D771123DC92}"/>
    <cellStyle name="常规 2 2 3 2 2 3 2" xfId="16446" xr:uid="{2DBC5720-A84A-442F-88ED-B6B49F114624}"/>
    <cellStyle name="常规 2 2 3 2 2 3 2 2" xfId="16447" xr:uid="{3580E2F6-D201-4F24-ACD2-A4C4F54484D7}"/>
    <cellStyle name="常规 2 2 3 2 2 3 2 2 2" xfId="16448" xr:uid="{DAB632EF-8817-4379-9462-340B477CACCF}"/>
    <cellStyle name="常规 2 2 3 2 2 3 2 3" xfId="16449" xr:uid="{93E4FA97-99DF-46A9-A5E7-EC2261D2DAB3}"/>
    <cellStyle name="常规 2 2 3 2 2 3 2 4" xfId="16450" xr:uid="{0AC6380A-2900-4649-ADA0-77703B9EDCDC}"/>
    <cellStyle name="常规 2 2 3 2 2 3 2 4 2" xfId="33984" xr:uid="{09180E5E-D1C3-4682-8B32-1B2398EE6799}"/>
    <cellStyle name="常规 2 2 3 2 2 3 2 5" xfId="16451" xr:uid="{0CD90665-E534-4A4C-AB2C-997EB5AFB2BA}"/>
    <cellStyle name="常规 2 2 3 2 2 3 3" xfId="16452" xr:uid="{C03E3946-53C8-4C32-9AC7-D87C71D7796B}"/>
    <cellStyle name="常规 2 2 3 2 2 3 3 2" xfId="16453" xr:uid="{0E5D7A5D-98F1-47C6-9AE5-F2AB3FFABB04}"/>
    <cellStyle name="常规 2 2 3 2 2 3 3 3" xfId="16454" xr:uid="{2BF8131D-A2BB-4EF5-A44E-A59E139F9E01}"/>
    <cellStyle name="常规 2 2 3 2 2 3 4" xfId="16455" xr:uid="{0695989E-7C38-4823-A038-814619B192B1}"/>
    <cellStyle name="常规 2 2 3 2 2 3 4 2" xfId="16456" xr:uid="{9981B457-294E-46F7-ACA0-1A94AB621B8D}"/>
    <cellStyle name="常规 2 2 3 2 2 3 5" xfId="16457" xr:uid="{1B95A1F2-2B94-4900-BF8A-DC1F37D95C14}"/>
    <cellStyle name="常规 2 2 3 2 2 3 5 2" xfId="16458" xr:uid="{587FB422-2B32-49DE-BCB4-A0088D10086A}"/>
    <cellStyle name="常规 2 2 3 2 2 3 5 3" xfId="33985" xr:uid="{743CA758-5DA5-42AC-A459-1E502782B3B6}"/>
    <cellStyle name="常规 2 2 3 2 2 3 6" xfId="16459" xr:uid="{B76E00EA-24DF-49B5-B47D-C944543AB832}"/>
    <cellStyle name="常规 2 2 3 2 2 3 7" xfId="16460" xr:uid="{FEC41542-15E8-4733-9672-5D3FAE68EDEB}"/>
    <cellStyle name="常规 2 2 3 2 2 4" xfId="16461" xr:uid="{6C47CC64-021E-4B96-82FF-B20E0D9CA30F}"/>
    <cellStyle name="常规 2 2 3 2 2 4 2" xfId="16462" xr:uid="{0D3EB1F9-AD6E-440C-8F93-1A38005AAEC1}"/>
    <cellStyle name="常规 2 2 3 2 2 4 2 2" xfId="16463" xr:uid="{9F151E0B-11C0-4CCF-8EC3-7ABE2F74F727}"/>
    <cellStyle name="常规 2 2 3 2 2 4 3" xfId="16464" xr:uid="{F0C30173-FBAC-492A-9542-CDAEE15F0B78}"/>
    <cellStyle name="常规 2 2 3 2 2 4 4" xfId="16465" xr:uid="{BC54220A-D4AF-4856-844D-9FC877584671}"/>
    <cellStyle name="常规 2 2 3 2 2 4 4 2" xfId="33986" xr:uid="{B575B000-BCB7-4FE4-80B4-F20F2DBEA6C1}"/>
    <cellStyle name="常规 2 2 3 2 2 4 5" xfId="16466" xr:uid="{6905FB46-7344-44A6-BE38-828B695E3DA2}"/>
    <cellStyle name="常规 2 2 3 2 2 5" xfId="16467" xr:uid="{6C39C520-05CD-476D-AB1B-21095EF2AD43}"/>
    <cellStyle name="常规 2 2 3 2 2 5 2" xfId="16468" xr:uid="{7AEEC962-BBE5-4A96-9521-DE75EC82F5EC}"/>
    <cellStyle name="常规 2 2 3 2 2 5 2 2" xfId="16469" xr:uid="{50627002-3329-453B-87BD-2332D0327A27}"/>
    <cellStyle name="常规 2 2 3 2 2 5 3" xfId="16470" xr:uid="{63B51C74-F689-473D-BBC4-323B75BB9034}"/>
    <cellStyle name="常规 2 2 3 2 2 5 4" xfId="16471" xr:uid="{65A96EB5-B921-46E5-8195-CBC6BDED935E}"/>
    <cellStyle name="常规 2 2 3 2 2 5 4 2" xfId="33987" xr:uid="{88E7AEA4-0592-4098-AB8A-CD7D7CB8784F}"/>
    <cellStyle name="常规 2 2 3 2 2 5 5" xfId="16472" xr:uid="{D3B8C406-25B7-4600-9D6D-1563729143E6}"/>
    <cellStyle name="常规 2 2 3 2 2 6" xfId="16473" xr:uid="{730CA197-D6F6-4B2E-A089-6854F63E0A19}"/>
    <cellStyle name="常规 2 2 3 2 2 6 2" xfId="16474" xr:uid="{069599D5-D0F1-4D27-9384-5B4DC47DCC14}"/>
    <cellStyle name="常规 2 2 3 2 2 6 3" xfId="16475" xr:uid="{63297273-920F-463A-AA0D-351B3E83FBDF}"/>
    <cellStyle name="常规 2 2 3 2 2 7" xfId="16476" xr:uid="{E99A7937-7725-4817-9E5F-4642D87F2FCA}"/>
    <cellStyle name="常规 2 2 3 2 2 7 2" xfId="16477" xr:uid="{E91F27D1-B755-48DB-9241-10A09861C3FF}"/>
    <cellStyle name="常规 2 2 3 2 2 8" xfId="16478" xr:uid="{347753FD-1D17-4A64-B83D-07AD9F9CCB53}"/>
    <cellStyle name="常规 2 2 3 2 2 8 2" xfId="16479" xr:uid="{090DA92B-6789-4645-89E5-715194C41A17}"/>
    <cellStyle name="常规 2 2 3 2 2 8 3" xfId="33988" xr:uid="{F190971A-6DC7-4C60-BD57-4549A8C0FDEE}"/>
    <cellStyle name="常规 2 2 3 2 2 9" xfId="16480" xr:uid="{21883784-B7AB-488B-B7EC-DE5A40F65C8F}"/>
    <cellStyle name="常规 2 2 3 2 3" xfId="16481" xr:uid="{B137CC0D-5561-48EC-8933-8BF0A9EE0013}"/>
    <cellStyle name="常规 2 2 3 2 3 2" xfId="16482" xr:uid="{BC2109F7-8D07-46C3-8232-2E5E71D1110A}"/>
    <cellStyle name="常规 2 2 3 2 3 2 2" xfId="16483" xr:uid="{8AC58732-04A3-4BDB-84F9-5FAF7F2897F8}"/>
    <cellStyle name="常规 2 2 3 2 3 2 2 2" xfId="16484" xr:uid="{BA679B47-FF1B-46CD-B854-8B385C5FA454}"/>
    <cellStyle name="常规 2 2 3 2 3 2 2 2 2" xfId="16485" xr:uid="{D47D9987-6C3C-43C2-B82A-FDAE7C0038DC}"/>
    <cellStyle name="常规 2 2 3 2 3 2 2 3" xfId="16486" xr:uid="{0752C444-E611-48E5-9596-CD09E0D41245}"/>
    <cellStyle name="常规 2 2 3 2 3 2 2 4" xfId="16487" xr:uid="{E7781D76-6736-443A-997D-72A3A41DBE41}"/>
    <cellStyle name="常规 2 2 3 2 3 2 2 4 2" xfId="33989" xr:uid="{68DB98BE-EA6C-4C90-83B7-443F36E1BE8F}"/>
    <cellStyle name="常规 2 2 3 2 3 2 2 5" xfId="16488" xr:uid="{20CE1280-3600-4E29-BF2E-4556FE02179A}"/>
    <cellStyle name="常规 2 2 3 2 3 2 3" xfId="16489" xr:uid="{5406ACAF-330A-4381-AF12-A79D2A972478}"/>
    <cellStyle name="常规 2 2 3 2 3 2 3 2" xfId="16490" xr:uid="{02CB8EFA-4D2D-4262-BE39-94858CAB9ED7}"/>
    <cellStyle name="常规 2 2 3 2 3 2 3 3" xfId="16491" xr:uid="{532B542B-5661-4CCE-B56A-9C217BABD2DE}"/>
    <cellStyle name="常规 2 2 3 2 3 2 4" xfId="16492" xr:uid="{0EA48F37-5694-440D-960B-EE47DCE845A8}"/>
    <cellStyle name="常规 2 2 3 2 3 2 4 2" xfId="16493" xr:uid="{748415EF-41F9-4EA6-8CDE-2A7E59581C43}"/>
    <cellStyle name="常规 2 2 3 2 3 2 5" xfId="16494" xr:uid="{ED23CC03-2529-42C0-9895-37603BBAF2D6}"/>
    <cellStyle name="常规 2 2 3 2 3 2 5 2" xfId="16495" xr:uid="{ECBB5E52-3B9B-45C9-B212-0545B23A5CD2}"/>
    <cellStyle name="常规 2 2 3 2 3 2 5 3" xfId="33990" xr:uid="{1E6B172D-A906-4426-8CC7-3235160FECD7}"/>
    <cellStyle name="常规 2 2 3 2 3 2 6" xfId="16496" xr:uid="{818A97E6-7CE6-4FDF-B457-A12762008236}"/>
    <cellStyle name="常规 2 2 3 2 3 2 7" xfId="16497" xr:uid="{384EA7FC-3FEE-4460-AF0E-C4E4B5DAB40B}"/>
    <cellStyle name="常规 2 2 3 2 3 3" xfId="16498" xr:uid="{264057C6-E696-49C2-9E14-EAE070E5E93A}"/>
    <cellStyle name="常规 2 2 3 2 3 3 2" xfId="16499" xr:uid="{DEF10091-BA98-4401-9677-94BA954AA7D9}"/>
    <cellStyle name="常规 2 2 3 2 3 3 2 2" xfId="16500" xr:uid="{BF70384D-B97C-441F-83FE-2EC5A9A2BA3F}"/>
    <cellStyle name="常规 2 2 3 2 3 3 3" xfId="16501" xr:uid="{70596D1A-D1E2-4471-99BA-6B338831BACD}"/>
    <cellStyle name="常规 2 2 3 2 3 3 4" xfId="16502" xr:uid="{875D4505-0A02-45D9-A9A9-2662A3F31149}"/>
    <cellStyle name="常规 2 2 3 2 3 3 4 2" xfId="33991" xr:uid="{02A26ED2-4601-41EE-9FF1-B3C8EB06E874}"/>
    <cellStyle name="常规 2 2 3 2 3 3 5" xfId="16503" xr:uid="{343C61D7-83E0-4129-8DAF-5FC580A97A81}"/>
    <cellStyle name="常规 2 2 3 2 3 4" xfId="16504" xr:uid="{1AF39CD8-6C60-4A51-9811-15D587B0E9B6}"/>
    <cellStyle name="常规 2 2 3 2 3 4 2" xfId="16505" xr:uid="{584879C5-F9AF-43A8-9FA4-A18CC97A0536}"/>
    <cellStyle name="常规 2 2 3 2 3 4 3" xfId="16506" xr:uid="{9975EAB1-842E-489C-84DA-0C4F7D67D180}"/>
    <cellStyle name="常规 2 2 3 2 3 5" xfId="16507" xr:uid="{1D0A99B7-A781-4BA1-8740-502299DF0C50}"/>
    <cellStyle name="常规 2 2 3 2 3 5 2" xfId="16508" xr:uid="{F00400D6-5DC3-45E8-86F9-554B88A9B501}"/>
    <cellStyle name="常规 2 2 3 2 3 6" xfId="16509" xr:uid="{00B4863E-56ED-45B6-AD76-4B2B05D16846}"/>
    <cellStyle name="常规 2 2 3 2 3 6 2" xfId="16510" xr:uid="{CAE62EB2-8E4E-4336-AD44-B5999634D9F4}"/>
    <cellStyle name="常规 2 2 3 2 3 6 3" xfId="33992" xr:uid="{398E036E-068A-43A2-B814-241D05A045C4}"/>
    <cellStyle name="常规 2 2 3 2 3 7" xfId="16511" xr:uid="{7DDDAD20-8F06-4053-A1ED-4D10B6DEBA9F}"/>
    <cellStyle name="常规 2 2 3 2 3 8" xfId="16512" xr:uid="{513B7BAE-C291-4E2B-8A5C-A4635D376F77}"/>
    <cellStyle name="常规 2 2 3 2 4" xfId="16513" xr:uid="{8EC8B6FF-E84F-4ECE-A2B3-959BFBACAE22}"/>
    <cellStyle name="常规 2 2 3 2 4 2" xfId="16514" xr:uid="{D0DA7333-1B61-4214-B280-EF53722AF0B5}"/>
    <cellStyle name="常规 2 2 3 2 4 2 2" xfId="16515" xr:uid="{3FB682B0-7AD0-4D2B-AC75-3404C01A3E6E}"/>
    <cellStyle name="常规 2 2 3 2 4 2 2 2" xfId="16516" xr:uid="{43E8A99E-8840-4229-92F1-A4FA5E18E843}"/>
    <cellStyle name="常规 2 2 3 2 4 2 3" xfId="16517" xr:uid="{550D6CAC-D477-46CD-98D6-18CBEE2C3991}"/>
    <cellStyle name="常规 2 2 3 2 4 2 4" xfId="16518" xr:uid="{D6107DEC-7D1A-4C6E-A50F-B65E6C0409EF}"/>
    <cellStyle name="常规 2 2 3 2 4 2 4 2" xfId="33993" xr:uid="{E88F2C9F-97F1-44F9-8A54-634DA0DD0DC5}"/>
    <cellStyle name="常规 2 2 3 2 4 2 5" xfId="16519" xr:uid="{2891CBB6-F903-4A2F-BC88-77E32FFF32E5}"/>
    <cellStyle name="常规 2 2 3 2 4 3" xfId="16520" xr:uid="{CDAEBE15-DA13-4FD1-88B0-63F9E4320E1F}"/>
    <cellStyle name="常规 2 2 3 2 4 3 2" xfId="16521" xr:uid="{E4B72C3E-463E-4C0D-91B2-323CE4A6C7AD}"/>
    <cellStyle name="常规 2 2 3 2 4 3 2 2" xfId="16522" xr:uid="{47F9E46E-8514-4D68-AE00-1AB09DF33D27}"/>
    <cellStyle name="常规 2 2 3 2 4 3 3" xfId="16523" xr:uid="{A921BD06-E3FF-4208-AD57-5D35B2F0B2E9}"/>
    <cellStyle name="常规 2 2 3 2 4 3 4" xfId="16524" xr:uid="{A4927986-1EA6-4D3E-8673-15AAC474741E}"/>
    <cellStyle name="常规 2 2 3 2 4 3 4 2" xfId="33994" xr:uid="{31FD0176-C0E6-4B0A-A239-E9657747DF02}"/>
    <cellStyle name="常规 2 2 3 2 4 3 5" xfId="16525" xr:uid="{0BDC34C8-E053-4F63-A8B9-A574CF069061}"/>
    <cellStyle name="常规 2 2 3 2 4 4" xfId="16526" xr:uid="{F86D9E7F-1F1E-4AC7-8FA9-ADBD5D307A27}"/>
    <cellStyle name="常规 2 2 3 2 4 4 2" xfId="16527" xr:uid="{C71067B1-386E-4F28-9841-ADB9FB21C22C}"/>
    <cellStyle name="常规 2 2 3 2 4 4 3" xfId="16528" xr:uid="{2591BC9D-6030-4087-99C3-AF4E1E5BBB6D}"/>
    <cellStyle name="常规 2 2 3 2 4 5" xfId="16529" xr:uid="{53BE0399-C4E1-4BFF-8067-9489F3519F78}"/>
    <cellStyle name="常规 2 2 3 2 4 5 2" xfId="16530" xr:uid="{BB8F8BB7-DF64-46D7-9F8B-EEEEAE2CFBE8}"/>
    <cellStyle name="常规 2 2 3 2 4 6" xfId="16531" xr:uid="{ACE7E026-BE1C-44AF-96E8-0483BBAB160C}"/>
    <cellStyle name="常规 2 2 3 2 4 6 2" xfId="16532" xr:uid="{E0067179-5BC5-4FEF-A1DB-44B85FF64427}"/>
    <cellStyle name="常规 2 2 3 2 4 6 3" xfId="33995" xr:uid="{4627749A-F3A7-4614-81C3-01041E3B869C}"/>
    <cellStyle name="常规 2 2 3 2 4 7" xfId="16533" xr:uid="{87CD66F0-5079-45A4-B56A-1B6E9290D540}"/>
    <cellStyle name="常规 2 2 3 2 5" xfId="16534" xr:uid="{5273468B-016B-4C9D-A60B-B8C888952546}"/>
    <cellStyle name="常规 2 2 3 2 5 2" xfId="16535" xr:uid="{A33F99CB-75FB-4884-94EB-1A8F61F44D42}"/>
    <cellStyle name="常规 2 2 3 2 5 2 2" xfId="16536" xr:uid="{07F50ED9-A1B4-4E95-83DB-FBBC10AF0296}"/>
    <cellStyle name="常规 2 2 3 2 5 3" xfId="16537" xr:uid="{10E1A9C1-5C4F-49A5-B8F9-400F49C4790B}"/>
    <cellStyle name="常规 2 2 3 2 5 4" xfId="16538" xr:uid="{2ECA8341-AC2E-4120-80F0-36E780D9684A}"/>
    <cellStyle name="常规 2 2 3 2 5 4 2" xfId="33996" xr:uid="{7FA635CB-D70E-46DF-86CC-4FAE67ADE479}"/>
    <cellStyle name="常规 2 2 3 2 5 5" xfId="16539" xr:uid="{24D86325-CCB6-49D9-AE99-67271E2DD079}"/>
    <cellStyle name="常规 2 2 3 2 6" xfId="16540" xr:uid="{81AB4EEC-3B91-4D37-B45E-6C8AF77589D3}"/>
    <cellStyle name="常规 2 2 3 2 6 2" xfId="16541" xr:uid="{5D3E01C1-37C5-4C89-9611-6AA06D0BF160}"/>
    <cellStyle name="常规 2 2 3 2 6 2 2" xfId="16542" xr:uid="{D4CB167F-2FA1-497A-A329-FBE82235E6D3}"/>
    <cellStyle name="常规 2 2 3 2 6 3" xfId="16543" xr:uid="{4BAEA4FC-87F3-42D9-BDDC-26EF206C68DE}"/>
    <cellStyle name="常规 2 2 3 2 6 4" xfId="16544" xr:uid="{CB3362C5-7AFE-4DB7-9918-8E0D690BD4A4}"/>
    <cellStyle name="常规 2 2 3 2 6 4 2" xfId="33997" xr:uid="{1C93784D-CA22-4358-973D-AE2117B5895D}"/>
    <cellStyle name="常规 2 2 3 2 6 5" xfId="16545" xr:uid="{A1CC107C-649C-404E-8CC0-56511376BACC}"/>
    <cellStyle name="常规 2 2 3 2 7" xfId="16546" xr:uid="{B0175EA9-02A2-4F3A-8846-B41AA400EF84}"/>
    <cellStyle name="常规 2 2 3 2 7 2" xfId="16547" xr:uid="{FD970163-BF80-45FA-ACA3-321510C9FE17}"/>
    <cellStyle name="常规 2 2 3 2 7 3" xfId="16548" xr:uid="{959C8560-0F77-4EEB-A259-D92F93C7ED1C}"/>
    <cellStyle name="常规 2 2 3 2 8" xfId="16549" xr:uid="{6C2380BF-BE6E-4147-B9FE-14BF5A8BF182}"/>
    <cellStyle name="常规 2 2 3 2 8 2" xfId="16550" xr:uid="{86C1A221-6775-4911-9F09-77EBB2E990C3}"/>
    <cellStyle name="常规 2 2 3 2 9" xfId="16551" xr:uid="{BC6D1224-DA6D-4489-AE48-D29EB1E92F71}"/>
    <cellStyle name="常规 2 2 3 2 9 2" xfId="16552" xr:uid="{2248DB2A-1710-4FF6-B935-6AC40CB8DC45}"/>
    <cellStyle name="常规 2 2 3 2 9 3" xfId="33998" xr:uid="{B1C21101-1D91-4201-B8FE-374F62F65B57}"/>
    <cellStyle name="常规 2 2 3 3" xfId="16553" xr:uid="{33D11AA2-305C-447A-89AF-1AB1ED9C9126}"/>
    <cellStyle name="常规 2 2 3 3 10" xfId="16554" xr:uid="{C90DAEB6-651B-4C0F-8E21-AEDD53200ACD}"/>
    <cellStyle name="常规 2 2 3 3 2" xfId="16555" xr:uid="{8468E3EF-231B-4995-A03E-3BC9751761EE}"/>
    <cellStyle name="常规 2 2 3 3 2 2" xfId="16556" xr:uid="{3E461E86-5718-46F6-B5DA-7713C09152AE}"/>
    <cellStyle name="常规 2 2 3 3 2 2 2" xfId="16557" xr:uid="{183927B7-1C19-4F9F-9FB4-27874D5ED62E}"/>
    <cellStyle name="常规 2 2 3 3 2 2 2 2" xfId="16558" xr:uid="{797FAF6E-FDE8-4811-9C0C-512F54A7D487}"/>
    <cellStyle name="常规 2 2 3 3 2 2 2 2 2" xfId="16559" xr:uid="{ADC74757-3482-4887-8B1A-7676CD75555B}"/>
    <cellStyle name="常规 2 2 3 3 2 2 2 3" xfId="16560" xr:uid="{9CC6B058-7411-4754-ACE5-CE69871DE90C}"/>
    <cellStyle name="常规 2 2 3 3 2 2 2 4" xfId="16561" xr:uid="{8169277B-53B4-4216-A6D1-031C10F20B9A}"/>
    <cellStyle name="常规 2 2 3 3 2 2 2 4 2" xfId="33999" xr:uid="{B1DA5871-74E3-4161-8AAE-3C226F672C39}"/>
    <cellStyle name="常规 2 2 3 3 2 2 2 5" xfId="16562" xr:uid="{DDBA81AA-2217-4BF7-80A4-7F89C0954689}"/>
    <cellStyle name="常规 2 2 3 3 2 2 3" xfId="16563" xr:uid="{D10CF8C1-EFAC-4C8E-87BC-88FD4AAA5621}"/>
    <cellStyle name="常规 2 2 3 3 2 2 3 2" xfId="16564" xr:uid="{347FD6C1-22FE-49C0-B50A-0910D893055F}"/>
    <cellStyle name="常规 2 2 3 3 2 2 3 3" xfId="16565" xr:uid="{DE53D46E-F510-405E-B33F-D3D3C7B1ECFF}"/>
    <cellStyle name="常规 2 2 3 3 2 2 4" xfId="16566" xr:uid="{1ECAE825-3183-4C96-883C-DA15E8FC2AEE}"/>
    <cellStyle name="常规 2 2 3 3 2 2 4 2" xfId="16567" xr:uid="{15DB1C1C-F89A-4CCE-80EB-3DF0BBE774ED}"/>
    <cellStyle name="常规 2 2 3 3 2 2 5" xfId="16568" xr:uid="{19306ABE-597D-48B6-8DB0-3C358F8040EE}"/>
    <cellStyle name="常规 2 2 3 3 2 2 5 2" xfId="16569" xr:uid="{3D2F3F6F-8CF3-4583-AF96-CDB69564228E}"/>
    <cellStyle name="常规 2 2 3 3 2 2 5 3" xfId="34000" xr:uid="{6AB11547-FF42-4D2C-B457-F9DA109DA878}"/>
    <cellStyle name="常规 2 2 3 3 2 2 6" xfId="16570" xr:uid="{301CB63E-856D-4BAD-BB9E-D63C2A226B3C}"/>
    <cellStyle name="常规 2 2 3 3 2 2 7" xfId="16571" xr:uid="{E2944367-FE01-4CF8-8B45-0B941D122B29}"/>
    <cellStyle name="常规 2 2 3 3 2 3" xfId="16572" xr:uid="{AC287FE6-B8A7-49D1-96D2-BBB22B533F3E}"/>
    <cellStyle name="常规 2 2 3 3 2 3 2" xfId="16573" xr:uid="{810EECD1-58E4-482F-B458-700BEE827354}"/>
    <cellStyle name="常规 2 2 3 3 2 3 2 2" xfId="16574" xr:uid="{CC29EB0F-1780-43B5-AFE5-474EBE8587DA}"/>
    <cellStyle name="常规 2 2 3 3 2 3 3" xfId="16575" xr:uid="{59A1C03F-11D8-4B6B-BAA7-FCE79AB7C3B0}"/>
    <cellStyle name="常规 2 2 3 3 2 3 4" xfId="16576" xr:uid="{C4B0E962-7F01-4B92-BBFB-3FC5E2110315}"/>
    <cellStyle name="常规 2 2 3 3 2 3 4 2" xfId="34001" xr:uid="{D881B7EC-213A-48EB-8A51-ACD074512A16}"/>
    <cellStyle name="常规 2 2 3 3 2 3 5" xfId="16577" xr:uid="{FDD38B76-EAD4-4C12-9A20-F37CEED7F93C}"/>
    <cellStyle name="常规 2 2 3 3 2 4" xfId="16578" xr:uid="{935076C2-A1F5-4827-A973-31FD588983C1}"/>
    <cellStyle name="常规 2 2 3 3 2 4 2" xfId="16579" xr:uid="{187165A9-08CA-4815-8E4E-BDAF3368D2C1}"/>
    <cellStyle name="常规 2 2 3 3 2 4 3" xfId="16580" xr:uid="{E6A41534-4162-4986-91E0-2C588A0ED9CD}"/>
    <cellStyle name="常规 2 2 3 3 2 5" xfId="16581" xr:uid="{E03C738C-3DFB-4E60-BFCA-085389C3E232}"/>
    <cellStyle name="常规 2 2 3 3 2 5 2" xfId="16582" xr:uid="{32F13FD5-3C15-4239-B4ED-F96E7928485C}"/>
    <cellStyle name="常规 2 2 3 3 2 6" xfId="16583" xr:uid="{9D52F9F3-086F-4EC3-AA3F-D2813D4691BF}"/>
    <cellStyle name="常规 2 2 3 3 2 6 2" xfId="16584" xr:uid="{CCBFDCD4-14C2-404E-BB9A-334C1349E67F}"/>
    <cellStyle name="常规 2 2 3 3 2 6 3" xfId="34002" xr:uid="{C3E29AF5-993E-42B4-9529-BC90812598C5}"/>
    <cellStyle name="常规 2 2 3 3 2 7" xfId="16585" xr:uid="{90A4FD1D-FBF2-416A-A381-AA44C6231859}"/>
    <cellStyle name="常规 2 2 3 3 2 8" xfId="16586" xr:uid="{EEC70345-F00B-4292-BDF0-6B5BE2F4BDB1}"/>
    <cellStyle name="常规 2 2 3 3 3" xfId="16587" xr:uid="{78E64343-6193-4D96-9BC3-9C40DDBA1DB3}"/>
    <cellStyle name="常规 2 2 3 3 3 2" xfId="16588" xr:uid="{26056321-86EA-4DDB-A95D-EAA1E677101B}"/>
    <cellStyle name="常规 2 2 3 3 3 2 2" xfId="16589" xr:uid="{C6C96275-4284-4A03-9D34-5DEC37806392}"/>
    <cellStyle name="常规 2 2 3 3 3 2 2 2" xfId="16590" xr:uid="{D098F10F-7CD8-4758-88EA-D9B7D334D904}"/>
    <cellStyle name="常规 2 2 3 3 3 2 2 3" xfId="16591" xr:uid="{3A22CF64-48F8-4CF6-B236-C86B47CFDBE6}"/>
    <cellStyle name="常规 2 2 3 3 3 2 3" xfId="16592" xr:uid="{B3BF59E2-1265-419D-AC46-269D089C6A77}"/>
    <cellStyle name="常规 2 2 3 3 3 2 3 2" xfId="16593" xr:uid="{5228B30E-D98B-4ABD-8A28-83EFFAD42D05}"/>
    <cellStyle name="常规 2 2 3 3 3 2 4" xfId="16594" xr:uid="{E53C3F2B-B927-4AE3-A8C5-F939260B91F2}"/>
    <cellStyle name="常规 2 2 3 3 3 2 4 2" xfId="16595" xr:uid="{ED39AFC1-1292-491D-AD81-C07AEE595A54}"/>
    <cellStyle name="常规 2 2 3 3 3 2 4 3" xfId="34003" xr:uid="{65B7DB47-9FE0-4B3B-A359-7F134CA97EB2}"/>
    <cellStyle name="常规 2 2 3 3 3 2 5" xfId="16596" xr:uid="{04CC10C9-9AE6-4525-B9F0-7BADFC073862}"/>
    <cellStyle name="常规 2 2 3 3 3 2 6" xfId="16597" xr:uid="{584D4BDC-5CC0-4B12-8058-86AB02121BB8}"/>
    <cellStyle name="常规 2 2 3 3 3 2 7" xfId="16598" xr:uid="{7C3EAF45-740E-4B05-9A22-207D2E4B50F3}"/>
    <cellStyle name="常规 2 2 3 3 3 3" xfId="16599" xr:uid="{6997C0E9-4A7E-427D-9AE4-09109250B524}"/>
    <cellStyle name="常规 2 2 3 3 3 3 2" xfId="16600" xr:uid="{2666F535-6DF0-4D62-A2AA-DA1CFA6FC648}"/>
    <cellStyle name="常规 2 2 3 3 3 3 2 2" xfId="16601" xr:uid="{1ECAB5B7-FF6D-449C-A80F-BC52F1115BAC}"/>
    <cellStyle name="常规 2 2 3 3 3 3 3" xfId="16602" xr:uid="{45A78A26-E2BC-42FC-8FB4-24DDAC76FE29}"/>
    <cellStyle name="常规 2 2 3 3 3 3 4" xfId="16603" xr:uid="{001A34EA-3D52-48FA-8E20-998BE747FE85}"/>
    <cellStyle name="常规 2 2 3 3 3 3 4 2" xfId="34004" xr:uid="{9B6E3C69-5857-4C61-9038-8993FC347681}"/>
    <cellStyle name="常规 2 2 3 3 3 3 5" xfId="16604" xr:uid="{4FFE16D0-0EEF-4097-BBFE-6AE5B3F2C3EF}"/>
    <cellStyle name="常规 2 2 3 3 3 4" xfId="16605" xr:uid="{9DFCC4C6-6FFE-4FD0-99ED-95CDBB85AEF5}"/>
    <cellStyle name="常规 2 2 3 3 3 4 2" xfId="16606" xr:uid="{1A534DB9-A358-4682-A266-F44861EB287F}"/>
    <cellStyle name="常规 2 2 3 3 3 4 3" xfId="16607" xr:uid="{DDA5EA73-E411-4E6E-9223-F2BCF8C759D0}"/>
    <cellStyle name="常规 2 2 3 3 3 5" xfId="16608" xr:uid="{E5DB70CF-F883-4FE7-9CC2-1324CCEEE962}"/>
    <cellStyle name="常规 2 2 3 3 3 5 2" xfId="16609" xr:uid="{B48CED57-D61F-4A31-805D-2EB6704CD205}"/>
    <cellStyle name="常规 2 2 3 3 3 6" xfId="16610" xr:uid="{08D11DEA-5DFF-4470-BB21-BA11865FEBC2}"/>
    <cellStyle name="常规 2 2 3 3 3 6 2" xfId="16611" xr:uid="{CE94DFEB-A31B-497F-AB53-4B0ACFA5D76E}"/>
    <cellStyle name="常规 2 2 3 3 3 6 3" xfId="34005" xr:uid="{0DDF55A8-C0F0-442F-AF46-100ED001BD73}"/>
    <cellStyle name="常规 2 2 3 3 3 7" xfId="16612" xr:uid="{67C27FE6-BDD5-4A5A-B919-2533F4B7523C}"/>
    <cellStyle name="常规 2 2 3 3 3 8" xfId="16613" xr:uid="{77819830-150E-49D4-B781-D7B6CFC2A519}"/>
    <cellStyle name="常规 2 2 3 3 4" xfId="16614" xr:uid="{02226C5A-9BC3-4303-80CE-321D45AE241F}"/>
    <cellStyle name="常规 2 2 3 3 4 2" xfId="16615" xr:uid="{722866F3-676B-424A-A89D-72761FA7464E}"/>
    <cellStyle name="常规 2 2 3 3 4 2 2" xfId="16616" xr:uid="{DC2125BA-B3CB-47BB-8A33-0A02B25C00BF}"/>
    <cellStyle name="常规 2 2 3 3 4 2 3" xfId="16617" xr:uid="{8BBD4208-7FD8-410E-B251-632E46868C5B}"/>
    <cellStyle name="常规 2 2 3 3 4 3" xfId="16618" xr:uid="{BADA5309-7D66-4F89-A25B-7CF64D106552}"/>
    <cellStyle name="常规 2 2 3 3 4 3 2" xfId="16619" xr:uid="{22F8F653-44C1-41B7-B9A1-8513E6B823BE}"/>
    <cellStyle name="常规 2 2 3 3 4 4" xfId="16620" xr:uid="{C96592E7-6007-4BB8-AFBB-153C911BEB40}"/>
    <cellStyle name="常规 2 2 3 3 4 4 2" xfId="16621" xr:uid="{35B08870-7760-40F6-81B1-794E2D20FEB0}"/>
    <cellStyle name="常规 2 2 3 3 4 4 3" xfId="34006" xr:uid="{97697730-ACFB-451D-96FA-E43F3887C05B}"/>
    <cellStyle name="常规 2 2 3 3 4 5" xfId="16622" xr:uid="{1FA7F34A-1704-49EC-B96F-9EA956B90F9C}"/>
    <cellStyle name="常规 2 2 3 3 4 6" xfId="16623" xr:uid="{064418FC-0BE2-4105-86E5-BD5205EF5CC3}"/>
    <cellStyle name="常规 2 2 3 3 4 7" xfId="16624" xr:uid="{5C70158C-1E22-4680-9884-6C063DC35975}"/>
    <cellStyle name="常规 2 2 3 3 5" xfId="16625" xr:uid="{E3C83450-F74C-4F90-9F60-50DBF87AA4CC}"/>
    <cellStyle name="常规 2 2 3 3 5 2" xfId="16626" xr:uid="{ECFA8791-D861-4C8A-ABEC-EBC80FA60EEB}"/>
    <cellStyle name="常规 2 2 3 3 5 2 2" xfId="16627" xr:uid="{2AA54418-6CEF-4010-953C-F49571D2ECBB}"/>
    <cellStyle name="常规 2 2 3 3 5 3" xfId="16628" xr:uid="{1EE2EB42-E26A-4499-942D-6D662474679F}"/>
    <cellStyle name="常规 2 2 3 3 5 4" xfId="16629" xr:uid="{BD3367A4-7452-4B1C-864C-794CB35542C3}"/>
    <cellStyle name="常规 2 2 3 3 5 4 2" xfId="34007" xr:uid="{B0C38EE2-8061-4B47-B6DD-D29E97EBAEC3}"/>
    <cellStyle name="常规 2 2 3 3 5 5" xfId="16630" xr:uid="{7FFF9ABD-BCD2-493E-B38E-69973D7090D1}"/>
    <cellStyle name="常规 2 2 3 3 6" xfId="16631" xr:uid="{2316E10C-EEA2-46C5-8320-DAFB0904EB13}"/>
    <cellStyle name="常规 2 2 3 3 6 2" xfId="16632" xr:uid="{A66DA2FB-5859-4416-8D44-1AB5FE5C56EC}"/>
    <cellStyle name="常规 2 2 3 3 6 3" xfId="16633" xr:uid="{055A6E4A-45B2-46F5-BADD-28F094598CD6}"/>
    <cellStyle name="常规 2 2 3 3 7" xfId="16634" xr:uid="{560473C4-8815-49E4-BB4F-796C9414610E}"/>
    <cellStyle name="常规 2 2 3 3 7 2" xfId="16635" xr:uid="{0F5C1124-B896-4752-A685-83B350240382}"/>
    <cellStyle name="常规 2 2 3 3 8" xfId="16636" xr:uid="{D0FFE325-D979-40A4-A6EA-78014D296D7F}"/>
    <cellStyle name="常规 2 2 3 3 8 2" xfId="16637" xr:uid="{76AD17F3-449D-4477-9D1D-E0A98A6E4C9C}"/>
    <cellStyle name="常规 2 2 3 3 8 3" xfId="34008" xr:uid="{A21EF374-17C6-4D20-9168-8ACFE6CA3658}"/>
    <cellStyle name="常规 2 2 3 3 9" xfId="16638" xr:uid="{BBD44A78-2DF2-4104-B5E7-BF00EFD7AF82}"/>
    <cellStyle name="常规 2 2 3 3 9 2" xfId="16639" xr:uid="{28EFD56A-CA8B-42FA-8793-6A2DE80E00A5}"/>
    <cellStyle name="常规 2 2 3 4" xfId="16640" xr:uid="{2086D65A-ED83-4B7C-867A-7F622D219082}"/>
    <cellStyle name="常规 2 2 3 4 2" xfId="16641" xr:uid="{4BC22AF0-247F-4A46-ACFA-BCE63AB7BBE2}"/>
    <cellStyle name="常规 2 2 3 4 2 2" xfId="16642" xr:uid="{785C4571-AEB6-43E5-A9F3-0F9F8C1C2490}"/>
    <cellStyle name="常规 2 2 3 4 2 2 2" xfId="16643" xr:uid="{9077A6B3-ECB6-44C1-8515-1E13DF71BDC1}"/>
    <cellStyle name="常规 2 2 3 4 2 2 2 2" xfId="16644" xr:uid="{893D0C17-3603-4150-B17B-AE3BF798F0BC}"/>
    <cellStyle name="常规 2 2 3 4 2 2 2 3" xfId="16645" xr:uid="{6176F674-6AA3-4FB6-ABC6-00BBE1C32B0D}"/>
    <cellStyle name="常规 2 2 3 4 2 2 3" xfId="16646" xr:uid="{4DB7F828-9C5F-405E-94E1-862B11EC1073}"/>
    <cellStyle name="常规 2 2 3 4 2 2 3 2" xfId="16647" xr:uid="{ED064EE8-7E02-423F-B5D9-182121D860C4}"/>
    <cellStyle name="常规 2 2 3 4 2 2 4" xfId="16648" xr:uid="{0A881DB6-963A-4030-970A-94AD46DF6550}"/>
    <cellStyle name="常规 2 2 3 4 2 2 4 2" xfId="16649" xr:uid="{11F00056-F620-4ADD-BF0E-B35A66D4CCA4}"/>
    <cellStyle name="常规 2 2 3 4 2 2 4 3" xfId="34009" xr:uid="{200FA8C7-A952-4DFC-8D91-55651C661CF9}"/>
    <cellStyle name="常规 2 2 3 4 2 2 5" xfId="16650" xr:uid="{21D823F6-FFD9-452C-A48C-AF711B5190BF}"/>
    <cellStyle name="常规 2 2 3 4 2 2 6" xfId="16651" xr:uid="{CE1B0AF5-ED1C-4ED4-AC05-BFA153EAA645}"/>
    <cellStyle name="常规 2 2 3 4 2 2 7" xfId="16652" xr:uid="{DF6B3B55-0770-49DD-8DB2-F1AF0EC7306E}"/>
    <cellStyle name="常规 2 2 3 4 2 3" xfId="16653" xr:uid="{F8C0ADB0-23C2-4E29-A817-DF7EEF838267}"/>
    <cellStyle name="常规 2 2 3 4 2 3 2" xfId="16654" xr:uid="{0A9C0937-1A21-4BE6-B9D8-B7EBCAD3F7C0}"/>
    <cellStyle name="常规 2 2 3 4 2 3 3" xfId="16655" xr:uid="{479CA471-734B-4D88-8A3D-0DB970205EA0}"/>
    <cellStyle name="常规 2 2 3 4 2 4" xfId="16656" xr:uid="{0BA11626-2650-45F0-87F6-E0E38BB560C6}"/>
    <cellStyle name="常规 2 2 3 4 2 4 2" xfId="16657" xr:uid="{0B3B72C8-91F0-4481-8734-CC92022F52FB}"/>
    <cellStyle name="常规 2 2 3 4 2 5" xfId="16658" xr:uid="{DD7E9AB2-C2B6-4DB2-B992-EF75F903F050}"/>
    <cellStyle name="常规 2 2 3 4 2 5 2" xfId="16659" xr:uid="{8285AD60-B200-47D7-9CB0-E9E1A148226E}"/>
    <cellStyle name="常规 2 2 3 4 2 5 3" xfId="34010" xr:uid="{8E1C4003-80CD-4F0B-BBE6-2701B8486E41}"/>
    <cellStyle name="常规 2 2 3 4 2 6" xfId="16660" xr:uid="{DA34C744-047C-4775-8384-B2C79F75C707}"/>
    <cellStyle name="常规 2 2 3 4 2 7" xfId="16661" xr:uid="{2626CA5E-41C2-42F8-96F7-8504419E02B2}"/>
    <cellStyle name="常规 2 2 3 4 2 8" xfId="16662" xr:uid="{054E6C89-4E0F-4F95-B1CA-A8153D8CFE03}"/>
    <cellStyle name="常规 2 2 3 4 3" xfId="16663" xr:uid="{00AC59AE-C62D-4735-A9D3-A791D9D9F13C}"/>
    <cellStyle name="常规 2 2 3 4 3 2" xfId="16664" xr:uid="{88FCEF5C-808C-4B31-9AC1-618573473C1A}"/>
    <cellStyle name="常规 2 2 3 4 3 2 2" xfId="16665" xr:uid="{FD1B7C8F-3E18-402A-9A25-49858DDE0578}"/>
    <cellStyle name="常规 2 2 3 4 3 2 3" xfId="16666" xr:uid="{A7F95754-0130-4D9F-BF83-5D81C50E6E94}"/>
    <cellStyle name="常规 2 2 3 4 3 2 4" xfId="16667" xr:uid="{548B1474-386E-4614-90C0-967CB9A49172}"/>
    <cellStyle name="常规 2 2 3 4 3 2 5" xfId="16668" xr:uid="{FCB30A9C-97A6-4F47-862C-31E372D0ACA3}"/>
    <cellStyle name="常规 2 2 3 4 3 2 6" xfId="16669" xr:uid="{E25E115F-4CEB-4AE7-99EB-FADB0A8A59F6}"/>
    <cellStyle name="常规 2 2 3 4 3 2 7" xfId="16670" xr:uid="{E3DC2967-4BEA-43FA-8D86-8548F164F3CE}"/>
    <cellStyle name="常规 2 2 3 4 3 2 8" xfId="16671" xr:uid="{BEC56E97-90C6-4C20-87F8-4533E44A38BC}"/>
    <cellStyle name="常规 2 2 3 4 3 3" xfId="16672" xr:uid="{AD6520EE-DDC6-4FC6-A693-C5F065A42A9F}"/>
    <cellStyle name="常规 2 2 3 4 3 3 2" xfId="16673" xr:uid="{B700C0C6-EB61-46B3-9F60-2FA98CD92D30}"/>
    <cellStyle name="常规 2 2 3 4 3 4" xfId="16674" xr:uid="{5C0EB57E-16B7-4DC0-87CD-0FF618951CA0}"/>
    <cellStyle name="常规 2 2 3 4 3 4 2" xfId="16675" xr:uid="{6634FD89-698D-495B-A22D-4AA44C9BAD31}"/>
    <cellStyle name="常规 2 2 3 4 3 4 3" xfId="34011" xr:uid="{7A616C64-78A8-458D-ADB7-4D06963E56E1}"/>
    <cellStyle name="常规 2 2 3 4 3 5" xfId="16676" xr:uid="{87A9DFAB-BC41-4A90-94E5-F724E0D71E85}"/>
    <cellStyle name="常规 2 2 3 4 3 6" xfId="16677" xr:uid="{2888A92C-DD29-42B1-A9FA-3AEC6EDD2D9F}"/>
    <cellStyle name="常规 2 2 3 4 3 7" xfId="16678" xr:uid="{2A24C603-F207-4E15-9BA9-247D0D318538}"/>
    <cellStyle name="常规 2 2 3 4 3 8" xfId="16679" xr:uid="{3B9EA6D4-5EB5-4F0B-9A2F-B3A701FD0C9D}"/>
    <cellStyle name="常规 2 2 3 4 4" xfId="16680" xr:uid="{4323079A-B831-442F-9298-A280C06DAF3F}"/>
    <cellStyle name="常规 2 2 3 4 4 2" xfId="16681" xr:uid="{C70AC44E-B1EE-4A48-9BC8-3AB22BBD79D9}"/>
    <cellStyle name="常规 2 2 3 4 5" xfId="16682" xr:uid="{C57D5BDC-E13E-4D7E-AF7C-66383BCC3DCF}"/>
    <cellStyle name="常规 2 2 3 4 6" xfId="16683" xr:uid="{6C4081F4-9E34-41C8-ADA6-2B0EB2E0CBE5}"/>
    <cellStyle name="常规 2 2 3 4 6 2" xfId="34012" xr:uid="{F648672B-0E81-4279-864F-703BA6B326E8}"/>
    <cellStyle name="常规 2 2 3 4 7" xfId="16684" xr:uid="{4D2F7937-05F1-420F-82C0-F553BEB925E9}"/>
    <cellStyle name="常规 2 2 3 5" xfId="16685" xr:uid="{74B9C063-8ED4-4A58-8DEA-F2511C94B7B9}"/>
    <cellStyle name="常规 2 2 3 5 2" xfId="16686" xr:uid="{C56F0DAB-EF42-4E4B-9694-575F77EE094D}"/>
    <cellStyle name="常规 2 2 3 5 2 2" xfId="16687" xr:uid="{416FFF2E-D7AC-4E55-9F65-05C6A90846C3}"/>
    <cellStyle name="常规 2 2 3 5 2 2 2" xfId="16688" xr:uid="{695AE814-9480-4379-BB69-69E5CE35E620}"/>
    <cellStyle name="常规 2 2 3 5 2 3" xfId="16689" xr:uid="{1F0BFFAB-A1FB-4EA1-9277-30EA353A393D}"/>
    <cellStyle name="常规 2 2 3 5 2 4" xfId="16690" xr:uid="{3BE6EB04-CCE1-477C-BF0B-805D50A4948E}"/>
    <cellStyle name="常规 2 2 3 5 2 4 2" xfId="34013" xr:uid="{01955BFC-5CE5-4DF9-ADB4-1B4D8A97ADC0}"/>
    <cellStyle name="常规 2 2 3 5 3" xfId="16691" xr:uid="{A1BB8762-1E6E-407C-95D1-668C6A64C665}"/>
    <cellStyle name="常规 2 2 3 5 3 2" xfId="16692" xr:uid="{B9257D7A-21D9-4D9B-961A-1BD3D89C72FE}"/>
    <cellStyle name="常规 2 2 3 5 3 2 2" xfId="16693" xr:uid="{61371FFB-4EAA-4F6F-8719-E6FFE777D8CB}"/>
    <cellStyle name="常规 2 2 3 5 3 3" xfId="16694" xr:uid="{A05A524B-6A2D-49C4-85AD-199AC33BE268}"/>
    <cellStyle name="常规 2 2 3 5 3 4" xfId="16695" xr:uid="{23F137BE-263A-4A13-B475-92317480D048}"/>
    <cellStyle name="常规 2 2 3 5 3 4 2" xfId="34014" xr:uid="{3C4AB613-0F2B-4949-AC81-79DCC84CAE85}"/>
    <cellStyle name="常规 2 2 3 5 4" xfId="16696" xr:uid="{7B3CBC92-BBC0-40F9-860D-9F6D144B7CEE}"/>
    <cellStyle name="常规 2 2 3 5 4 2" xfId="16697" xr:uid="{4F85E840-1164-45AD-8173-B49926011775}"/>
    <cellStyle name="常规 2 2 3 5 5" xfId="16698" xr:uid="{98F2C7AF-199D-4D7F-AE10-211091362D92}"/>
    <cellStyle name="常规 2 2 3 5 6" xfId="16699" xr:uid="{DE30C363-E8C5-4CE7-8B30-3ADCB445CF00}"/>
    <cellStyle name="常规 2 2 3 5 6 2" xfId="34015" xr:uid="{DFEEAA1D-6358-4042-90C2-474C91A6E777}"/>
    <cellStyle name="常规 2 2 3 5 7" xfId="16700" xr:uid="{3500A01F-021A-4344-86E3-20072D8281B0}"/>
    <cellStyle name="常规 2 2 3 6" xfId="16701" xr:uid="{01F881AA-4882-421A-ACE5-8A3BD6CD148F}"/>
    <cellStyle name="常规 2 2 3 6 2" xfId="16702" xr:uid="{AB374585-32CB-48AD-9170-08D4B3EB45EE}"/>
    <cellStyle name="常规 2 2 3 6 2 2" xfId="16703" xr:uid="{A1DBC9FA-14D1-4CC5-8635-8CB3469CAACF}"/>
    <cellStyle name="常规 2 2 3 6 3" xfId="16704" xr:uid="{17C4445F-9FFA-4F3F-B2BD-F9D47F945F7B}"/>
    <cellStyle name="常规 2 2 3 6 4" xfId="16705" xr:uid="{18D25531-4A68-42CC-AE92-A93A39CA068A}"/>
    <cellStyle name="常规 2 2 3 6 4 2" xfId="34016" xr:uid="{70D60CD0-B3C0-4713-A152-26C900AB56E7}"/>
    <cellStyle name="常规 2 2 3 6 5" xfId="16706" xr:uid="{A2E93779-F3EE-4694-8DE4-7EEA0A337717}"/>
    <cellStyle name="常规 2 2 3 7" xfId="16707" xr:uid="{1FDD3F5D-B1EE-4D85-A92C-889000BF6927}"/>
    <cellStyle name="常规 2 2 3 7 2" xfId="16708" xr:uid="{8278B16B-4CF5-41DD-8469-2F24EA7DECBC}"/>
    <cellStyle name="常规 2 2 3 7 2 2" xfId="16709" xr:uid="{72113E0D-3C6D-4A77-AAE0-CFFCB1ED1CB9}"/>
    <cellStyle name="常规 2 2 3 7 2 3" xfId="16710" xr:uid="{90582B14-28A5-4053-8D5F-EA4E5C8414F2}"/>
    <cellStyle name="常规 2 2 3 7 3" xfId="16711" xr:uid="{9D40D396-E117-4119-A125-2C59370DD35B}"/>
    <cellStyle name="常规 2 2 3 7 3 2" xfId="16712" xr:uid="{EECF2DD8-C297-4A38-8171-D7F042DBBCAE}"/>
    <cellStyle name="常规 2 2 3 7 4" xfId="16713" xr:uid="{622EC23E-9BD2-4A4B-B224-EA755C74B5FB}"/>
    <cellStyle name="常规 2 2 3 7 4 2" xfId="16714" xr:uid="{6B61DFE0-0E32-490F-9520-A427C15E1665}"/>
    <cellStyle name="常规 2 2 3 7 4 3" xfId="34017" xr:uid="{C844EFC1-CF72-4D3C-9254-2B9300161816}"/>
    <cellStyle name="常规 2 2 3 7 5" xfId="16715" xr:uid="{654C59B5-3958-46B1-872A-017B78B85DA3}"/>
    <cellStyle name="常规 2 2 3 7 6" xfId="16716" xr:uid="{A469DFA6-9283-4A38-AC9A-A420CFDB3E71}"/>
    <cellStyle name="常规 2 2 3 7 7" xfId="16717" xr:uid="{1C92D758-DD39-4E12-8D50-5EB03E9A95E7}"/>
    <cellStyle name="常规 2 2 3 8" xfId="16718" xr:uid="{5D213C50-F463-43E8-968B-E784A3021A38}"/>
    <cellStyle name="常规 2 2 3 8 2" xfId="16719" xr:uid="{BCE9AB7F-41AF-4B2C-84F1-B6D8B51B9D92}"/>
    <cellStyle name="常规 2 2 3 8 3" xfId="16720" xr:uid="{8B9A60A3-A6CC-41B8-AE4E-7BA0E4071AE9}"/>
    <cellStyle name="常规 2 2 3 9" xfId="16721" xr:uid="{8382C79A-5668-4957-AD6B-517608B0CF4A}"/>
    <cellStyle name="常规 2 2 3 9 2" xfId="16722" xr:uid="{E0E6D32C-E760-4075-83E0-9D26AC4D1555}"/>
    <cellStyle name="常规 2 2 4" xfId="16723" xr:uid="{BFF27B43-5C61-4D59-95CE-F74212898FF3}"/>
    <cellStyle name="常规 2 2 4 2" xfId="16724" xr:uid="{371B0DF5-A0A8-45DC-ABF3-8ABEF574147D}"/>
    <cellStyle name="常规 2 2 4 2 10" xfId="16725" xr:uid="{08D85517-CD3D-4DF1-AC03-31905247B624}"/>
    <cellStyle name="常规 2 2 4 2 2" xfId="16726" xr:uid="{702E32D6-97DA-4DE8-9549-182CD53661EF}"/>
    <cellStyle name="常规 2 2 4 2 2 2" xfId="16727" xr:uid="{5DE1E8F5-4A93-4F4E-8CDC-CB4D5B72DEE5}"/>
    <cellStyle name="常规 2 2 4 2 2 2 2" xfId="16728" xr:uid="{09CC7D33-670A-418D-988C-3706B1637206}"/>
    <cellStyle name="常规 2 2 4 2 2 2 2 2" xfId="16729" xr:uid="{B3E1D7F8-AC0A-40D7-A8C3-A78B44406A6A}"/>
    <cellStyle name="常规 2 2 4 2 2 2 2 2 2" xfId="16730" xr:uid="{D9808784-A560-4FB0-9A2A-B93754F68005}"/>
    <cellStyle name="常规 2 2 4 2 2 2 2 3" xfId="16731" xr:uid="{ADAC6BAE-EAF0-4644-9A0D-E01860F2A793}"/>
    <cellStyle name="常规 2 2 4 2 2 2 2 4" xfId="16732" xr:uid="{306C1DC0-34E0-44B0-A7BD-121D35504898}"/>
    <cellStyle name="常规 2 2 4 2 2 2 2 4 2" xfId="34018" xr:uid="{F637C3DD-7E2B-40B4-B7E7-50EA5A8610B5}"/>
    <cellStyle name="常规 2 2 4 2 2 2 3" xfId="16733" xr:uid="{E04E178D-3A9C-4A2C-A757-B3F215F0A6CF}"/>
    <cellStyle name="常规 2 2 4 2 2 2 3 2" xfId="16734" xr:uid="{33A382AC-18B0-4118-8066-CFAEC95809EF}"/>
    <cellStyle name="常规 2 2 4 2 2 2 4" xfId="16735" xr:uid="{7B162B18-1A93-4112-97FA-CDA2FF40B19B}"/>
    <cellStyle name="常规 2 2 4 2 2 2 5" xfId="16736" xr:uid="{3ABD677B-DA98-4AE4-97E4-A5242B49F429}"/>
    <cellStyle name="常规 2 2 4 2 2 2 5 2" xfId="34019" xr:uid="{30E88CF5-2B6A-498F-BEAE-5E8A9808E4E4}"/>
    <cellStyle name="常规 2 2 4 2 2 3" xfId="16737" xr:uid="{8FA49A76-EFB7-4598-A667-94D82A6BC071}"/>
    <cellStyle name="常规 2 2 4 2 2 3 2" xfId="16738" xr:uid="{9B4E22C2-B7FE-45C0-9573-FC8BB4746334}"/>
    <cellStyle name="常规 2 2 4 2 2 3 2 2" xfId="16739" xr:uid="{90AF2A22-3495-4F45-84E5-A1057257F64C}"/>
    <cellStyle name="常规 2 2 4 2 2 3 3" xfId="16740" xr:uid="{7137DA58-5406-41D9-8E6F-B7F49110F1F4}"/>
    <cellStyle name="常规 2 2 4 2 2 3 4" xfId="16741" xr:uid="{96942339-F5B3-43B3-B25E-90FC5BF358C1}"/>
    <cellStyle name="常规 2 2 4 2 2 3 4 2" xfId="34020" xr:uid="{218B8279-A368-4317-B39B-AEC090016E62}"/>
    <cellStyle name="常规 2 2 4 2 2 4" xfId="16742" xr:uid="{6B3EE8D3-2C28-4994-927A-0F9B5F3268A5}"/>
    <cellStyle name="常规 2 2 4 2 2 4 2" xfId="16743" xr:uid="{8C4028A4-329B-477E-8B78-5B67D50A62C3}"/>
    <cellStyle name="常规 2 2 4 2 2 5" xfId="16744" xr:uid="{14317AF3-0DEA-4513-8884-019EEC292CA0}"/>
    <cellStyle name="常规 2 2 4 2 2 6" xfId="16745" xr:uid="{57C63FAF-7F3F-4FE5-88D2-D75630E37696}"/>
    <cellStyle name="常规 2 2 4 2 2 6 2" xfId="34021" xr:uid="{2B66E1D7-FEE2-4090-B2D4-0A1E1AEF454E}"/>
    <cellStyle name="常规 2 2 4 2 3" xfId="16746" xr:uid="{0B0C412D-32FE-42BE-85C9-C1509C23E94E}"/>
    <cellStyle name="常规 2 2 4 2 3 2" xfId="16747" xr:uid="{0BB87E6B-0515-4FCD-82FB-A1B8E7EDBC60}"/>
    <cellStyle name="常规 2 2 4 2 3 2 2" xfId="16748" xr:uid="{12AF6987-1A88-405F-90C6-7727E701D2A8}"/>
    <cellStyle name="常规 2 2 4 2 3 2 2 2" xfId="16749" xr:uid="{24E47273-3039-49BF-8C93-19CC397B6787}"/>
    <cellStyle name="常规 2 2 4 2 3 2 2 2 2" xfId="16750" xr:uid="{B25CDCCC-DFD5-4F27-94AC-9DBCF7ECB94D}"/>
    <cellStyle name="常规 2 2 4 2 3 2 2 3" xfId="16751" xr:uid="{DCC04CB8-009F-4250-9570-08DB6F0BC35B}"/>
    <cellStyle name="常规 2 2 4 2 3 2 2 4" xfId="16752" xr:uid="{AFCAF18E-2FF0-4418-AECC-277805F2001E}"/>
    <cellStyle name="常规 2 2 4 2 3 2 2 4 2" xfId="34022" xr:uid="{DAE57F16-C075-4191-83F2-A6DD8A8D716F}"/>
    <cellStyle name="常规 2 2 4 2 3 2 3" xfId="16753" xr:uid="{7EC5FA95-88AF-4535-ABA5-13270F472748}"/>
    <cellStyle name="常规 2 2 4 2 3 2 3 2" xfId="16754" xr:uid="{925E4A8E-53C8-4715-89C7-6D9BE7641300}"/>
    <cellStyle name="常规 2 2 4 2 3 2 4" xfId="16755" xr:uid="{6F7D473D-D95B-4002-959C-8EC887C9CEA6}"/>
    <cellStyle name="常规 2 2 4 2 3 2 5" xfId="16756" xr:uid="{4F737FFC-69B8-4504-9358-5CEA86A268AE}"/>
    <cellStyle name="常规 2 2 4 2 3 2 5 2" xfId="34023" xr:uid="{13D17E54-B328-4E49-BD75-D79F150321BF}"/>
    <cellStyle name="常规 2 2 4 2 3 3" xfId="16757" xr:uid="{17EAC8ED-DE53-4D6B-8E21-50099FCCB960}"/>
    <cellStyle name="常规 2 2 4 2 3 3 2" xfId="16758" xr:uid="{6365E907-ED00-469F-8D46-D7F0725DCEE6}"/>
    <cellStyle name="常规 2 2 4 2 3 3 2 2" xfId="16759" xr:uid="{644CE718-9571-492C-ACD0-2BAEA0189865}"/>
    <cellStyle name="常规 2 2 4 2 3 3 3" xfId="16760" xr:uid="{6D335E1D-1D34-445F-B4C9-C1B5250EEBA8}"/>
    <cellStyle name="常规 2 2 4 2 3 3 4" xfId="16761" xr:uid="{AB0A70E1-E0D3-421D-ACD9-295DB1077A07}"/>
    <cellStyle name="常规 2 2 4 2 3 3 4 2" xfId="34024" xr:uid="{B683ED54-2D2D-45CA-8DC2-8F8A3950E4AE}"/>
    <cellStyle name="常规 2 2 4 2 3 4" xfId="16762" xr:uid="{9BB4F2CC-73AD-4706-BE8D-5771B77085EE}"/>
    <cellStyle name="常规 2 2 4 2 3 4 2" xfId="16763" xr:uid="{89C885AC-CEAD-4E5C-BE4A-DFCB55F7DBF5}"/>
    <cellStyle name="常规 2 2 4 2 3 5" xfId="16764" xr:uid="{85DF102F-222B-4B21-8818-DA2353EEA6CF}"/>
    <cellStyle name="常规 2 2 4 2 3 6" xfId="16765" xr:uid="{AF7CC339-ADBC-49BF-8C9A-32B8599E2251}"/>
    <cellStyle name="常规 2 2 4 2 3 6 2" xfId="34025" xr:uid="{D17658CD-3C71-4E16-9430-E03B14996A50}"/>
    <cellStyle name="常规 2 2 4 2 4" xfId="16766" xr:uid="{DDF639C0-6438-41F5-BE6B-CBBBB3493A65}"/>
    <cellStyle name="常规 2 2 4 2 4 2" xfId="16767" xr:uid="{828910F5-75FA-4774-A169-1A4777AC5709}"/>
    <cellStyle name="常规 2 2 4 2 4 2 2" xfId="16768" xr:uid="{DD430E69-2270-4CCC-806A-0C8FCDB0DAC7}"/>
    <cellStyle name="常规 2 2 4 2 4 2 2 2" xfId="16769" xr:uid="{E7D3156F-8721-42BF-B861-4F5A2A9767F1}"/>
    <cellStyle name="常规 2 2 4 2 4 2 3" xfId="16770" xr:uid="{C86B4018-EAC5-4E72-BD0D-F7C734980AB1}"/>
    <cellStyle name="常规 2 2 4 2 4 2 4" xfId="16771" xr:uid="{B9680D8C-1695-40AD-9355-2BC79BC9AE4E}"/>
    <cellStyle name="常规 2 2 4 2 4 2 4 2" xfId="34026" xr:uid="{33C06F03-FC1B-4EEB-AF8D-ABB7E1F7940C}"/>
    <cellStyle name="常规 2 2 4 2 4 3" xfId="16772" xr:uid="{C7EE902A-8F86-4FFE-99D1-1C0E02C7FF75}"/>
    <cellStyle name="常规 2 2 4 2 4 3 2" xfId="16773" xr:uid="{6724C311-F41D-4490-89D4-09A008DE53CC}"/>
    <cellStyle name="常规 2 2 4 2 4 3 2 2" xfId="16774" xr:uid="{0FADDAA4-7461-4DF3-8F23-AE817BFB8C77}"/>
    <cellStyle name="常规 2 2 4 2 4 3 3" xfId="16775" xr:uid="{6B681CAB-F805-4CE2-AF3A-87CAF1A693C0}"/>
    <cellStyle name="常规 2 2 4 2 4 3 4" xfId="16776" xr:uid="{BD95FCD0-6C4C-4CBD-95EE-CD066D8C3855}"/>
    <cellStyle name="常规 2 2 4 2 4 3 4 2" xfId="34027" xr:uid="{D3A089C6-BEE8-49F7-B957-93BD8693FE6D}"/>
    <cellStyle name="常规 2 2 4 2 4 4" xfId="16777" xr:uid="{A34CA8B6-DBC2-4D0E-A24C-C6833BCBD84D}"/>
    <cellStyle name="常规 2 2 4 2 4 4 2" xfId="16778" xr:uid="{AF51D828-143C-4048-93C5-A4535849762F}"/>
    <cellStyle name="常规 2 2 4 2 4 5" xfId="16779" xr:uid="{FD43B794-81D2-4823-97E1-4109CF4C024A}"/>
    <cellStyle name="常规 2 2 4 2 4 6" xfId="16780" xr:uid="{BF6FC3E3-2F11-4C54-9A0A-38BF33E510B3}"/>
    <cellStyle name="常规 2 2 4 2 4 6 2" xfId="34028" xr:uid="{DF0C0BF2-0302-4556-8C7F-82F034755B6B}"/>
    <cellStyle name="常规 2 2 4 2 5" xfId="16781" xr:uid="{E9444B28-F6EF-4A5F-9EF3-6CE1F1DE7FE6}"/>
    <cellStyle name="常规 2 2 4 2 5 2" xfId="16782" xr:uid="{B31623C2-C194-40BA-A510-D9A17730DF17}"/>
    <cellStyle name="常规 2 2 4 2 5 2 2" xfId="16783" xr:uid="{3C095650-6DCB-45DD-88B5-A6DF8DF7EF35}"/>
    <cellStyle name="常规 2 2 4 2 5 3" xfId="16784" xr:uid="{E12F0563-1E74-4878-8B30-9F17C750EB34}"/>
    <cellStyle name="常规 2 2 4 2 5 4" xfId="16785" xr:uid="{8201D925-25E9-4606-BD7E-A273B89504A1}"/>
    <cellStyle name="常规 2 2 4 2 5 4 2" xfId="34029" xr:uid="{B894A942-2A86-401F-9E73-DBD8D3A8E486}"/>
    <cellStyle name="常规 2 2 4 2 6" xfId="16786" xr:uid="{E0BBB04F-FA40-4A4B-9636-0A5CBDBDC3FB}"/>
    <cellStyle name="常规 2 2 4 2 6 2" xfId="16787" xr:uid="{7DBE1B8B-81FD-42B2-8260-203C37BA6339}"/>
    <cellStyle name="常规 2 2 4 2 6 2 2" xfId="16788" xr:uid="{DA1C3A12-F6AC-46C4-95F3-867EDCCBA089}"/>
    <cellStyle name="常规 2 2 4 2 6 3" xfId="16789" xr:uid="{6A6812A5-1DF8-4414-9109-B1395F40396A}"/>
    <cellStyle name="常规 2 2 4 2 6 4" xfId="16790" xr:uid="{B5F849B5-9056-4CDF-A4B5-541EFB5AAE9B}"/>
    <cellStyle name="常规 2 2 4 2 6 4 2" xfId="34030" xr:uid="{19E19849-4ABF-4CAB-8FFA-3AA0AF175376}"/>
    <cellStyle name="常规 2 2 4 2 7" xfId="16791" xr:uid="{9F7B1395-D9E1-491A-A025-197FD23C4085}"/>
    <cellStyle name="常规 2 2 4 2 7 2" xfId="16792" xr:uid="{F866825C-F2E4-4844-BEEF-7B62A6BE5E6B}"/>
    <cellStyle name="常规 2 2 4 2 8" xfId="16793" xr:uid="{F7971DDE-0FF5-4736-B146-D30CE1104450}"/>
    <cellStyle name="常规 2 2 4 2 9" xfId="16794" xr:uid="{8B93EEE6-0400-4CC4-947C-FD4F8E4B2636}"/>
    <cellStyle name="常规 2 2 4 2 9 2" xfId="34031" xr:uid="{0217CFAC-8130-494D-B22F-A984CEFF461A}"/>
    <cellStyle name="常规 2 2 4 3" xfId="16795" xr:uid="{5DB6FB76-B293-44AC-980F-E207D2A90240}"/>
    <cellStyle name="常规 2 2 4 3 2" xfId="16796" xr:uid="{51D37513-789B-4EA7-A4DE-4884867FE526}"/>
    <cellStyle name="常规 2 2 4 3 2 2" xfId="16797" xr:uid="{2BF4D9C3-BABE-45CF-BBE0-41B42E42A23A}"/>
    <cellStyle name="常规 2 2 4 3 2 2 2" xfId="16798" xr:uid="{C97738E8-5DC0-435C-9194-E4314BA36ACF}"/>
    <cellStyle name="常规 2 2 4 3 2 3" xfId="16799" xr:uid="{1AB5082D-77F1-44FB-B488-27271E6E6280}"/>
    <cellStyle name="常规 2 2 4 3 2 4" xfId="16800" xr:uid="{C686B8E4-8500-47FC-84B9-A916B1F0AD9C}"/>
    <cellStyle name="常规 2 2 4 3 2 4 2" xfId="34032" xr:uid="{6F3657B4-753F-4F6B-BD00-158CE1D0123B}"/>
    <cellStyle name="常规 2 2 4 3 3" xfId="16801" xr:uid="{DE3FFA18-3CA4-47C7-B89F-00390E31C319}"/>
    <cellStyle name="常规 2 2 4 3 3 2" xfId="16802" xr:uid="{5F7F9B75-2F1B-46CB-B141-1D4DAC028D2B}"/>
    <cellStyle name="常规 2 2 4 3 3 2 2" xfId="16803" xr:uid="{7D33ED16-A238-4785-8F9B-091AE78D38A3}"/>
    <cellStyle name="常规 2 2 4 3 3 3" xfId="16804" xr:uid="{5435E67D-3285-45AC-9F47-C6C3B5D151B2}"/>
    <cellStyle name="常规 2 2 4 3 3 4" xfId="16805" xr:uid="{59129439-357E-416E-B870-67DDE3749D50}"/>
    <cellStyle name="常规 2 2 4 3 3 4 2" xfId="34033" xr:uid="{74AFEAE0-4BEF-40E6-92B4-47A57C14A534}"/>
    <cellStyle name="常规 2 2 4 4" xfId="16806" xr:uid="{4E36B25D-DDB8-40BE-B2C0-A4CF7C789B9E}"/>
    <cellStyle name="常规 2 2 4 4 2" xfId="16807" xr:uid="{10F010B6-80D4-4A66-A456-F20440F348A3}"/>
    <cellStyle name="常规 2 2 4 4 2 2" xfId="16808" xr:uid="{0CFBAB19-78C8-4E51-958F-285BE5175CC9}"/>
    <cellStyle name="常规 2 2 4 4 2 2 2" xfId="16809" xr:uid="{74526678-7BA6-408B-AE60-E2BD35E23726}"/>
    <cellStyle name="常规 2 2 4 4 2 3" xfId="16810" xr:uid="{7C030D0B-F425-4F23-938B-22160611E73A}"/>
    <cellStyle name="常规 2 2 4 4 2 4" xfId="16811" xr:uid="{281C3E9F-2ECE-4A17-BA76-4AFD4F345737}"/>
    <cellStyle name="常规 2 2 4 4 2 4 2" xfId="34034" xr:uid="{9BB87DD8-2161-432F-A6FF-83AE49B43643}"/>
    <cellStyle name="常规 2 2 4 4 3" xfId="16812" xr:uid="{36D4F120-9F3D-458F-8DA7-B0D8ACAE9B81}"/>
    <cellStyle name="常规 2 2 4 4 3 2" xfId="16813" xr:uid="{D8FAE428-87D5-4845-A13F-79FAFD647736}"/>
    <cellStyle name="常规 2 2 4 4 3 2 2" xfId="16814" xr:uid="{14719ADE-FCF7-44BD-AF27-4DEAA20DE0EC}"/>
    <cellStyle name="常规 2 2 4 4 3 3" xfId="16815" xr:uid="{426A48DF-6DFF-4314-9CAE-AE40BE890138}"/>
    <cellStyle name="常规 2 2 4 4 3 4" xfId="16816" xr:uid="{CC2C053D-DBE6-4B36-9448-ED705CDB1C9D}"/>
    <cellStyle name="常规 2 2 4 4 3 4 2" xfId="34035" xr:uid="{2BB6A05D-7C08-49D3-B2B8-9CB15133EF96}"/>
    <cellStyle name="常规 2 2 4 4 4" xfId="16817" xr:uid="{E6B60746-E0C8-4407-B7CB-3B73F91286F7}"/>
    <cellStyle name="常规 2 2 4 4 4 2" xfId="16818" xr:uid="{0278BF5E-50CE-4350-855E-9CE697F0D672}"/>
    <cellStyle name="常规 2 2 4 4 5" xfId="16819" xr:uid="{419E2626-06D1-4553-A50F-96FACF235BB4}"/>
    <cellStyle name="常规 2 2 4 4 6" xfId="16820" xr:uid="{B98A3A82-BE49-45CB-9646-199CD553B2C1}"/>
    <cellStyle name="常规 2 2 4 4 6 2" xfId="34036" xr:uid="{42595301-9918-4230-94EA-22FD404B68A5}"/>
    <cellStyle name="常规 2 2 4 5" xfId="16821" xr:uid="{FBECD1F1-76BE-495D-B1F7-472B0A6F2D24}"/>
    <cellStyle name="常规 2 2 4 5 2" xfId="16822" xr:uid="{7A65EAC7-FAF3-42EF-B842-E93DB23ACB95}"/>
    <cellStyle name="常规 2 2 4 6" xfId="16823" xr:uid="{F246E46E-3214-4BD1-96F5-F32FAC99C451}"/>
    <cellStyle name="常规 2 2 4 7" xfId="16824" xr:uid="{4972258D-3B63-4E86-B61A-E341689E6BD5}"/>
    <cellStyle name="常规 2 2 4 7 2" xfId="34037" xr:uid="{ADE93355-DF79-46A4-ADBC-238BC4F9328A}"/>
    <cellStyle name="常规 2 2 4 8" xfId="16825" xr:uid="{BEF4941A-5771-411D-81C4-1D93A70EBD96}"/>
    <cellStyle name="常规 2 2 5" xfId="16826" xr:uid="{1544DB9A-C896-494D-850C-2C224F72D683}"/>
    <cellStyle name="常规 2 2 5 10" xfId="16827" xr:uid="{05DE9149-7B97-4ED4-BB46-FD65E9FA52E0}"/>
    <cellStyle name="常规 2 2 5 2" xfId="16828" xr:uid="{B319C13C-E508-4D20-B41A-6539FC166E6E}"/>
    <cellStyle name="常规 2 2 5 2 2" xfId="16829" xr:uid="{9430F9B0-A619-444F-88D4-27D89FBC1C51}"/>
    <cellStyle name="常规 2 2 5 2 2 2" xfId="16830" xr:uid="{88C8589B-B150-438A-B6B3-6D612460A9DF}"/>
    <cellStyle name="常规 2 2 5 2 2 2 2" xfId="16831" xr:uid="{B5A3B259-A07F-4FDD-A913-656D3FB28E5F}"/>
    <cellStyle name="常规 2 2 5 2 2 2 2 2" xfId="16832" xr:uid="{982C4E11-6D9E-46EE-AAC7-48985308DC72}"/>
    <cellStyle name="常规 2 2 5 2 2 2 3" xfId="16833" xr:uid="{1515773E-E91C-4E0D-8B92-2CF8BF4DC056}"/>
    <cellStyle name="常规 2 2 5 2 2 2 4" xfId="16834" xr:uid="{845F30E8-9A7D-491A-81D6-38D6D2E3B157}"/>
    <cellStyle name="常规 2 2 5 2 2 2 4 2" xfId="34038" xr:uid="{949EF8DB-26CA-451A-88BE-72101C0899B2}"/>
    <cellStyle name="常规 2 2 5 2 2 3" xfId="16835" xr:uid="{428B36A1-371E-46E6-A85D-ED0FC7EE5CC7}"/>
    <cellStyle name="常规 2 2 5 2 2 3 2" xfId="16836" xr:uid="{B158ECAF-325B-4EF2-84A5-0EB78692D08D}"/>
    <cellStyle name="常规 2 2 5 2 2 3 2 2" xfId="16837" xr:uid="{66A65E16-4DF8-4269-A3CB-1D635DCD5E0E}"/>
    <cellStyle name="常规 2 2 5 2 2 3 3" xfId="16838" xr:uid="{AAFD0A2F-2A83-44D4-A145-D9BDC5E77C99}"/>
    <cellStyle name="常规 2 2 5 2 2 3 4" xfId="16839" xr:uid="{A9F9A6CF-9E0A-43F8-8E5C-E30CB005B3E9}"/>
    <cellStyle name="常规 2 2 5 2 2 3 4 2" xfId="34039" xr:uid="{793E3442-F5EE-4BB3-B995-774C179F679B}"/>
    <cellStyle name="常规 2 2 5 2 2 4" xfId="16840" xr:uid="{CA114BCE-378C-45A6-BABF-81CD3F61EEE3}"/>
    <cellStyle name="常规 2 2 5 2 2 4 2" xfId="16841" xr:uid="{603615FB-D98D-4420-B275-629DEA0BF9CB}"/>
    <cellStyle name="常规 2 2 5 2 2 5" xfId="16842" xr:uid="{CD77C2D6-B908-4646-B751-B87A25AE4A11}"/>
    <cellStyle name="常规 2 2 5 2 2 6" xfId="16843" xr:uid="{052D3D86-02BB-4869-AF1A-956259E4C2EF}"/>
    <cellStyle name="常规 2 2 5 2 2 6 2" xfId="34040" xr:uid="{30E214EC-C614-4F4C-A506-993EAF6DFF57}"/>
    <cellStyle name="常规 2 2 5 2 3" xfId="16844" xr:uid="{1147983B-C381-49FB-B71D-84BCD39CB8BA}"/>
    <cellStyle name="常规 2 2 5 2 3 2" xfId="16845" xr:uid="{1F531B4F-2736-4203-890D-9575C7687103}"/>
    <cellStyle name="常规 2 2 5 2 3 2 2" xfId="16846" xr:uid="{081BC2CE-5BD9-4320-B361-FBCEF2077591}"/>
    <cellStyle name="常规 2 2 5 2 3 2 2 2" xfId="16847" xr:uid="{AA98DE75-B93F-4B4B-BC6E-A2A78A9C67D0}"/>
    <cellStyle name="常规 2 2 5 2 3 2 3" xfId="16848" xr:uid="{A08EB74D-CF87-4415-A049-42DB0CC55847}"/>
    <cellStyle name="常规 2 2 5 2 3 2 4" xfId="16849" xr:uid="{C8B7F7FA-E9C0-48A6-895D-B1909CD12193}"/>
    <cellStyle name="常规 2 2 5 2 3 2 4 2" xfId="34041" xr:uid="{4855496D-8E5D-4712-ADA0-E076763238CA}"/>
    <cellStyle name="常规 2 2 5 2 3 3" xfId="16850" xr:uid="{BE530FBA-715A-479E-81B3-0477723F2FA2}"/>
    <cellStyle name="常规 2 2 5 2 3 3 2" xfId="16851" xr:uid="{31FB4E16-58AB-44C3-A76C-AB7D53A5C109}"/>
    <cellStyle name="常规 2 2 5 2 3 4" xfId="16852" xr:uid="{931D7580-76BA-4BAB-8E18-CAB980E3B506}"/>
    <cellStyle name="常规 2 2 5 2 3 5" xfId="16853" xr:uid="{05587FD8-84D2-415F-B1FD-669FDD2A22E0}"/>
    <cellStyle name="常规 2 2 5 2 3 5 2" xfId="34042" xr:uid="{349791FE-3872-4F2E-80AE-AA37FAABCF4A}"/>
    <cellStyle name="常规 2 2 5 2 4" xfId="16854" xr:uid="{F53D22C5-07D4-4273-AEC0-E41702CFB173}"/>
    <cellStyle name="常规 2 2 5 2 4 2" xfId="16855" xr:uid="{BE2ABFE5-8937-4B52-A806-A7973D2A359A}"/>
    <cellStyle name="常规 2 2 5 2 4 2 2" xfId="16856" xr:uid="{60BFCDE7-594C-47C3-B082-CCB832EC508D}"/>
    <cellStyle name="常规 2 2 5 2 4 3" xfId="16857" xr:uid="{2CCEDCCA-F8D5-46A8-9A30-AC8D74502173}"/>
    <cellStyle name="常规 2 2 5 2 4 4" xfId="16858" xr:uid="{1B68F05C-4E0B-4122-B3CB-BE936DC7C3D9}"/>
    <cellStyle name="常规 2 2 5 2 4 4 2" xfId="34043" xr:uid="{19595198-CA12-4346-9A06-653AA432A732}"/>
    <cellStyle name="常规 2 2 5 2 5" xfId="16859" xr:uid="{4DF442BB-3C67-46EE-A7AA-EACAADBEFF2E}"/>
    <cellStyle name="常规 2 2 5 2 5 2" xfId="16860" xr:uid="{818D795B-195A-4E4C-B401-694E141CC3A5}"/>
    <cellStyle name="常规 2 2 5 2 5 2 2" xfId="16861" xr:uid="{29E9498F-26B8-42EC-BDFB-7D3F8758CCBD}"/>
    <cellStyle name="常规 2 2 5 2 5 3" xfId="16862" xr:uid="{2CD72769-5C80-45BD-92B3-E0E74E2A425D}"/>
    <cellStyle name="常规 2 2 5 2 5 4" xfId="16863" xr:uid="{DD651D00-EE68-4D53-8563-A5B52D15C083}"/>
    <cellStyle name="常规 2 2 5 2 5 4 2" xfId="34044" xr:uid="{BC2B31E5-628D-4953-80D7-6ABBF99FA5CF}"/>
    <cellStyle name="常规 2 2 5 2 6" xfId="16864" xr:uid="{AEB7227D-86CB-452A-80FF-92812DD791B9}"/>
    <cellStyle name="常规 2 2 5 2 6 2" xfId="16865" xr:uid="{4216EB65-8C2B-4EC6-B887-CDAA26896E19}"/>
    <cellStyle name="常规 2 2 5 2 7" xfId="16866" xr:uid="{7BDD9B70-0E48-4449-8587-CC3E95A46FF8}"/>
    <cellStyle name="常规 2 2 5 2 8" xfId="16867" xr:uid="{19249635-678E-4139-9851-A085A2F19271}"/>
    <cellStyle name="常规 2 2 5 2 8 2" xfId="34045" xr:uid="{A8355B4B-9613-4AAE-9941-B36E3DCFCBF8}"/>
    <cellStyle name="常规 2 2 5 3" xfId="16868" xr:uid="{40830175-48FC-43BC-AF93-8C149A0C91D9}"/>
    <cellStyle name="常规 2 2 5 3 2" xfId="16869" xr:uid="{C0F0C80A-BDD7-43A5-8CB8-E72565ACC9D9}"/>
    <cellStyle name="常规 2 2 5 3 2 2" xfId="16870" xr:uid="{7EAF9728-6041-47D7-B295-0718E4190BE2}"/>
    <cellStyle name="常规 2 2 5 3 2 2 2" xfId="16871" xr:uid="{4622BC25-0BFC-4FC0-9CFE-B80FB75FF2CB}"/>
    <cellStyle name="常规 2 2 5 3 2 2 2 2" xfId="16872" xr:uid="{465EADA0-F3D3-49BD-8080-761206A2C1DF}"/>
    <cellStyle name="常规 2 2 5 3 2 2 3" xfId="16873" xr:uid="{53DFE9A7-6BCB-4AB5-A55F-4A7685BBDCB1}"/>
    <cellStyle name="常规 2 2 5 3 2 2 4" xfId="16874" xr:uid="{B5FF1C99-C341-4FA1-BF1D-4795D21C753A}"/>
    <cellStyle name="常规 2 2 5 3 2 2 4 2" xfId="34046" xr:uid="{C63E694D-94B0-4081-8A1F-876E6BE25CAF}"/>
    <cellStyle name="常规 2 2 5 3 2 3" xfId="16875" xr:uid="{F13912BB-D901-4976-B8FD-E2E62F83CC22}"/>
    <cellStyle name="常规 2 2 5 3 2 3 2" xfId="16876" xr:uid="{EFC3A000-7020-4C04-B2D3-330EB223FA3C}"/>
    <cellStyle name="常规 2 2 5 3 2 4" xfId="16877" xr:uid="{7B81A47B-8C77-44CC-83B4-B8C3E0012811}"/>
    <cellStyle name="常规 2 2 5 3 2 5" xfId="16878" xr:uid="{4279C36C-190B-4BE4-836E-32F6502B54E6}"/>
    <cellStyle name="常规 2 2 5 3 2 5 2" xfId="34047" xr:uid="{1975E94F-C17B-431F-9756-EC1980BFBFEF}"/>
    <cellStyle name="常规 2 2 5 3 3" xfId="16879" xr:uid="{A929503C-18E0-4F3F-BA34-33196DDDD54B}"/>
    <cellStyle name="常规 2 2 5 3 3 2" xfId="16880" xr:uid="{F1C5EB24-B76B-4928-A525-D98E4D95A3F6}"/>
    <cellStyle name="常规 2 2 5 3 3 2 2" xfId="16881" xr:uid="{E39EBAA7-7B0E-485E-94B3-9B87C2C6E5AB}"/>
    <cellStyle name="常规 2 2 5 3 3 3" xfId="16882" xr:uid="{5F45DC4E-E0D3-4917-B032-FA9F19D04885}"/>
    <cellStyle name="常规 2 2 5 3 3 4" xfId="16883" xr:uid="{B8AC778B-D511-4083-8AAA-7F0106A90E37}"/>
    <cellStyle name="常规 2 2 5 3 3 4 2" xfId="34048" xr:uid="{D3C12B5C-498B-4398-9C89-B3BAF020A26B}"/>
    <cellStyle name="常规 2 2 5 3 4" xfId="16884" xr:uid="{C1B698D7-7CA0-458B-8076-C122CF1A40A0}"/>
    <cellStyle name="常规 2 2 5 3 4 2" xfId="16885" xr:uid="{5E420827-81D5-485F-B4E7-79EC0B814121}"/>
    <cellStyle name="常规 2 2 5 3 5" xfId="16886" xr:uid="{76403BC4-29CA-4849-9AC5-053A2CE09D94}"/>
    <cellStyle name="常规 2 2 5 3 6" xfId="16887" xr:uid="{37265638-5FCD-4517-8E12-D20A37BCCC15}"/>
    <cellStyle name="常规 2 2 5 3 6 2" xfId="34049" xr:uid="{FAD73157-3C76-42F0-94AD-4FB076748018}"/>
    <cellStyle name="常规 2 2 5 4" xfId="16888" xr:uid="{51C41F01-B17F-447A-8CC8-08692FC16ACA}"/>
    <cellStyle name="常规 2 2 5 4 2" xfId="16889" xr:uid="{E861C467-411C-4444-A332-D3F2BB936B88}"/>
    <cellStyle name="常规 2 2 5 4 2 2" xfId="16890" xr:uid="{3F1FE334-5532-4546-BE4B-1B696FFDE608}"/>
    <cellStyle name="常规 2 2 5 4 2 2 2" xfId="16891" xr:uid="{7D708CC6-FB54-4DC0-AD60-E0D5BF7F56DA}"/>
    <cellStyle name="常规 2 2 5 4 2 3" xfId="16892" xr:uid="{75822FC0-1082-42CF-9CAA-D284EA587B60}"/>
    <cellStyle name="常规 2 2 5 4 2 4" xfId="16893" xr:uid="{A5137C14-EF98-4441-BA25-32BEA3559297}"/>
    <cellStyle name="常规 2 2 5 4 2 4 2" xfId="34050" xr:uid="{30D960CA-365D-4E7C-AA5D-F42D8549CE79}"/>
    <cellStyle name="常规 2 2 5 4 3" xfId="16894" xr:uid="{56756F74-D9D6-4A37-A051-E9ABBA7C631D}"/>
    <cellStyle name="常规 2 2 5 4 3 2" xfId="16895" xr:uid="{BB07CA0D-C886-408B-A2DB-4E1F6FC20BB6}"/>
    <cellStyle name="常规 2 2 5 4 3 2 2" xfId="16896" xr:uid="{695B0B9A-61A2-4636-80D4-3F80B615A5E1}"/>
    <cellStyle name="常规 2 2 5 4 3 3" xfId="16897" xr:uid="{1EF00B14-2666-4013-84EC-BA47119F1980}"/>
    <cellStyle name="常规 2 2 5 4 3 4" xfId="16898" xr:uid="{BFB78A88-FE7F-4009-BF5D-4F4ED8E672E9}"/>
    <cellStyle name="常规 2 2 5 4 3 4 2" xfId="34051" xr:uid="{E83DAC9F-366F-4E28-B850-4D0E9F102391}"/>
    <cellStyle name="常规 2 2 5 4 4" xfId="16899" xr:uid="{71599047-0292-43C1-AC1B-449FA6303C52}"/>
    <cellStyle name="常规 2 2 5 4 4 2" xfId="16900" xr:uid="{27B9FABE-12C9-4196-BBFA-A897B2AD9E90}"/>
    <cellStyle name="常规 2 2 5 4 5" xfId="16901" xr:uid="{1C4E4CD5-2893-4573-99D5-BC14828F2EEC}"/>
    <cellStyle name="常规 2 2 5 4 6" xfId="16902" xr:uid="{93282624-542A-401F-9ABB-5194E28411D7}"/>
    <cellStyle name="常规 2 2 5 4 6 2" xfId="34052" xr:uid="{BFF5C5E2-98F0-44E4-812D-A2AFD7BFDB35}"/>
    <cellStyle name="常规 2 2 5 5" xfId="16903" xr:uid="{904A5585-4B37-4F50-B768-87D301674070}"/>
    <cellStyle name="常规 2 2 5 5 2" xfId="16904" xr:uid="{7411638E-5237-4B11-9E71-9CEC783DC180}"/>
    <cellStyle name="常规 2 2 5 5 2 2" xfId="16905" xr:uid="{454BDEEF-8CCB-44B4-B8C5-864740A97627}"/>
    <cellStyle name="常规 2 2 5 5 3" xfId="16906" xr:uid="{A856C34B-A091-4850-BD30-D0B4B13A69DF}"/>
    <cellStyle name="常规 2 2 5 5 4" xfId="16907" xr:uid="{F3FB3D0F-B910-486D-9B56-D646F294F8DF}"/>
    <cellStyle name="常规 2 2 5 5 4 2" xfId="34053" xr:uid="{1FFB950D-D4EE-4262-A405-B92285743A50}"/>
    <cellStyle name="常规 2 2 5 6" xfId="16908" xr:uid="{745F123D-1F8F-4955-B4AF-8F7FAE8964FD}"/>
    <cellStyle name="常规 2 2 5 6 2" xfId="16909" xr:uid="{86B01D8B-DF3E-4F5C-8B91-A49FC99A8B37}"/>
    <cellStyle name="常规 2 2 5 6 2 2" xfId="16910" xr:uid="{F1A2BBFE-7902-4544-8034-C9A95FB55350}"/>
    <cellStyle name="常规 2 2 5 6 3" xfId="16911" xr:uid="{B33B41C6-C6E7-4F02-BED2-FCB84436A2A8}"/>
    <cellStyle name="常规 2 2 5 6 4" xfId="16912" xr:uid="{B7386031-28B1-4FD4-831F-BF743334E5E6}"/>
    <cellStyle name="常规 2 2 5 6 4 2" xfId="34054" xr:uid="{307CC2D9-F872-4CCE-907A-554053A97B19}"/>
    <cellStyle name="常规 2 2 5 7" xfId="16913" xr:uid="{C0E10BAC-1496-41A0-B3AD-DAEA64AD997C}"/>
    <cellStyle name="常规 2 2 5 7 2" xfId="16914" xr:uid="{576E6B8C-6766-457C-88F8-F56CCCE573EA}"/>
    <cellStyle name="常规 2 2 5 8" xfId="16915" xr:uid="{DC093933-FF2D-44BB-80CE-1C256A619AA5}"/>
    <cellStyle name="常规 2 2 5 9" xfId="16916" xr:uid="{7491EA36-2433-4EA3-ADA8-20B72DA79ADE}"/>
    <cellStyle name="常规 2 2 5 9 2" xfId="34055" xr:uid="{81FACD4F-6191-401D-A0B3-5D15C2E050A5}"/>
    <cellStyle name="常规 2 2 6" xfId="16917" xr:uid="{0A87A061-57B1-4DC1-8564-278308A0296A}"/>
    <cellStyle name="常规 2 2 6 10" xfId="16918" xr:uid="{0F74135B-16BE-47FB-88A7-7111F5D42EE1}"/>
    <cellStyle name="常规 2 2 6 2" xfId="16919" xr:uid="{FE6FD7A7-3B92-4FCB-A850-3BBFDFDCF50A}"/>
    <cellStyle name="常规 2 2 6 2 2" xfId="16920" xr:uid="{1A4D2B98-43C9-4AC5-A4EB-AC1929F3E789}"/>
    <cellStyle name="常规 2 2 6 2 2 2" xfId="16921" xr:uid="{BC9A8306-FFC0-4398-AB8E-44112A5DA311}"/>
    <cellStyle name="常规 2 2 6 2 2 2 2" xfId="16922" xr:uid="{3869C6A1-13B9-47CF-8E0D-E9D5A20E181F}"/>
    <cellStyle name="常规 2 2 6 2 2 2 2 2" xfId="16923" xr:uid="{FAF23953-7DC4-4D5C-9A06-969CF8570D8F}"/>
    <cellStyle name="常规 2 2 6 2 2 2 2 3" xfId="16924" xr:uid="{765FA48C-84A4-41F8-9BF2-2141F51068A7}"/>
    <cellStyle name="常规 2 2 6 2 2 2 3" xfId="16925" xr:uid="{CB1C41EA-98BC-4988-A015-DCC41C1D3260}"/>
    <cellStyle name="常规 2 2 6 2 2 2 3 2" xfId="16926" xr:uid="{8647EEB9-EDF3-4464-856E-A7B16DB5C43E}"/>
    <cellStyle name="常规 2 2 6 2 2 2 4" xfId="16927" xr:uid="{91CD4406-A230-4B15-B2F9-772BACBA7EBD}"/>
    <cellStyle name="常规 2 2 6 2 2 2 4 2" xfId="16928" xr:uid="{B9EC5A52-CEE7-496A-8D42-1323A59DF8CA}"/>
    <cellStyle name="常规 2 2 6 2 2 2 4 3" xfId="34056" xr:uid="{F13A48B8-914E-4F52-9DB7-33CFF92C2855}"/>
    <cellStyle name="常规 2 2 6 2 2 2 5" xfId="16929" xr:uid="{1871A2C9-64EF-458A-8470-CCD22E6B32B5}"/>
    <cellStyle name="常规 2 2 6 2 2 2 6" xfId="16930" xr:uid="{55F0AA43-6BDF-43CD-9823-049E32436371}"/>
    <cellStyle name="常规 2 2 6 2 2 2 7" xfId="16931" xr:uid="{974FE54B-2208-4793-868E-951B677F6C40}"/>
    <cellStyle name="常规 2 2 6 2 2 3" xfId="16932" xr:uid="{5443986F-9D0B-400B-9342-C8BF9D39370A}"/>
    <cellStyle name="常规 2 2 6 2 2 3 2" xfId="16933" xr:uid="{91A3F9BF-6105-4F3D-8EA9-6629818FFBB2}"/>
    <cellStyle name="常规 2 2 6 2 2 3 2 2" xfId="16934" xr:uid="{55E5FA75-70D1-4948-95C9-CF302627108F}"/>
    <cellStyle name="常规 2 2 6 2 2 3 3" xfId="16935" xr:uid="{D90743D9-3CDB-4BED-9F6F-6B73FB246B4E}"/>
    <cellStyle name="常规 2 2 6 2 2 3 4" xfId="16936" xr:uid="{D195B614-AE62-4168-9F98-721DE93A1C29}"/>
    <cellStyle name="常规 2 2 6 2 2 3 4 2" xfId="34057" xr:uid="{7D92ADDD-CB31-4D7F-AF7D-3C00048ECA44}"/>
    <cellStyle name="常规 2 2 6 2 2 3 5" xfId="16937" xr:uid="{7D24AFAB-99E3-4D1F-B4C9-099574FE6483}"/>
    <cellStyle name="常规 2 2 6 2 2 4" xfId="16938" xr:uid="{07188E26-0384-47BD-8760-189448E3DB16}"/>
    <cellStyle name="常规 2 2 6 2 2 4 2" xfId="16939" xr:uid="{C5355DEB-F567-4FC9-B41D-DDFD05FE7158}"/>
    <cellStyle name="常规 2 2 6 2 2 4 3" xfId="16940" xr:uid="{223A1534-D990-48F5-A9D9-0F03A3C86FA3}"/>
    <cellStyle name="常规 2 2 6 2 2 5" xfId="16941" xr:uid="{982DA952-8F3D-47B2-80C8-1060B266A07B}"/>
    <cellStyle name="常规 2 2 6 2 2 5 2" xfId="16942" xr:uid="{D488DBF6-3D78-4E26-9E30-B8663CF1E608}"/>
    <cellStyle name="常规 2 2 6 2 2 6" xfId="16943" xr:uid="{AA599052-96D9-4D26-9C6A-F8B72390C280}"/>
    <cellStyle name="常规 2 2 6 2 2 6 2" xfId="16944" xr:uid="{9793DC39-7051-4287-A4E0-D1A162A1B114}"/>
    <cellStyle name="常规 2 2 6 2 2 6 3" xfId="34058" xr:uid="{270B5008-B0F7-4D33-BB33-74CA7EDAA094}"/>
    <cellStyle name="常规 2 2 6 2 2 7" xfId="16945" xr:uid="{2226478A-CB1C-4C79-8ED2-36B97776380A}"/>
    <cellStyle name="常规 2 2 6 2 2 8" xfId="16946" xr:uid="{0BADF887-0B89-42D1-867C-0EEFD5576B4A}"/>
    <cellStyle name="常规 2 2 6 2 3" xfId="16947" xr:uid="{0C1B7F88-93F1-4F8C-ADDC-BF02DADE3807}"/>
    <cellStyle name="常规 2 2 6 2 3 2" xfId="16948" xr:uid="{8ACD69AD-413B-4B35-803D-4EE23F10CCB4}"/>
    <cellStyle name="常规 2 2 6 2 3 2 2" xfId="16949" xr:uid="{F3E5EFEB-187D-4B02-B81E-313849560091}"/>
    <cellStyle name="常规 2 2 6 2 3 2 3" xfId="16950" xr:uid="{D66A257C-89B1-4C52-9F92-A17DAA2E4106}"/>
    <cellStyle name="常规 2 2 6 2 3 3" xfId="16951" xr:uid="{63896EB9-F386-49A4-BE56-8C870A08EB01}"/>
    <cellStyle name="常规 2 2 6 2 3 3 2" xfId="16952" xr:uid="{51BF3C58-06F7-49BF-95A2-86E36EC65CF1}"/>
    <cellStyle name="常规 2 2 6 2 3 4" xfId="16953" xr:uid="{7D279FB4-5B6F-475D-B467-B1EB2D63A23B}"/>
    <cellStyle name="常规 2 2 6 2 3 4 2" xfId="16954" xr:uid="{7037E962-AB03-4DD0-BB98-F5D5E63CC642}"/>
    <cellStyle name="常规 2 2 6 2 3 4 3" xfId="34059" xr:uid="{87E41B1A-4605-4AF5-B279-4FB489901BE9}"/>
    <cellStyle name="常规 2 2 6 2 3 5" xfId="16955" xr:uid="{C00E9BF6-4DA1-461B-977B-E07AFDE50E57}"/>
    <cellStyle name="常规 2 2 6 2 3 6" xfId="16956" xr:uid="{B2EDE5D4-8383-4E0C-BA4E-AF547D22A42E}"/>
    <cellStyle name="常规 2 2 6 2 3 7" xfId="16957" xr:uid="{7A1FE4CF-CD8E-4E46-9956-9F7813E05D38}"/>
    <cellStyle name="常规 2 2 6 2 4" xfId="16958" xr:uid="{7CBE83B3-2264-47C5-86D7-62FD0C7CCE39}"/>
    <cellStyle name="常规 2 2 6 2 4 2" xfId="16959" xr:uid="{45493384-15DA-41B8-BD84-4FB76BB37E0B}"/>
    <cellStyle name="常规 2 2 6 2 4 2 2" xfId="16960" xr:uid="{705C9C81-547B-46A9-A24D-F9B272023929}"/>
    <cellStyle name="常规 2 2 6 2 4 3" xfId="16961" xr:uid="{118D37B1-C64C-4328-B55B-6D38B2485C1B}"/>
    <cellStyle name="常规 2 2 6 2 4 4" xfId="16962" xr:uid="{696C5E55-E9B9-40C2-A774-66E622BE58B9}"/>
    <cellStyle name="常规 2 2 6 2 4 4 2" xfId="34060" xr:uid="{5F7F392B-29C0-4C36-B74A-7164054CAC58}"/>
    <cellStyle name="常规 2 2 6 2 4 5" xfId="16963" xr:uid="{03CBF133-346E-4C40-9FAA-358180672CBF}"/>
    <cellStyle name="常规 2 2 6 2 5" xfId="16964" xr:uid="{FCCA3FAC-A6C6-4ED0-ACF4-C6D571EC4A28}"/>
    <cellStyle name="常规 2 2 6 2 5 2" xfId="16965" xr:uid="{3120767E-9594-4777-9F06-F101C693B39E}"/>
    <cellStyle name="常规 2 2 6 2 5 3" xfId="16966" xr:uid="{9277FC26-7857-4D17-9EF3-31C426D6FC4D}"/>
    <cellStyle name="常规 2 2 6 2 6" xfId="16967" xr:uid="{A7E32F7E-6B80-460B-85BD-4565DA6E4B30}"/>
    <cellStyle name="常规 2 2 6 2 6 2" xfId="16968" xr:uid="{7A6FB667-71EB-4C6C-96E2-CBDBE6C77ECA}"/>
    <cellStyle name="常规 2 2 6 2 7" xfId="16969" xr:uid="{09C9936F-988D-475D-89E0-3AD8E7739D82}"/>
    <cellStyle name="常规 2 2 6 2 7 2" xfId="16970" xr:uid="{70864602-FFD5-47D6-A83F-11A022801734}"/>
    <cellStyle name="常规 2 2 6 2 7 3" xfId="34061" xr:uid="{87C1B42F-941D-4E3A-9B3E-4438D5627DA2}"/>
    <cellStyle name="常规 2 2 6 2 8" xfId="16971" xr:uid="{2DC74A11-88BE-41F2-A69C-0E5821795905}"/>
    <cellStyle name="常规 2 2 6 2 9" xfId="16972" xr:uid="{42226EB4-F274-4987-ABA8-42D4ADFD9DEE}"/>
    <cellStyle name="常规 2 2 6 3" xfId="16973" xr:uid="{E0ACD822-B755-419E-8D78-863921C2786F}"/>
    <cellStyle name="常规 2 2 6 3 2" xfId="16974" xr:uid="{704A904C-CB58-4FE6-AD15-044BC70F7F47}"/>
    <cellStyle name="常规 2 2 6 3 2 2" xfId="16975" xr:uid="{44E26F1E-833C-40B3-A1CC-299E357BE270}"/>
    <cellStyle name="常规 2 2 6 3 2 2 2" xfId="16976" xr:uid="{ADA2D684-82ED-4CFE-853B-E7B8A35A75F8}"/>
    <cellStyle name="常规 2 2 6 3 2 2 3" xfId="16977" xr:uid="{A678A176-7069-4333-9DE7-C1EDB8BEAC70}"/>
    <cellStyle name="常规 2 2 6 3 2 3" xfId="16978" xr:uid="{5F9AA503-D375-4228-AF6B-C81C023B9070}"/>
    <cellStyle name="常规 2 2 6 3 2 3 2" xfId="16979" xr:uid="{FE6FF6FE-0193-4570-8BDC-A09A1B70F056}"/>
    <cellStyle name="常规 2 2 6 3 2 4" xfId="16980" xr:uid="{05C040A7-35A9-47BD-9B5D-CB872E4E1FC9}"/>
    <cellStyle name="常规 2 2 6 3 2 4 2" xfId="16981" xr:uid="{7F3AB097-0B5A-4E4A-BC94-EFAC26F17F44}"/>
    <cellStyle name="常规 2 2 6 3 2 4 3" xfId="34062" xr:uid="{5DEA326F-615B-4567-9E35-6FF1DC5B32A0}"/>
    <cellStyle name="常规 2 2 6 3 2 5" xfId="16982" xr:uid="{85B0B216-2AFA-4C22-98CF-E0FB6DB0ED22}"/>
    <cellStyle name="常规 2 2 6 3 2 6" xfId="16983" xr:uid="{B319F230-F688-4C0F-9D60-55E5859A9F13}"/>
    <cellStyle name="常规 2 2 6 3 2 7" xfId="16984" xr:uid="{50A56C17-4BC7-48F5-A839-BB18F9811DD4}"/>
    <cellStyle name="常规 2 2 6 3 3" xfId="16985" xr:uid="{4D3B3232-7FA3-4A0A-802D-BDD577C08C37}"/>
    <cellStyle name="常规 2 2 6 3 3 2" xfId="16986" xr:uid="{3B2DCE25-2CCA-4437-872A-5C4239E50AB8}"/>
    <cellStyle name="常规 2 2 6 3 3 2 2" xfId="16987" xr:uid="{444EDE9E-3762-4ACD-BB50-004D524677AD}"/>
    <cellStyle name="常规 2 2 6 3 3 3" xfId="16988" xr:uid="{7CEEB5C0-5AAB-40A7-A39A-49E3E37FB39A}"/>
    <cellStyle name="常规 2 2 6 3 3 4" xfId="16989" xr:uid="{9FF22D88-EC06-47B2-98E9-C41BBA49F908}"/>
    <cellStyle name="常规 2 2 6 3 3 4 2" xfId="34063" xr:uid="{C3A3A724-BB6F-4BCB-81E8-30CCCDD2F881}"/>
    <cellStyle name="常规 2 2 6 3 3 5" xfId="16990" xr:uid="{6DD479E1-6DB9-4BA6-ADCA-4BDBC612D177}"/>
    <cellStyle name="常规 2 2 6 3 4" xfId="16991" xr:uid="{CDFAC096-F5AC-4068-B854-939733FE6282}"/>
    <cellStyle name="常规 2 2 6 3 4 2" xfId="16992" xr:uid="{72CABC3B-272E-4A8E-905C-58478818E409}"/>
    <cellStyle name="常规 2 2 6 3 4 3" xfId="16993" xr:uid="{3E544F32-5B9E-4B6A-BC1D-C24172FB4AA1}"/>
    <cellStyle name="常规 2 2 6 3 5" xfId="16994" xr:uid="{03B94CD5-74A9-405E-AEDE-4C6A64C38ED6}"/>
    <cellStyle name="常规 2 2 6 3 5 2" xfId="16995" xr:uid="{C7BAB94A-A6DA-4D97-8845-FF4B28E9FAB5}"/>
    <cellStyle name="常规 2 2 6 3 6" xfId="16996" xr:uid="{BD68726F-9651-403D-B940-7BD359BA0BD5}"/>
    <cellStyle name="常规 2 2 6 3 6 2" xfId="16997" xr:uid="{4488840C-E8BC-47E1-8A59-A050FAEA340B}"/>
    <cellStyle name="常规 2 2 6 3 6 3" xfId="34064" xr:uid="{DBF24999-D72D-4514-9828-0B5547F07579}"/>
    <cellStyle name="常规 2 2 6 3 7" xfId="16998" xr:uid="{A047C728-AE4E-4767-86B3-C35E0762785C}"/>
    <cellStyle name="常规 2 2 6 3 8" xfId="16999" xr:uid="{1599A370-4E5F-4C1A-AF2C-28F74FAF13D1}"/>
    <cellStyle name="常规 2 2 6 4" xfId="17000" xr:uid="{1C72D875-0B16-4355-A12C-482CB7D19C44}"/>
    <cellStyle name="常规 2 2 6 4 2" xfId="17001" xr:uid="{2EBD9031-89B2-40E9-9BC6-6E1150F9E54B}"/>
    <cellStyle name="常规 2 2 6 4 2 2" xfId="17002" xr:uid="{EDF8201D-0745-4CB4-9B21-7103E763705D}"/>
    <cellStyle name="常规 2 2 6 4 2 2 2" xfId="17003" xr:uid="{52E2357A-F68D-4697-A907-5555225D555F}"/>
    <cellStyle name="常规 2 2 6 4 2 3" xfId="17004" xr:uid="{86D5916F-03C9-4E65-8F00-CB1741AF87E0}"/>
    <cellStyle name="常规 2 2 6 4 2 4" xfId="17005" xr:uid="{40FD306F-DF69-4B12-B9A0-DA0A58B69773}"/>
    <cellStyle name="常规 2 2 6 4 2 4 2" xfId="34065" xr:uid="{16F791D5-BFC3-44E2-817A-F0DD9662228E}"/>
    <cellStyle name="常规 2 2 6 4 2 5" xfId="17006" xr:uid="{2DA794BF-E01D-4A23-9122-9D04CEE82A94}"/>
    <cellStyle name="常规 2 2 6 4 3" xfId="17007" xr:uid="{3D600A50-3DA2-4B9B-9280-F5BFEE770C21}"/>
    <cellStyle name="常规 2 2 6 4 3 2" xfId="17008" xr:uid="{10FC193B-FC30-4AF5-9635-285F0A46CF36}"/>
    <cellStyle name="常规 2 2 6 4 3 3" xfId="17009" xr:uid="{669970CD-02C5-4827-9A6A-2A4809AB517A}"/>
    <cellStyle name="常规 2 2 6 4 4" xfId="17010" xr:uid="{E5A7B166-FF1A-4823-9AB7-3A6F0801B478}"/>
    <cellStyle name="常规 2 2 6 4 4 2" xfId="17011" xr:uid="{B5D529E6-1A46-4DF8-900D-8E58DD462D1F}"/>
    <cellStyle name="常规 2 2 6 4 5" xfId="17012" xr:uid="{37BBD414-56D1-4951-AADA-EE820B4D95E8}"/>
    <cellStyle name="常规 2 2 6 4 5 2" xfId="17013" xr:uid="{11C30125-2812-41FF-A6B7-2CD1D67A2BDF}"/>
    <cellStyle name="常规 2 2 6 4 5 3" xfId="34066" xr:uid="{19C4CFA5-9DAA-4EA3-876F-A76025129081}"/>
    <cellStyle name="常规 2 2 6 4 6" xfId="17014" xr:uid="{7F0D1E78-FB5B-46FA-957F-469CA3F9189F}"/>
    <cellStyle name="常规 2 2 6 4 7" xfId="17015" xr:uid="{3E58FCAC-82EB-4FED-96E9-43B433E4F40A}"/>
    <cellStyle name="常规 2 2 6 5" xfId="17016" xr:uid="{804B5969-00F5-4F08-941F-6EF8220DB588}"/>
    <cellStyle name="常规 2 2 6 5 2" xfId="17017" xr:uid="{AC7904F5-9301-40B9-B0E6-033AB408D9C6}"/>
    <cellStyle name="常规 2 2 6 5 2 2" xfId="17018" xr:uid="{1DA5FA81-F154-429D-8103-B1663EA75F61}"/>
    <cellStyle name="常规 2 2 6 5 3" xfId="17019" xr:uid="{8F4B8AD4-9FE8-4BB0-A285-F454DA0618E8}"/>
    <cellStyle name="常规 2 2 6 5 4" xfId="17020" xr:uid="{8DF317F5-F9FB-4120-B3BD-85E93FF23A21}"/>
    <cellStyle name="常规 2 2 6 5 4 2" xfId="34067" xr:uid="{C4A6D5A8-255F-448C-B2BB-A25BFBB26A51}"/>
    <cellStyle name="常规 2 2 6 5 5" xfId="17021" xr:uid="{7903F59A-26A0-4C5B-A19D-35C83A65F8EF}"/>
    <cellStyle name="常规 2 2 6 6" xfId="17022" xr:uid="{28EE9B5D-4F0E-45B1-B4B4-A1F01DBB2D88}"/>
    <cellStyle name="常规 2 2 6 6 2" xfId="17023" xr:uid="{424DF990-43A0-4BE8-A394-31BAAEF08B04}"/>
    <cellStyle name="常规 2 2 6 6 2 2" xfId="17024" xr:uid="{B9F4A949-5AAE-4524-8ABD-082499945AAD}"/>
    <cellStyle name="常规 2 2 6 6 3" xfId="17025" xr:uid="{B3903F02-65D9-4465-9980-1F5D58054974}"/>
    <cellStyle name="常规 2 2 6 6 4" xfId="17026" xr:uid="{8488980B-9223-4FAE-A819-C5761355CABA}"/>
    <cellStyle name="常规 2 2 6 6 4 2" xfId="34068" xr:uid="{A9AB2F7C-6A48-410C-81D1-314B18C5D379}"/>
    <cellStyle name="常规 2 2 6 6 5" xfId="17027" xr:uid="{F0C73DD0-7C64-4E07-935C-85DD6E800693}"/>
    <cellStyle name="常规 2 2 6 7" xfId="17028" xr:uid="{E2E0DDB7-73D0-4019-BC85-C24FF3343909}"/>
    <cellStyle name="常规 2 2 6 7 2" xfId="17029" xr:uid="{25460892-DA60-4064-A666-E4F47E1C734E}"/>
    <cellStyle name="常规 2 2 6 7 3" xfId="17030" xr:uid="{3681F36E-908B-4E51-A031-AD627634B335}"/>
    <cellStyle name="常规 2 2 6 8" xfId="17031" xr:uid="{ED1BCF33-A2E8-4763-B649-830A02DD45CF}"/>
    <cellStyle name="常规 2 2 6 8 2" xfId="17032" xr:uid="{379490EF-38D1-434A-81CB-1D182845C81E}"/>
    <cellStyle name="常规 2 2 6 9" xfId="17033" xr:uid="{AD14D321-0E6B-4F73-A2F8-411DCF494AC9}"/>
    <cellStyle name="常规 2 2 6 9 2" xfId="17034" xr:uid="{E1448E2E-64B3-4A6B-BD4F-F5A5FB87974E}"/>
    <cellStyle name="常规 2 2 6 9 3" xfId="34069" xr:uid="{02836DB4-9092-4F0E-AF87-6EE92ED5D0A5}"/>
    <cellStyle name="常规 2 2 7" xfId="17035" xr:uid="{10230088-E7E6-4C75-8654-7E6475168B28}"/>
    <cellStyle name="常规 2 2 7 2" xfId="17036" xr:uid="{A37C56D1-CB58-4A74-9595-2B59DA18FB34}"/>
    <cellStyle name="常规 2 2 7 2 2" xfId="17037" xr:uid="{F973B19A-B675-4ECD-B0B2-FD6960E19154}"/>
    <cellStyle name="常规 2 2 7 2 2 2" xfId="17038" xr:uid="{3B1B54A0-1F28-4223-9F71-EE1CAB6176FF}"/>
    <cellStyle name="常规 2 2 7 2 2 2 2" xfId="17039" xr:uid="{C58FC78F-CB65-4BCB-A12C-71F25411C964}"/>
    <cellStyle name="常规 2 2 7 2 2 3" xfId="17040" xr:uid="{63A9AAF9-9B21-4419-BD96-C5C46E2A6495}"/>
    <cellStyle name="常规 2 2 7 2 2 4" xfId="17041" xr:uid="{C20163A7-A231-4D42-B5AB-B097FAF25544}"/>
    <cellStyle name="常规 2 2 7 2 2 4 2" xfId="34070" xr:uid="{A56C533A-FCCB-456F-940C-E8D735AABF6D}"/>
    <cellStyle name="常规 2 2 7 2 3" xfId="17042" xr:uid="{C0D77E99-5381-48B2-A6BA-9ABDB3FFD1BC}"/>
    <cellStyle name="常规 2 2 7 2 3 2" xfId="17043" xr:uid="{FB37B000-A003-4D2C-9522-2F3101832B9E}"/>
    <cellStyle name="常规 2 2 7 2 3 2 2" xfId="17044" xr:uid="{50AA61C2-E3AC-4C23-AC6D-9D95278BC3F4}"/>
    <cellStyle name="常规 2 2 7 2 3 3" xfId="17045" xr:uid="{C7592F33-E3EA-40FB-974C-F3D4BF6A46AA}"/>
    <cellStyle name="常规 2 2 7 2 3 4" xfId="17046" xr:uid="{0720B23E-BED3-45D8-8240-902ADC2E68C5}"/>
    <cellStyle name="常规 2 2 7 2 3 4 2" xfId="34071" xr:uid="{160ED6C5-6362-4377-8F89-86AD9BBE615F}"/>
    <cellStyle name="常规 2 2 7 2 4" xfId="17047" xr:uid="{642BFB5D-B761-4BA1-9EFD-FC04A65E0573}"/>
    <cellStyle name="常规 2 2 7 2 4 2" xfId="17048" xr:uid="{0DDB85DC-FF72-4B0A-A844-28AEB16CACED}"/>
    <cellStyle name="常规 2 2 7 2 5" xfId="17049" xr:uid="{A9BE25CB-A68F-403D-B87C-A3FB475C0C7A}"/>
    <cellStyle name="常规 2 2 7 2 6" xfId="17050" xr:uid="{77CBF117-0A73-47A6-B407-2309185900EE}"/>
    <cellStyle name="常规 2 2 7 2 6 2" xfId="34072" xr:uid="{78AAC370-0328-4A11-B7AE-7AF0B26A18FA}"/>
    <cellStyle name="常规 2 2 7 3" xfId="17051" xr:uid="{B82A8674-DA76-43C2-82C9-66E58A029271}"/>
    <cellStyle name="常规 2 2 7 3 2" xfId="17052" xr:uid="{609C8C90-CEB3-427B-B3AB-FFD16AC56BBD}"/>
    <cellStyle name="常规 2 2 7 3 2 2" xfId="17053" xr:uid="{F9C921A4-6CB4-491E-BDAA-A69196154351}"/>
    <cellStyle name="常规 2 2 7 3 3" xfId="17054" xr:uid="{0C4C83B0-C350-4DCC-AE22-183E6973CDE0}"/>
    <cellStyle name="常规 2 2 7 3 4" xfId="17055" xr:uid="{00887625-3DF1-40BE-B0F9-9DE948E25446}"/>
    <cellStyle name="常规 2 2 7 3 4 2" xfId="34073" xr:uid="{D733820B-2254-42FA-801F-2237ECC5CCDE}"/>
    <cellStyle name="常规 2 2 7 4" xfId="17056" xr:uid="{1A5F149A-B3AD-446C-B14C-64CFC32FF2EC}"/>
    <cellStyle name="常规 2 2 7 4 2" xfId="17057" xr:uid="{812FC2C1-BC5B-4A8B-AC5E-0D5197E5EFDB}"/>
    <cellStyle name="常规 2 2 7 4 2 2" xfId="17058" xr:uid="{29296D33-1587-40F9-B3E1-A899CDF69423}"/>
    <cellStyle name="常规 2 2 7 4 3" xfId="17059" xr:uid="{9C87E0E4-87DA-4E21-B899-1AA0050D5FC7}"/>
    <cellStyle name="常规 2 2 7 4 4" xfId="17060" xr:uid="{98B1ED8F-F512-477B-AC99-4886D2C2EABF}"/>
    <cellStyle name="常规 2 2 7 4 4 2" xfId="34074" xr:uid="{90BF1034-FC82-4BFC-A562-A8BFC6C8408D}"/>
    <cellStyle name="常规 2 2 7 5" xfId="17061" xr:uid="{AAA82312-EFE4-45DF-B76B-06E3DA8461B6}"/>
    <cellStyle name="常规 2 2 7 5 2" xfId="17062" xr:uid="{D789924B-4235-41B6-AC7F-C1984EEA12B8}"/>
    <cellStyle name="常规 2 2 7 6" xfId="17063" xr:uid="{93A18BDE-CA6E-4C67-BF28-1D0A85662D2C}"/>
    <cellStyle name="常规 2 2 7 7" xfId="17064" xr:uid="{7EBFD0DF-6C2C-4769-A07A-27B1DEAA9E33}"/>
    <cellStyle name="常规 2 2 7 7 2" xfId="34075" xr:uid="{BE769D8E-4403-4379-9CD6-8F218BB7CBF8}"/>
    <cellStyle name="常规 2 2 7 8" xfId="17065" xr:uid="{4418C83A-2FB1-4E52-84E7-F996BF24F408}"/>
    <cellStyle name="常规 2 2 8" xfId="17066" xr:uid="{38CF0D89-B700-4DD9-857C-5D94A2FC390B}"/>
    <cellStyle name="常规 2 2 8 2" xfId="17067" xr:uid="{E7749DB1-DEDA-48F9-80C9-EF3C942B94D0}"/>
    <cellStyle name="常规 2 2 8 2 2" xfId="17068" xr:uid="{C79456CC-346B-4F6D-9C31-31721FE5552A}"/>
    <cellStyle name="常规 2 2 8 2 2 2" xfId="17069" xr:uid="{5A3D37AF-0EAB-4589-ADB2-F145251108B3}"/>
    <cellStyle name="常规 2 2 8 2 3" xfId="17070" xr:uid="{5687C396-97F1-432E-8E08-73253490A9D8}"/>
    <cellStyle name="常规 2 2 8 2 4" xfId="17071" xr:uid="{2EF3E805-4AB2-4FD9-9289-38CBCD9370B9}"/>
    <cellStyle name="常规 2 2 8 2 4 2" xfId="34076" xr:uid="{D135CA9A-8668-467A-886B-7C8D05074199}"/>
    <cellStyle name="常规 2 2 8 3" xfId="17072" xr:uid="{F5258C5B-62F9-48BF-8BFD-CD48751CE738}"/>
    <cellStyle name="常规 2 2 8 3 2" xfId="17073" xr:uid="{EB2B4BA7-749E-4FC3-B554-96F3B7D7AF91}"/>
    <cellStyle name="常规 2 2 8 3 2 2" xfId="17074" xr:uid="{12115810-1DC5-4501-8EF4-E4DD69283918}"/>
    <cellStyle name="常规 2 2 8 3 3" xfId="17075" xr:uid="{39D15FD3-2BE2-4E5F-858C-E8B893433044}"/>
    <cellStyle name="常规 2 2 8 3 4" xfId="17076" xr:uid="{38A5A0BE-E837-4055-982A-4E50E80752E3}"/>
    <cellStyle name="常规 2 2 8 3 4 2" xfId="34077" xr:uid="{D8E28E17-5649-43B5-8B95-2D273BE6ED52}"/>
    <cellStyle name="常规 2 2 8 4" xfId="17077" xr:uid="{9D9D05D4-6D9C-4EDC-BB5E-D6A00ED7C7EB}"/>
    <cellStyle name="常规 2 2 8 4 2" xfId="17078" xr:uid="{F39AB026-EB18-4CCB-BBB4-CF9F1213CD7F}"/>
    <cellStyle name="常规 2 2 8 5" xfId="17079" xr:uid="{46819DF4-7A84-4CE6-8372-8A326B0CEC08}"/>
    <cellStyle name="常规 2 2 8 6" xfId="17080" xr:uid="{26F7EE5F-20F1-4B1C-8FC5-3EC5E6E3454A}"/>
    <cellStyle name="常规 2 2 8 6 2" xfId="34078" xr:uid="{6E4538E7-6726-48FC-8F10-916D499BDB44}"/>
    <cellStyle name="常规 2 2 8 7" xfId="17081" xr:uid="{C581BEBA-E6B4-4A12-BDDB-1F441A97A7A4}"/>
    <cellStyle name="常规 2 2 9" xfId="17082" xr:uid="{7715CCD8-D34F-468F-A53C-E5FD886EE935}"/>
    <cellStyle name="常规 2 2 9 2" xfId="17083" xr:uid="{9964FA6B-8B6B-49B8-9557-BBDE6B6280F1}"/>
    <cellStyle name="常规 2 2 9 2 2" xfId="17084" xr:uid="{F84923D2-318A-4439-A844-1D1488620C7F}"/>
    <cellStyle name="常规 2 2 9 2 3" xfId="17085" xr:uid="{543CFF5D-5E16-4856-B2C1-97F7C44EB3BF}"/>
    <cellStyle name="常规 2 2 9 3" xfId="17086" xr:uid="{37C3FD8C-AF99-400A-92C5-A4C37147FE31}"/>
    <cellStyle name="常规 2 2 9 3 2" xfId="17087" xr:uid="{36CA42AC-52EC-4284-8EA5-3CCBE85EE8F9}"/>
    <cellStyle name="常规 2 2 9 3 3" xfId="17088" xr:uid="{11AE7B3E-30AE-400D-8D78-A48F4F8AE9C8}"/>
    <cellStyle name="常规 2 2 9 4" xfId="17089" xr:uid="{07D9BA08-71A9-4799-AFED-1371B1AE732B}"/>
    <cellStyle name="常规 2 2 9 5" xfId="17090" xr:uid="{4B748F15-A142-44D4-8895-CE733B68B094}"/>
    <cellStyle name="常规 2 2 9 5 2" xfId="34079" xr:uid="{F5711376-F571-45E4-A77E-8087A735DF03}"/>
    <cellStyle name="常规 2 2 9 6" xfId="17091" xr:uid="{887E05B8-8912-4011-9B0E-AA8FB43E18F3}"/>
    <cellStyle name="常规 2 2_宣城（资产池全部）" xfId="17092" xr:uid="{8A58ED2A-38C8-4681-BE06-B79BBFDADAEB}"/>
    <cellStyle name="常规 2 20" xfId="17093" xr:uid="{99A72685-28BB-440C-9725-09B8370A2AA1}"/>
    <cellStyle name="常规 2 20 2" xfId="17094" xr:uid="{638066AF-D9BA-4FD5-A9D4-DC3CB851B78C}"/>
    <cellStyle name="常规 2 20 2 2" xfId="17095" xr:uid="{74D8A3EC-0A72-41B7-9056-083E9F04744B}"/>
    <cellStyle name="常规 2 20 2 2 2" xfId="17096" xr:uid="{53887B59-8100-4AEB-A315-B362E6B20017}"/>
    <cellStyle name="常规 2 20 2 3" xfId="17097" xr:uid="{342A4208-785F-4CFD-9A54-BB50D3745A91}"/>
    <cellStyle name="常规 2 20 2 4" xfId="17098" xr:uid="{ADB0F5FC-473C-45E6-8351-A6838AC5A25A}"/>
    <cellStyle name="常规 2 20 2 4 2" xfId="34080" xr:uid="{7395CC1C-01F8-4CD9-AC93-08BE0E1E06FF}"/>
    <cellStyle name="常规 2 20 3" xfId="17099" xr:uid="{3C3E028D-F0D7-43BA-816E-2D47E1BD74F4}"/>
    <cellStyle name="常规 2 20 3 2" xfId="17100" xr:uid="{14557D23-7C92-4D29-994B-1F3B8627790A}"/>
    <cellStyle name="常规 2 20 4" xfId="17101" xr:uid="{AD035B19-9628-4127-8D96-16B2DE0628B2}"/>
    <cellStyle name="常规 2 20 5" xfId="17102" xr:uid="{3F3B5647-69F1-41EA-A9E2-3C2146C7B18C}"/>
    <cellStyle name="常规 2 20 5 2" xfId="34081" xr:uid="{931FEA5C-26E1-4FCE-8C0F-8C91FC5DA3B8}"/>
    <cellStyle name="常规 2 20 6" xfId="17103" xr:uid="{C3381BAB-69AB-4C07-9A95-3E0046A24C08}"/>
    <cellStyle name="常规 2 21" xfId="17104" xr:uid="{7644F1ED-8124-4666-8EA5-4A1214092C2B}"/>
    <cellStyle name="常规 2 21 2" xfId="17105" xr:uid="{FA160FAA-5CFF-43EC-9BBE-8E57CFDC80DD}"/>
    <cellStyle name="常规 2 21 2 2" xfId="17106" xr:uid="{922077F9-F0D4-4259-8CC6-17CE64B767FC}"/>
    <cellStyle name="常规 2 21 2 2 2" xfId="17107" xr:uid="{1833E1CF-87F2-4133-8519-39E1B6EA4480}"/>
    <cellStyle name="常规 2 21 2 3" xfId="17108" xr:uid="{41D8E689-9EBE-4331-AC26-54C650FF4636}"/>
    <cellStyle name="常规 2 21 2 4" xfId="17109" xr:uid="{8393BEF0-3622-4F19-AB4B-1EF0B3255142}"/>
    <cellStyle name="常规 2 21 2 4 2" xfId="34082" xr:uid="{1E455518-FE20-4407-B044-AB8DD508C028}"/>
    <cellStyle name="常规 2 21 3" xfId="17110" xr:uid="{41F871F8-CA0E-49D4-8E84-30D09ECDF45E}"/>
    <cellStyle name="常规 2 21 3 2" xfId="17111" xr:uid="{4640B7E2-421A-412D-BD5B-8344AB4B3090}"/>
    <cellStyle name="常规 2 21 4" xfId="17112" xr:uid="{F51576D9-238D-4C15-984C-E5A9EEB7996C}"/>
    <cellStyle name="常规 2 21 5" xfId="17113" xr:uid="{B10205F8-65BD-4F33-A425-FD8DB084F15A}"/>
    <cellStyle name="常规 2 21 5 2" xfId="34083" xr:uid="{431D4ED9-B584-4447-9AAF-23B212D59751}"/>
    <cellStyle name="常规 2 21 6" xfId="17114" xr:uid="{40749088-1CC2-46C4-8BDE-451FCFFECBC4}"/>
    <cellStyle name="常规 2 22" xfId="17115" xr:uid="{CA6EE3DD-A8FF-4C13-B3DC-563A63705B4D}"/>
    <cellStyle name="常规 2 22 2" xfId="17116" xr:uid="{D9406003-3680-425D-A5C9-7EAA2C00CAC9}"/>
    <cellStyle name="常规 2 23" xfId="17117" xr:uid="{6D87F861-FEF8-4CB1-BBE0-A4E861B42C5F}"/>
    <cellStyle name="常规 2 23 2" xfId="17118" xr:uid="{B36A7FEA-E13A-4243-83ED-8378803F8DAB}"/>
    <cellStyle name="常规 2 24" xfId="17119" xr:uid="{E9FA4D29-C242-448D-BFFF-559C53B02089}"/>
    <cellStyle name="常规 2 24 2" xfId="17120" xr:uid="{7D5F4EC7-7DCE-4D43-8A93-99259CF8B11A}"/>
    <cellStyle name="常规 2 24 2 2" xfId="17121" xr:uid="{60B2E122-CFEA-4A61-BEB2-C76D3C2014AF}"/>
    <cellStyle name="常规 2 24 3" xfId="17122" xr:uid="{C5A30E80-E292-4F6F-A31E-026058840AA8}"/>
    <cellStyle name="常规 2 24 4" xfId="17123" xr:uid="{30FB61FC-6559-492E-8BC5-96F9BC9AA63B}"/>
    <cellStyle name="常规 2 24 4 2" xfId="34084" xr:uid="{1603D823-B5EF-4414-86A5-83506D41B5D5}"/>
    <cellStyle name="常规 2 24 5" xfId="17124" xr:uid="{011CDB93-9436-4356-A6C2-4D7A6E4AC2C5}"/>
    <cellStyle name="常规 2 25" xfId="17125" xr:uid="{FD38E885-387F-4550-93DB-C5B01639E95A}"/>
    <cellStyle name="常规 2 25 2" xfId="17126" xr:uid="{167B6416-5A2B-4D1E-B7E1-C690432BA17A}"/>
    <cellStyle name="常规 2 25 2 2" xfId="17127" xr:uid="{88F1CFEB-501F-4B79-9A2E-D1611F7106CF}"/>
    <cellStyle name="常规 2 25 3" xfId="17128" xr:uid="{7AFE7D48-648C-4441-A231-8199814FF0FC}"/>
    <cellStyle name="常规 2 25 4" xfId="17129" xr:uid="{11D2A98D-D689-454F-91AB-930F6BFDC7BA}"/>
    <cellStyle name="常规 2 25 4 2" xfId="34085" xr:uid="{B3931765-D61F-4631-BA18-9AD8BE1EACE7}"/>
    <cellStyle name="常规 2 25 5" xfId="17130" xr:uid="{89CC9437-8C50-4161-BE07-660A6CD647B8}"/>
    <cellStyle name="常规 2 26" xfId="17131" xr:uid="{5125D72D-2DEA-4384-BF33-8BB1B007846D}"/>
    <cellStyle name="常规 2 26 2" xfId="17132" xr:uid="{374F5407-612B-4E39-9CE3-82F8B75E95F2}"/>
    <cellStyle name="常规 2 26 3" xfId="17133" xr:uid="{5FE6DE10-277E-48C3-B977-BA0BFD555DC4}"/>
    <cellStyle name="常规 2 26 4" xfId="17134" xr:uid="{FD5EB3EA-5570-425F-845E-D3FDCF2DE18A}"/>
    <cellStyle name="常规 2 27" xfId="17135" xr:uid="{D7BC385F-8821-4A74-89C7-3EA65A25A22D}"/>
    <cellStyle name="常规 2 27 2" xfId="17136" xr:uid="{7CBE9970-D30D-4E81-9CDE-9B7EA9A970C3}"/>
    <cellStyle name="常规 2 27 3" xfId="17137" xr:uid="{99377E72-9E35-4AE4-B2EB-D22CFADADB16}"/>
    <cellStyle name="常规 2 28" xfId="17138" xr:uid="{BC5168EE-1ECB-482B-95BF-CF9DA93C1D9F}"/>
    <cellStyle name="常规 2 28 2" xfId="17139" xr:uid="{B4D916F3-B7C7-46C2-AF73-A32119598CB5}"/>
    <cellStyle name="常规 2 28 3" xfId="17140" xr:uid="{5BD9DF40-0792-405D-90D6-E269EEF10BE1}"/>
    <cellStyle name="常规 2 28 4" xfId="17141" xr:uid="{87A97097-EA61-4479-8FC3-A48805B176EE}"/>
    <cellStyle name="常规 2 29" xfId="17142" xr:uid="{F00220C0-440D-4F0E-BC65-43275318C614}"/>
    <cellStyle name="常规 2 29 2" xfId="17143" xr:uid="{5047EE0A-34AC-480C-89B6-35F9FC0A2786}"/>
    <cellStyle name="常规 2 3" xfId="17144" xr:uid="{CA1A3DF7-D033-459D-9E5A-9BCAA744445B}"/>
    <cellStyle name="常规 2 3 10" xfId="17145" xr:uid="{43EB2BD1-F2D6-4EFA-AF0F-EB12596F641A}"/>
    <cellStyle name="常规 2 3 10 2" xfId="17146" xr:uid="{C3654F38-5D57-4732-BEA5-7313ED78D88D}"/>
    <cellStyle name="常规 2 3 11" xfId="17147" xr:uid="{6B4E7BAB-35AD-4832-976F-25BBD621AB44}"/>
    <cellStyle name="常规 2 3 11 2" xfId="17148" xr:uid="{AD50BFFA-5FF4-4AA9-9AF9-52747CEF2C72}"/>
    <cellStyle name="常规 2 3 12" xfId="17149" xr:uid="{D2645D98-5433-4BBA-AC23-8DDA53CD6B95}"/>
    <cellStyle name="常规 2 3 13" xfId="17150" xr:uid="{30C1D86B-621C-4B64-93CF-E6160AC9098B}"/>
    <cellStyle name="常规 2 3 14" xfId="17151" xr:uid="{1005D00F-0915-4900-8D3F-1BAABC851DCB}"/>
    <cellStyle name="常规 2 3 15" xfId="34086" xr:uid="{C5831614-0722-4E0C-A9A9-418AE51952D0}"/>
    <cellStyle name="常规 2 3 2" xfId="17152" xr:uid="{29ECB6B0-37A7-4784-97F3-50C917AB8928}"/>
    <cellStyle name="常规 2 3 2 2" xfId="17153" xr:uid="{8CB66742-FF66-4EF2-8141-84B5263D8F5B}"/>
    <cellStyle name="常规 2 3 2 2 2" xfId="17154" xr:uid="{5D80DB09-DAA9-4921-BFC8-D580B6C04AC8}"/>
    <cellStyle name="常规 2 3 2 3" xfId="17155" xr:uid="{57A99485-F69E-46B8-B5B7-E04D066B9365}"/>
    <cellStyle name="常规 2 3 2 3 2" xfId="17156" xr:uid="{88987E4F-CD58-46ED-876D-7E427EA2EE85}"/>
    <cellStyle name="常规 2 3 2 3 3" xfId="17157" xr:uid="{E35D93A1-7D92-42CC-AD36-6550B2AA7700}"/>
    <cellStyle name="常规 2 3 2 4" xfId="17158" xr:uid="{2816FFFE-4627-4778-BB5F-2FF726100403}"/>
    <cellStyle name="常规 2 3 2 5" xfId="17159" xr:uid="{8EB80206-2E5C-4EB8-9AC0-58740E7633AF}"/>
    <cellStyle name="常规 2 3 2 6" xfId="34087" xr:uid="{1B59CA08-9679-473F-9C31-BC6178C12E22}"/>
    <cellStyle name="常规 2 3 3" xfId="17160" xr:uid="{EA5A9F7E-3899-4EB6-93FF-1A58DEF74371}"/>
    <cellStyle name="常规 2 3 3 2" xfId="17161" xr:uid="{2369ED50-FAD1-4DB1-8104-DAFFE46F94D5}"/>
    <cellStyle name="常规 2 3 3 2 2" xfId="17162" xr:uid="{2DFC83D2-D2DD-4CEB-BC67-D9C56CDE342B}"/>
    <cellStyle name="常规 2 3 3 2 3" xfId="17163" xr:uid="{252E08CF-8BDE-4E93-AB79-534D494B563C}"/>
    <cellStyle name="常规 2 3 3 3" xfId="17164" xr:uid="{4A9C28DA-7C89-4997-A66C-E4B9AFE07393}"/>
    <cellStyle name="常规 2 3 3 3 2" xfId="17165" xr:uid="{FDDD8E69-2B82-4ECF-84A6-A50EC855A4CF}"/>
    <cellStyle name="常规 2 3 3 4" xfId="17166" xr:uid="{1566051C-5E6B-463C-8955-F9E0A393822D}"/>
    <cellStyle name="常规 2 3 3 5" xfId="17167" xr:uid="{533D34BC-4DE4-4DFA-835A-34FBA1AC9DD9}"/>
    <cellStyle name="常规 2 3 3 6" xfId="17168" xr:uid="{71FFBB90-D1D8-4190-BEA7-FFBF2DE52DF5}"/>
    <cellStyle name="常规 2 3 4" xfId="17169" xr:uid="{F2D46E8F-3925-43EA-8818-E945F10061B6}"/>
    <cellStyle name="常规 2 3 4 2" xfId="17170" xr:uid="{64BECF44-9605-4645-A45B-359E3556244F}"/>
    <cellStyle name="常规 2 3 4 3" xfId="17171" xr:uid="{9C09376C-0F99-404A-BA7B-D81BC9B076C5}"/>
    <cellStyle name="常规 2 3 4 4" xfId="17172" xr:uid="{1043DF48-6AB8-4ADF-B2B1-9278C3834B3A}"/>
    <cellStyle name="常规 2 3 5" xfId="17173" xr:uid="{ECCB3B95-FD4A-4EB4-B2E2-C2084A4E596A}"/>
    <cellStyle name="常规 2 3 5 2" xfId="17174" xr:uid="{BB995DD7-39C3-4333-8EEE-CA344960D829}"/>
    <cellStyle name="常规 2 3 5 2 2" xfId="17175" xr:uid="{190F8CFB-5A85-41E8-A147-51877D19B6FD}"/>
    <cellStyle name="常规 2 3 5 3" xfId="17176" xr:uid="{9C21C7D6-0AF3-4DA5-84BA-357B22CFD6FB}"/>
    <cellStyle name="常规 2 3 6" xfId="17177" xr:uid="{031B4426-FD69-454E-BDA0-B4BF1A87FD07}"/>
    <cellStyle name="常规 2 3 6 2" xfId="17178" xr:uid="{069B59CC-B315-496F-86F5-9573B3A90007}"/>
    <cellStyle name="常规 2 3 6 2 2" xfId="17179" xr:uid="{4E3F013C-DFC0-40AC-AB49-CF9210DF2A7C}"/>
    <cellStyle name="常规 2 3 6 3" xfId="17180" xr:uid="{ADC83E49-71CD-45FE-8B7F-59CCEB2C3848}"/>
    <cellStyle name="常规 2 3 7" xfId="17181" xr:uid="{E734FAD0-B460-4393-B60E-9132A393595B}"/>
    <cellStyle name="常规 2 3 7 2" xfId="17182" xr:uid="{0E3792C3-01E2-4693-A6CB-EB28859D6AC0}"/>
    <cellStyle name="常规 2 3 7 2 2" xfId="17183" xr:uid="{318C8BC1-CA5D-40D0-A029-CE9E714507D7}"/>
    <cellStyle name="常规 2 3 7 3" xfId="17184" xr:uid="{36CD3AE4-A1CA-42B9-AF43-0BC80729D3FA}"/>
    <cellStyle name="常规 2 3 8" xfId="17185" xr:uid="{89C1D21F-4B48-43ED-86F9-2B8C9A0A6691}"/>
    <cellStyle name="常规 2 3 8 2" xfId="17186" xr:uid="{3F053C89-7EF1-4184-9288-DBBAAE3D800D}"/>
    <cellStyle name="常规 2 3 8 2 2" xfId="17187" xr:uid="{3EC23F6B-EAB8-4DA8-8317-8D27B9F0DCD7}"/>
    <cellStyle name="常规 2 3 8 3" xfId="17188" xr:uid="{44F932B1-93F1-450E-9263-48957E5D3237}"/>
    <cellStyle name="常规 2 3 9" xfId="17189" xr:uid="{B7DE2A0B-95D3-464D-B10B-38DC37064024}"/>
    <cellStyle name="常规 2 3 9 2" xfId="17190" xr:uid="{B152DA92-979C-4C02-9F3C-72C4EED4A0C2}"/>
    <cellStyle name="常规 2 3 9 3" xfId="17191" xr:uid="{3FD662FD-1B80-4174-9F75-27A24937C50E}"/>
    <cellStyle name="常规 2 30" xfId="17192" xr:uid="{85F4B99F-8314-4247-A20C-C4BC3866351E}"/>
    <cellStyle name="常规 2 30 2" xfId="17193" xr:uid="{96D8044A-63D4-4C9A-AC97-06CA9D967628}"/>
    <cellStyle name="常规 2 31" xfId="17194" xr:uid="{436E81D6-D584-4C2A-AEB4-B297D8F96005}"/>
    <cellStyle name="常规 2 32" xfId="17195" xr:uid="{BF169D03-ADEC-4C93-960C-0C9DD2A4E1B1}"/>
    <cellStyle name="常规 2 33" xfId="17196" xr:uid="{CBE6E2CA-2F8A-4FCE-B138-839206F70ECB}"/>
    <cellStyle name="常规 2 34" xfId="17197" xr:uid="{5389FCF9-2458-42C0-9DDA-E5EC4CEAE4B2}"/>
    <cellStyle name="常规 2 35" xfId="17198" xr:uid="{ECA9BB10-255C-4F38-9B20-A5CE8B6790E2}"/>
    <cellStyle name="常规 2 36" xfId="17199" xr:uid="{6786410B-67AC-4133-9777-D2F553F627FE}"/>
    <cellStyle name="常规 2 37" xfId="17200" xr:uid="{9DC2901A-2BED-4683-87BD-AF1938066C0D}"/>
    <cellStyle name="常规 2 38" xfId="17201" xr:uid="{F7FE3C8E-D06A-420A-AE60-C2DDB4C80678}"/>
    <cellStyle name="常规 2 39" xfId="17202" xr:uid="{401A0CED-16B9-41F4-990E-E537A906091E}"/>
    <cellStyle name="常规 2 4" xfId="17203" xr:uid="{3F1FB3C1-DEFA-4731-8BC3-9B9FE1A4E0DD}"/>
    <cellStyle name="常规 2 4 10" xfId="17204" xr:uid="{3201C074-53E7-4431-91EF-25D01B98258A}"/>
    <cellStyle name="常规 2 4 10 2" xfId="17205" xr:uid="{7F521039-88B9-4835-B56C-2C41AB3A789C}"/>
    <cellStyle name="常规 2 4 10 2 2" xfId="17206" xr:uid="{C4A0D010-8E65-4A31-B81C-3A517042E9D5}"/>
    <cellStyle name="常规 2 4 10 3" xfId="17207" xr:uid="{D1DFEAFB-C012-4E38-9790-55CA25AB9F59}"/>
    <cellStyle name="常规 2 4 11" xfId="17208" xr:uid="{D22A6BE8-7C00-4E5E-80E7-C443F59C5358}"/>
    <cellStyle name="常规 2 4 11 2" xfId="17209" xr:uid="{A811E304-A1F3-41F7-AE11-6F5489C7623D}"/>
    <cellStyle name="常规 2 4 12" xfId="17210" xr:uid="{AABB6255-4845-4A47-A4DC-A7F67A96B35D}"/>
    <cellStyle name="常规 2 4 12 2" xfId="17211" xr:uid="{EE9DD105-45DA-477D-A948-CC3F90B01779}"/>
    <cellStyle name="常规 2 4 12 3" xfId="34088" xr:uid="{94EF043D-19FB-453C-905D-FEEEC86D0A18}"/>
    <cellStyle name="常规 2 4 13" xfId="17212" xr:uid="{A7475A16-69B2-44EA-935D-C761407BCCCA}"/>
    <cellStyle name="常规 2 4 14" xfId="34089" xr:uid="{49AB9EB5-17E2-40A3-B5EA-611A31EF61E5}"/>
    <cellStyle name="常规 2 4 2" xfId="17213" xr:uid="{B9C59F0B-BCA2-44FA-B9D9-F1FCFC0C2A05}"/>
    <cellStyle name="常规 2 4 2 10" xfId="17214" xr:uid="{EDCD5C96-1E43-4108-8DD0-ECC24AEC0896}"/>
    <cellStyle name="常规 2 4 2 11" xfId="34090" xr:uid="{F4717718-DE25-4821-8B7E-1149793C8FF8}"/>
    <cellStyle name="常规 2 4 2 2" xfId="17215" xr:uid="{55D7B49C-5B4A-4BC8-AA12-810C0FD6005D}"/>
    <cellStyle name="常规 2 4 2 2 2" xfId="17216" xr:uid="{77EF4546-2337-4866-93D8-DA3CA278A089}"/>
    <cellStyle name="常规 2 4 2 2 2 2" xfId="17217" xr:uid="{6E4D9E21-7D8E-433D-B579-C2D1AA4AFA78}"/>
    <cellStyle name="常规 2 4 2 2 2 2 2" xfId="17218" xr:uid="{3E14DB9C-C058-475F-9C83-83A2652D9C93}"/>
    <cellStyle name="常规 2 4 2 2 2 2 2 2" xfId="17219" xr:uid="{E53AEE2C-4AC6-44B8-A9F5-EF90784CD082}"/>
    <cellStyle name="常规 2 4 2 2 2 2 3" xfId="17220" xr:uid="{3B10570F-3586-4995-B411-13FA1D9DE36C}"/>
    <cellStyle name="常规 2 4 2 2 2 2 4" xfId="17221" xr:uid="{1A1872A0-7013-499C-960B-B10D889F1664}"/>
    <cellStyle name="常规 2 4 2 2 2 2 4 2" xfId="34091" xr:uid="{A1150C59-2FE0-4991-8E76-F9DDB4184B7C}"/>
    <cellStyle name="常规 2 4 2 2 2 3" xfId="17222" xr:uid="{793CA25B-D465-45D4-9A48-02AD0BDA1D0A}"/>
    <cellStyle name="常规 2 4 2 2 2 3 2" xfId="17223" xr:uid="{FF0EF21C-C285-4FED-9477-D5EAB9DD0882}"/>
    <cellStyle name="常规 2 4 2 2 2 3 2 2" xfId="17224" xr:uid="{9ADD4734-088E-40E8-94B9-5239F6ED1574}"/>
    <cellStyle name="常规 2 4 2 2 2 3 3" xfId="17225" xr:uid="{7EE73DC1-DDFB-4CBD-81BE-44E1BB6E467F}"/>
    <cellStyle name="常规 2 4 2 2 2 3 4" xfId="17226" xr:uid="{511FEA79-FBB6-462B-9E84-4782B36B7719}"/>
    <cellStyle name="常规 2 4 2 2 2 3 4 2" xfId="34092" xr:uid="{668B8111-2264-43A9-A676-E7E406FC033F}"/>
    <cellStyle name="常规 2 4 2 2 2 4" xfId="17227" xr:uid="{5929DBFC-19AD-4AB9-835A-795E0E24AB87}"/>
    <cellStyle name="常规 2 4 2 2 2 4 2" xfId="17228" xr:uid="{0BD6B64A-8329-4E89-85A0-3B62DB000AA7}"/>
    <cellStyle name="常规 2 4 2 2 2 5" xfId="17229" xr:uid="{59620BF7-7B8D-4B4A-B222-0D4893600A90}"/>
    <cellStyle name="常规 2 4 2 2 2 6" xfId="17230" xr:uid="{D6272058-B44F-418A-8942-770DFAEC401B}"/>
    <cellStyle name="常规 2 4 2 2 2 6 2" xfId="34093" xr:uid="{8DF653FD-E593-4190-88C1-42F05433D53D}"/>
    <cellStyle name="常规 2 4 2 2 2 7" xfId="17231" xr:uid="{004E03AA-0372-467C-A96D-F02D8219F21D}"/>
    <cellStyle name="常规 2 4 2 2 3" xfId="17232" xr:uid="{2EC1452A-7762-4996-8BF5-DA08BD507692}"/>
    <cellStyle name="常规 2 4 2 2 3 2" xfId="17233" xr:uid="{466324FB-4C4A-4BC6-A843-91971E22ED19}"/>
    <cellStyle name="常规 2 4 2 2 3 2 2" xfId="17234" xr:uid="{43CE5B56-7EE6-4B61-BD57-C5E62C393974}"/>
    <cellStyle name="常规 2 4 2 2 3 2 3" xfId="17235" xr:uid="{EE2A442F-43F0-443A-9FC6-98E6171256C4}"/>
    <cellStyle name="常规 2 4 2 2 3 3" xfId="17236" xr:uid="{B797285D-8E8A-4969-BB35-C127BF990324}"/>
    <cellStyle name="常规 2 4 2 2 3 3 2" xfId="17237" xr:uid="{19E18493-8432-4723-A260-C44E75B73AAF}"/>
    <cellStyle name="常规 2 4 2 2 3 4" xfId="17238" xr:uid="{75764C7B-89C6-41FE-9056-33678B752752}"/>
    <cellStyle name="常规 2 4 2 2 3 4 2" xfId="17239" xr:uid="{6D43AAC5-5A1D-41F9-A686-A872E5252329}"/>
    <cellStyle name="常规 2 4 2 2 3 4 3" xfId="34094" xr:uid="{3B12D6C6-1263-4B4E-A8B4-AEB1F15BA2F3}"/>
    <cellStyle name="常规 2 4 2 2 3 5" xfId="17240" xr:uid="{E123859B-9F61-43A3-88CA-F1147B1163F1}"/>
    <cellStyle name="常规 2 4 2 2 3 6" xfId="17241" xr:uid="{B0BDE3F9-BA54-41D8-9A87-CF0511E46308}"/>
    <cellStyle name="常规 2 4 2 2 3 7" xfId="17242" xr:uid="{F934677F-69E9-41E6-96CD-505E3433B7B0}"/>
    <cellStyle name="常规 2 4 2 2 4" xfId="17243" xr:uid="{B3394BAF-AD16-4703-950A-14C7AA26AF74}"/>
    <cellStyle name="常规 2 4 2 2 4 2" xfId="17244" xr:uid="{F88F042B-362A-4BC7-964B-77FF9B9F41B3}"/>
    <cellStyle name="常规 2 4 2 2 4 2 2" xfId="17245" xr:uid="{A831582A-ABFC-4928-930B-212EE6947362}"/>
    <cellStyle name="常规 2 4 2 2 4 3" xfId="17246" xr:uid="{B93CEF07-3EEB-423A-9961-68A63EA0F88B}"/>
    <cellStyle name="常规 2 4 2 2 4 4" xfId="17247" xr:uid="{A087D6AD-BEF8-4112-A036-F5F2116E08CC}"/>
    <cellStyle name="常规 2 4 2 2 4 4 2" xfId="34095" xr:uid="{1DDC7810-3CD6-49B0-86F5-DD6F4B47F279}"/>
    <cellStyle name="常规 2 4 2 2 4 5" xfId="17248" xr:uid="{F9FBF45D-D762-4057-89CA-F2B1256E94B1}"/>
    <cellStyle name="常规 2 4 2 2 5" xfId="17249" xr:uid="{884FF996-4493-45FC-A6D5-858AB011DE38}"/>
    <cellStyle name="常规 2 4 2 2 5 2" xfId="17250" xr:uid="{AF91EBD1-1B90-453F-8F92-7460DAF9A704}"/>
    <cellStyle name="常规 2 4 2 2 5 3" xfId="17251" xr:uid="{7323AC6A-A9FE-4AED-A76B-D54CECF428D2}"/>
    <cellStyle name="常规 2 4 2 2 6" xfId="17252" xr:uid="{06A4C45A-C762-4FAC-A023-C1B848836587}"/>
    <cellStyle name="常规 2 4 2 2 6 2" xfId="17253" xr:uid="{5FBA7E56-AD56-4F97-B320-3975D1A78F18}"/>
    <cellStyle name="常规 2 4 2 2 7" xfId="17254" xr:uid="{016951B1-7CB4-4898-89FB-E18A3C1EE37A}"/>
    <cellStyle name="常规 2 4 2 2 7 2" xfId="17255" xr:uid="{46697AE0-F78E-43DF-92E8-241B2021EFB4}"/>
    <cellStyle name="常规 2 4 2 2 7 3" xfId="34096" xr:uid="{092A65CC-13FC-486D-9B82-EC631B05C170}"/>
    <cellStyle name="常规 2 4 2 2 8" xfId="17256" xr:uid="{3DFCAF72-A8E6-416C-9307-BDEA7FFEC3BA}"/>
    <cellStyle name="常规 2 4 2 2 9" xfId="17257" xr:uid="{BF6DC80E-BC83-43E2-8667-9A071B155B8F}"/>
    <cellStyle name="常规 2 4 2 3" xfId="17258" xr:uid="{F981B486-866E-4055-819B-A381893EA020}"/>
    <cellStyle name="常规 2 4 2 3 2" xfId="17259" xr:uid="{62FC3587-61DC-4C3A-80F2-919D6EFF2F77}"/>
    <cellStyle name="常规 2 4 2 3 2 2" xfId="17260" xr:uid="{C198A105-9FED-4898-838D-89A358206A96}"/>
    <cellStyle name="常规 2 4 2 3 2 2 2" xfId="17261" xr:uid="{A4223ABC-2487-47BC-9D17-90871194ADE2}"/>
    <cellStyle name="常规 2 4 2 3 2 2 3" xfId="17262" xr:uid="{4EFDDFE1-6F3D-4DDA-AAC8-16D154D7632D}"/>
    <cellStyle name="常规 2 4 2 3 2 3" xfId="17263" xr:uid="{B1996F9F-25F0-464A-8D82-3BA2D57CDFD8}"/>
    <cellStyle name="常规 2 4 2 3 2 3 2" xfId="17264" xr:uid="{DB9C75C4-2BCA-4564-9FAA-F6DEA49C7EB3}"/>
    <cellStyle name="常规 2 4 2 3 2 4" xfId="17265" xr:uid="{796B5515-A5F9-4C6F-A6F9-7AA5023FDC3C}"/>
    <cellStyle name="常规 2 4 2 3 2 4 2" xfId="17266" xr:uid="{C1E45D0A-A69D-4458-892B-5D438A5CB453}"/>
    <cellStyle name="常规 2 4 2 3 2 4 3" xfId="34097" xr:uid="{172424CE-E56D-4A0D-9DFC-C1B4AE4EFB9D}"/>
    <cellStyle name="常规 2 4 2 3 2 5" xfId="17267" xr:uid="{8014C12F-8EE9-4EC0-A43D-C653026EA6BC}"/>
    <cellStyle name="常规 2 4 2 3 2 6" xfId="17268" xr:uid="{197289AF-9367-4D29-A7A1-5F57A7B6043A}"/>
    <cellStyle name="常规 2 4 2 3 2 7" xfId="17269" xr:uid="{A7A45436-FD56-41FE-B80A-38DAFD8F528B}"/>
    <cellStyle name="常规 2 4 2 3 3" xfId="17270" xr:uid="{196F0F74-90E1-4E94-83C2-67F4D5142EC0}"/>
    <cellStyle name="常规 2 4 2 3 3 2" xfId="17271" xr:uid="{F49F8791-AC48-4778-92DD-A289A5DFD774}"/>
    <cellStyle name="常规 2 4 2 3 4" xfId="17272" xr:uid="{CAB6AD4A-1CE2-4076-A8FE-3FCFDA40C9EA}"/>
    <cellStyle name="常规 2 4 2 3 4 2" xfId="17273" xr:uid="{414256FA-92B6-4816-B1C2-B8AB9E490780}"/>
    <cellStyle name="常规 2 4 2 3 4 3" xfId="17274" xr:uid="{094F4CC6-8112-4FA7-B74F-60CF0895EE2D}"/>
    <cellStyle name="常规 2 4 2 3 5" xfId="17275" xr:uid="{C7EB5BA0-9769-45F4-B126-822CD9C9115E}"/>
    <cellStyle name="常规 2 4 2 3 5 2" xfId="17276" xr:uid="{35B13214-8830-47D2-B757-22E08BDB0028}"/>
    <cellStyle name="常规 2 4 2 3 6" xfId="17277" xr:uid="{7BA0303F-9A61-44A4-A627-1F23FC61125F}"/>
    <cellStyle name="常规 2 4 2 3 6 2" xfId="17278" xr:uid="{CA4C50D2-F301-473F-862A-3DED6A4864D1}"/>
    <cellStyle name="常规 2 4 2 3 6 3" xfId="34098" xr:uid="{F4880E92-E4E1-4DC6-93B9-AB0C2B2526AC}"/>
    <cellStyle name="常规 2 4 2 3 7" xfId="17279" xr:uid="{1DABD942-9579-4E2E-BC07-23783C0075A7}"/>
    <cellStyle name="常规 2 4 2 3 8" xfId="17280" xr:uid="{6462E0FA-AC4B-4600-A0DE-F3F503BE113A}"/>
    <cellStyle name="常规 2 4 2 4" xfId="17281" xr:uid="{3C543DD4-698E-40CE-9E6B-DF916C17EEBF}"/>
    <cellStyle name="常规 2 4 2 4 2" xfId="17282" xr:uid="{5087B027-FF39-47D4-BF81-B476302B5639}"/>
    <cellStyle name="常规 2 4 2 4 2 2" xfId="17283" xr:uid="{F1898E55-3B06-436E-A432-62763DF259A4}"/>
    <cellStyle name="常规 2 4 2 4 2 2 2" xfId="17284" xr:uid="{940D459B-914D-4E65-B210-7C323B9B29CF}"/>
    <cellStyle name="常规 2 4 2 4 2 3" xfId="17285" xr:uid="{4BA1A7EE-CDE4-40DE-A939-BBFF17724A0E}"/>
    <cellStyle name="常规 2 4 2 4 2 4" xfId="17286" xr:uid="{9BAB0D84-8893-48E8-907E-29C01A254BF0}"/>
    <cellStyle name="常规 2 4 2 4 2 4 2" xfId="34099" xr:uid="{586A9517-16D6-41CA-99AE-F208F28D3A76}"/>
    <cellStyle name="常规 2 4 2 4 2 5" xfId="17287" xr:uid="{48E408DF-247D-4FD5-83A9-30A398E275C2}"/>
    <cellStyle name="常规 2 4 2 4 3" xfId="17288" xr:uid="{32B0B13E-DB34-446B-9A1D-B4F632321BFF}"/>
    <cellStyle name="常规 2 4 2 4 3 2" xfId="17289" xr:uid="{620BD9B8-689C-4448-9326-B1EF02920A5D}"/>
    <cellStyle name="常规 2 4 2 4 3 3" xfId="17290" xr:uid="{F2D8BAF1-B316-4E68-9D1F-26309E99307E}"/>
    <cellStyle name="常规 2 4 2 4 4" xfId="17291" xr:uid="{F1746FE3-69D0-46FB-AA04-9A6CE81D5352}"/>
    <cellStyle name="常规 2 4 2 4 4 2" xfId="17292" xr:uid="{FA7D8985-74A2-42EF-900B-4AAF0D5B2131}"/>
    <cellStyle name="常规 2 4 2 4 5" xfId="17293" xr:uid="{D2A760BA-9437-4ADD-8E2D-5F332FA36014}"/>
    <cellStyle name="常规 2 4 2 4 5 2" xfId="17294" xr:uid="{B8831286-2009-4C00-8D15-1F9C74E3574C}"/>
    <cellStyle name="常规 2 4 2 4 5 3" xfId="34100" xr:uid="{66155A0E-76B8-48EC-BE94-C726FF72592A}"/>
    <cellStyle name="常规 2 4 2 4 6" xfId="17295" xr:uid="{7C21D421-ABEC-4459-A7D4-FBFA640C869B}"/>
    <cellStyle name="常规 2 4 2 4 7" xfId="17296" xr:uid="{83102339-99E8-45BB-BCAD-663CCFC253F7}"/>
    <cellStyle name="常规 2 4 2 5" xfId="17297" xr:uid="{67DCB687-2999-43CD-9758-FD6B69266F38}"/>
    <cellStyle name="常规 2 4 2 5 2" xfId="17298" xr:uid="{92C1E535-AC17-4767-8257-AD3CE5644E23}"/>
    <cellStyle name="常规 2 4 2 5 2 2" xfId="17299" xr:uid="{8388873D-6B98-4A07-853A-13C59648E4FB}"/>
    <cellStyle name="常规 2 4 2 5 3" xfId="17300" xr:uid="{E28F78B4-1821-4681-8959-23A0699C01CF}"/>
    <cellStyle name="常规 2 4 2 5 4" xfId="17301" xr:uid="{06A553BF-90AB-4720-B879-505D3383914D}"/>
    <cellStyle name="常规 2 4 2 5 4 2" xfId="34101" xr:uid="{59CEF3DA-7CD1-4EA5-8FCD-969F0B0609DA}"/>
    <cellStyle name="常规 2 4 2 5 5" xfId="17302" xr:uid="{EB0E5E97-E89E-4ECF-842A-0EDFE5411F3E}"/>
    <cellStyle name="常规 2 4 2 6" xfId="17303" xr:uid="{72AC179B-AAF3-4439-B357-63B67A91DE74}"/>
    <cellStyle name="常规 2 4 2 6 2" xfId="17304" xr:uid="{F9C2A1A0-210F-4DA4-B80F-82C4B865E203}"/>
    <cellStyle name="常规 2 4 2 6 3" xfId="17305" xr:uid="{CD239372-78F0-496E-9215-873814D98FBA}"/>
    <cellStyle name="常规 2 4 2 7" xfId="17306" xr:uid="{48760ACE-10BB-4A5A-A41E-386E570FBC96}"/>
    <cellStyle name="常规 2 4 2 7 2" xfId="17307" xr:uid="{E298391D-71F3-4C06-9C81-12156F36914F}"/>
    <cellStyle name="常规 2 4 2 8" xfId="17308" xr:uid="{4E670BC6-5C14-42CC-8288-21E7A4C0BF91}"/>
    <cellStyle name="常规 2 4 2 8 2" xfId="17309" xr:uid="{3FEED8D9-C3FE-4E25-9D96-E8EACC68B09D}"/>
    <cellStyle name="常规 2 4 2 8 3" xfId="34102" xr:uid="{90BD2235-4E69-4B28-930E-8872E629A6DD}"/>
    <cellStyle name="常规 2 4 2 9" xfId="17310" xr:uid="{7ED67417-A56E-4974-9DE3-0EC979B95659}"/>
    <cellStyle name="常规 2 4 2 9 2" xfId="17311" xr:uid="{DD101484-C22B-4346-B3FC-CD0EC966DFBC}"/>
    <cellStyle name="常规 2 4 3" xfId="17312" xr:uid="{5FF6CA7C-5560-474D-8496-3DE8767CAB14}"/>
    <cellStyle name="常规 2 4 3 2" xfId="17313" xr:uid="{2AB65DF7-FD6E-4D70-B084-B60FAF347CCA}"/>
    <cellStyle name="常规 2 4 3 2 2" xfId="17314" xr:uid="{90342F4C-7694-4FDC-8963-981F887F5EDE}"/>
    <cellStyle name="常规 2 4 3 2 2 2" xfId="17315" xr:uid="{C71A25E7-D187-4778-AABA-82578682A821}"/>
    <cellStyle name="常规 2 4 3 2 2 2 2" xfId="17316" xr:uid="{9668AA2B-D98B-44AC-914A-72F648FC33C0}"/>
    <cellStyle name="常规 2 4 3 2 2 2 2 2" xfId="17317" xr:uid="{B223641D-976E-4FE2-B5A4-5EF0F6A520B1}"/>
    <cellStyle name="常规 2 4 3 2 2 2 3" xfId="17318" xr:uid="{040BC838-1DCA-4C33-B32C-EEB248CD48F5}"/>
    <cellStyle name="常规 2 4 3 2 2 2 4" xfId="17319" xr:uid="{CCACCDE2-1828-4267-ACA9-E08F901A6B99}"/>
    <cellStyle name="常规 2 4 3 2 2 2 4 2" xfId="34103" xr:uid="{B2075DA7-21D1-4859-A569-9C3F36C8E261}"/>
    <cellStyle name="常规 2 4 3 2 2 3" xfId="17320" xr:uid="{37D90C68-D900-493F-99A6-0CDB5A9A9A7A}"/>
    <cellStyle name="常规 2 4 3 2 2 3 2" xfId="17321" xr:uid="{24878D1F-0B7F-4B20-8C1C-8A0615B45093}"/>
    <cellStyle name="常规 2 4 3 2 2 4" xfId="17322" xr:uid="{13DEA5BB-5AE4-4BB0-B6F6-61E8451FEFD6}"/>
    <cellStyle name="常规 2 4 3 2 2 5" xfId="17323" xr:uid="{3048E37F-3F1E-4FCB-B9DF-B8F3C59432D5}"/>
    <cellStyle name="常规 2 4 3 2 2 5 2" xfId="34104" xr:uid="{F184A69B-71A1-4C5D-8CEA-D1B3DE50A7C4}"/>
    <cellStyle name="常规 2 4 3 2 3" xfId="17324" xr:uid="{03FA565A-6009-48A6-9F20-5F291B71B286}"/>
    <cellStyle name="常规 2 4 3 2 3 2" xfId="17325" xr:uid="{99CA45B8-EFA5-4B11-9581-E12CB702F2DA}"/>
    <cellStyle name="常规 2 4 3 2 3 2 2" xfId="17326" xr:uid="{82C31B71-136E-4EE3-BF07-CEB71907C2F1}"/>
    <cellStyle name="常规 2 4 3 2 3 3" xfId="17327" xr:uid="{22E5CD4E-4A9E-4289-8DAE-752AE3CDAF4D}"/>
    <cellStyle name="常规 2 4 3 2 3 4" xfId="17328" xr:uid="{EA373E4D-6D1A-4DB0-ACB7-E5FAD31B7C18}"/>
    <cellStyle name="常规 2 4 3 2 3 4 2" xfId="34105" xr:uid="{9C3F1A94-3B19-48BB-A78C-08D0F55BF0D1}"/>
    <cellStyle name="常规 2 4 3 2 4" xfId="17329" xr:uid="{64F206B8-3A52-4DF7-AC9D-DB480C426EA5}"/>
    <cellStyle name="常规 2 4 3 2 4 2" xfId="17330" xr:uid="{96053C5A-A108-438B-960C-5CC0E1D7BFAC}"/>
    <cellStyle name="常规 2 4 3 2 5" xfId="17331" xr:uid="{FB2D1589-0C74-4B9E-8E45-CE851F97C0F4}"/>
    <cellStyle name="常规 2 4 3 2 6" xfId="17332" xr:uid="{337B7011-584C-47E8-AC06-676AD15C0BA2}"/>
    <cellStyle name="常规 2 4 3 2 6 2" xfId="34106" xr:uid="{5E36DBFA-C810-4267-B45E-93215B75228C}"/>
    <cellStyle name="常规 2 4 3 2 7" xfId="17333" xr:uid="{5683D565-64B8-4833-8B26-AE6C75166B16}"/>
    <cellStyle name="常规 2 4 3 3" xfId="17334" xr:uid="{385F3018-6782-4229-9119-F652BCBE93BF}"/>
    <cellStyle name="常规 2 4 3 3 2" xfId="17335" xr:uid="{11223EEB-8327-4BB2-942E-A92DBD7D174B}"/>
    <cellStyle name="常规 2 4 3 3 2 2" xfId="17336" xr:uid="{07CC1E5B-695F-4262-8413-8B9C96367F8B}"/>
    <cellStyle name="常规 2 4 3 3 2 2 2" xfId="17337" xr:uid="{408B50B4-EBDD-45C0-8AEB-85F4F4B65ABC}"/>
    <cellStyle name="常规 2 4 3 3 2 3" xfId="17338" xr:uid="{E589DF22-EE34-4ECC-B912-02F2E7B3C6E0}"/>
    <cellStyle name="常规 2 4 3 3 2 4" xfId="17339" xr:uid="{C4FE4140-3C74-43F3-B035-A825DF551CA9}"/>
    <cellStyle name="常规 2 4 3 3 2 4 2" xfId="34107" xr:uid="{01A1D44B-819C-48FB-B0F7-DACECD72FCF2}"/>
    <cellStyle name="常规 2 4 3 3 2 5" xfId="17340" xr:uid="{60901675-75BC-45AA-83DD-5148EC9C07C7}"/>
    <cellStyle name="常规 2 4 3 3 3" xfId="17341" xr:uid="{C8B957E2-52F7-461E-9924-BF8A86EC7E49}"/>
    <cellStyle name="常规 2 4 3 3 3 2" xfId="17342" xr:uid="{0E005C0B-6561-4445-9D14-E456ECB92661}"/>
    <cellStyle name="常规 2 4 3 3 4" xfId="17343" xr:uid="{710BFB7A-DDA4-4E60-8D3A-7AB06A06FB39}"/>
    <cellStyle name="常规 2 4 3 3 4 2" xfId="17344" xr:uid="{4BB952AB-0E1F-447F-AB8B-8913D7FD9C92}"/>
    <cellStyle name="常规 2 4 3 3 4 3" xfId="17345" xr:uid="{422483F8-892B-4397-9008-AA253000A5FC}"/>
    <cellStyle name="常规 2 4 3 3 5" xfId="17346" xr:uid="{16220061-C937-4DCE-9063-862B34D46A3E}"/>
    <cellStyle name="常规 2 4 3 3 5 2" xfId="17347" xr:uid="{6FE827EF-2C71-4108-931E-C538BA666A21}"/>
    <cellStyle name="常规 2 4 3 3 6" xfId="17348" xr:uid="{BC4492B1-D92D-4186-AB37-AD08C58BA7CC}"/>
    <cellStyle name="常规 2 4 3 3 6 2" xfId="17349" xr:uid="{39CF5526-8561-4916-A538-9293EA008690}"/>
    <cellStyle name="常规 2 4 3 3 6 3" xfId="34108" xr:uid="{8A4A582E-A58D-4602-AABA-0660045FD4F8}"/>
    <cellStyle name="常规 2 4 3 3 7" xfId="17350" xr:uid="{4DE51D11-F878-4FE0-996E-EB5902C74AD9}"/>
    <cellStyle name="常规 2 4 3 4" xfId="17351" xr:uid="{C2EA64E6-141E-4CD7-AA73-127704577CA9}"/>
    <cellStyle name="常规 2 4 3 4 2" xfId="17352" xr:uid="{7C7E90BD-2F8D-4EBC-93B5-DC8C02805B15}"/>
    <cellStyle name="常规 2 4 3 4 2 2" xfId="17353" xr:uid="{934C6713-B3B6-4FA0-81F0-F2C3951163A9}"/>
    <cellStyle name="常规 2 4 3 4 2 2 2" xfId="17354" xr:uid="{36AE7C5F-76B7-432F-9204-D457E2EC65AF}"/>
    <cellStyle name="常规 2 4 3 4 2 3" xfId="17355" xr:uid="{12EE1689-2846-43AA-B36D-5FF613C316A6}"/>
    <cellStyle name="常规 2 4 3 4 2 4" xfId="17356" xr:uid="{A8F10B8C-5BC0-4D6E-AD9C-A6D2DA745DCB}"/>
    <cellStyle name="常规 2 4 3 4 2 4 2" xfId="34109" xr:uid="{D327B664-E52B-4D5B-A0E1-30DF4484EBC9}"/>
    <cellStyle name="常规 2 4 3 4 3" xfId="17357" xr:uid="{2FD8B887-CDD2-4003-8512-37DEF52F5A8B}"/>
    <cellStyle name="常规 2 4 3 4 3 2" xfId="17358" xr:uid="{834CCCD5-177F-41AB-A5D4-2987C5D3C41A}"/>
    <cellStyle name="常规 2 4 3 4 4" xfId="17359" xr:uid="{B951711E-AD06-4AC2-B2DB-27F717EF6E52}"/>
    <cellStyle name="常规 2 4 3 4 5" xfId="17360" xr:uid="{82DACEF2-D056-4491-8781-E66ADBCDA7B3}"/>
    <cellStyle name="常规 2 4 3 4 5 2" xfId="34110" xr:uid="{1AD4935E-8BC0-4080-B56D-63B0045598CA}"/>
    <cellStyle name="常规 2 4 3 4 6" xfId="17361" xr:uid="{5B82FDEC-32CB-40CE-BB78-D463D6BE843D}"/>
    <cellStyle name="常规 2 4 3 5" xfId="17362" xr:uid="{E3A19020-76C1-4232-9FF3-91DC666D2E60}"/>
    <cellStyle name="常规 2 4 3 5 2" xfId="17363" xr:uid="{BD72F635-5B29-4DE1-9577-AF1DF53E2039}"/>
    <cellStyle name="常规 2 4 3 5 2 2" xfId="17364" xr:uid="{A49C56A5-5A09-45E6-AEB9-FDF97A58C879}"/>
    <cellStyle name="常规 2 4 3 5 3" xfId="17365" xr:uid="{C6295200-6172-4D1C-8615-01CC5156827B}"/>
    <cellStyle name="常规 2 4 3 5 4" xfId="17366" xr:uid="{29F79808-A3C5-4FCC-A6D5-21230B6FC599}"/>
    <cellStyle name="常规 2 4 3 5 4 2" xfId="34111" xr:uid="{058C638E-0E68-4711-9E82-EFA5B8DAD09D}"/>
    <cellStyle name="常规 2 4 3 5 5" xfId="17367" xr:uid="{D9EBEEF4-3629-4426-9D71-6C549F44B3C6}"/>
    <cellStyle name="常规 2 4 3 6" xfId="17368" xr:uid="{481D26B5-EEDD-4FF6-A7A7-B4618A8CF3E9}"/>
    <cellStyle name="常规 2 4 3 6 2" xfId="17369" xr:uid="{14591DE9-712D-4D6F-A34F-3171EB94BBFE}"/>
    <cellStyle name="常规 2 4 3 6 3" xfId="17370" xr:uid="{7DA1AD44-27EC-4ECF-BCE3-9D68467543E4}"/>
    <cellStyle name="常规 2 4 3 7" xfId="17371" xr:uid="{D520A5B7-8226-4840-8337-B8EB7D88D5BD}"/>
    <cellStyle name="常规 2 4 3 7 2" xfId="17372" xr:uid="{61084660-B776-4549-AB83-FE7B820D9974}"/>
    <cellStyle name="常规 2 4 3 8" xfId="17373" xr:uid="{02E84D5C-BCF6-4FBF-9AE6-FDE83F08D28D}"/>
    <cellStyle name="常规 2 4 3 8 2" xfId="17374" xr:uid="{40C2FC3A-4563-4AF6-875A-713567728A7B}"/>
    <cellStyle name="常规 2 4 3 8 3" xfId="34112" xr:uid="{FFA688C0-975B-4709-A09D-841CD4318A3B}"/>
    <cellStyle name="常规 2 4 3 9" xfId="17375" xr:uid="{1B197400-2908-4E69-95F9-CCEB49849B40}"/>
    <cellStyle name="常规 2 4 4" xfId="17376" xr:uid="{7B3A4510-D83F-4DCF-B5F6-2C2E88F61765}"/>
    <cellStyle name="常规 2 4 4 2" xfId="17377" xr:uid="{980E0479-3158-4E2A-A304-588038B265C8}"/>
    <cellStyle name="常规 2 4 4 2 2" xfId="17378" xr:uid="{07021C42-65FC-42B6-B073-8AB08B5FF575}"/>
    <cellStyle name="常规 2 4 4 2 2 2" xfId="17379" xr:uid="{DEE5AF2E-95C0-4A33-AF3D-601B7C2D2E3E}"/>
    <cellStyle name="常规 2 4 4 2 2 2 2" xfId="17380" xr:uid="{99F7CC4C-74CC-4E38-9C2E-09959EB5E189}"/>
    <cellStyle name="常规 2 4 4 2 2 3" xfId="17381" xr:uid="{3150903D-1F3B-4967-8A0B-1E577FE4660C}"/>
    <cellStyle name="常规 2 4 4 2 2 4" xfId="17382" xr:uid="{DBA9FDF2-3EAD-4B2C-94E8-DFFA5C82D304}"/>
    <cellStyle name="常规 2 4 4 2 2 4 2" xfId="34113" xr:uid="{D0FDBFBC-002D-4021-A897-48CF0DC4B11E}"/>
    <cellStyle name="常规 2 4 4 2 3" xfId="17383" xr:uid="{2572127F-1CA4-4711-80A0-98077BA6163A}"/>
    <cellStyle name="常规 2 4 4 2 3 2" xfId="17384" xr:uid="{B1730E07-5FD6-4E56-88BF-97F5EE2C1171}"/>
    <cellStyle name="常规 2 4 4 2 3 2 2" xfId="17385" xr:uid="{70B874A7-6611-4C41-9DEF-B0CF0A8BC2FB}"/>
    <cellStyle name="常规 2 4 4 2 3 3" xfId="17386" xr:uid="{AF436330-0B5F-435B-92AB-A48FFA0FF484}"/>
    <cellStyle name="常规 2 4 4 2 3 4" xfId="17387" xr:uid="{6DF3BA0F-4592-472A-A39A-DEFCBF615CB4}"/>
    <cellStyle name="常规 2 4 4 2 3 4 2" xfId="34114" xr:uid="{A253757F-8357-481D-92B7-742702E1C807}"/>
    <cellStyle name="常规 2 4 4 2 4" xfId="17388" xr:uid="{573A6B44-70CF-4E98-B36A-25218671D06B}"/>
    <cellStyle name="常规 2 4 4 2 4 2" xfId="17389" xr:uid="{60B8BB69-FD90-4C19-A6DB-0A6310619D04}"/>
    <cellStyle name="常规 2 4 4 2 5" xfId="17390" xr:uid="{DBBBA62F-D699-41F9-BFD9-4EC247E533C3}"/>
    <cellStyle name="常规 2 4 4 2 6" xfId="17391" xr:uid="{E3F78A98-1480-49DA-B54C-E1037CDD9A34}"/>
    <cellStyle name="常规 2 4 4 2 6 2" xfId="34115" xr:uid="{D3D2EB8E-8341-4E3E-AAC3-8F2BF5F8D74D}"/>
    <cellStyle name="常规 2 4 4 2 7" xfId="17392" xr:uid="{3889B12F-E758-408B-9A0B-EC9E537A8855}"/>
    <cellStyle name="常规 2 4 4 3" xfId="17393" xr:uid="{47FC1D04-65B3-4114-833C-5B6DF8536997}"/>
    <cellStyle name="常规 2 4 4 3 2" xfId="17394" xr:uid="{8C0AD398-B31F-4927-9E7F-85258C94A83A}"/>
    <cellStyle name="常规 2 4 4 3 2 2" xfId="17395" xr:uid="{9DB635E8-5C70-4236-AD84-E76DC8D5C5B7}"/>
    <cellStyle name="常规 2 4 4 3 3" xfId="17396" xr:uid="{43F823CA-0CBC-4B2F-819C-8139D6F93FEE}"/>
    <cellStyle name="常规 2 4 4 3 4" xfId="17397" xr:uid="{1CC8D8E9-D9FF-4CF5-86CE-8A8DAAD6F4F7}"/>
    <cellStyle name="常规 2 4 4 3 4 2" xfId="34116" xr:uid="{2AF2CEBE-5BCF-420E-83B6-DBEB537861C7}"/>
    <cellStyle name="常规 2 4 4 4" xfId="17398" xr:uid="{FE4E2A3F-6FC2-497B-A5FE-49286C59DFEA}"/>
    <cellStyle name="常规 2 4 4 4 2" xfId="17399" xr:uid="{202CD060-2596-4027-9B9A-505FA77D1B03}"/>
    <cellStyle name="常规 2 4 4 4 2 2" xfId="17400" xr:uid="{0344D281-C462-4704-BCC9-78083D7C243F}"/>
    <cellStyle name="常规 2 4 4 4 3" xfId="17401" xr:uid="{78362C15-C395-47DC-8E65-887D5200846C}"/>
    <cellStyle name="常规 2 4 4 4 4" xfId="17402" xr:uid="{78B6CB1F-9B6E-47DE-8206-6AC86F8C6122}"/>
    <cellStyle name="常规 2 4 4 4 4 2" xfId="34117" xr:uid="{C8C5DE38-E548-411E-BF51-DBEB4006E4AF}"/>
    <cellStyle name="常规 2 4 4 5" xfId="17403" xr:uid="{FB40C9B0-AEF7-4EB1-A586-D677EDAF21CF}"/>
    <cellStyle name="常规 2 4 4 5 2" xfId="17404" xr:uid="{E394DE36-4863-4DF7-BD6D-5519FC8A6F01}"/>
    <cellStyle name="常规 2 4 4 6" xfId="17405" xr:uid="{B7D569A3-8AFA-4090-BEAD-69FCFDB7EAAB}"/>
    <cellStyle name="常规 2 4 4 7" xfId="17406" xr:uid="{76CD21C4-0EA5-4984-827C-C6AFF56CD236}"/>
    <cellStyle name="常规 2 4 4 7 2" xfId="34118" xr:uid="{50E57A98-6C44-4478-B774-CC29870D3B25}"/>
    <cellStyle name="常规 2 4 4 8" xfId="17407" xr:uid="{19F31E80-1ED8-4BFE-A0CA-2BD867E16522}"/>
    <cellStyle name="常规 2 4 4 9" xfId="17408" xr:uid="{9C1CC0A2-2DC0-4940-97AB-98F77DDD2544}"/>
    <cellStyle name="常规 2 4 5" xfId="17409" xr:uid="{A958A346-7FED-491A-9379-24C4B040BD36}"/>
    <cellStyle name="常规 2 4 5 2" xfId="17410" xr:uid="{D1AF02AD-2EB7-4DB9-AD2C-428869BCBFC6}"/>
    <cellStyle name="常规 2 4 5 2 2" xfId="17411" xr:uid="{3EAE131C-D968-4907-8FDA-52E52D28E047}"/>
    <cellStyle name="常规 2 4 5 2 2 2" xfId="17412" xr:uid="{01E8012C-BA9B-4A7B-A4AC-E9C0CCCBEA90}"/>
    <cellStyle name="常规 2 4 5 2 3" xfId="17413" xr:uid="{66C3274B-08AB-415A-A296-80399DFA5D24}"/>
    <cellStyle name="常规 2 4 5 2 4" xfId="17414" xr:uid="{22FEB416-A0C5-45D4-B31F-AC3436DAD8FB}"/>
    <cellStyle name="常规 2 4 5 2 4 2" xfId="34119" xr:uid="{356B60B6-A086-433A-8BBD-0FC0A980799D}"/>
    <cellStyle name="常规 2 4 5 3" xfId="17415" xr:uid="{9809C2D9-0559-4276-84ED-5DB7E35E1DFB}"/>
    <cellStyle name="常规 2 4 5 3 2" xfId="17416" xr:uid="{A0D7797A-5B82-425D-BB49-92479B4FE6EF}"/>
    <cellStyle name="常规 2 4 5 3 3" xfId="17417" xr:uid="{7A178871-7616-4FC2-A8D7-A4BC49C1132F}"/>
    <cellStyle name="常规 2 4 5 3 4" xfId="17418" xr:uid="{BE9FA764-AB2A-41F4-AE37-6771750B643F}"/>
    <cellStyle name="常规 2 4 5 4" xfId="17419" xr:uid="{75B439D5-3E45-4E57-972E-E2150DC4C93B}"/>
    <cellStyle name="常规 2 4 5 4 2" xfId="17420" xr:uid="{06E67EC7-A7E0-43FC-A60C-8877694E372E}"/>
    <cellStyle name="常规 2 4 5 5" xfId="17421" xr:uid="{E7F7AE8F-6421-4ED5-985E-76368E2BF27D}"/>
    <cellStyle name="常规 2 4 5 6" xfId="17422" xr:uid="{963A0940-E25C-4823-8A68-B332096C4F65}"/>
    <cellStyle name="常规 2 4 5 6 2" xfId="34120" xr:uid="{6FCA6CE0-B8D6-474B-9859-2F39855A0831}"/>
    <cellStyle name="常规 2 4 5 7" xfId="17423" xr:uid="{9620CB90-1134-46C7-9045-68F0B30C5270}"/>
    <cellStyle name="常规 2 4 5 8" xfId="17424" xr:uid="{9F663C0C-9FD1-4F5D-BDC8-41EEA2D24BF7}"/>
    <cellStyle name="常规 2 4 6" xfId="17425" xr:uid="{0EA51AAD-9D1B-4ECE-A849-38E85FA87354}"/>
    <cellStyle name="常规 2 4 6 2" xfId="17426" xr:uid="{A5B9B394-A48D-43D7-8BD6-9830D11EE7B9}"/>
    <cellStyle name="常规 2 4 6 3" xfId="17427" xr:uid="{7597A5B3-3A89-4890-9D65-A38735AF268F}"/>
    <cellStyle name="常规 2 4 6 3 2" xfId="17428" xr:uid="{F0CCAFD7-22D7-4886-9619-7C81B136D0F0}"/>
    <cellStyle name="常规 2 4 6 4" xfId="17429" xr:uid="{7734BC45-36B0-4D13-9D74-9C439DC4DAB9}"/>
    <cellStyle name="常规 2 4 6 5" xfId="17430" xr:uid="{9A93B9C7-BB75-4C92-82C0-0885159D94F7}"/>
    <cellStyle name="常规 2 4 6 5 2" xfId="34121" xr:uid="{F1117E0C-BBE2-4848-89AC-3800E5CF0AA8}"/>
    <cellStyle name="常规 2 4 6 6" xfId="17431" xr:uid="{E41D6B75-E8AD-4A89-BB0B-217B65475DEF}"/>
    <cellStyle name="常规 2 4 7" xfId="17432" xr:uid="{3CCDC7C8-DE4F-4ABE-8AF2-1D612CB41369}"/>
    <cellStyle name="常规 2 4 7 2" xfId="17433" xr:uid="{39820E49-D82C-434B-A9D9-4400C05F3BF8}"/>
    <cellStyle name="常规 2 4 7 3" xfId="17434" xr:uid="{3880BDC6-0419-49B7-A63A-3A4FA0762D44}"/>
    <cellStyle name="常规 2 4 7 4" xfId="17435" xr:uid="{D2917043-CC41-4175-B675-ECFC8B5F6F27}"/>
    <cellStyle name="常规 2 4 7 5" xfId="17436" xr:uid="{26C3E8B6-44A1-4B13-85CF-3BFB9D28CCA8}"/>
    <cellStyle name="常规 2 4 7 6" xfId="17437" xr:uid="{5120168E-2A3A-44C2-83E2-8720533E70AC}"/>
    <cellStyle name="常规 2 4 7 7" xfId="17438" xr:uid="{A52E25DB-9513-4082-A6D7-1C2DAB768B12}"/>
    <cellStyle name="常规 2 4 8" xfId="17439" xr:uid="{B2CC2030-42C9-499D-A198-C507F6BF5728}"/>
    <cellStyle name="常规 2 4 8 2" xfId="17440" xr:uid="{3E641DF6-AC39-4309-90E8-E7CFED632CF9}"/>
    <cellStyle name="常规 2 4 8 2 2" xfId="17441" xr:uid="{49584E3A-A193-4EB2-83F4-2D7B5E4EACC8}"/>
    <cellStyle name="常规 2 4 8 3" xfId="17442" xr:uid="{6E196380-A355-42FB-821B-1F60D68D0B3C}"/>
    <cellStyle name="常规 2 4 8 4" xfId="17443" xr:uid="{DEF08ACB-D3BA-41DB-9B24-FCD3EB6F12C8}"/>
    <cellStyle name="常规 2 4 8 4 2" xfId="34122" xr:uid="{3E701C63-16AA-426E-A32F-FB94DE2ECD46}"/>
    <cellStyle name="常规 2 4 8 5" xfId="17444" xr:uid="{A6319D43-A45E-4119-95DF-6FED3F905A05}"/>
    <cellStyle name="常规 2 4 9" xfId="17445" xr:uid="{73561087-D658-418E-A9CD-715EEE60964A}"/>
    <cellStyle name="常规 2 4 9 2" xfId="17446" xr:uid="{349BCC92-C74F-4A9C-99DA-D175022E101E}"/>
    <cellStyle name="常规 2 4 9 2 2" xfId="17447" xr:uid="{2C81C110-AC94-445A-8430-095452C325BC}"/>
    <cellStyle name="常规 2 4 9 3" xfId="17448" xr:uid="{EB7868BC-7DFA-483E-A304-7C5A576EB598}"/>
    <cellStyle name="常规 2 4 9 4" xfId="17449" xr:uid="{993A998E-7B6B-441B-9EA6-D932F015F721}"/>
    <cellStyle name="常规 2 4 9 4 2" xfId="34123" xr:uid="{B38B9C76-85F7-4D6A-9C1E-91C7E4432782}"/>
    <cellStyle name="常规 2 4 9 5" xfId="17450" xr:uid="{ECEF66E5-20A8-49BA-9D71-5982D5205707}"/>
    <cellStyle name="常规 2 4_7月7反馈" xfId="17451" xr:uid="{5FBB3C5C-CA67-40DD-AD47-CF6F6E6D7CCD}"/>
    <cellStyle name="常规 2 40" xfId="17452" xr:uid="{6F008F4F-6039-4232-A5C7-E8C48F63EE1E}"/>
    <cellStyle name="常规 2 41" xfId="17453" xr:uid="{B967AE45-176D-4B9A-8F18-DFD86F155747}"/>
    <cellStyle name="常规 2 42" xfId="17454" xr:uid="{5EB8F8B5-3D6F-45C6-91BF-661FDCE0CAFF}"/>
    <cellStyle name="常规 2 43" xfId="17455" xr:uid="{364A215E-2F2C-49CE-B2F2-C4B04663283D}"/>
    <cellStyle name="常规 2 44" xfId="34124" xr:uid="{45B44E02-7BD1-4AE7-9A46-6477C18FC406}"/>
    <cellStyle name="常规 2 45" xfId="34125" xr:uid="{9A74A73D-E427-423E-AC12-FE24E6B3CFB7}"/>
    <cellStyle name="常规 2 46" xfId="34126" xr:uid="{AF21F490-28F8-4E29-A227-31D64085C5EE}"/>
    <cellStyle name="常规 2 47" xfId="15506" xr:uid="{2E8571B6-317C-4279-AEC3-9587A53DCF1E}"/>
    <cellStyle name="常规 2 5" xfId="17456" xr:uid="{083F09B4-D232-4673-BAD9-DFB8CD3DCD71}"/>
    <cellStyle name="常规 2 5 2" xfId="17457" xr:uid="{A32E3A60-D0B5-4EEC-BFF7-1AEF34A5BE41}"/>
    <cellStyle name="常规 2 5 2 2" xfId="17458" xr:uid="{5630F962-D36A-46D5-995B-D7DE86D9EF52}"/>
    <cellStyle name="常规 2 5 2 3" xfId="17459" xr:uid="{AA8F94AB-87BB-44AE-9BE1-E8C461B4F703}"/>
    <cellStyle name="常规 2 5 2 4" xfId="17460" xr:uid="{DD02333C-E575-4F37-BE4E-2DC68FC81FE9}"/>
    <cellStyle name="常规 2 5 2 5" xfId="17461" xr:uid="{46A70C05-DFAE-4683-8009-0820BF0D0A80}"/>
    <cellStyle name="常规 2 5 3" xfId="17462" xr:uid="{5E0FA5BF-0F8D-413B-9545-F67D5BF2588F}"/>
    <cellStyle name="常规 2 5 3 2" xfId="17463" xr:uid="{1ABB6601-BB2E-4FFA-BB6B-24142D325A6B}"/>
    <cellStyle name="常规 2 5 4" xfId="17464" xr:uid="{151C20F1-6A2C-484A-AC21-C6EFCF34D59A}"/>
    <cellStyle name="常规 2 5 4 2" xfId="17465" xr:uid="{AC7E3E4E-A543-4701-8F93-A521761F5F15}"/>
    <cellStyle name="常规 2 5 5" xfId="17466" xr:uid="{609AA721-1C4B-49B9-94F1-7D3EC6F55D9D}"/>
    <cellStyle name="常规 2 5 6" xfId="17467" xr:uid="{C78748CF-B6E0-44E9-9C05-A8E4CE840079}"/>
    <cellStyle name="常规 2 5 7" xfId="17468" xr:uid="{3E6A859F-4EA1-40C4-B7F9-DB220D1218F8}"/>
    <cellStyle name="常规 2 5 8" xfId="34127" xr:uid="{9C51F490-E9DF-4771-909D-5216E8ECDB11}"/>
    <cellStyle name="常规 2 6" xfId="17469" xr:uid="{F5E84EA8-667E-467C-86F8-C63B5F121DB4}"/>
    <cellStyle name="常规 2 6 10" xfId="17470" xr:uid="{1B89631F-05E9-4DB9-8C65-CA464B03CAEB}"/>
    <cellStyle name="常规 2 6 10 2" xfId="17471" xr:uid="{2783EC62-EB2D-4573-8074-EDDDD9E16A01}"/>
    <cellStyle name="常规 2 6 11" xfId="17472" xr:uid="{6B7E4007-C37A-4316-8528-7EB5516F36BD}"/>
    <cellStyle name="常规 2 6 12" xfId="17473" xr:uid="{4F38B2FC-3862-4670-8A36-4FBD6452749C}"/>
    <cellStyle name="常规 2 6 2" xfId="17474" xr:uid="{4DE41C42-DC5F-4636-9F00-B5A4E1A77F60}"/>
    <cellStyle name="常规 2 6 2 2" xfId="17475" xr:uid="{B56B98A0-C15B-4693-A653-DF4AA6209758}"/>
    <cellStyle name="常规 2 6 2 2 2" xfId="17476" xr:uid="{9CBF4B4B-F696-4B73-A7B1-DE233434B584}"/>
    <cellStyle name="常规 2 6 2 2 2 2" xfId="17477" xr:uid="{DB40A931-49E1-4088-BB4C-6F72E2639BB8}"/>
    <cellStyle name="常规 2 6 2 2 2 2 2" xfId="17478" xr:uid="{79EB4893-B118-4642-A392-AE1C70C7B043}"/>
    <cellStyle name="常规 2 6 2 2 2 2 2 2" xfId="17479" xr:uid="{09A08C8E-CE36-40D3-8D20-D3042395A95D}"/>
    <cellStyle name="常规 2 6 2 2 2 2 2 2 2" xfId="17480" xr:uid="{7F551F12-9DE5-474A-917F-8C5A6E251001}"/>
    <cellStyle name="常规 2 6 2 2 2 2 2 3" xfId="17481" xr:uid="{022FD525-0FC4-4AB9-A8D2-6C57DAC939AA}"/>
    <cellStyle name="常规 2 6 2 2 2 2 2 4" xfId="17482" xr:uid="{90E78766-3480-4FB1-BD0D-A028A28EF68E}"/>
    <cellStyle name="常规 2 6 2 2 2 2 2 4 2" xfId="34128" xr:uid="{3DF56B9A-4E51-4AD9-8866-7785571DD660}"/>
    <cellStyle name="常规 2 6 2 2 2 2 2 5" xfId="17483" xr:uid="{E58C737F-75CB-4E41-8ACF-72502C931FEF}"/>
    <cellStyle name="常规 2 6 2 2 2 2 3" xfId="17484" xr:uid="{8C699F55-7584-4D17-9189-15ADC9DB3311}"/>
    <cellStyle name="常规 2 6 2 2 2 2 3 2" xfId="17485" xr:uid="{9376B4D6-F98A-4775-A9C2-361445FBD274}"/>
    <cellStyle name="常规 2 6 2 2 2 2 3 3" xfId="17486" xr:uid="{DCF1ACE1-C5B1-4E8A-BB0A-2401EBC6AB0C}"/>
    <cellStyle name="常规 2 6 2 2 2 2 4" xfId="17487" xr:uid="{FDFB046B-2442-4525-91A4-71C44F60BCF5}"/>
    <cellStyle name="常规 2 6 2 2 2 2 4 2" xfId="17488" xr:uid="{5502A78E-AAF7-43B4-BAE1-946F8D35AF3D}"/>
    <cellStyle name="常规 2 6 2 2 2 2 5" xfId="17489" xr:uid="{030D57B5-4F73-49F1-A1F5-6373A005E237}"/>
    <cellStyle name="常规 2 6 2 2 2 2 5 2" xfId="17490" xr:uid="{F45873C1-EF8C-49BD-A625-9E9FAFD0EAF4}"/>
    <cellStyle name="常规 2 6 2 2 2 2 5 3" xfId="34129" xr:uid="{A850AD4A-A7EC-4ABB-8182-B0E062C4AC23}"/>
    <cellStyle name="常规 2 6 2 2 2 2 6" xfId="17491" xr:uid="{D9317BCD-4B96-4EB3-8616-B9E4830849A0}"/>
    <cellStyle name="常规 2 6 2 2 2 2 7" xfId="17492" xr:uid="{2994B94B-3C6C-4B56-B203-84BBEC396BB8}"/>
    <cellStyle name="常规 2 6 2 2 2 3" xfId="17493" xr:uid="{C3F0D340-FE7A-4EEB-9088-66E9249309F6}"/>
    <cellStyle name="常规 2 6 2 2 2 3 2" xfId="17494" xr:uid="{27B839D2-1867-42CD-AE8C-75EFE9677739}"/>
    <cellStyle name="常规 2 6 2 2 2 3 2 2" xfId="17495" xr:uid="{F5E96253-28BE-4CD8-BD88-107E9C9FBAE2}"/>
    <cellStyle name="常规 2 6 2 2 2 3 3" xfId="17496" xr:uid="{300D18C8-134D-4A3B-8ABA-7A4FA3B2E44C}"/>
    <cellStyle name="常规 2 6 2 2 2 3 4" xfId="17497" xr:uid="{4E46EA27-DB88-4DEE-A910-41E40D011AF2}"/>
    <cellStyle name="常规 2 6 2 2 2 3 4 2" xfId="34130" xr:uid="{EFE228BD-D513-4BEC-A122-370155E983DF}"/>
    <cellStyle name="常规 2 6 2 2 2 3 5" xfId="17498" xr:uid="{2A931E09-EB1B-46F9-BB61-8934E92AAC45}"/>
    <cellStyle name="常规 2 6 2 2 2 4" xfId="17499" xr:uid="{1297CC04-6D66-4FC0-8056-44D57814CC36}"/>
    <cellStyle name="常规 2 6 2 2 2 4 2" xfId="17500" xr:uid="{9CEADD82-029A-494E-A71C-53246D1EEF0A}"/>
    <cellStyle name="常规 2 6 2 2 2 4 3" xfId="17501" xr:uid="{1B046B26-1EEF-4009-B9C5-2C173C9EE92D}"/>
    <cellStyle name="常规 2 6 2 2 2 5" xfId="17502" xr:uid="{47E23EDA-94F9-441E-9DBF-17FA918C50A4}"/>
    <cellStyle name="常规 2 6 2 2 2 5 2" xfId="17503" xr:uid="{1C145966-F2A4-492F-976B-A7DDE0346FBC}"/>
    <cellStyle name="常规 2 6 2 2 2 6" xfId="17504" xr:uid="{CB3ABF78-F624-4BC8-A1A1-1CEDB8C9B9FF}"/>
    <cellStyle name="常规 2 6 2 2 2 6 2" xfId="17505" xr:uid="{B4590842-93A9-444D-BE6D-79B95AACE674}"/>
    <cellStyle name="常规 2 6 2 2 2 6 3" xfId="34131" xr:uid="{CF4262FD-1422-464B-A37E-CD08824F1C9C}"/>
    <cellStyle name="常规 2 6 2 2 2 7" xfId="17506" xr:uid="{246FA2EC-F1C9-43E1-9D00-5329556C4C10}"/>
    <cellStyle name="常规 2 6 2 2 2 8" xfId="17507" xr:uid="{4079DC5A-3474-4195-AF46-EE87F1D8178B}"/>
    <cellStyle name="常规 2 6 2 2 3" xfId="17508" xr:uid="{1FBC7CB8-2813-4368-ACFA-FB3FA60B5760}"/>
    <cellStyle name="常规 2 6 2 2 3 2" xfId="17509" xr:uid="{7357FE4D-5729-498C-B459-2D669369F45A}"/>
    <cellStyle name="常规 2 6 2 2 3 2 2" xfId="17510" xr:uid="{04E41B43-398C-43C1-9F37-EE704C6BC721}"/>
    <cellStyle name="常规 2 6 2 2 3 2 2 2" xfId="17511" xr:uid="{60F9A9DD-4FA6-4A5D-A39F-B770DC4979FE}"/>
    <cellStyle name="常规 2 6 2 2 3 2 3" xfId="17512" xr:uid="{4FCE5B6A-BC9C-4B7D-B32B-62B400B56D87}"/>
    <cellStyle name="常规 2 6 2 2 3 2 4" xfId="17513" xr:uid="{EA919638-854D-40B3-AC14-19EBFA98D650}"/>
    <cellStyle name="常规 2 6 2 2 3 2 4 2" xfId="34132" xr:uid="{1ED6A566-063F-4096-AA05-F1653BEAC9EF}"/>
    <cellStyle name="常规 2 6 2 2 3 2 5" xfId="17514" xr:uid="{B596BE79-0204-4622-BC8E-D94BC79AA3B4}"/>
    <cellStyle name="常规 2 6 2 2 3 3" xfId="17515" xr:uid="{EC48A3AE-24E0-46A7-B1FA-CC9822A123A1}"/>
    <cellStyle name="常规 2 6 2 2 3 3 2" xfId="17516" xr:uid="{9F964F35-3127-48C0-8FD8-1A632943AC49}"/>
    <cellStyle name="常规 2 6 2 2 3 3 3" xfId="17517" xr:uid="{AD37FA5B-88EA-41C2-9A6E-BDEFB4AA6C51}"/>
    <cellStyle name="常规 2 6 2 2 3 4" xfId="17518" xr:uid="{431B90D6-5D17-4A5D-9079-95B2FC94E240}"/>
    <cellStyle name="常规 2 6 2 2 3 4 2" xfId="17519" xr:uid="{11DD1FE6-93BB-4FCB-B46B-2DE52E79867D}"/>
    <cellStyle name="常规 2 6 2 2 3 5" xfId="17520" xr:uid="{1F9C9137-06F6-475A-8D89-086749C88992}"/>
    <cellStyle name="常规 2 6 2 2 3 5 2" xfId="17521" xr:uid="{3B0EB011-79EB-4BDF-AC1F-3B896F6E242D}"/>
    <cellStyle name="常规 2 6 2 2 3 5 3" xfId="34133" xr:uid="{DCED2402-BED6-4665-AA0C-1ABAC7E68D2D}"/>
    <cellStyle name="常规 2 6 2 2 3 6" xfId="17522" xr:uid="{9DE15F52-BF49-422F-9837-A462B2650569}"/>
    <cellStyle name="常规 2 6 2 2 3 7" xfId="17523" xr:uid="{14F8B26A-50F7-4FF8-B435-B26F505600B2}"/>
    <cellStyle name="常规 2 6 2 2 4" xfId="17524" xr:uid="{ED057D56-AAD0-4F9A-B96B-06BFAAD27B6D}"/>
    <cellStyle name="常规 2 6 2 2 4 2" xfId="17525" xr:uid="{B6F8A234-0E41-45CA-AF57-C43FD720F94D}"/>
    <cellStyle name="常规 2 6 2 2 4 2 2" xfId="17526" xr:uid="{0E6D5E81-F167-4CBE-A1C2-775E67DB0FF2}"/>
    <cellStyle name="常规 2 6 2 2 4 3" xfId="17527" xr:uid="{8F037CAA-C294-4AF6-8009-9D8B778D7CF8}"/>
    <cellStyle name="常规 2 6 2 2 4 4" xfId="17528" xr:uid="{0F30A8D2-000D-42B6-B7A8-BF9446DE8837}"/>
    <cellStyle name="常规 2 6 2 2 4 4 2" xfId="34134" xr:uid="{9874C1E2-6796-4E18-BEC6-365A1601F4FD}"/>
    <cellStyle name="常规 2 6 2 2 4 5" xfId="17529" xr:uid="{0DC82A3E-319A-4B22-AFA1-47B0DB2F9846}"/>
    <cellStyle name="常规 2 6 2 2 5" xfId="17530" xr:uid="{F15153A7-F04B-4F13-813C-F77AA0DB4F3A}"/>
    <cellStyle name="常规 2 6 2 2 5 2" xfId="17531" xr:uid="{82AD4602-F270-48B9-A8B8-E6B8753B9604}"/>
    <cellStyle name="常规 2 6 2 2 5 3" xfId="17532" xr:uid="{1BAE04F5-59E4-458F-926E-67E398BD22FD}"/>
    <cellStyle name="常规 2 6 2 2 6" xfId="17533" xr:uid="{92DBE958-C4BC-44C5-823E-87A5B876E206}"/>
    <cellStyle name="常规 2 6 2 2 6 2" xfId="17534" xr:uid="{2A2FE79A-4CDD-4A11-920B-1E4E4D1C0207}"/>
    <cellStyle name="常规 2 6 2 2 7" xfId="17535" xr:uid="{E95A67F9-31B1-4A49-ADA1-49CA039BE6BF}"/>
    <cellStyle name="常规 2 6 2 2 7 2" xfId="17536" xr:uid="{E6C9AC05-4A6B-419E-A1F1-84CAC1DAF987}"/>
    <cellStyle name="常规 2 6 2 2 7 3" xfId="34135" xr:uid="{A0E6F6E8-234D-484A-9FE1-6995928674FC}"/>
    <cellStyle name="常规 2 6 2 2 8" xfId="17537" xr:uid="{11F99AB2-FFA3-4ADF-A17B-8F3FB72FF9F2}"/>
    <cellStyle name="常规 2 6 2 2 9" xfId="17538" xr:uid="{5F9068C1-CE75-489C-947B-00C03B6E7045}"/>
    <cellStyle name="常规 2 6 2 3" xfId="17539" xr:uid="{C71FD125-F16C-4A21-BDE1-ECE63B5AD953}"/>
    <cellStyle name="常规 2 6 2 3 2" xfId="17540" xr:uid="{A5ED0012-5D01-4330-9272-2DE4E4AE02FE}"/>
    <cellStyle name="常规 2 6 2 3 2 2" xfId="17541" xr:uid="{2C47743C-EE9E-47E4-BD6D-5D72A0A9FD73}"/>
    <cellStyle name="常规 2 6 2 3 2 2 2" xfId="17542" xr:uid="{F52ABE82-0BD5-4DD5-ABC3-8F9A0EEA1CBA}"/>
    <cellStyle name="常规 2 6 2 3 2 2 2 2" xfId="17543" xr:uid="{2C8AEE45-5529-4F30-BF6F-EC9E5CEE4F70}"/>
    <cellStyle name="常规 2 6 2 3 2 2 3" xfId="17544" xr:uid="{ADFB2740-0DF5-4678-BB08-857A6581D7EB}"/>
    <cellStyle name="常规 2 6 2 3 2 2 4" xfId="17545" xr:uid="{91867717-5E90-4714-8F3B-742021DE335B}"/>
    <cellStyle name="常规 2 6 2 3 2 2 4 2" xfId="34136" xr:uid="{EAD78654-A7FE-491D-A646-3ED63AB47FD2}"/>
    <cellStyle name="常规 2 6 2 3 2 2 5" xfId="17546" xr:uid="{10B3E51B-1496-453B-B796-DF57DF3EDBB9}"/>
    <cellStyle name="常规 2 6 2 3 2 3" xfId="17547" xr:uid="{36C418B3-D161-4D86-A057-A414A1E55D6A}"/>
    <cellStyle name="常规 2 6 2 3 2 3 2" xfId="17548" xr:uid="{939C5C0B-32BC-4A77-BA50-FF5CF0848005}"/>
    <cellStyle name="常规 2 6 2 3 2 3 3" xfId="17549" xr:uid="{BAE8C620-27AC-4090-89F9-DEE4231241C7}"/>
    <cellStyle name="常规 2 6 2 3 2 4" xfId="17550" xr:uid="{EDF00AA7-F219-4234-A5A6-2155A6B65A0A}"/>
    <cellStyle name="常规 2 6 2 3 2 4 2" xfId="17551" xr:uid="{FB368024-B56F-445D-9DE7-9790CA1BDCAC}"/>
    <cellStyle name="常规 2 6 2 3 2 5" xfId="17552" xr:uid="{9F671CF3-52B1-4A73-9F20-54449220C321}"/>
    <cellStyle name="常规 2 6 2 3 2 5 2" xfId="17553" xr:uid="{42FEFFFD-E46C-4CA6-B5F0-176FD38F8635}"/>
    <cellStyle name="常规 2 6 2 3 2 5 3" xfId="34137" xr:uid="{16632CAB-88E9-4C75-88BA-943D1464CDC5}"/>
    <cellStyle name="常规 2 6 2 3 2 6" xfId="17554" xr:uid="{EC83B20F-F92D-46C9-9D8E-45D0FD903A6D}"/>
    <cellStyle name="常规 2 6 2 3 2 7" xfId="17555" xr:uid="{493CD89B-D66F-4D9B-B6E1-5F4DA78F6F22}"/>
    <cellStyle name="常规 2 6 2 3 3" xfId="17556" xr:uid="{D72602DA-55B1-404C-8494-59D71763B587}"/>
    <cellStyle name="常规 2 6 2 3 3 2" xfId="17557" xr:uid="{BB28DED6-2D96-4F98-96B6-88725214B092}"/>
    <cellStyle name="常规 2 6 2 3 3 2 2" xfId="17558" xr:uid="{2B513DC1-6C50-4F3A-AD92-57398EECB5FE}"/>
    <cellStyle name="常规 2 6 2 3 3 3" xfId="17559" xr:uid="{E5D9DF97-C1F1-4B4D-ADE2-908339799DEA}"/>
    <cellStyle name="常规 2 6 2 3 3 4" xfId="17560" xr:uid="{D6E247D9-526D-43B6-AAD4-0E75AD761F94}"/>
    <cellStyle name="常规 2 6 2 3 3 4 2" xfId="34138" xr:uid="{217AB3F5-A9A7-4C54-9E6C-AD05FBD4D933}"/>
    <cellStyle name="常规 2 6 2 3 3 5" xfId="17561" xr:uid="{63679E1E-401B-4116-AB75-0A17ABEC568E}"/>
    <cellStyle name="常规 2 6 2 3 4" xfId="17562" xr:uid="{8C1BB116-9374-44A6-9EC0-324F1AB1B6CF}"/>
    <cellStyle name="常规 2 6 2 3 4 2" xfId="17563" xr:uid="{459B2480-F263-4792-996E-5CD7FC9E01AC}"/>
    <cellStyle name="常规 2 6 2 3 4 3" xfId="17564" xr:uid="{69777441-4E12-4A3A-8082-37414F8AC778}"/>
    <cellStyle name="常规 2 6 2 3 5" xfId="17565" xr:uid="{49DE3D7E-BE80-42AE-943D-2BB19FCE0C6C}"/>
    <cellStyle name="常规 2 6 2 3 5 2" xfId="17566" xr:uid="{E21D8145-9692-4474-A64E-1DBA3BF1DF94}"/>
    <cellStyle name="常规 2 6 2 3 6" xfId="17567" xr:uid="{A96951A8-2D6F-4AA3-84DF-8D1FCF8597AB}"/>
    <cellStyle name="常规 2 6 2 3 6 2" xfId="17568" xr:uid="{BADBE9E3-5680-49C9-9BEA-4AD194C47E76}"/>
    <cellStyle name="常规 2 6 2 3 6 3" xfId="34139" xr:uid="{D9FBE38B-FDA0-4BA6-B299-BCBB28AC4B41}"/>
    <cellStyle name="常规 2 6 2 3 7" xfId="17569" xr:uid="{C96E91EC-B97E-4710-9D66-D8B76E9B5EBC}"/>
    <cellStyle name="常规 2 6 2 3 8" xfId="17570" xr:uid="{821F7678-6C7E-487C-A7DF-8EA5FC3BC611}"/>
    <cellStyle name="常规 2 6 2 4" xfId="17571" xr:uid="{4A910284-F61B-4CE7-B5F4-E92E921DE863}"/>
    <cellStyle name="常规 2 6 2 4 2" xfId="17572" xr:uid="{A92C3D0B-C8DB-4D3E-AFF7-CC06BBB1C7F2}"/>
    <cellStyle name="常规 2 6 2 4 2 2" xfId="17573" xr:uid="{2C401AF0-3657-401E-AF32-B83B6FD0EDBC}"/>
    <cellStyle name="常规 2 6 2 4 2 2 2" xfId="17574" xr:uid="{B37BE8BF-B1F9-434E-BE01-791F84999420}"/>
    <cellStyle name="常规 2 6 2 4 2 2 3" xfId="17575" xr:uid="{53B4CB35-19B9-4562-B9D0-EACBCD3EE821}"/>
    <cellStyle name="常规 2 6 2 4 2 3" xfId="17576" xr:uid="{7AA56E29-3C45-4BD8-A0F2-B320C3145F5F}"/>
    <cellStyle name="常规 2 6 2 4 2 3 2" xfId="17577" xr:uid="{204E3D53-256D-49E4-A38B-3D38998471B4}"/>
    <cellStyle name="常规 2 6 2 4 2 4" xfId="17578" xr:uid="{E21B2D09-E90E-4544-A209-45408701D1B9}"/>
    <cellStyle name="常规 2 6 2 4 2 4 2" xfId="17579" xr:uid="{23E49F95-EEC3-4F02-A96E-B9E607CFCF9C}"/>
    <cellStyle name="常规 2 6 2 4 2 4 3" xfId="34140" xr:uid="{DBDA95D0-DBCC-4D29-8C3F-E3889533BEED}"/>
    <cellStyle name="常规 2 6 2 4 2 5" xfId="17580" xr:uid="{74A93A73-92CF-48B8-8B93-304030B5BB10}"/>
    <cellStyle name="常规 2 6 2 4 2 6" xfId="17581" xr:uid="{92439B68-A3AB-4CD5-BE48-0B5D24D62BBA}"/>
    <cellStyle name="常规 2 6 2 4 2 7" xfId="17582" xr:uid="{E43963C2-A511-41F7-8871-2D214AF293E6}"/>
    <cellStyle name="常规 2 6 2 4 3" xfId="17583" xr:uid="{5FC8C255-E9A7-4C83-8BC4-8C58F77B66A9}"/>
    <cellStyle name="常规 2 6 2 4 3 2" xfId="17584" xr:uid="{FFE70390-4C79-492F-B076-6E03C579CD4D}"/>
    <cellStyle name="常规 2 6 2 4 3 3" xfId="17585" xr:uid="{E5C9D57E-9187-4A90-9C9A-B60A1FE68840}"/>
    <cellStyle name="常规 2 6 2 4 4" xfId="17586" xr:uid="{AD0C8956-D553-4628-A0A7-9B0D08BE9ECF}"/>
    <cellStyle name="常规 2 6 2 4 4 2" xfId="17587" xr:uid="{E09A9F34-C8C9-43B7-95F1-2E8A6298E22B}"/>
    <cellStyle name="常规 2 6 2 4 5" xfId="17588" xr:uid="{E14F7149-D04B-4017-8845-3188197F230B}"/>
    <cellStyle name="常规 2 6 2 4 5 2" xfId="17589" xr:uid="{91CBD829-76A5-4DE3-9C20-2DE5E481D5E4}"/>
    <cellStyle name="常规 2 6 2 4 5 3" xfId="34141" xr:uid="{47B0AB4F-0BD2-47C5-844A-E2F2D0CDAFDD}"/>
    <cellStyle name="常规 2 6 2 4 6" xfId="17590" xr:uid="{86CB9223-5AA1-48F8-AD93-C6850BB5EF12}"/>
    <cellStyle name="常规 2 6 2 4 7" xfId="17591" xr:uid="{C68DD596-4921-4342-AD9A-1BBE82D72CC1}"/>
    <cellStyle name="常规 2 6 2 4 8" xfId="17592" xr:uid="{68B28CF2-72B3-4E3D-B938-30755752E39C}"/>
    <cellStyle name="常规 2 6 2 5" xfId="17593" xr:uid="{692051E7-5334-4888-A331-8A5C316DDDAF}"/>
    <cellStyle name="常规 2 6 2 5 2" xfId="17594" xr:uid="{EC0D3B8E-169E-4E8C-BF5D-D271B7FCD2CD}"/>
    <cellStyle name="常规 2 6 2 5 2 2" xfId="17595" xr:uid="{044342F5-4DCF-4616-844D-6FED201C7C7D}"/>
    <cellStyle name="常规 2 6 2 5 3" xfId="17596" xr:uid="{11625292-A9C8-4095-9C87-D68430408E46}"/>
    <cellStyle name="常规 2 6 2 5 4" xfId="17597" xr:uid="{DB116573-F801-422A-9E1D-75269FE75F56}"/>
    <cellStyle name="常规 2 6 2 5 4 2" xfId="34142" xr:uid="{6911B1F6-640E-4A9E-BEB8-EEB66CC5C243}"/>
    <cellStyle name="常规 2 6 2 6" xfId="17598" xr:uid="{3B870070-F395-476B-A7EF-F7A228005D69}"/>
    <cellStyle name="常规 2 6 2 6 2" xfId="17599" xr:uid="{252EA8A8-D431-4099-BC04-65D7A795162A}"/>
    <cellStyle name="常规 2 6 2 7" xfId="17600" xr:uid="{7D346929-3C0A-4450-A693-5A5AE7BCF312}"/>
    <cellStyle name="常规 2 6 2 8" xfId="17601" xr:uid="{35BD1FD7-5A64-4331-8F0A-2DBA1CFEF211}"/>
    <cellStyle name="常规 2 6 2 8 2" xfId="34143" xr:uid="{037817E4-693A-4084-9172-AB80061B8A3E}"/>
    <cellStyle name="常规 2 6 2 9" xfId="17602" xr:uid="{1B63D4D5-9E11-4361-B5B7-A445ACC211F7}"/>
    <cellStyle name="常规 2 6 3" xfId="17603" xr:uid="{06B63E8E-B1E8-4BD8-A251-0645E39C17CC}"/>
    <cellStyle name="常规 2 6 3 2" xfId="17604" xr:uid="{15D5781E-3CCE-4A9D-A988-1954C441365D}"/>
    <cellStyle name="常规 2 6 3 2 2" xfId="17605" xr:uid="{9FC9278E-0E5D-45A1-82DA-0296D5703451}"/>
    <cellStyle name="常规 2 6 3 2 2 2" xfId="17606" xr:uid="{E9B62941-51D1-4269-85BF-231EDD317E49}"/>
    <cellStyle name="常规 2 6 3 2 2 2 2" xfId="17607" xr:uid="{9049C99D-0274-4D8E-944D-B9B97B8DD33E}"/>
    <cellStyle name="常规 2 6 3 2 2 2 2 2" xfId="17608" xr:uid="{D8412CDB-55B0-4676-9693-8F2FA1BF7D6A}"/>
    <cellStyle name="常规 2 6 3 2 2 2 3" xfId="17609" xr:uid="{4167908F-9E88-40D6-9E24-A2F845651CBD}"/>
    <cellStyle name="常规 2 6 3 2 2 2 4" xfId="17610" xr:uid="{785E40C4-249E-41F6-AB6C-0759CC68A119}"/>
    <cellStyle name="常规 2 6 3 2 2 2 4 2" xfId="34144" xr:uid="{20E21565-9BA3-4101-A02D-B8C37E71160C}"/>
    <cellStyle name="常规 2 6 3 2 2 3" xfId="17611" xr:uid="{22409ACF-5D9F-45A6-BDB8-A35B26B38853}"/>
    <cellStyle name="常规 2 6 3 2 2 3 2" xfId="17612" xr:uid="{FEF4A914-3FB1-42FE-8938-D339245DE151}"/>
    <cellStyle name="常规 2 6 3 2 2 4" xfId="17613" xr:uid="{32F50CD5-20D9-42D6-BF01-9738D3B3FF17}"/>
    <cellStyle name="常规 2 6 3 2 2 5" xfId="17614" xr:uid="{9CCCD36C-8412-4BB4-83E4-6E93D6232AF1}"/>
    <cellStyle name="常规 2 6 3 2 2 5 2" xfId="34145" xr:uid="{DA4513A7-E167-4E1C-947D-1B952BD55733}"/>
    <cellStyle name="常规 2 6 3 2 3" xfId="17615" xr:uid="{64F7EF4F-2C1C-4064-A8A2-6AF526A45CCE}"/>
    <cellStyle name="常规 2 6 3 2 3 2" xfId="17616" xr:uid="{A5C57F5C-D9FC-4200-BA23-1C30DD90CBB8}"/>
    <cellStyle name="常规 2 6 3 2 3 2 2" xfId="17617" xr:uid="{E39022F6-89C4-49A3-9BAE-0AA96A0C0099}"/>
    <cellStyle name="常规 2 6 3 2 3 3" xfId="17618" xr:uid="{7FE648D9-062B-4129-BC02-1BDB4C297FC2}"/>
    <cellStyle name="常规 2 6 3 2 3 4" xfId="17619" xr:uid="{68FAE63A-E37D-4751-A12F-96BC212202DB}"/>
    <cellStyle name="常规 2 6 3 2 3 4 2" xfId="34146" xr:uid="{8593C979-594D-43C1-BEB1-3586633BF2F7}"/>
    <cellStyle name="常规 2 6 3 2 4" xfId="17620" xr:uid="{3A44EF78-EEE0-4C5C-8D74-89A26ED05D9B}"/>
    <cellStyle name="常规 2 6 3 2 4 2" xfId="17621" xr:uid="{4BBB5C1E-609F-4FA0-830A-608CF47A0189}"/>
    <cellStyle name="常规 2 6 3 2 5" xfId="17622" xr:uid="{7A8B7C1D-93D5-41BB-A5F5-CD548D29CD31}"/>
    <cellStyle name="常规 2 6 3 2 6" xfId="17623" xr:uid="{E08A69F1-2033-4970-9C03-16FB7CC719A9}"/>
    <cellStyle name="常规 2 6 3 2 6 2" xfId="34147" xr:uid="{2807EDE1-78B8-4C87-8977-0AEFE5B16B3A}"/>
    <cellStyle name="常规 2 6 3 3" xfId="17624" xr:uid="{9B0730D4-E2C2-4356-81CE-7E79D1BB16C4}"/>
    <cellStyle name="常规 2 6 3 3 2" xfId="17625" xr:uid="{213B612F-33BD-4BAE-8138-23B678990147}"/>
    <cellStyle name="常规 2 6 3 3 2 2" xfId="17626" xr:uid="{5076CFCB-6C1B-4F66-B256-3C904E7ED855}"/>
    <cellStyle name="常规 2 6 3 3 2 2 2" xfId="17627" xr:uid="{F2698232-499A-4FAD-A509-D76ED7E77E78}"/>
    <cellStyle name="常规 2 6 3 3 2 3" xfId="17628" xr:uid="{B1556BDB-C3BB-417D-BFEE-8BF77A0D72EA}"/>
    <cellStyle name="常规 2 6 3 3 2 4" xfId="17629" xr:uid="{47204992-E67B-4699-A15B-B7EAAFE35292}"/>
    <cellStyle name="常规 2 6 3 3 2 4 2" xfId="34148" xr:uid="{F961C348-6AB6-42BB-8A27-9EE071971B6B}"/>
    <cellStyle name="常规 2 6 3 3 3" xfId="17630" xr:uid="{A847596F-DE2B-4FFB-AEC9-F4715F24BD1C}"/>
    <cellStyle name="常规 2 6 3 3 3 2" xfId="17631" xr:uid="{7F8EFE83-365E-4B4D-B654-15578E1E1325}"/>
    <cellStyle name="常规 2 6 3 3 4" xfId="17632" xr:uid="{397AD874-3EAD-404E-8BC6-AC267852054A}"/>
    <cellStyle name="常规 2 6 3 3 5" xfId="17633" xr:uid="{2E662D1C-4D99-4EDC-B429-1E760869B487}"/>
    <cellStyle name="常规 2 6 3 3 5 2" xfId="34149" xr:uid="{06E7998A-BFAA-4040-9EE9-83C1634C4626}"/>
    <cellStyle name="常规 2 6 3 4" xfId="17634" xr:uid="{AD14EF1B-4801-486D-BC6F-BFC25D3054CE}"/>
    <cellStyle name="常规 2 6 3 4 2" xfId="17635" xr:uid="{C8C819F2-48D1-4BC9-839E-C462E59ECF9D}"/>
    <cellStyle name="常规 2 6 3 4 2 2" xfId="17636" xr:uid="{51BD6C9A-DFFE-4026-A467-DFFFFE36891C}"/>
    <cellStyle name="常规 2 6 3 4 3" xfId="17637" xr:uid="{C23AB084-7D40-4F32-8B9D-45FDB2251822}"/>
    <cellStyle name="常规 2 6 3 4 4" xfId="17638" xr:uid="{63A35C2E-F8D5-4901-B52B-550B68EA4B0B}"/>
    <cellStyle name="常规 2 6 3 4 4 2" xfId="34150" xr:uid="{189F2A43-46DD-4FCE-A684-B99DE1D63D74}"/>
    <cellStyle name="常规 2 6 3 5" xfId="17639" xr:uid="{996520E3-523A-4C99-8E2D-A6549936C2CE}"/>
    <cellStyle name="常规 2 6 3 5 2" xfId="17640" xr:uid="{99EDA41E-5E87-4A2B-96EC-08E2DD1D5629}"/>
    <cellStyle name="常规 2 6 3 6" xfId="17641" xr:uid="{17490E5B-D2D3-4B03-A9EB-EA49584F7317}"/>
    <cellStyle name="常规 2 6 3 7" xfId="17642" xr:uid="{C8C459D2-7A8D-4A16-883D-7290366E59AF}"/>
    <cellStyle name="常规 2 6 3 7 2" xfId="34151" xr:uid="{F54DA6E1-D8CB-4AE7-B61E-39208854C682}"/>
    <cellStyle name="常规 2 6 3 8" xfId="17643" xr:uid="{70D6780A-390E-47F4-B61E-4070CE248482}"/>
    <cellStyle name="常规 2 6 4" xfId="17644" xr:uid="{94234B3D-DECC-4BE6-B276-28F859A19C4B}"/>
    <cellStyle name="常规 2 6 4 10" xfId="17645" xr:uid="{E1E403FC-A9E8-4CE3-890B-8D83270605CE}"/>
    <cellStyle name="常规 2 6 4 2" xfId="17646" xr:uid="{228C5CB7-37A5-4A56-8073-F076F664212D}"/>
    <cellStyle name="常规 2 6 4 2 2" xfId="17647" xr:uid="{90382CAC-A678-4D02-B42F-8221DA652A8F}"/>
    <cellStyle name="常规 2 6 4 2 2 2" xfId="17648" xr:uid="{C13C5285-5B0F-4E2E-88C3-FD0ED74A67E3}"/>
    <cellStyle name="常规 2 6 4 2 2 2 2" xfId="17649" xr:uid="{B2E1738A-4F82-472A-8C58-D9FD22368342}"/>
    <cellStyle name="常规 2 6 4 2 2 2 2 2" xfId="17650" xr:uid="{1D148D25-BDC9-4E73-9BE0-49D7865724BA}"/>
    <cellStyle name="常规 2 6 4 2 2 2 2 3" xfId="17651" xr:uid="{0F297760-C3A1-40E3-8A9B-CC3302B350A7}"/>
    <cellStyle name="常规 2 6 4 2 2 2 3" xfId="17652" xr:uid="{228517E8-F482-405A-9F6B-28C198195E9D}"/>
    <cellStyle name="常规 2 6 4 2 2 2 3 2" xfId="17653" xr:uid="{5B274EA4-3F3B-40D7-93C8-0D7CD883C9D2}"/>
    <cellStyle name="常规 2 6 4 2 2 2 4" xfId="17654" xr:uid="{0C47AAD3-845E-4951-9FC6-C0888853BDE5}"/>
    <cellStyle name="常规 2 6 4 2 2 2 4 2" xfId="17655" xr:uid="{B64CAED7-A620-4F48-9164-CAA875393DFD}"/>
    <cellStyle name="常规 2 6 4 2 2 2 4 3" xfId="34152" xr:uid="{3D6ABED5-11BB-419A-9F52-17973849755E}"/>
    <cellStyle name="常规 2 6 4 2 2 2 5" xfId="17656" xr:uid="{457A0E77-09C0-4E68-99F2-5EC870232B19}"/>
    <cellStyle name="常规 2 6 4 2 2 2 6" xfId="17657" xr:uid="{C3D4C0EB-B3D0-496C-8907-D680811F5204}"/>
    <cellStyle name="常规 2 6 4 2 2 2 7" xfId="17658" xr:uid="{03955587-D9BC-4D6D-9937-24BABF239AD8}"/>
    <cellStyle name="常规 2 6 4 2 2 3" xfId="17659" xr:uid="{ACC3B459-9856-41CA-B3E2-0254D56275E6}"/>
    <cellStyle name="常规 2 6 4 2 2 3 2" xfId="17660" xr:uid="{0E94B389-3BE6-4CB4-B5CA-75D5B5764E8F}"/>
    <cellStyle name="常规 2 6 4 2 2 3 3" xfId="17661" xr:uid="{9292CD95-5F22-4D7D-9807-620F651A0F63}"/>
    <cellStyle name="常规 2 6 4 2 2 4" xfId="17662" xr:uid="{B1B39CFC-7D7B-4432-864E-C73807EC8F55}"/>
    <cellStyle name="常规 2 6 4 2 2 4 2" xfId="17663" xr:uid="{DF75B913-E0AE-4536-9AE6-D8BF57295E57}"/>
    <cellStyle name="常规 2 6 4 2 2 5" xfId="17664" xr:uid="{04CA8B89-A7C0-4DDC-A53B-BC4FC46A2336}"/>
    <cellStyle name="常规 2 6 4 2 2 5 2" xfId="17665" xr:uid="{4D4E549D-A333-4267-AB6B-FFFDECEFA68A}"/>
    <cellStyle name="常规 2 6 4 2 2 5 3" xfId="34153" xr:uid="{FF4424C5-9CCA-46EB-92BF-53FED9CC2EEA}"/>
    <cellStyle name="常规 2 6 4 2 2 6" xfId="17666" xr:uid="{2774FE11-C645-4447-BC75-E067403F906F}"/>
    <cellStyle name="常规 2 6 4 2 2 7" xfId="17667" xr:uid="{84D098CE-32E6-4664-832A-8B605F365CA5}"/>
    <cellStyle name="常规 2 6 4 2 2 8" xfId="17668" xr:uid="{35239BDB-DDB2-4C4B-B7D4-35F7706BD184}"/>
    <cellStyle name="常规 2 6 4 2 3" xfId="17669" xr:uid="{C283DE4A-5970-41D1-AC38-BED5C9FA8960}"/>
    <cellStyle name="常规 2 6 4 2 3 2" xfId="17670" xr:uid="{9415D152-4EFA-4333-A416-F5686ABD8D84}"/>
    <cellStyle name="常规 2 6 4 2 3 2 2" xfId="17671" xr:uid="{FD186C75-0E57-4041-99AE-959F003AB38E}"/>
    <cellStyle name="常规 2 6 4 2 3 2 3" xfId="17672" xr:uid="{2B7288E7-8178-45AF-83C7-3B104A0B9C5B}"/>
    <cellStyle name="常规 2 6 4 2 3 3" xfId="17673" xr:uid="{8332DBDB-00C4-4E94-B21F-55D0DB3B4510}"/>
    <cellStyle name="常规 2 6 4 2 3 3 2" xfId="17674" xr:uid="{535A6BB9-2E52-4288-A2D4-D833E151B2D2}"/>
    <cellStyle name="常规 2 6 4 2 3 4" xfId="17675" xr:uid="{33467621-7EF7-47DE-883A-9AEF67CEFA43}"/>
    <cellStyle name="常规 2 6 4 2 3 4 2" xfId="17676" xr:uid="{33AE685A-751E-4132-BB5F-4150ACA71179}"/>
    <cellStyle name="常规 2 6 4 2 3 4 3" xfId="34154" xr:uid="{9A861E20-DEC7-4DBD-9E54-6DEC2281A16D}"/>
    <cellStyle name="常规 2 6 4 2 3 5" xfId="17677" xr:uid="{98FFCC54-F324-4BEE-9FDC-599B0CF38BB2}"/>
    <cellStyle name="常规 2 6 4 2 3 6" xfId="17678" xr:uid="{395BC1B6-FCBF-4985-BDDE-CE2CD7C59168}"/>
    <cellStyle name="常规 2 6 4 2 3 7" xfId="17679" xr:uid="{77D4F1D5-B84B-406C-AE2A-B8A334DBDF34}"/>
    <cellStyle name="常规 2 6 4 2 4" xfId="17680" xr:uid="{EA60E09A-7D73-4351-953F-629A3FD5DAC8}"/>
    <cellStyle name="常规 2 6 4 2 4 2" xfId="17681" xr:uid="{FB237015-26D0-42F0-BFDD-274E0F5BF45A}"/>
    <cellStyle name="常规 2 6 4 2 4 3" xfId="17682" xr:uid="{32B66CEC-25B1-4B52-9AFF-8F8CDFF18086}"/>
    <cellStyle name="常规 2 6 4 2 5" xfId="17683" xr:uid="{BFEEC7FE-7380-4F7B-9FF9-1355ABBA8750}"/>
    <cellStyle name="常规 2 6 4 2 5 2" xfId="17684" xr:uid="{5724E0C2-6254-43E1-BA90-2FBB1BFE9400}"/>
    <cellStyle name="常规 2 6 4 2 6" xfId="17685" xr:uid="{CDD8A9BB-E20A-446D-9D07-3E7CB59E8047}"/>
    <cellStyle name="常规 2 6 4 2 6 2" xfId="17686" xr:uid="{082FD375-6A1F-480F-A564-FFC2BA53DE61}"/>
    <cellStyle name="常规 2 6 4 2 6 3" xfId="34155" xr:uid="{2D6227BC-B706-43C5-90CD-2FB762C3BA66}"/>
    <cellStyle name="常规 2 6 4 2 7" xfId="17687" xr:uid="{5C585D54-AE42-4AD1-87DD-790D49D8B257}"/>
    <cellStyle name="常规 2 6 4 2 8" xfId="17688" xr:uid="{8AA4C338-F36F-4294-8532-F13F2BA21F4A}"/>
    <cellStyle name="常规 2 6 4 2 9" xfId="17689" xr:uid="{3958273B-CC8E-4E24-9FC3-EB024BCE1FF6}"/>
    <cellStyle name="常规 2 6 4 3" xfId="17690" xr:uid="{63773567-A2AB-4D8A-A74F-92D4071A9A7C}"/>
    <cellStyle name="常规 2 6 4 3 2" xfId="17691" xr:uid="{BF969563-1838-4426-ACC4-7973895DA0C4}"/>
    <cellStyle name="常规 2 6 4 3 2 2" xfId="17692" xr:uid="{507F25FF-F69E-4C69-AACC-DECC39BECA94}"/>
    <cellStyle name="常规 2 6 4 3 2 2 2" xfId="17693" xr:uid="{2EDD9DC6-F053-4B74-A547-9E3E01372B3C}"/>
    <cellStyle name="常规 2 6 4 3 2 2 3" xfId="17694" xr:uid="{EE10E4B6-3B58-4892-B27C-DD8BDF82B84C}"/>
    <cellStyle name="常规 2 6 4 3 2 3" xfId="17695" xr:uid="{1B3228A1-04DB-4AED-A84D-D14B31FF0D83}"/>
    <cellStyle name="常规 2 6 4 3 2 3 2" xfId="17696" xr:uid="{B509F3D4-0A7D-4278-B462-CAD058CF2530}"/>
    <cellStyle name="常规 2 6 4 3 2 4" xfId="17697" xr:uid="{BE0EEBA2-3BF6-4782-B344-BB7BE6C4F69A}"/>
    <cellStyle name="常规 2 6 4 3 2 4 2" xfId="17698" xr:uid="{1F7F39D9-D472-4B70-AC69-E10610EB58A6}"/>
    <cellStyle name="常规 2 6 4 3 2 4 3" xfId="34156" xr:uid="{53D7CE53-2464-48E9-A200-765F06727936}"/>
    <cellStyle name="常规 2 6 4 3 2 5" xfId="17699" xr:uid="{C09D1819-395E-429E-8A64-4B4C2CA67DCD}"/>
    <cellStyle name="常规 2 6 4 3 2 6" xfId="17700" xr:uid="{16CCF679-448D-4A32-96E5-6B41A5128828}"/>
    <cellStyle name="常规 2 6 4 3 2 7" xfId="17701" xr:uid="{44AD46AE-F4D0-48F6-9A83-C393FF2C0E42}"/>
    <cellStyle name="常规 2 6 4 3 3" xfId="17702" xr:uid="{16751265-11E8-4E7F-8872-88977C1CB6C3}"/>
    <cellStyle name="常规 2 6 4 3 3 2" xfId="17703" xr:uid="{1C70EAEF-548D-4179-B7CC-E52613979493}"/>
    <cellStyle name="常规 2 6 4 3 3 3" xfId="17704" xr:uid="{F4EF0E76-A6BF-4078-B28A-3979A5A8C62B}"/>
    <cellStyle name="常规 2 6 4 3 4" xfId="17705" xr:uid="{B820B2D8-2078-46C4-92D0-77DA5A8EF029}"/>
    <cellStyle name="常规 2 6 4 3 4 2" xfId="17706" xr:uid="{3E57C797-2B0E-459E-BEAB-10FAC6F832AF}"/>
    <cellStyle name="常规 2 6 4 3 5" xfId="17707" xr:uid="{037E8EE4-A085-4B7F-B884-D6F6EF122044}"/>
    <cellStyle name="常规 2 6 4 3 5 2" xfId="17708" xr:uid="{2114E31C-9A0E-46D1-941D-DC0B7003ADCD}"/>
    <cellStyle name="常规 2 6 4 3 5 3" xfId="34157" xr:uid="{4B18A274-A769-4A75-8667-5D0A641AEB26}"/>
    <cellStyle name="常规 2 6 4 3 6" xfId="17709" xr:uid="{6CBDDEA1-8E39-4D84-9857-0384F1F07845}"/>
    <cellStyle name="常规 2 6 4 3 7" xfId="17710" xr:uid="{427FABE2-D3FA-4B6B-BA2E-BF39EF05EB66}"/>
    <cellStyle name="常规 2 6 4 3 8" xfId="17711" xr:uid="{DDBA7016-F1C5-4B55-AEF1-66F64300DFBA}"/>
    <cellStyle name="常规 2 6 4 4" xfId="17712" xr:uid="{170B75A6-B3BD-4C2B-AAA2-D07F669E2E6D}"/>
    <cellStyle name="常规 2 6 4 4 2" xfId="17713" xr:uid="{0F0310D6-9F6D-4C36-A850-3AAE582376D0}"/>
    <cellStyle name="常规 2 6 4 4 2 2" xfId="17714" xr:uid="{567545E6-258C-4144-B372-19BEB2F01E88}"/>
    <cellStyle name="常规 2 6 4 4 2 3" xfId="17715" xr:uid="{E841EE53-E032-481B-ACDC-27FBF2320951}"/>
    <cellStyle name="常规 2 6 4 4 3" xfId="17716" xr:uid="{234FFEFE-B6BB-4980-82E0-4B876EC5F69F}"/>
    <cellStyle name="常规 2 6 4 4 3 2" xfId="17717" xr:uid="{AF1B4D04-1899-4E17-B2BC-B0D65F754380}"/>
    <cellStyle name="常规 2 6 4 4 4" xfId="17718" xr:uid="{9D05A9B3-2163-4098-A50E-13CD71AAFDF1}"/>
    <cellStyle name="常规 2 6 4 4 4 2" xfId="17719" xr:uid="{5319CBF2-C68E-4CC6-AFD0-E8D46A019667}"/>
    <cellStyle name="常规 2 6 4 4 4 3" xfId="34158" xr:uid="{71F63A7F-8D82-4D2A-8716-9C87460F5D06}"/>
    <cellStyle name="常规 2 6 4 4 5" xfId="17720" xr:uid="{DB2AA247-6621-4078-8857-412B2AF05ECD}"/>
    <cellStyle name="常规 2 6 4 4 6" xfId="17721" xr:uid="{55A1C2A4-AE46-4B80-BADA-4FB538C65CEA}"/>
    <cellStyle name="常规 2 6 4 4 7" xfId="17722" xr:uid="{58943173-16BB-40B3-896E-19188AE4D020}"/>
    <cellStyle name="常规 2 6 4 5" xfId="17723" xr:uid="{B1162B12-079E-4F8D-9616-423318C442AE}"/>
    <cellStyle name="常规 2 6 4 5 2" xfId="17724" xr:uid="{E36F3BEC-29EA-4E23-946C-82FD6FC4084D}"/>
    <cellStyle name="常规 2 6 4 5 3" xfId="17725" xr:uid="{47908C3B-B8A2-46DC-A331-731FD86307B6}"/>
    <cellStyle name="常规 2 6 4 6" xfId="17726" xr:uid="{04C24197-5CB0-412B-89C6-5B73C5650E3F}"/>
    <cellStyle name="常规 2 6 4 6 2" xfId="17727" xr:uid="{3F188CC2-035B-4002-8B50-22C846355102}"/>
    <cellStyle name="常规 2 6 4 7" xfId="17728" xr:uid="{08745F03-BCDD-471D-9A91-CA058CB88DCF}"/>
    <cellStyle name="常规 2 6 4 7 2" xfId="17729" xr:uid="{8550EA94-E9CB-450A-A52B-97E8A43EFCEA}"/>
    <cellStyle name="常规 2 6 4 7 3" xfId="34159" xr:uid="{A6E00B46-4A85-4D1E-9558-3CA0E0B77DDE}"/>
    <cellStyle name="常规 2 6 4 8" xfId="17730" xr:uid="{12A78B4D-8015-4599-9B21-58307379F241}"/>
    <cellStyle name="常规 2 6 4 9" xfId="17731" xr:uid="{12A67B38-2E9F-4E7A-8CAD-1FF2055FC220}"/>
    <cellStyle name="常规 2 6 5" xfId="17732" xr:uid="{42C04636-950A-4C30-9FFB-F1F8084BC276}"/>
    <cellStyle name="常规 2 6 5 2" xfId="17733" xr:uid="{71E56FB1-A4AD-427C-B6F0-E54065EE3D4C}"/>
    <cellStyle name="常规 2 6 5 2 2" xfId="17734" xr:uid="{912877AF-C143-4BAE-AEF6-37BC4ED20A0B}"/>
    <cellStyle name="常规 2 6 5 2 2 2" xfId="17735" xr:uid="{5D075D12-5C39-46FC-B91F-6BC0D30E289F}"/>
    <cellStyle name="常规 2 6 5 2 2 2 2" xfId="17736" xr:uid="{FF12FC37-8D1E-4F60-99FF-2F4911D9E22B}"/>
    <cellStyle name="常规 2 6 5 2 2 2 2 2" xfId="17737" xr:uid="{384878B9-ECA8-4E22-BA39-1B30D3FD6F5D}"/>
    <cellStyle name="常规 2 6 5 2 2 2 3" xfId="17738" xr:uid="{934FB022-232C-4F75-954C-EF43723A00FF}"/>
    <cellStyle name="常规 2 6 5 2 2 2 4" xfId="17739" xr:uid="{4BC8F6A6-2BFA-4E59-A216-A6ECFCF179AA}"/>
    <cellStyle name="常规 2 6 5 2 2 2 4 2" xfId="34160" xr:uid="{15D3E321-35D7-4757-A1BA-20A6B6781635}"/>
    <cellStyle name="常规 2 6 5 2 2 3" xfId="17740" xr:uid="{817E6763-3D12-40BD-A08F-6EB6A524FA7D}"/>
    <cellStyle name="常规 2 6 5 2 2 3 2" xfId="17741" xr:uid="{E89C7B63-936C-44A6-B9BE-99E4CCDD4B92}"/>
    <cellStyle name="常规 2 6 5 2 2 4" xfId="17742" xr:uid="{ADF42FC9-4A93-4E00-AB4E-AB2767FEB8E8}"/>
    <cellStyle name="常规 2 6 5 2 2 5" xfId="17743" xr:uid="{6223F12E-128E-472B-AA2E-52D7CAEEED74}"/>
    <cellStyle name="常规 2 6 5 2 2 5 2" xfId="34161" xr:uid="{9BB80972-8DD1-42D1-9B46-CED87BF4A903}"/>
    <cellStyle name="常规 2 6 5 2 3" xfId="17744" xr:uid="{83990206-290F-41E8-8C24-50D9D9289BEF}"/>
    <cellStyle name="常规 2 6 5 2 3 2" xfId="17745" xr:uid="{54555949-8DF1-4F92-936E-346F4375F9AB}"/>
    <cellStyle name="常规 2 6 5 2 3 2 2" xfId="17746" xr:uid="{524C45A1-4F53-420F-8FE1-693EA9AC36D2}"/>
    <cellStyle name="常规 2 6 5 2 3 3" xfId="17747" xr:uid="{43187D7F-3CBF-499C-8B45-F202F66B2C08}"/>
    <cellStyle name="常规 2 6 5 2 3 4" xfId="17748" xr:uid="{915779EC-DF73-42A9-8CCC-BDB022FA3169}"/>
    <cellStyle name="常规 2 6 5 2 3 4 2" xfId="34162" xr:uid="{F8D73EF1-B718-4184-99E0-06D690631923}"/>
    <cellStyle name="常规 2 6 5 2 4" xfId="17749" xr:uid="{BB11886E-53BB-40DB-997C-08EEC979FD0F}"/>
    <cellStyle name="常规 2 6 5 2 4 2" xfId="17750" xr:uid="{A6080EBE-6ECA-4CE9-9B38-DD31204F9C15}"/>
    <cellStyle name="常规 2 6 5 2 5" xfId="17751" xr:uid="{6FA14753-FB2C-487B-AA79-2D56CFC3AF7E}"/>
    <cellStyle name="常规 2 6 5 2 6" xfId="17752" xr:uid="{1B8190FC-5308-4D6E-B0EA-92147121FC17}"/>
    <cellStyle name="常规 2 6 5 2 6 2" xfId="34163" xr:uid="{CE60DB21-41B0-40E6-B11D-5D0E4EA60E6F}"/>
    <cellStyle name="常规 2 6 5 3" xfId="17753" xr:uid="{E54597E6-0B01-44A8-A4F2-A07CECC7C5FD}"/>
    <cellStyle name="常规 2 6 5 3 2" xfId="17754" xr:uid="{8C014DA0-7308-4EAD-8055-63F77FADC3A4}"/>
    <cellStyle name="常规 2 6 5 3 2 2" xfId="17755" xr:uid="{ECCA8B6B-A665-4770-8333-862C17F2953E}"/>
    <cellStyle name="常规 2 6 5 3 2 2 2" xfId="17756" xr:uid="{C3F94838-CAE0-4DE3-A028-8DE347BB24AF}"/>
    <cellStyle name="常规 2 6 5 3 2 3" xfId="17757" xr:uid="{33108122-4019-4DF6-94D2-FAB747778BB1}"/>
    <cellStyle name="常规 2 6 5 3 2 4" xfId="17758" xr:uid="{ADE866FD-B2E8-48C6-ABCA-54C724521BAA}"/>
    <cellStyle name="常规 2 6 5 3 2 4 2" xfId="34164" xr:uid="{99638A7E-71C8-4CF5-988D-B0079934580F}"/>
    <cellStyle name="常规 2 6 5 3 3" xfId="17759" xr:uid="{D0C5F0AD-C20A-465A-BF8C-0A4DA786744F}"/>
    <cellStyle name="常规 2 6 5 3 3 2" xfId="17760" xr:uid="{2B88B304-7CFB-4334-9397-DE1A267EA8FD}"/>
    <cellStyle name="常规 2 6 5 3 4" xfId="17761" xr:uid="{5A86723E-B249-4A7A-B38E-F7F5A838316B}"/>
    <cellStyle name="常规 2 6 5 3 5" xfId="17762" xr:uid="{E26A2B46-BBA1-485D-A37B-C83A469FDBEB}"/>
    <cellStyle name="常规 2 6 5 3 5 2" xfId="34165" xr:uid="{E2341AD6-5507-4F86-9B3E-F4DFCA58C555}"/>
    <cellStyle name="常规 2 6 5 4" xfId="17763" xr:uid="{73B26200-AEAE-4FC3-884A-2A7DBA4BF698}"/>
    <cellStyle name="常规 2 6 5 4 2" xfId="17764" xr:uid="{59D5D381-C011-4565-892A-88ABC9C629EC}"/>
    <cellStyle name="常规 2 6 5 4 2 2" xfId="17765" xr:uid="{F8CE1E96-3E1E-4925-9153-72BFE4056EAF}"/>
    <cellStyle name="常规 2 6 5 4 3" xfId="17766" xr:uid="{212E23B3-5387-4257-A88E-A93A069AE025}"/>
    <cellStyle name="常规 2 6 5 4 4" xfId="17767" xr:uid="{DBAA0381-5E6E-4DF8-B669-15827AD30D56}"/>
    <cellStyle name="常规 2 6 5 4 4 2" xfId="34166" xr:uid="{712348AC-D2FE-4986-8015-17ED76FF96A5}"/>
    <cellStyle name="常规 2 6 5 5" xfId="17768" xr:uid="{D9B0CA04-48F4-4297-9D17-470C3ECFB8CE}"/>
    <cellStyle name="常规 2 6 5 5 2" xfId="17769" xr:uid="{DDBF6DD3-FEDF-45FA-905B-1180A078CDDC}"/>
    <cellStyle name="常规 2 6 5 6" xfId="17770" xr:uid="{413E43E2-5D49-4C96-8A8F-9F3E77FFAF77}"/>
    <cellStyle name="常规 2 6 5 7" xfId="17771" xr:uid="{FE89B966-055B-43E8-B616-D8F65CD3930D}"/>
    <cellStyle name="常规 2 6 5 7 2" xfId="34167" xr:uid="{CE975820-82C0-44AD-9F92-464CF9277B88}"/>
    <cellStyle name="常规 2 6 5 8" xfId="17772" xr:uid="{B9D02948-7C55-482C-A64F-8F38441B2581}"/>
    <cellStyle name="常规 2 6 6" xfId="17773" xr:uid="{DE82E782-1097-41D5-805F-87A7A8AC019E}"/>
    <cellStyle name="常规 2 6 6 2" xfId="17774" xr:uid="{5858499F-8461-492B-A698-9C47FA0DC2B9}"/>
    <cellStyle name="常规 2 6 6 2 2" xfId="17775" xr:uid="{04221AC7-9ACF-4068-B61B-8F7998FCE064}"/>
    <cellStyle name="常规 2 6 6 2 2 2" xfId="17776" xr:uid="{82A34555-19FE-4793-B224-A35716D7ED57}"/>
    <cellStyle name="常规 2 6 6 2 2 2 2" xfId="17777" xr:uid="{2FE7E26C-D4C9-481D-A6FD-7007EA1B9E32}"/>
    <cellStyle name="常规 2 6 6 2 2 3" xfId="17778" xr:uid="{5C46BA84-E650-4C8A-98E4-CB0A02664442}"/>
    <cellStyle name="常规 2 6 6 2 2 4" xfId="17779" xr:uid="{B6E27869-D60A-4F62-A689-E49EA633F3AA}"/>
    <cellStyle name="常规 2 6 6 2 2 4 2" xfId="34168" xr:uid="{91BD3ACA-C084-417F-8B3F-E57C38575044}"/>
    <cellStyle name="常规 2 6 6 2 3" xfId="17780" xr:uid="{F47BA84B-E15F-44FA-B047-C48F1C6498C3}"/>
    <cellStyle name="常规 2 6 6 2 3 2" xfId="17781" xr:uid="{8C55FDC4-9140-48E6-9EA9-F0351A9D288E}"/>
    <cellStyle name="常规 2 6 6 2 4" xfId="17782" xr:uid="{61ED231A-74EF-415F-A179-87DDE83D70E6}"/>
    <cellStyle name="常规 2 6 6 2 5" xfId="17783" xr:uid="{2110D1AA-393E-485C-B138-6BADC65ADF70}"/>
    <cellStyle name="常规 2 6 6 2 5 2" xfId="34169" xr:uid="{65398E1A-4474-4A14-BC10-DC706381618A}"/>
    <cellStyle name="常规 2 6 6 3" xfId="17784" xr:uid="{8B3D6B31-851C-4ABA-9DA1-C30974D7A733}"/>
    <cellStyle name="常规 2 6 6 3 2" xfId="17785" xr:uid="{E9402D77-774C-4AAF-986A-18724C90632E}"/>
    <cellStyle name="常规 2 6 6 3 2 2" xfId="17786" xr:uid="{6C0C9ABA-7579-4C7D-85CE-020A97C7ACB2}"/>
    <cellStyle name="常规 2 6 6 3 3" xfId="17787" xr:uid="{CBDD41AE-B079-40F6-8665-D8727E97BB81}"/>
    <cellStyle name="常规 2 6 6 3 4" xfId="17788" xr:uid="{5CA7FAC1-CECF-4B63-9959-7D1DB5202F6E}"/>
    <cellStyle name="常规 2 6 6 3 4 2" xfId="34170" xr:uid="{5B70C1E5-7ADA-42FD-8001-1AFD94EF334F}"/>
    <cellStyle name="常规 2 6 6 4" xfId="17789" xr:uid="{31197AEF-2F2D-4B03-B5AE-ED38FAEB17B5}"/>
    <cellStyle name="常规 2 6 6 4 2" xfId="17790" xr:uid="{83052A1F-E57B-451F-A652-6FC3BA7CD0CA}"/>
    <cellStyle name="常规 2 6 6 5" xfId="17791" xr:uid="{648D0D5F-1C7E-4BE9-B1C4-34841C38D746}"/>
    <cellStyle name="常规 2 6 6 6" xfId="17792" xr:uid="{74551617-07F3-4E85-AADB-52B9B71BF7CF}"/>
    <cellStyle name="常规 2 6 6 6 2" xfId="34171" xr:uid="{DC6360E6-C6D4-41D7-A6D7-6C042A46A787}"/>
    <cellStyle name="常规 2 6 6 7" xfId="17793" xr:uid="{C8872319-82BE-454F-966C-56F0A6271BAE}"/>
    <cellStyle name="常规 2 6 7" xfId="17794" xr:uid="{3A9DFA41-6D93-447C-B4B1-3A422269764C}"/>
    <cellStyle name="常规 2 6 7 2" xfId="17795" xr:uid="{C6C1D57D-675E-4089-B57C-A4F0F7B275D0}"/>
    <cellStyle name="常规 2 6 7 2 2" xfId="17796" xr:uid="{1774E385-DF29-44B5-B31C-4BFC6A380A1F}"/>
    <cellStyle name="常规 2 6 7 2 2 2" xfId="17797" xr:uid="{A03FDBEA-F042-4D0A-ABC5-D924D886A0B1}"/>
    <cellStyle name="常规 2 6 7 2 3" xfId="17798" xr:uid="{72AF8CE3-E357-4BA8-ABAF-5CA8D32B36C5}"/>
    <cellStyle name="常规 2 6 7 2 4" xfId="17799" xr:uid="{080A48A4-77C1-40F4-BAB3-2477DA4E7CC8}"/>
    <cellStyle name="常规 2 6 7 2 4 2" xfId="34172" xr:uid="{94928E73-952F-43A7-839C-2C9D266FAF35}"/>
    <cellStyle name="常规 2 6 7 3" xfId="17800" xr:uid="{AC6795A3-5B1C-48CB-8706-9F4AE2ADBCA9}"/>
    <cellStyle name="常规 2 6 7 3 2" xfId="17801" xr:uid="{CA360110-AF15-486F-BF9D-8907625BFBC2}"/>
    <cellStyle name="常规 2 6 7 4" xfId="17802" xr:uid="{A4F2A209-EE87-43B9-BCC5-8B136476DD1C}"/>
    <cellStyle name="常规 2 6 7 5" xfId="17803" xr:uid="{86A3F08C-6332-4229-9422-DECC86C50A27}"/>
    <cellStyle name="常规 2 6 7 5 2" xfId="34173" xr:uid="{F5326E9A-EBEC-48C7-993A-F2A998A400C3}"/>
    <cellStyle name="常规 2 6 8" xfId="17804" xr:uid="{62E151B0-E4AC-4BF4-A419-F8268239EE82}"/>
    <cellStyle name="常规 2 6 8 2" xfId="17805" xr:uid="{8D22EC90-C124-43EC-B88D-E8E2101CCB43}"/>
    <cellStyle name="常规 2 6 8 2 2" xfId="17806" xr:uid="{705EA816-095F-4851-B08A-20CC7A57BF3E}"/>
    <cellStyle name="常规 2 6 8 2 2 2" xfId="17807" xr:uid="{40F019ED-E096-4699-8E66-6AA7232DE359}"/>
    <cellStyle name="常规 2 6 8 2 3" xfId="17808" xr:uid="{016CC407-5AD7-4EF8-B77F-0E1FA5D70DBC}"/>
    <cellStyle name="常规 2 6 8 2 4" xfId="17809" xr:uid="{3A7F0C1E-3DCD-4F7F-9098-E3C350C9F81B}"/>
    <cellStyle name="常规 2 6 8 2 4 2" xfId="34174" xr:uid="{A6D9D67F-C060-4636-83EB-C46BBE8BF2E3}"/>
    <cellStyle name="常规 2 6 8 3" xfId="17810" xr:uid="{30C49F1A-EB38-4501-BFEB-1B947DFAECD6}"/>
    <cellStyle name="常规 2 6 8 3 2" xfId="17811" xr:uid="{E3B6BEEC-CA8A-4B5D-BC4A-592276DC384E}"/>
    <cellStyle name="常规 2 6 8 4" xfId="17812" xr:uid="{0D89B9F3-2124-45A6-8457-ADF6DCC22683}"/>
    <cellStyle name="常规 2 6 8 5" xfId="17813" xr:uid="{19E203A0-4CA5-4834-9F13-DD1F7A140AB4}"/>
    <cellStyle name="常规 2 6 8 5 2" xfId="34175" xr:uid="{5BBEAAFC-9C9A-45B3-9DA1-0E4E56C38B06}"/>
    <cellStyle name="常规 2 6 9" xfId="17814" xr:uid="{1D9FA7B5-3922-476E-A82A-C7060AC49129}"/>
    <cellStyle name="常规 2 6 9 2" xfId="17815" xr:uid="{B4104045-547A-45E6-8E54-3C16D27FAFF1}"/>
    <cellStyle name="常规 2 7" xfId="17816" xr:uid="{D0110DA4-1760-427D-BAAC-D73577A6418B}"/>
    <cellStyle name="常规 2 7 10" xfId="17817" xr:uid="{F0A9DA92-6FD8-4E10-98D2-F84AF333509E}"/>
    <cellStyle name="常规 2 7 11" xfId="17818" xr:uid="{1A14A22B-FACC-4998-97CC-CFFDD674D6FD}"/>
    <cellStyle name="常规 2 7 12" xfId="17819" xr:uid="{EB977C93-0D2C-4A4B-84A1-258FFCD92F74}"/>
    <cellStyle name="常规 2 7 2" xfId="17820" xr:uid="{05E6F070-6F35-40F0-8C3E-9358BABB5E67}"/>
    <cellStyle name="常规 2 7 2 10" xfId="17821" xr:uid="{328DD944-31A6-4976-A3B8-0FFC264FA98C}"/>
    <cellStyle name="常规 2 7 2 2" xfId="17822" xr:uid="{FC741CCB-1CD3-441E-A655-631C582FFC7F}"/>
    <cellStyle name="常规 2 7 2 2 2" xfId="17823" xr:uid="{ACB6F764-ADCA-4E5B-9ADC-539AF4DF1758}"/>
    <cellStyle name="常规 2 7 2 2 2 2" xfId="17824" xr:uid="{4545E712-08F5-418E-A31C-1B48270657EF}"/>
    <cellStyle name="常规 2 7 2 2 2 2 2" xfId="17825" xr:uid="{BCE893CB-5388-46F5-A227-5895A8ACF380}"/>
    <cellStyle name="常规 2 7 2 2 2 2 2 2" xfId="17826" xr:uid="{C551DC77-09A7-46E6-B83C-92C0FE148127}"/>
    <cellStyle name="常规 2 7 2 2 2 2 3" xfId="17827" xr:uid="{95A669C5-39CD-46CE-AE80-AE64099F3A13}"/>
    <cellStyle name="常规 2 7 2 2 2 2 4" xfId="17828" xr:uid="{8F9F6916-6F56-48CE-9919-38D0ADB43B81}"/>
    <cellStyle name="常规 2 7 2 2 2 2 4 2" xfId="34176" xr:uid="{9B36C583-975F-4C06-8895-C83770327AD1}"/>
    <cellStyle name="常规 2 7 2 2 2 3" xfId="17829" xr:uid="{2AD99730-448B-4AC6-ACE6-A0F698CB4B2D}"/>
    <cellStyle name="常规 2 7 2 2 2 3 2" xfId="17830" xr:uid="{688A51DA-88A3-4683-9EAE-F9348770D46D}"/>
    <cellStyle name="常规 2 7 2 2 2 4" xfId="17831" xr:uid="{2FEFB6FD-5170-42B2-8549-E12E1F9AAD5C}"/>
    <cellStyle name="常规 2 7 2 2 2 5" xfId="17832" xr:uid="{642A2FA4-7F3E-4CB1-98FE-8C8330CD004A}"/>
    <cellStyle name="常规 2 7 2 2 2 5 2" xfId="34177" xr:uid="{8F94AEF1-E46F-46BD-9E00-54C8C165C340}"/>
    <cellStyle name="常规 2 7 2 2 2 6" xfId="17833" xr:uid="{9E96D73D-D6EB-4CB0-9404-16E210B029F2}"/>
    <cellStyle name="常规 2 7 2 2 3" xfId="17834" xr:uid="{53687C26-6DE1-414C-A949-2964D131F685}"/>
    <cellStyle name="常规 2 7 2 2 3 2" xfId="17835" xr:uid="{FFBBEC2F-CA28-452D-BCEB-8C97D25B2025}"/>
    <cellStyle name="常规 2 7 2 2 3 2 2" xfId="17836" xr:uid="{34046608-009D-483C-9C49-CBD62B9EA5CA}"/>
    <cellStyle name="常规 2 7 2 2 3 2 3" xfId="17837" xr:uid="{F956A035-7340-4C76-888E-4046AE6361BC}"/>
    <cellStyle name="常规 2 7 2 2 3 3" xfId="17838" xr:uid="{CBF760C2-3F49-42B3-9972-C55978D26CE0}"/>
    <cellStyle name="常规 2 7 2 2 3 3 2" xfId="17839" xr:uid="{D831910C-7EAB-4E41-A358-761EADE7FB86}"/>
    <cellStyle name="常规 2 7 2 2 3 4" xfId="17840" xr:uid="{F85380D5-DC5B-4DE1-AF6B-AC78248A84C5}"/>
    <cellStyle name="常规 2 7 2 2 3 4 2" xfId="17841" xr:uid="{EC59975E-20C5-4F42-BA05-747CB03BC7F4}"/>
    <cellStyle name="常规 2 7 2 2 3 4 3" xfId="34178" xr:uid="{0A1A35ED-DBF3-43C8-9172-D432EFA651BC}"/>
    <cellStyle name="常规 2 7 2 2 3 5" xfId="17842" xr:uid="{455DBF79-9622-4592-BF12-1AC1D0FCBF19}"/>
    <cellStyle name="常规 2 7 2 2 3 6" xfId="17843" xr:uid="{C094CCE7-6F88-42C9-9BFB-33E2EE284D11}"/>
    <cellStyle name="常规 2 7 2 2 3 7" xfId="17844" xr:uid="{0FEC2573-A0A6-46BB-833F-08EFA1FCC3B6}"/>
    <cellStyle name="常规 2 7 2 2 4" xfId="17845" xr:uid="{62BE8A68-5A98-4045-B2DF-56DD1681ADBD}"/>
    <cellStyle name="常规 2 7 2 2 4 2" xfId="17846" xr:uid="{4AEE9BDD-C836-4295-81B3-EF432B72AB24}"/>
    <cellStyle name="常规 2 7 2 2 4 3" xfId="17847" xr:uid="{8FD9FBA2-EFF3-4495-B468-24A2F5A5B7C7}"/>
    <cellStyle name="常规 2 7 2 2 5" xfId="17848" xr:uid="{4F20F89F-6B37-4209-9540-4F80EB7BB008}"/>
    <cellStyle name="常规 2 7 2 2 5 2" xfId="17849" xr:uid="{8A90FC3B-05E1-4205-90FD-DED1E3F700E3}"/>
    <cellStyle name="常规 2 7 2 2 6" xfId="17850" xr:uid="{AC621E0E-71B3-4172-9B75-69AD884FB19B}"/>
    <cellStyle name="常规 2 7 2 2 6 2" xfId="17851" xr:uid="{B14F9B1C-93E6-49E8-AC6A-455F3CDE5413}"/>
    <cellStyle name="常规 2 7 2 2 6 3" xfId="34179" xr:uid="{A2F3CD33-F55D-4A52-A0CC-70F21DAFAB0D}"/>
    <cellStyle name="常规 2 7 2 2 7" xfId="17852" xr:uid="{1E859C87-0FE4-4C8F-B5E3-5EA7D1FB1BBC}"/>
    <cellStyle name="常规 2 7 2 2 8" xfId="17853" xr:uid="{9BFCE513-47F7-438D-9A33-893F36ED2A89}"/>
    <cellStyle name="常规 2 7 2 2 9" xfId="17854" xr:uid="{91B1EA81-1569-46F8-AD99-E16A89ADC00F}"/>
    <cellStyle name="常规 2 7 2 3" xfId="17855" xr:uid="{61C00459-FAAC-4EEE-8AC9-46C28E748348}"/>
    <cellStyle name="常规 2 7 2 3 2" xfId="17856" xr:uid="{52DD0449-6D7F-4DC0-9069-939371529BE9}"/>
    <cellStyle name="常规 2 7 2 3 2 2" xfId="17857" xr:uid="{A1CD2745-AFF4-4E11-8FF8-42317BABAB88}"/>
    <cellStyle name="常规 2 7 2 3 2 2 2" xfId="17858" xr:uid="{03C254E3-4FCA-44F3-9F38-A59F8B13F7B6}"/>
    <cellStyle name="常规 2 7 2 3 2 2 3" xfId="17859" xr:uid="{07D10AE6-CFFA-4A45-ADEC-D0DB807C20BF}"/>
    <cellStyle name="常规 2 7 2 3 2 3" xfId="17860" xr:uid="{78496867-7897-4AC7-92DC-84F0F164978A}"/>
    <cellStyle name="常规 2 7 2 3 2 3 2" xfId="17861" xr:uid="{4A535786-DD4B-45A4-81CB-74075D0ECB41}"/>
    <cellStyle name="常规 2 7 2 3 2 4" xfId="17862" xr:uid="{275ADD03-1F20-4F25-B1DC-7D2E6925404B}"/>
    <cellStyle name="常规 2 7 2 3 2 4 2" xfId="17863" xr:uid="{92578107-F55D-48F2-8823-DADFACD6BB9A}"/>
    <cellStyle name="常规 2 7 2 3 2 4 3" xfId="34180" xr:uid="{49F255DF-F4C2-4027-BF54-7B7B36C0F29A}"/>
    <cellStyle name="常规 2 7 2 3 2 5" xfId="17864" xr:uid="{FD8D9756-92F4-49FE-BC6C-B568A818A78B}"/>
    <cellStyle name="常规 2 7 2 3 2 6" xfId="17865" xr:uid="{27DC68F6-F7A7-4DF3-AB7B-7FD589A4D2E5}"/>
    <cellStyle name="常规 2 7 2 3 2 7" xfId="17866" xr:uid="{5CCA2BD6-A18F-4141-8C5E-99975FFF6E08}"/>
    <cellStyle name="常规 2 7 2 3 3" xfId="17867" xr:uid="{4793AE06-630E-4A36-A3F7-D4A804C42A9F}"/>
    <cellStyle name="常规 2 7 2 3 3 2" xfId="17868" xr:uid="{A92EC625-831C-4E97-8C91-81A0A82ACFF2}"/>
    <cellStyle name="常规 2 7 2 3 3 3" xfId="17869" xr:uid="{2478775F-C020-47A6-8344-A9171FBF3855}"/>
    <cellStyle name="常规 2 7 2 3 4" xfId="17870" xr:uid="{7D59C4E9-0E3E-48BE-8B87-B9F52B92E43E}"/>
    <cellStyle name="常规 2 7 2 3 4 2" xfId="17871" xr:uid="{91B5668A-7740-4119-A709-EEBEED1DB9C6}"/>
    <cellStyle name="常规 2 7 2 3 5" xfId="17872" xr:uid="{D6BBC1F2-2B95-4EB0-B986-429DAD5D8FCD}"/>
    <cellStyle name="常规 2 7 2 3 5 2" xfId="17873" xr:uid="{8C65379C-C4D2-4EED-B453-F8EE0D7F22E6}"/>
    <cellStyle name="常规 2 7 2 3 5 3" xfId="34181" xr:uid="{08DCFD83-4B44-4AB0-BC42-7EA6346CB0DF}"/>
    <cellStyle name="常规 2 7 2 3 6" xfId="17874" xr:uid="{F13590FB-DF4F-48D9-A4A4-41B2B8708AA4}"/>
    <cellStyle name="常规 2 7 2 3 7" xfId="17875" xr:uid="{0783C812-ADC4-429F-A5B2-12A338EC62FF}"/>
    <cellStyle name="常规 2 7 2 3 8" xfId="17876" xr:uid="{5A8E2F44-9D02-4702-9EC6-8EEF8B4FAE3D}"/>
    <cellStyle name="常规 2 7 2 4" xfId="17877" xr:uid="{07B8E377-B7E0-4B6B-88C0-26201E40164B}"/>
    <cellStyle name="常规 2 7 2 4 2" xfId="17878" xr:uid="{193DDC75-1203-45CB-9F68-DF92F97D0433}"/>
    <cellStyle name="常规 2 7 2 4 2 2" xfId="17879" xr:uid="{D1CCF310-DE26-4DF3-B365-03928EDF53B1}"/>
    <cellStyle name="常规 2 7 2 4 2 3" xfId="17880" xr:uid="{A96F1F77-8FDE-4F05-904A-5B92736EF7C7}"/>
    <cellStyle name="常规 2 7 2 4 3" xfId="17881" xr:uid="{B49925DA-1E61-42E6-967C-5081C2D5B088}"/>
    <cellStyle name="常规 2 7 2 4 3 2" xfId="17882" xr:uid="{6FB3C175-853B-43CA-898C-C6F06CD11AC2}"/>
    <cellStyle name="常规 2 7 2 4 4" xfId="17883" xr:uid="{FC698EFB-04A4-4E9D-9C0F-658C8C8F84A4}"/>
    <cellStyle name="常规 2 7 2 4 4 2" xfId="17884" xr:uid="{D39E038B-122F-4BE2-8478-1BBF8241323B}"/>
    <cellStyle name="常规 2 7 2 4 4 3" xfId="34182" xr:uid="{37ECC4C0-14D6-428D-B177-95D06C73164F}"/>
    <cellStyle name="常规 2 7 2 4 5" xfId="17885" xr:uid="{DF6A2591-2D39-4464-A9FA-D4E829D3D398}"/>
    <cellStyle name="常规 2 7 2 4 6" xfId="17886" xr:uid="{FC0072CB-EC08-462D-A515-F18B21C78B67}"/>
    <cellStyle name="常规 2 7 2 4 7" xfId="17887" xr:uid="{D78FB976-F22B-4508-8742-6585117A0533}"/>
    <cellStyle name="常规 2 7 2 5" xfId="17888" xr:uid="{5BFC1588-F8A9-4588-88F5-223C230FB0D6}"/>
    <cellStyle name="常规 2 7 2 5 2" xfId="17889" xr:uid="{EA7C1C0F-6520-40BB-A2A9-48116442674A}"/>
    <cellStyle name="常规 2 7 2 5 3" xfId="17890" xr:uid="{0D30AE08-C8A8-4519-BC64-432EF67FB224}"/>
    <cellStyle name="常规 2 7 2 6" xfId="17891" xr:uid="{761A0069-22F1-4D82-A61B-3232F794369A}"/>
    <cellStyle name="常规 2 7 2 6 2" xfId="17892" xr:uid="{BED6168D-C851-48E3-B3AA-62DD8C5989CD}"/>
    <cellStyle name="常规 2 7 2 7" xfId="17893" xr:uid="{2ACBA1B6-B9F1-4EE3-9FCD-865C50453944}"/>
    <cellStyle name="常规 2 7 2 7 2" xfId="17894" xr:uid="{BE4CF41A-A562-47B6-AF60-93DAFE812792}"/>
    <cellStyle name="常规 2 7 2 7 3" xfId="34183" xr:uid="{94F40C85-19E2-4891-B61C-775D3A6F1FDB}"/>
    <cellStyle name="常规 2 7 2 8" xfId="17895" xr:uid="{81C1EFFD-B4F0-43F9-99CE-42906F2A32DE}"/>
    <cellStyle name="常规 2 7 2 8 2" xfId="17896" xr:uid="{6C60A19C-2E9A-4DB1-9598-A07BC7949062}"/>
    <cellStyle name="常规 2 7 2 9" xfId="17897" xr:uid="{8F817259-8DD1-49E5-955F-47A74B9A7910}"/>
    <cellStyle name="常规 2 7 3" xfId="17898" xr:uid="{1F9F36A2-DF5A-431C-9584-E7DBF4D025B5}"/>
    <cellStyle name="常规 2 7 3 10" xfId="17899" xr:uid="{F799DDD2-F78E-4974-9636-ADEEE17F83CF}"/>
    <cellStyle name="常规 2 7 3 11" xfId="17900" xr:uid="{B51D9ECE-BB14-4A93-AF28-420CFCBBB058}"/>
    <cellStyle name="常规 2 7 3 2" xfId="17901" xr:uid="{A72D1FE9-5591-4494-B01E-EE02CD427C41}"/>
    <cellStyle name="常规 2 7 3 2 2" xfId="17902" xr:uid="{542B54E4-8C3A-4F64-B37E-CE7DCA58E93C}"/>
    <cellStyle name="常规 2 7 3 2 2 2" xfId="17903" xr:uid="{3F67BFDD-5F97-498B-A3D9-3E67DEFE3878}"/>
    <cellStyle name="常规 2 7 3 2 2 2 2" xfId="17904" xr:uid="{4D68B58E-D337-4E5C-9E09-1B994173967E}"/>
    <cellStyle name="常规 2 7 3 2 2 2 3" xfId="17905" xr:uid="{00B55A9D-48E1-47D4-8A53-9EC55F223DCE}"/>
    <cellStyle name="常规 2 7 3 2 2 2 4" xfId="17906" xr:uid="{1746606D-CE4B-4A2C-9FD5-FD1CE80D3DC7}"/>
    <cellStyle name="常规 2 7 3 2 2 2 5" xfId="17907" xr:uid="{93249B7A-90D8-47CB-A5D2-167977A939D9}"/>
    <cellStyle name="常规 2 7 3 2 2 2 6" xfId="17908" xr:uid="{C8EEF808-EC02-4C26-A92A-AB50C02A642F}"/>
    <cellStyle name="常规 2 7 3 2 2 2 7" xfId="17909" xr:uid="{4BCDBCDF-32AE-4D06-9B5C-DEE7CC48BE08}"/>
    <cellStyle name="常规 2 7 3 2 2 2 8" xfId="17910" xr:uid="{F1577D6F-787F-4607-86D1-4E3101880D06}"/>
    <cellStyle name="常规 2 7 3 2 2 3" xfId="17911" xr:uid="{6D1102DE-0D74-44B5-A18B-8C3EB95E7948}"/>
    <cellStyle name="常规 2 7 3 2 2 3 2" xfId="17912" xr:uid="{72CF811E-DB7D-4638-9317-C6F56B4CE13B}"/>
    <cellStyle name="常规 2 7 3 2 2 4" xfId="17913" xr:uid="{EE673C92-EA9A-4ACC-8D63-58D056BF7F56}"/>
    <cellStyle name="常规 2 7 3 2 2 4 2" xfId="17914" xr:uid="{76D60E42-F5C6-41DE-8E55-2F60F29DD356}"/>
    <cellStyle name="常规 2 7 3 2 2 4 3" xfId="34184" xr:uid="{810126F4-CA85-41D8-A2D1-456843B7A9EA}"/>
    <cellStyle name="常规 2 7 3 2 2 5" xfId="17915" xr:uid="{062740DB-A49B-4342-B65B-D4C1C26D3DEF}"/>
    <cellStyle name="常规 2 7 3 2 2 6" xfId="17916" xr:uid="{8FAA1802-A316-4E9B-86DB-1EF77797D626}"/>
    <cellStyle name="常规 2 7 3 2 2 7" xfId="17917" xr:uid="{35F2984C-6813-40ED-9F62-6ADFBA3AF70C}"/>
    <cellStyle name="常规 2 7 3 2 2 8" xfId="17918" xr:uid="{E3BD6936-F9CE-4D74-9D1A-4E89B5D4F73C}"/>
    <cellStyle name="常规 2 7 3 2 3" xfId="17919" xr:uid="{32E6D77F-3159-463E-812F-14503E8D5FBB}"/>
    <cellStyle name="常规 2 7 3 2 3 2" xfId="17920" xr:uid="{0CE39918-42D2-45C1-9313-31EE25147F24}"/>
    <cellStyle name="常规 2 7 3 2 3 3" xfId="17921" xr:uid="{8D9F7F05-3748-4DEA-B163-19D8D7336C13}"/>
    <cellStyle name="常规 2 7 3 2 3 4" xfId="17922" xr:uid="{69D6C1CA-D68A-4609-9B03-7BD9ADD67FCD}"/>
    <cellStyle name="常规 2 7 3 2 3 5" xfId="17923" xr:uid="{1D13347F-B992-490C-B7F4-888C55BA6209}"/>
    <cellStyle name="常规 2 7 3 2 3 6" xfId="17924" xr:uid="{D9680623-9EC3-4AB9-ABDE-AB6C8B9D3F40}"/>
    <cellStyle name="常规 2 7 3 2 3 7" xfId="17925" xr:uid="{D878C5F1-7855-44CA-98D2-E6CF56E828CC}"/>
    <cellStyle name="常规 2 7 3 2 3 8" xfId="17926" xr:uid="{B950DD34-6B93-4055-9E75-B90B33797496}"/>
    <cellStyle name="常规 2 7 3 2 4" xfId="17927" xr:uid="{C5FE66F2-5999-4468-855C-1C321CACC64D}"/>
    <cellStyle name="常规 2 7 3 2 4 2" xfId="17928" xr:uid="{D5AC0F3A-9E55-432C-8636-7B8F49EF348A}"/>
    <cellStyle name="常规 2 7 3 2 5" xfId="17929" xr:uid="{59C213DB-A282-41DF-9F21-A531AFFA92FE}"/>
    <cellStyle name="常规 2 7 3 2 5 2" xfId="17930" xr:uid="{2EDCF297-B089-4552-B6A8-1CA4A04F33D7}"/>
    <cellStyle name="常规 2 7 3 2 5 3" xfId="34185" xr:uid="{3473D539-0D3F-4CA2-A595-3CD8E4500B4B}"/>
    <cellStyle name="常规 2 7 3 2 6" xfId="17931" xr:uid="{A8FEEF98-437C-4CCD-849E-5CFD57E6826E}"/>
    <cellStyle name="常规 2 7 3 2 7" xfId="17932" xr:uid="{840541BB-4DAB-4CD1-9269-049C4D8C9CD1}"/>
    <cellStyle name="常规 2 7 3 2 8" xfId="17933" xr:uid="{509E08BE-DA90-4F17-93B9-759E92955B4A}"/>
    <cellStyle name="常规 2 7 3 2 9" xfId="17934" xr:uid="{EC1EDD96-9E95-4344-A9EF-85B7EE4AFC18}"/>
    <cellStyle name="常规 2 7 3 3" xfId="17935" xr:uid="{68A3359F-549F-4DAF-8CAA-BF8F754FEFBB}"/>
    <cellStyle name="常规 2 7 3 3 2" xfId="17936" xr:uid="{52EC7D4D-A3EC-4361-AF9D-02724D08C275}"/>
    <cellStyle name="常规 2 7 3 3 2 2" xfId="17937" xr:uid="{C1B981DA-6940-4D43-A787-CD185AC13734}"/>
    <cellStyle name="常规 2 7 3 3 2 3" xfId="17938" xr:uid="{CA0FE183-0577-4237-ACC3-A7F8BCC55414}"/>
    <cellStyle name="常规 2 7 3 3 2 4" xfId="17939" xr:uid="{CEEFB8AC-CD16-43C8-AC25-DB718EE569EC}"/>
    <cellStyle name="常规 2 7 3 3 2 5" xfId="17940" xr:uid="{2E98A45C-9D05-4F46-8ECB-6D78837F4D54}"/>
    <cellStyle name="常规 2 7 3 3 2 6" xfId="17941" xr:uid="{F6CA15D5-827C-42AA-B90D-D1308C41B567}"/>
    <cellStyle name="常规 2 7 3 3 2 7" xfId="17942" xr:uid="{E5084272-FB57-4F41-9E8A-993746D5D468}"/>
    <cellStyle name="常规 2 7 3 3 2 8" xfId="17943" xr:uid="{175C25D6-45BD-4922-93AC-6AEA3A18569B}"/>
    <cellStyle name="常规 2 7 3 3 3" xfId="17944" xr:uid="{128BAAEE-1E9C-4C7D-85FC-B36A100E0B34}"/>
    <cellStyle name="常规 2 7 3 3 3 2" xfId="17945" xr:uid="{F511A876-83C8-459E-8D43-677BC553FFA0}"/>
    <cellStyle name="常规 2 7 3 3 4" xfId="17946" xr:uid="{436F10E1-0E97-4AC4-A4F4-E5188DB2A1F8}"/>
    <cellStyle name="常规 2 7 3 3 4 2" xfId="17947" xr:uid="{5AA82C0D-57A2-4907-A4E2-F3D569AE86F7}"/>
    <cellStyle name="常规 2 7 3 3 4 3" xfId="34186" xr:uid="{B8A9FBF0-9D83-4CAB-A4D9-5C2419206EE3}"/>
    <cellStyle name="常规 2 7 3 3 5" xfId="17948" xr:uid="{589D7D6B-193E-46C3-A78C-736887E8C39B}"/>
    <cellStyle name="常规 2 7 3 3 6" xfId="17949" xr:uid="{72D0725A-DCC3-4320-8ECE-174D3D2B3ED9}"/>
    <cellStyle name="常规 2 7 3 3 7" xfId="17950" xr:uid="{A94E665D-3C1E-49C3-97EF-B3FE546D3457}"/>
    <cellStyle name="常规 2 7 3 3 8" xfId="17951" xr:uid="{5EF9FEF8-A6EB-409F-9BD5-FF6F8A7C506E}"/>
    <cellStyle name="常规 2 7 3 4" xfId="17952" xr:uid="{EFA80383-36B3-4730-8A8B-9B4AF103D482}"/>
    <cellStyle name="常规 2 7 3 4 2" xfId="17953" xr:uid="{175B9745-41F0-4A45-8F81-4D985D9A73A3}"/>
    <cellStyle name="常规 2 7 3 4 2 2" xfId="17954" xr:uid="{EA090CBF-B61B-40B1-9611-2674DA923C6F}"/>
    <cellStyle name="常规 2 7 3 4 2 3" xfId="17955" xr:uid="{90732D76-FDB8-4858-AC8B-24738F96D5F0}"/>
    <cellStyle name="常规 2 7 3 4 2 4" xfId="17956" xr:uid="{A17C4D35-EBF1-4688-AEE0-FF32712F05C0}"/>
    <cellStyle name="常规 2 7 3 4 2 5" xfId="17957" xr:uid="{7B1ADF37-5718-4F7D-A933-8ABE70401A4D}"/>
    <cellStyle name="常规 2 7 3 4 2 6" xfId="17958" xr:uid="{E81E6704-32D1-48F9-A7D7-B5A5AE9A81DA}"/>
    <cellStyle name="常规 2 7 3 4 3" xfId="17959" xr:uid="{2E29221B-3959-4315-82BE-A0DFC17B2549}"/>
    <cellStyle name="常规 2 7 3 4 4" xfId="17960" xr:uid="{3CB1EE02-6CFA-456E-8294-FBA827DD0D64}"/>
    <cellStyle name="常规 2 7 3 4 5" xfId="17961" xr:uid="{E1EF9854-2A42-430F-A4E8-5DCBC084D5EB}"/>
    <cellStyle name="常规 2 7 3 4 6" xfId="17962" xr:uid="{C1B6CDD6-2BA1-45D9-A112-E839CE24F649}"/>
    <cellStyle name="常规 2 7 3 4 7" xfId="17963" xr:uid="{D8F98ED0-6093-4376-9E36-66DFF8EFDD66}"/>
    <cellStyle name="常规 2 7 3 4 8" xfId="17964" xr:uid="{141AAB32-6A18-496C-BDC7-8C7077E7572B}"/>
    <cellStyle name="常规 2 7 3 4 9" xfId="17965" xr:uid="{AC800D5A-DC64-4273-9B10-1AD5DC7A82AA}"/>
    <cellStyle name="常规 2 7 3 5" xfId="17966" xr:uid="{82ECBA59-525D-4FEA-9581-D4B114C5E046}"/>
    <cellStyle name="常规 2 7 3 5 2" xfId="17967" xr:uid="{90617AE4-7FB6-48E1-9420-4C7EE8BD068E}"/>
    <cellStyle name="常规 2 7 3 5 3" xfId="17968" xr:uid="{4BE2B027-7CE0-40A5-A95E-DB61451791A5}"/>
    <cellStyle name="常规 2 7 3 5 4" xfId="17969" xr:uid="{21858B10-1FFC-4943-BD6E-4ECC938E7F84}"/>
    <cellStyle name="常规 2 7 3 5 5" xfId="17970" xr:uid="{A2CBE370-D1ED-4B5B-8B96-A20C40FD9CC2}"/>
    <cellStyle name="常规 2 7 3 5 6" xfId="17971" xr:uid="{36268895-3F23-44A5-9639-6B2B12428F94}"/>
    <cellStyle name="常规 2 7 3 5 7" xfId="17972" xr:uid="{08C5EBDF-9711-4D98-9D54-94EF90F7E3B0}"/>
    <cellStyle name="常规 2 7 3 6" xfId="17973" xr:uid="{3160EBA3-2282-4C6B-B1C2-42BFA9CECF96}"/>
    <cellStyle name="常规 2 7 3 6 2" xfId="17974" xr:uid="{8248A5DB-84B2-4159-BB87-DE7A17D2E23A}"/>
    <cellStyle name="常规 2 7 3 6 3" xfId="34187" xr:uid="{81AAA504-B7FD-4418-8920-EA0F5991C294}"/>
    <cellStyle name="常规 2 7 3 7" xfId="17975" xr:uid="{DB06B475-D4A3-4889-9A22-BD4294D9E1D7}"/>
    <cellStyle name="常规 2 7 3 7 2" xfId="17976" xr:uid="{4D9996BD-CB70-4A1A-A72C-3D9BD7B218CB}"/>
    <cellStyle name="常规 2 7 3 8" xfId="17977" xr:uid="{7D539EAB-8BA0-43B7-931B-C18CB5212A20}"/>
    <cellStyle name="常规 2 7 3 9" xfId="17978" xr:uid="{A8F9B62B-FAF1-4847-9CEE-1DBD0AA8B71F}"/>
    <cellStyle name="常规 2 7 4" xfId="17979" xr:uid="{E1D0DFCA-FC5A-4D91-9C88-7D068015B48C}"/>
    <cellStyle name="常规 2 7 4 2" xfId="17980" xr:uid="{48B4EF7D-40BD-48EB-BC80-F370AE08D2EA}"/>
    <cellStyle name="常规 2 7 4 2 2" xfId="17981" xr:uid="{B1A791EC-B27E-427D-B810-C970D932A8D1}"/>
    <cellStyle name="常规 2 7 4 2 2 2" xfId="17982" xr:uid="{BDBC7850-5E20-4DDF-A511-40F1D0ECB679}"/>
    <cellStyle name="常规 2 7 4 2 3" xfId="17983" xr:uid="{BFAE21A7-FD38-4C5E-ADDF-84B125E8BB2E}"/>
    <cellStyle name="常规 2 7 4 2 4" xfId="17984" xr:uid="{EAC30DD7-BA6C-48B3-944F-C2D177341149}"/>
    <cellStyle name="常规 2 7 4 2 4 2" xfId="34188" xr:uid="{7B1317F2-C446-48D8-8572-C39A23622DA7}"/>
    <cellStyle name="常规 2 7 4 2 5" xfId="17985" xr:uid="{81EDE153-4C2B-4C26-A3AC-24B0D718B401}"/>
    <cellStyle name="常规 2 7 4 3" xfId="17986" xr:uid="{06D467EF-533C-4DA5-A1B0-7BADF8545A26}"/>
    <cellStyle name="常规 2 7 4 3 2" xfId="17987" xr:uid="{7E19AB4B-BEE7-4781-B45C-FC989941D860}"/>
    <cellStyle name="常规 2 7 4 4" xfId="17988" xr:uid="{AB05578D-F6D1-4318-90A6-79DB9A12C904}"/>
    <cellStyle name="常规 2 7 4 5" xfId="17989" xr:uid="{F4331971-FDEB-41DD-B949-99374E6C1AF0}"/>
    <cellStyle name="常规 2 7 4 5 2" xfId="34189" xr:uid="{4C89C1A7-54D1-40A2-A612-E69EB72D214B}"/>
    <cellStyle name="常规 2 7 4 6" xfId="17990" xr:uid="{2DF65FDD-99C4-4612-B5E2-D5331AD92731}"/>
    <cellStyle name="常规 2 7 4 7" xfId="17991" xr:uid="{54537357-4D3D-4480-95DF-CC8C5141D7A1}"/>
    <cellStyle name="常规 2 7 5" xfId="17992" xr:uid="{13C0C5B8-35EE-4B00-A76E-BAB0CE685C35}"/>
    <cellStyle name="常规 2 7 5 2" xfId="17993" xr:uid="{936FC1C7-FD06-4196-BFC1-193D8F50AC62}"/>
    <cellStyle name="常规 2 7 5 2 2" xfId="17994" xr:uid="{6CB0065A-A5FC-4F2A-BBE0-E779AE0DB3A8}"/>
    <cellStyle name="常规 2 7 5 2 2 2" xfId="17995" xr:uid="{33F3C40F-7F90-441F-909B-B00170434880}"/>
    <cellStyle name="常规 2 7 5 2 3" xfId="17996" xr:uid="{BD01C340-38DD-47BB-A48F-1CCCCED0BC40}"/>
    <cellStyle name="常规 2 7 5 2 4" xfId="17997" xr:uid="{C9379160-E352-4680-ADFE-B665F8EE6E7B}"/>
    <cellStyle name="常规 2 7 5 2 4 2" xfId="34190" xr:uid="{2A50A4C3-A824-4B32-BFD8-C8F145C110AF}"/>
    <cellStyle name="常规 2 7 5 3" xfId="17998" xr:uid="{83D3CA9C-5707-4580-A374-4472FAC7F891}"/>
    <cellStyle name="常规 2 7 5 3 2" xfId="17999" xr:uid="{1A7F4B3B-BA48-4BFE-827C-3AAF3F67F136}"/>
    <cellStyle name="常规 2 7 5 4" xfId="18000" xr:uid="{DE61F525-E7C5-435A-B70C-4C2FD0611C5F}"/>
    <cellStyle name="常规 2 7 5 5" xfId="18001" xr:uid="{F02446F0-E5DD-4720-9261-97CC4404C8F6}"/>
    <cellStyle name="常规 2 7 5 5 2" xfId="34191" xr:uid="{78039EC8-ED81-4FCF-89CD-DBA23EBCEAF8}"/>
    <cellStyle name="常规 2 7 5 6" xfId="18002" xr:uid="{9F7C3F83-6EA0-4C0C-BF23-EE53E133BD4B}"/>
    <cellStyle name="常规 2 7 6" xfId="18003" xr:uid="{8D150249-0E8C-4095-9508-68D065106F40}"/>
    <cellStyle name="常规 2 7 6 2" xfId="18004" xr:uid="{4F549F78-598C-49C4-B276-4B6906E27B05}"/>
    <cellStyle name="常规 2 7 6 3" xfId="18005" xr:uid="{DF989B49-B422-4F7F-BBA6-2392C13B9EEA}"/>
    <cellStyle name="常规 2 7 6 4" xfId="18006" xr:uid="{53705672-B870-4634-90FC-055D59DF3A97}"/>
    <cellStyle name="常规 2 7 6 5" xfId="18007" xr:uid="{CAA35761-36AF-43D2-956B-B7A481B56360}"/>
    <cellStyle name="常规 2 7 6 6" xfId="18008" xr:uid="{1356FD44-EAF8-4356-9487-D38F98B0CB7D}"/>
    <cellStyle name="常规 2 7 6 7" xfId="18009" xr:uid="{0D95FC3C-02EC-4AD3-854F-8AB73B376E55}"/>
    <cellStyle name="常规 2 7 7" xfId="18010" xr:uid="{45833AE2-8956-4AB1-885C-8579DFE3983D}"/>
    <cellStyle name="常规 2 7 8" xfId="18011" xr:uid="{9B6A1C9E-F4E6-49F0-A87D-1C09732C8638}"/>
    <cellStyle name="常规 2 7 9" xfId="18012" xr:uid="{46E8C7B0-7D2B-41C2-8E73-BEE03EEBD438}"/>
    <cellStyle name="常规 2 8" xfId="18013" xr:uid="{26651501-7FD5-4F6E-BE4D-416FC25530BB}"/>
    <cellStyle name="常规 2 8 10" xfId="18014" xr:uid="{750AD39C-8437-49E7-8FB7-30D451EB251A}"/>
    <cellStyle name="常规 2 8 2" xfId="18015" xr:uid="{6F810CB1-414A-4589-987B-9F6F3A2C46B5}"/>
    <cellStyle name="常规 2 8 2 2" xfId="18016" xr:uid="{B1C2BD97-E550-4BB7-882D-0A458A6775B2}"/>
    <cellStyle name="常规 2 8 2 2 2" xfId="18017" xr:uid="{D9E72D66-7845-4E58-8F0C-DEEB6246BF7F}"/>
    <cellStyle name="常规 2 8 2 2 2 2" xfId="18018" xr:uid="{6E98BBA8-E9EF-4CBC-AD1B-BDABC7BAE5DD}"/>
    <cellStyle name="常规 2 8 2 2 2 2 2" xfId="18019" xr:uid="{799B49D7-FD20-4E62-A4BE-E79D0D47C15F}"/>
    <cellStyle name="常规 2 8 2 2 2 3" xfId="18020" xr:uid="{6CF7D183-60A1-440C-980F-08EA8134D7E4}"/>
    <cellStyle name="常规 2 8 2 2 2 4" xfId="18021" xr:uid="{F54E282B-87A9-404D-B202-77F50F023968}"/>
    <cellStyle name="常规 2 8 2 2 2 4 2" xfId="34192" xr:uid="{838B7C82-6F64-4B50-AA0C-874C6B9267D5}"/>
    <cellStyle name="常规 2 8 2 2 3" xfId="18022" xr:uid="{BFA193A3-8710-4828-A32F-EDFA1A55DA07}"/>
    <cellStyle name="常规 2 8 2 2 3 2" xfId="18023" xr:uid="{CC832FCC-A340-42C0-9C31-F2025B5B58E9}"/>
    <cellStyle name="常规 2 8 2 2 3 2 2" xfId="18024" xr:uid="{18777B36-2DBA-491E-9022-A437B0E667E7}"/>
    <cellStyle name="常规 2 8 2 2 3 3" xfId="18025" xr:uid="{D1C5704B-4306-4388-AB0F-E31992BBC205}"/>
    <cellStyle name="常规 2 8 2 2 3 4" xfId="18026" xr:uid="{EA07174A-97BF-430D-AADD-5F4291728796}"/>
    <cellStyle name="常规 2 8 2 2 3 4 2" xfId="34193" xr:uid="{C1C80F3C-6B10-4DFF-964A-DC841192437A}"/>
    <cellStyle name="常规 2 8 2 2 4" xfId="18027" xr:uid="{AEFCCE88-DAAD-4E44-85AF-47E668CA304B}"/>
    <cellStyle name="常规 2 8 2 2 4 2" xfId="18028" xr:uid="{00A7D8BE-340A-4B15-92EB-2C279A9B936D}"/>
    <cellStyle name="常规 2 8 2 2 5" xfId="18029" xr:uid="{9A83F5E2-9C54-457F-8C25-706CD76A7FFF}"/>
    <cellStyle name="常规 2 8 2 2 6" xfId="18030" xr:uid="{CD95885F-28F7-4827-B969-076B5EBD4AA5}"/>
    <cellStyle name="常规 2 8 2 2 6 2" xfId="34194" xr:uid="{6529921D-4675-447C-B28C-D92C2C79C4AE}"/>
    <cellStyle name="常规 2 8 2 3" xfId="18031" xr:uid="{6874F1E7-1149-4BFA-B3ED-5659BFCA79D5}"/>
    <cellStyle name="常规 2 8 2 3 2" xfId="18032" xr:uid="{D48DEBBA-A87E-4913-AE5B-FA8F08DB71BC}"/>
    <cellStyle name="常规 2 8 2 3 2 2" xfId="18033" xr:uid="{359FF167-5E91-4643-A5FC-27C8CFE842E0}"/>
    <cellStyle name="常规 2 8 2 3 3" xfId="18034" xr:uid="{62455188-1407-4D88-A2B0-AC338F9D0513}"/>
    <cellStyle name="常规 2 8 2 3 4" xfId="18035" xr:uid="{2B774E3E-E743-427B-838B-F920B7A5BBE5}"/>
    <cellStyle name="常规 2 8 2 3 4 2" xfId="34195" xr:uid="{E8E6768A-56BA-4083-95A9-831C38736AE6}"/>
    <cellStyle name="常规 2 8 2 4" xfId="18036" xr:uid="{5966DB14-3BD9-4A9B-ABD2-E9715D815B35}"/>
    <cellStyle name="常规 2 8 2 4 2" xfId="18037" xr:uid="{053F48E1-8B70-44A1-8E83-C00E8CDFCAFE}"/>
    <cellStyle name="常规 2 8 2 4 2 2" xfId="18038" xr:uid="{FB83D3B6-9580-4B4E-AE47-CB3312B03111}"/>
    <cellStyle name="常规 2 8 2 4 3" xfId="18039" xr:uid="{BAD09DF1-B7ED-4694-840B-EBA40BC52432}"/>
    <cellStyle name="常规 2 8 2 4 4" xfId="18040" xr:uid="{FF853975-22C1-4017-9715-220F5247EEE6}"/>
    <cellStyle name="常规 2 8 2 4 4 2" xfId="34196" xr:uid="{0EEDBE19-55EE-4107-8743-6AC6ECC98171}"/>
    <cellStyle name="常规 2 8 2 5" xfId="18041" xr:uid="{5B099B42-2000-4033-B7D2-12F867DBF4D1}"/>
    <cellStyle name="常规 2 8 2 5 2" xfId="18042" xr:uid="{6D8D197B-5BBD-4F42-BAD8-A6102F2470FC}"/>
    <cellStyle name="常规 2 8 2 6" xfId="18043" xr:uid="{878AE485-508C-4956-BA11-814B5139C8FF}"/>
    <cellStyle name="常规 2 8 2 7" xfId="18044" xr:uid="{268C84DF-AF41-4C8F-8CDB-DE6CB86138F2}"/>
    <cellStyle name="常规 2 8 2 7 2" xfId="34197" xr:uid="{3960B09C-631B-4278-95C1-736FA466F9E1}"/>
    <cellStyle name="常规 2 8 2 8" xfId="18045" xr:uid="{2C4C70B1-80EA-4C8C-A0AF-A0F4F75522D3}"/>
    <cellStyle name="常规 2 8 3" xfId="18046" xr:uid="{2230842E-25D5-41E4-8FC1-0D67FFB0FADC}"/>
    <cellStyle name="常规 2 8 3 2" xfId="18047" xr:uid="{7C91632D-F7E9-4D1B-91A3-8B529B03763A}"/>
    <cellStyle name="常规 2 8 3 2 2" xfId="18048" xr:uid="{9A1811D4-242A-476B-830D-D73BB784D1C0}"/>
    <cellStyle name="常规 2 8 3 2 2 2" xfId="18049" xr:uid="{EB59E743-5129-41BB-8AED-FC182A23A396}"/>
    <cellStyle name="常规 2 8 3 2 3" xfId="18050" xr:uid="{9D0EE16D-67B8-4F35-8A44-1BE31381EDB3}"/>
    <cellStyle name="常规 2 8 3 2 4" xfId="18051" xr:uid="{FBBB6E48-4D9B-420C-A5DF-1935FDB1EC38}"/>
    <cellStyle name="常规 2 8 3 2 4 2" xfId="34198" xr:uid="{FE63E92D-3C30-4573-A634-1E8BCD9B0D3C}"/>
    <cellStyle name="常规 2 8 3 3" xfId="18052" xr:uid="{0B850501-19C2-4500-A6F0-F07C086353BC}"/>
    <cellStyle name="常规 2 8 3 3 2" xfId="18053" xr:uid="{B89B11F1-726B-4326-A6ED-7D63019E335B}"/>
    <cellStyle name="常规 2 8 3 4" xfId="18054" xr:uid="{FDFE939E-F205-41D3-BF89-02605FCD1324}"/>
    <cellStyle name="常规 2 8 3 4 2" xfId="18055" xr:uid="{447A27F5-ABF7-4220-AEB5-37C358918C27}"/>
    <cellStyle name="常规 2 8 3 5" xfId="18056" xr:uid="{0201D8F2-06E3-46E7-B8FF-E064DCDF5563}"/>
    <cellStyle name="常规 2 8 3 6" xfId="18057" xr:uid="{3C025378-0962-42C2-B747-DDD0711F52A6}"/>
    <cellStyle name="常规 2 8 3 6 2" xfId="34199" xr:uid="{C8DDCFF1-F6EC-4AC2-9DB7-7AD149545E9B}"/>
    <cellStyle name="常规 2 8 3 7" xfId="18058" xr:uid="{BB92351B-7833-4DF2-83E4-D73C564EE85F}"/>
    <cellStyle name="常规 2 8 4" xfId="18059" xr:uid="{EB877A3D-0BF6-45D9-AE6E-F2A3255DDABA}"/>
    <cellStyle name="常规 2 8 4 2" xfId="18060" xr:uid="{4E256BC6-46FE-4A04-947C-E5D249827023}"/>
    <cellStyle name="常规 2 8 4 2 2" xfId="18061" xr:uid="{6D85CAFE-5530-40B1-BB42-55C2FF0248B2}"/>
    <cellStyle name="常规 2 8 4 2 2 2" xfId="18062" xr:uid="{117D09FB-1D9F-42E4-9469-B2B2460021C7}"/>
    <cellStyle name="常规 2 8 4 2 3" xfId="18063" xr:uid="{A2E6B2D8-F331-4FA8-8FD9-C2290D307B3F}"/>
    <cellStyle name="常规 2 8 4 2 4" xfId="18064" xr:uid="{D4A482D8-98D8-4DB7-A064-005995C18CD6}"/>
    <cellStyle name="常规 2 8 4 2 4 2" xfId="34200" xr:uid="{C555F305-FE45-49B8-B47C-6854A116198A}"/>
    <cellStyle name="常规 2 8 4 3" xfId="18065" xr:uid="{B08522B7-C6D3-47BD-ADEF-980C3F1E2B59}"/>
    <cellStyle name="常规 2 8 4 3 2" xfId="18066" xr:uid="{C5BD6C9C-0BEE-46BD-AEEB-EAC1FF010801}"/>
    <cellStyle name="常规 2 8 4 4" xfId="18067" xr:uid="{32FFDC85-9AFD-4838-B1B9-542C6CEBB4D8}"/>
    <cellStyle name="常规 2 8 4 5" xfId="18068" xr:uid="{611CE897-7B5D-48A8-9BF6-C2C3F6BFB000}"/>
    <cellStyle name="常规 2 8 4 5 2" xfId="34201" xr:uid="{315D77D5-7434-4721-B610-84C05A99E8D7}"/>
    <cellStyle name="常规 2 8 5" xfId="18069" xr:uid="{84F3F19B-2E2B-4FCC-8930-97C2225DEC0C}"/>
    <cellStyle name="常规 2 8 5 2" xfId="18070" xr:uid="{01C42126-342A-4B8A-B49E-EBF767869964}"/>
    <cellStyle name="常规 2 8 5 2 2" xfId="18071" xr:uid="{46E3F62A-8484-46E3-8529-BC049C8BC7FA}"/>
    <cellStyle name="常规 2 8 5 3" xfId="18072" xr:uid="{A9B39963-D8C7-4C61-9310-04EDE876F9A4}"/>
    <cellStyle name="常规 2 8 5 4" xfId="18073" xr:uid="{A45AE9C4-ABCB-4DCF-9D1D-DF074691FF2C}"/>
    <cellStyle name="常规 2 8 5 4 2" xfId="34202" xr:uid="{06C7A712-D03B-4819-8AA9-CFC6A518871C}"/>
    <cellStyle name="常规 2 8 6" xfId="18074" xr:uid="{C2152993-857C-41BD-829F-4006C3D453EB}"/>
    <cellStyle name="常规 2 8 6 2" xfId="18075" xr:uid="{D5494F21-FD41-45A2-904F-597F151C17ED}"/>
    <cellStyle name="常规 2 8 6 3" xfId="18076" xr:uid="{0129890A-E797-4AC6-A70F-587CD68F76B4}"/>
    <cellStyle name="常规 2 8 7" xfId="18077" xr:uid="{6CB312EB-E48E-4F4A-9162-DA52BF6FD1D4}"/>
    <cellStyle name="常规 2 8 7 2" xfId="18078" xr:uid="{11ECB001-405A-4362-86D2-D176D8A05031}"/>
    <cellStyle name="常规 2 8 8" xfId="18079" xr:uid="{42A1E141-9BC2-4580-8BF6-7DBF427EE67C}"/>
    <cellStyle name="常规 2 8 8 2" xfId="34203" xr:uid="{97D37A81-CD60-48B2-9B25-DB2216BBABAF}"/>
    <cellStyle name="常规 2 8 9" xfId="18080" xr:uid="{24766EC3-E74E-4D8F-912A-B52C6684DF31}"/>
    <cellStyle name="常规 2 9" xfId="18081" xr:uid="{47DE666C-18DA-411F-8267-ED4A725B411E}"/>
    <cellStyle name="常规 2 9 10" xfId="18082" xr:uid="{31215A6B-C05D-46D7-A550-D14AD7633F35}"/>
    <cellStyle name="常规 2 9 2" xfId="18083" xr:uid="{AC86102B-5709-42B2-8044-6CDC288935B2}"/>
    <cellStyle name="常规 2 9 2 2" xfId="18084" xr:uid="{26B0B1DC-5846-4C71-ACDC-C9F7A6C063B4}"/>
    <cellStyle name="常规 2 9 2 2 2" xfId="18085" xr:uid="{7440F7E4-CE2E-4C75-8C83-EE77C29A33CC}"/>
    <cellStyle name="常规 2 9 2 2 2 2" xfId="18086" xr:uid="{CB426116-7510-4351-A1C1-6FCEEBA147AF}"/>
    <cellStyle name="常规 2 9 2 2 3" xfId="18087" xr:uid="{2557B6BE-C25D-4BC9-948A-F7F00F4DFB00}"/>
    <cellStyle name="常规 2 9 2 2 4" xfId="18088" xr:uid="{AE88CBA7-1924-4AD5-8FC8-290720F38210}"/>
    <cellStyle name="常规 2 9 2 2 4 2" xfId="34204" xr:uid="{22505D9A-8408-496C-B9DD-E60030D02E0A}"/>
    <cellStyle name="常规 2 9 2 3" xfId="18089" xr:uid="{CA98F6FD-CC25-49DD-ADC1-F37A9F467DD5}"/>
    <cellStyle name="常规 2 9 2 3 2" xfId="18090" xr:uid="{C3B8F571-2A42-4024-A14C-10CA576EBE3D}"/>
    <cellStyle name="常规 2 9 2 4" xfId="18091" xr:uid="{AA385244-BEF1-4090-9830-862D2E2355DD}"/>
    <cellStyle name="常规 2 9 2 4 2" xfId="18092" xr:uid="{22BEDE6C-6C8F-475A-A069-4BC4970A7604}"/>
    <cellStyle name="常规 2 9 2 5" xfId="18093" xr:uid="{F8F7A421-FB54-4A1A-B1E1-01D64D23E4CE}"/>
    <cellStyle name="常规 2 9 2 6" xfId="18094" xr:uid="{1EC93B1F-5531-48BF-8B0B-A9D912ED075F}"/>
    <cellStyle name="常规 2 9 2 6 2" xfId="34205" xr:uid="{165BB47F-59F7-49AD-8E5D-4EB45C8E1968}"/>
    <cellStyle name="常规 2 9 2 7" xfId="18095" xr:uid="{03FDC308-0FB0-4548-9781-726CF07B9BD1}"/>
    <cellStyle name="常规 2 9 3" xfId="18096" xr:uid="{C91E352E-A141-4EE3-BB11-AF9C97E74D21}"/>
    <cellStyle name="常规 2 9 3 2" xfId="18097" xr:uid="{A9055B60-6A8A-443C-8611-4B520599435C}"/>
    <cellStyle name="常规 2 9 3 2 2" xfId="18098" xr:uid="{1CDC147E-20AC-4DF8-8E4C-2EFB7180D032}"/>
    <cellStyle name="常规 2 9 3 2 2 2" xfId="18099" xr:uid="{8361EF41-0FFE-4120-B584-5EAF10ED44AE}"/>
    <cellStyle name="常规 2 9 3 2 3" xfId="18100" xr:uid="{7666A1BB-EB1A-48F1-94D3-EBFAC8DB8B36}"/>
    <cellStyle name="常规 2 9 3 2 4" xfId="18101" xr:uid="{0B3DA440-7750-48A2-8189-D67124F55138}"/>
    <cellStyle name="常规 2 9 3 2 4 2" xfId="34206" xr:uid="{5312AB23-C8D8-45E7-9DFD-FC253BF10045}"/>
    <cellStyle name="常规 2 9 3 3" xfId="18102" xr:uid="{5D9EDB6B-40C1-4FE5-AC93-2A52B2606F35}"/>
    <cellStyle name="常规 2 9 3 3 2" xfId="18103" xr:uid="{CA4A7586-95E1-4852-890A-3EE4B9ABD2B1}"/>
    <cellStyle name="常规 2 9 3 4" xfId="18104" xr:uid="{BF6E11E1-CB38-4CBA-B6C5-5A48D8AE015E}"/>
    <cellStyle name="常规 2 9 3 5" xfId="18105" xr:uid="{5076C9F0-27D0-4393-B814-D328CED7A86D}"/>
    <cellStyle name="常规 2 9 3 5 2" xfId="34207" xr:uid="{F2292412-5A11-4AF9-8643-2F4AB35249EE}"/>
    <cellStyle name="常规 2 9 4" xfId="18106" xr:uid="{376C255D-D103-4FAC-87A7-1AD4B4AFEFEC}"/>
    <cellStyle name="常规 2 9 4 2" xfId="18107" xr:uid="{0813ED5A-7BEF-415C-ACDF-C174D48A9344}"/>
    <cellStyle name="常规 2 9 4 2 2" xfId="18108" xr:uid="{CC4CA769-0BCC-44AB-9D38-A17324D4A432}"/>
    <cellStyle name="常规 2 9 4 3" xfId="18109" xr:uid="{0FC07BAF-B668-4F9A-87F1-D0991F6DB5F0}"/>
    <cellStyle name="常规 2 9 4 4" xfId="18110" xr:uid="{D2364F63-6739-4AD6-A2A7-9EEDB55D7FD0}"/>
    <cellStyle name="常规 2 9 4 4 2" xfId="34208" xr:uid="{70B09DF4-DBC9-4675-9D55-D94C058664C9}"/>
    <cellStyle name="常规 2 9 5" xfId="18111" xr:uid="{1B072F3B-9E2F-4D24-88C9-70FBA8854BCB}"/>
    <cellStyle name="常规 2 9 5 2" xfId="18112" xr:uid="{A3087A55-110D-4A46-8F90-123D8C94EE69}"/>
    <cellStyle name="常规 2 9 5 3" xfId="18113" xr:uid="{5ABD9D19-E4B3-43B1-B557-4A3DFF40F615}"/>
    <cellStyle name="常规 2 9 6" xfId="18114" xr:uid="{684D259A-0127-428C-9694-55B842E73A91}"/>
    <cellStyle name="常规 2 9 6 2" xfId="18115" xr:uid="{1927D7AD-16D1-4D1B-B2CB-0DA265DE79FE}"/>
    <cellStyle name="常规 2 9 7" xfId="18116" xr:uid="{15D7A6A4-8370-4F4F-8E21-BE7D00D881AA}"/>
    <cellStyle name="常规 2 9 7 2" xfId="34209" xr:uid="{6102602D-A59F-4312-8F44-5A8C05AC706E}"/>
    <cellStyle name="常规 2 9 8" xfId="18117" xr:uid="{F6447787-6A07-4963-8877-161DACEB0464}"/>
    <cellStyle name="常规 2 9 9" xfId="18118" xr:uid="{3C6B4D9D-AE01-417A-BB6B-8188E008B68E}"/>
    <cellStyle name="常规 20" xfId="18119" xr:uid="{3702AAD3-953A-499A-AF40-EDE59354BBFE}"/>
    <cellStyle name="常规 20 2" xfId="18120" xr:uid="{2C67EBD8-CDC8-4D9F-A778-87BC41D62632}"/>
    <cellStyle name="常规 20 3" xfId="18121" xr:uid="{17D8BB8B-10C0-44E6-A069-0BFA122AECD7}"/>
    <cellStyle name="常规 21" xfId="18122" xr:uid="{A5B67D87-1170-4CFE-A92D-3C434B546F9F}"/>
    <cellStyle name="常规 21 2" xfId="18123" xr:uid="{33C21044-FA2A-4E40-A1DF-661A87712DEE}"/>
    <cellStyle name="常规 21 3" xfId="18124" xr:uid="{5A46F715-896C-4FF9-A92D-C9508B38491D}"/>
    <cellStyle name="常规 21 4" xfId="18125" xr:uid="{85B18655-9E70-4EA4-B405-89FFD9881842}"/>
    <cellStyle name="常规 22" xfId="18126" xr:uid="{FE5450E6-6177-480E-AFAD-2F347F4DF7C3}"/>
    <cellStyle name="常规 22 2" xfId="18127" xr:uid="{759E0C17-38A9-48DF-960C-FCD0415ADB6F}"/>
    <cellStyle name="常规 22 3" xfId="18128" xr:uid="{31AF2E11-1CAB-4D82-8897-6BFC809FBF48}"/>
    <cellStyle name="常规 23" xfId="18129" xr:uid="{9A0AF028-1791-416C-892B-04DF1BB4517F}"/>
    <cellStyle name="常规 23 2" xfId="18130" xr:uid="{1CA93487-D4D1-4AB5-BABD-E4886ECBB434}"/>
    <cellStyle name="常规 23 3" xfId="18131" xr:uid="{DF171875-6401-4F60-9EC9-DFC79DEDB75C}"/>
    <cellStyle name="常规 24" xfId="18132" xr:uid="{E0E67C6F-51F4-4909-AB72-7C077E354ED2}"/>
    <cellStyle name="常规 24 2" xfId="18133" xr:uid="{CA1D2EB2-1174-4208-8F81-98CB236D48DA}"/>
    <cellStyle name="常规 24 3" xfId="18134" xr:uid="{DAAED350-5FC1-4D89-B850-63C4596E9375}"/>
    <cellStyle name="常规 25" xfId="18135" xr:uid="{70516C09-286E-4351-AA3A-7F7A569AAC88}"/>
    <cellStyle name="常规 25 2" xfId="18136" xr:uid="{C1B04A7D-547D-41A4-876A-AB9CD9F535F4}"/>
    <cellStyle name="常规 26" xfId="18137" xr:uid="{ECD40E2F-1AD4-4EC7-8B1D-CF12D6AF3208}"/>
    <cellStyle name="常规 26 2" xfId="18138" xr:uid="{699BC58D-3FF5-4E8A-82B4-58E9E9E904BB}"/>
    <cellStyle name="常规 27" xfId="18139" xr:uid="{B587A397-1CD2-4601-A977-47E876764E60}"/>
    <cellStyle name="常规 27 2" xfId="18140" xr:uid="{64A70BB5-72FE-4793-9992-64A80CF53EE2}"/>
    <cellStyle name="常规 27 3" xfId="18141" xr:uid="{F9417091-2072-4468-96D4-BA32F67A84A6}"/>
    <cellStyle name="常规 28" xfId="18142" xr:uid="{FC140997-3DBA-4B66-AB9E-8A11CD55CB8F}"/>
    <cellStyle name="常规 28 2" xfId="18143" xr:uid="{99B84368-1DA2-4ACE-B487-EE566D6C6673}"/>
    <cellStyle name="常规 28 2 2" xfId="18144" xr:uid="{15FE7522-BF5E-45F2-AD3E-47CE02DEA056}"/>
    <cellStyle name="常规 28 2 2 2" xfId="18145" xr:uid="{99EC1DE0-7F07-4043-A710-4FE3AE71C110}"/>
    <cellStyle name="常规 28 2 2 2 2" xfId="18146" xr:uid="{764F889E-8C1C-40F7-8F16-879FBB9BEC45}"/>
    <cellStyle name="常规 28 2 2 2 2 2" xfId="18147" xr:uid="{2F06F15E-AA88-415F-93A6-0DFF5E82919A}"/>
    <cellStyle name="常规 28 2 2 2 3" xfId="18148" xr:uid="{B3B04B09-5398-42C1-912D-D648BA44A04A}"/>
    <cellStyle name="常规 28 2 2 2 4" xfId="18149" xr:uid="{16C67C9E-A747-435F-9124-BE10E5BC42EE}"/>
    <cellStyle name="常规 28 2 2 2 4 2" xfId="34210" xr:uid="{6A6E9FFC-F6B9-4AC0-BA9F-57E93E690A66}"/>
    <cellStyle name="常规 28 2 2 3" xfId="18150" xr:uid="{DEFF11A9-3DB8-4370-A533-682BAB49A782}"/>
    <cellStyle name="常规 28 2 2 3 2" xfId="18151" xr:uid="{5E1C55D8-1DF3-480C-97C3-BC207485537F}"/>
    <cellStyle name="常规 28 2 2 4" xfId="18152" xr:uid="{E9635F78-BDCD-455B-9605-5C5552BCCD6E}"/>
    <cellStyle name="常规 28 2 2 5" xfId="18153" xr:uid="{98069BF4-B7BB-448E-A781-6614771E1094}"/>
    <cellStyle name="常规 28 2 2 5 2" xfId="34211" xr:uid="{3E983DED-C8ED-44DC-A810-8E288D07A8C4}"/>
    <cellStyle name="常规 28 2 2 6" xfId="18154" xr:uid="{E2C6D3B1-351C-4406-98EF-5F9DF0AF1E3F}"/>
    <cellStyle name="常规 28 2 3" xfId="18155" xr:uid="{867E6AB0-AEDC-49CB-B8AB-D64FE0DB1BDF}"/>
    <cellStyle name="常规 28 2 3 2" xfId="18156" xr:uid="{F138AEEE-F23C-4524-9721-C7079EAF1FEC}"/>
    <cellStyle name="常规 28 2 3 2 2" xfId="18157" xr:uid="{BA4C2432-0647-4898-895E-F6EFCF868E1B}"/>
    <cellStyle name="常规 28 2 3 3" xfId="18158" xr:uid="{BB9C10E5-2409-48AA-8BF6-C901BB417088}"/>
    <cellStyle name="常规 28 2 3 4" xfId="18159" xr:uid="{A8985C2E-6F45-45BA-9F64-18A61B6C6F4D}"/>
    <cellStyle name="常规 28 2 3 4 2" xfId="34212" xr:uid="{59AE4607-97AA-4A7D-AC8C-BDDD4E7507B5}"/>
    <cellStyle name="常规 28 2 3 5" xfId="18160" xr:uid="{D67EC1E1-D458-48FD-BC28-4E260248FAAC}"/>
    <cellStyle name="常规 28 2 4" xfId="18161" xr:uid="{82F3DF9A-FAC2-4CA0-B83E-6DDBFC8F5115}"/>
    <cellStyle name="常规 28 2 4 2" xfId="18162" xr:uid="{AE01D756-AD53-40A9-BE8E-8082EEB7C394}"/>
    <cellStyle name="常规 28 2 4 3" xfId="18163" xr:uid="{3F99B2DE-2304-4659-8AE4-AAAA9B16541F}"/>
    <cellStyle name="常规 28 2 5" xfId="18164" xr:uid="{21858E1A-03A4-4D82-9499-8D33519C0B77}"/>
    <cellStyle name="常规 28 2 5 2" xfId="18165" xr:uid="{09992E63-3F89-4480-9D91-99B51036F007}"/>
    <cellStyle name="常规 28 2 6" xfId="18166" xr:uid="{EF82697D-83E2-4DAD-8632-CEACA222365C}"/>
    <cellStyle name="常规 28 2 6 2" xfId="18167" xr:uid="{EE3A371B-5601-4B01-BDC3-B092C64073DC}"/>
    <cellStyle name="常规 28 2 6 3" xfId="34213" xr:uid="{EB4E2B84-397E-49E3-B8D0-FB09FBD3632C}"/>
    <cellStyle name="常规 28 2 7" xfId="18168" xr:uid="{E73FCE08-B4E7-4A03-A11D-512F43953C8D}"/>
    <cellStyle name="常规 28 3" xfId="18169" xr:uid="{2B36A5D6-1018-41A1-9B62-A7FB816FF3E3}"/>
    <cellStyle name="常规 28 3 2" xfId="18170" xr:uid="{9263B375-581B-4818-9EAC-D28CD2FEB7E2}"/>
    <cellStyle name="常规 28 3 2 2" xfId="18171" xr:uid="{3982E101-262C-4B1B-B964-4224E1498189}"/>
    <cellStyle name="常规 28 3 2 2 2" xfId="18172" xr:uid="{B508F890-B7C4-4EEA-84E5-420ABC57F6EF}"/>
    <cellStyle name="常规 28 3 2 3" xfId="18173" xr:uid="{C5C3B525-24DB-4755-A745-97E7799EF5C4}"/>
    <cellStyle name="常规 28 3 2 4" xfId="18174" xr:uid="{6A714A7E-4C17-464A-8E5B-89E7B4C6AFE9}"/>
    <cellStyle name="常规 28 3 2 4 2" xfId="34214" xr:uid="{AACF71C3-CA4A-480F-AA94-E3D2D070047A}"/>
    <cellStyle name="常规 28 3 3" xfId="18175" xr:uid="{ACB991BC-CA15-4C4A-BFAB-F802C35B1F67}"/>
    <cellStyle name="常规 28 3 3 2" xfId="18176" xr:uid="{B3BD4809-8807-49B8-B013-3638FCAEDC0E}"/>
    <cellStyle name="常规 28 3 4" xfId="18177" xr:uid="{D640D841-9B69-472F-B943-568A4859860F}"/>
    <cellStyle name="常规 28 3 5" xfId="18178" xr:uid="{36910A88-E371-4D7A-A23C-C6E3FC06D281}"/>
    <cellStyle name="常规 28 3 5 2" xfId="34215" xr:uid="{77A9FD89-DCA7-4838-9061-2F32D17B92EF}"/>
    <cellStyle name="常规 28 3 6" xfId="18179" xr:uid="{31BE36A7-866B-417E-9348-4772D2EFDA47}"/>
    <cellStyle name="常规 28 4" xfId="18180" xr:uid="{F9FC32FB-6268-4985-8409-AC403820094E}"/>
    <cellStyle name="常规 28 4 2" xfId="18181" xr:uid="{B6EBE8A6-7674-4383-A765-68FC736A4633}"/>
    <cellStyle name="常规 28 4 2 2" xfId="18182" xr:uid="{6670B739-7AB3-4BBC-AB78-3827B772DD94}"/>
    <cellStyle name="常规 28 4 3" xfId="18183" xr:uid="{82F6EA97-B08B-4430-A9F2-2FA817DF70FD}"/>
    <cellStyle name="常规 28 4 4" xfId="18184" xr:uid="{55794FD2-2C57-4AEA-9858-D1B5326057F3}"/>
    <cellStyle name="常规 28 4 4 2" xfId="34216" xr:uid="{D85D4D8B-4CDB-4105-9A48-0FC0B911E939}"/>
    <cellStyle name="常规 28 4 5" xfId="18185" xr:uid="{EF4FB345-3DB3-4806-81B7-8C503FE9F2FD}"/>
    <cellStyle name="常规 28 5" xfId="18186" xr:uid="{FFF61D8A-7A43-42C8-9481-55621F1AFD9A}"/>
    <cellStyle name="常规 28 5 2" xfId="18187" xr:uid="{B6E86393-FDC4-4D0C-AF09-7F15EB90815D}"/>
    <cellStyle name="常规 28 5 3" xfId="18188" xr:uid="{CA5EAB9F-4CDE-4358-875E-6456BE01F511}"/>
    <cellStyle name="常规 28 6" xfId="18189" xr:uid="{C67F448A-D922-4A21-99DC-CF4E193CC45D}"/>
    <cellStyle name="常规 28 6 2" xfId="18190" xr:uid="{F4FAD097-F2A6-4FC1-9E1C-B33E41B719AC}"/>
    <cellStyle name="常规 28 7" xfId="18191" xr:uid="{CD9EAD6F-D145-4A50-8DF3-FA66457F800F}"/>
    <cellStyle name="常规 28 7 2" xfId="18192" xr:uid="{D870613A-344C-44D2-A838-A13C0ECC087B}"/>
    <cellStyle name="常规 28 7 3" xfId="34217" xr:uid="{17859031-F1AE-4971-B3E9-BFD93A0A4210}"/>
    <cellStyle name="常规 28 8" xfId="18193" xr:uid="{CBF52AA8-100E-44BE-BB79-7E138F6966D8}"/>
    <cellStyle name="常规 29" xfId="18194" xr:uid="{38F41427-3A71-4FBC-BBE8-AE6BF11B2DCE}"/>
    <cellStyle name="常规 29 2" xfId="18195" xr:uid="{5166BEDE-D453-476E-AF2B-4BF472B05EA7}"/>
    <cellStyle name="常规 29 2 2" xfId="18196" xr:uid="{745182FF-594E-446C-9F40-B022169ED199}"/>
    <cellStyle name="常规 29 2 3" xfId="18197" xr:uid="{32519D2A-2218-48BD-9CC2-D86028BC55C8}"/>
    <cellStyle name="常规 29 2 4" xfId="18198" xr:uid="{683A503D-6144-480A-82E4-53A876E03BCA}"/>
    <cellStyle name="常规 29 2 5" xfId="18199" xr:uid="{12C339A5-9E1E-4550-90C7-EBFE7538A087}"/>
    <cellStyle name="常规 29 2 6" xfId="18200" xr:uid="{92E3C738-CCDB-43C0-B4D7-2B677A7E011B}"/>
    <cellStyle name="常规 29 3" xfId="18201" xr:uid="{012AE1EB-82C0-4F4B-91CB-ED7E12397F2D}"/>
    <cellStyle name="常规 29 4" xfId="18202" xr:uid="{65AFAE98-296C-4C1D-B0E5-BA625FF14C6E}"/>
    <cellStyle name="常规 29 5" xfId="18203" xr:uid="{C43CD577-75F0-4F97-BDCA-E952258DAE21}"/>
    <cellStyle name="常规 29 6" xfId="18204" xr:uid="{E0D5DA2D-FA9A-488B-84B6-B6855E4BA5E8}"/>
    <cellStyle name="常规 29 7" xfId="18205" xr:uid="{1E1622EC-A5D3-47F2-B4B6-0C967D3BCE57}"/>
    <cellStyle name="常规 29 8" xfId="18206" xr:uid="{5799CA79-D057-4DD5-8559-CE4AAE69590E}"/>
    <cellStyle name="常规 3" xfId="7" xr:uid="{35E046A8-2514-4467-A851-BEFA6C1E9931}"/>
    <cellStyle name="常规 3 10" xfId="18208" xr:uid="{E6764D53-484E-4CE1-AAE5-2322165BD0F5}"/>
    <cellStyle name="常规 3 11" xfId="18209" xr:uid="{83D707AE-96DC-431A-AF8C-1CE51EA2E2A0}"/>
    <cellStyle name="常规 3 12" xfId="34218" xr:uid="{55D86B24-CB14-41B4-88F0-6AD4A4C5309A}"/>
    <cellStyle name="常规 3 13" xfId="18207" xr:uid="{E0E880CB-2B1E-4B08-9A57-4CFDDD32E993}"/>
    <cellStyle name="常规 3 2" xfId="18210" xr:uid="{272E53B8-DD4A-4F76-8FA3-C011E8460006}"/>
    <cellStyle name="常规 3 2 10" xfId="18211" xr:uid="{94FD8690-D9D4-42CA-A084-C38D472D65C3}"/>
    <cellStyle name="常规 3 2 10 2" xfId="18212" xr:uid="{71201210-2707-491A-983D-D0AB89784781}"/>
    <cellStyle name="常规 3 2 10 2 2" xfId="18213" xr:uid="{A0692EEA-F4F9-4C48-B9D6-93F6728F45A6}"/>
    <cellStyle name="常规 3 2 10 3" xfId="18214" xr:uid="{B417F265-54C1-4F6C-934A-0484AB6EFD84}"/>
    <cellStyle name="常规 3 2 10 4" xfId="18215" xr:uid="{28017B66-27F6-4387-AC82-07F4B2BFCF4F}"/>
    <cellStyle name="常规 3 2 10 4 2" xfId="34219" xr:uid="{DF6C9458-4FFC-43C8-942A-A2E5220070BE}"/>
    <cellStyle name="常规 3 2 11" xfId="18216" xr:uid="{354D5A7A-8F63-4F2C-830B-FE3930C3884C}"/>
    <cellStyle name="常规 3 2 11 2" xfId="18217" xr:uid="{2B1540D9-F2D7-46C3-B2C9-82E892D86611}"/>
    <cellStyle name="常规 3 2 11 2 2" xfId="18218" xr:uid="{8EC9AB30-C79D-4F10-9850-6019B287E633}"/>
    <cellStyle name="常规 3 2 11 3" xfId="18219" xr:uid="{81BD25E7-7C50-474A-B300-D8C921263B59}"/>
    <cellStyle name="常规 3 2 11 4" xfId="18220" xr:uid="{CE2E3DA2-5028-4B01-BEEE-4A248F1F9612}"/>
    <cellStyle name="常规 3 2 11 4 2" xfId="34220" xr:uid="{33B9BB6D-9608-44EB-85FB-76771CC4277F}"/>
    <cellStyle name="常规 3 2 12" xfId="18221" xr:uid="{3BFA2A7D-6F2A-4183-AA86-2DD110930926}"/>
    <cellStyle name="常规 3 2 13" xfId="34221" xr:uid="{9D884C83-9BF9-400E-8FC2-7EAB03F53AAD}"/>
    <cellStyle name="常规 3 2 2" xfId="18222" xr:uid="{2878BA57-87F9-4ED0-923D-2003ED42A967}"/>
    <cellStyle name="常规 3 2 2 10" xfId="18223" xr:uid="{D6032401-52F2-426E-9365-DFEB3F9E7ACA}"/>
    <cellStyle name="常规 3 2 2 10 2" xfId="18224" xr:uid="{E9256366-5DAB-4592-A4A4-C2C17B7070A0}"/>
    <cellStyle name="常规 3 2 2 10 3" xfId="34222" xr:uid="{69F286FD-C5E9-4AA6-9A73-8362D57E750E}"/>
    <cellStyle name="常规 3 2 2 11" xfId="18225" xr:uid="{D58AB606-3415-4D22-8BF3-B36EF6ECEE49}"/>
    <cellStyle name="常规 3 2 2 11 2" xfId="18226" xr:uid="{FC5B3AE5-9E33-4BD5-8E6D-020F94DE6C31}"/>
    <cellStyle name="常规 3 2 2 12" xfId="18227" xr:uid="{E8B57048-713B-41A6-9F2F-DC6173053F8E}"/>
    <cellStyle name="常规 3 2 2 13" xfId="34223" xr:uid="{A19E7873-B971-4220-9B44-27EFA60A43CC}"/>
    <cellStyle name="常规 3 2 2 2" xfId="18228" xr:uid="{4E22F0DD-060D-412D-A064-3ED6B9D2C584}"/>
    <cellStyle name="常规 3 2 2 2 10" xfId="18229" xr:uid="{B1824A4B-AC52-47CC-A2E6-B47BBF477FDA}"/>
    <cellStyle name="常规 3 2 2 2 2" xfId="18230" xr:uid="{58735893-FED6-4484-ADA9-5E6858E1C062}"/>
    <cellStyle name="常规 3 2 2 2 2 2" xfId="18231" xr:uid="{429A748F-FAEE-451A-9EC6-C36FC5A91142}"/>
    <cellStyle name="常规 3 2 2 2 2 2 2" xfId="18232" xr:uid="{42CA5AB4-6E3D-442B-9080-78245698955A}"/>
    <cellStyle name="常规 3 2 2 2 2 2 2 2" xfId="18233" xr:uid="{3E4A26EC-CBEF-49ED-870D-E33822E1F948}"/>
    <cellStyle name="常规 3 2 2 2 2 2 2 2 2" xfId="18234" xr:uid="{56E24BF3-4225-47AA-8E9A-C9B796A7F556}"/>
    <cellStyle name="常规 3 2 2 2 2 2 2 3" xfId="18235" xr:uid="{E26F1CA8-7F79-4E4A-A40D-46DE249A62DD}"/>
    <cellStyle name="常规 3 2 2 2 2 2 2 4" xfId="18236" xr:uid="{D5D5215C-D452-4833-8130-779C66802E7C}"/>
    <cellStyle name="常规 3 2 2 2 2 2 2 4 2" xfId="34224" xr:uid="{3A68C09D-4FF2-43A8-945C-10E35CCC942B}"/>
    <cellStyle name="常规 3 2 2 2 2 2 2 5" xfId="18237" xr:uid="{5A6BE1D2-627A-450F-96DC-E9E0DC7E7969}"/>
    <cellStyle name="常规 3 2 2 2 2 2 3" xfId="18238" xr:uid="{E74D0E49-01CB-4DA6-805F-BA13C9318937}"/>
    <cellStyle name="常规 3 2 2 2 2 2 3 2" xfId="18239" xr:uid="{6FDBD1A7-3C86-411A-98A7-92E38F0FF481}"/>
    <cellStyle name="常规 3 2 2 2 2 2 3 2 2" xfId="18240" xr:uid="{628551B1-489A-4ECA-8506-C06212B8E8EA}"/>
    <cellStyle name="常规 3 2 2 2 2 2 3 3" xfId="18241" xr:uid="{F9DD5EE4-AED9-4815-8B47-F3B411640766}"/>
    <cellStyle name="常规 3 2 2 2 2 2 3 4" xfId="18242" xr:uid="{7D90A75F-45F6-456C-AE7F-3EC54ED11987}"/>
    <cellStyle name="常规 3 2 2 2 2 2 3 4 2" xfId="34225" xr:uid="{3EB67E0D-DC29-4FA8-BA96-BE90635767FB}"/>
    <cellStyle name="常规 3 2 2 2 2 2 3 5" xfId="18243" xr:uid="{51976DFA-AD7E-44CB-AB31-7F69DC451C72}"/>
    <cellStyle name="常规 3 2 2 2 2 2 4" xfId="18244" xr:uid="{0FBDD476-C07E-4BB3-A0DD-BEE84C67683F}"/>
    <cellStyle name="常规 3 2 2 2 2 2 4 2" xfId="18245" xr:uid="{5B4A2BAA-D22F-409C-9A1A-A71435A41DC7}"/>
    <cellStyle name="常规 3 2 2 2 2 2 4 3" xfId="18246" xr:uid="{AC7482C1-D160-4C0C-BFDB-B9521258DC6A}"/>
    <cellStyle name="常规 3 2 2 2 2 2 5" xfId="18247" xr:uid="{4CE357F7-C468-4420-A0DE-0338C31EC7EC}"/>
    <cellStyle name="常规 3 2 2 2 2 2 5 2" xfId="18248" xr:uid="{14D49453-889D-4330-8249-964F3378FEF0}"/>
    <cellStyle name="常规 3 2 2 2 2 2 6" xfId="18249" xr:uid="{45F32DB7-2AC3-4494-A50A-6B32042039A0}"/>
    <cellStyle name="常规 3 2 2 2 2 2 6 2" xfId="18250" xr:uid="{8F67138F-EA7F-4C33-97FB-A6E6967ECC44}"/>
    <cellStyle name="常规 3 2 2 2 2 2 6 3" xfId="34226" xr:uid="{DC0B641B-9A6D-4A55-9A93-0D3B217CD8F2}"/>
    <cellStyle name="常规 3 2 2 2 2 2 7" xfId="18251" xr:uid="{6AFEF562-4685-4FE5-B07E-6CDB4B3C9E7D}"/>
    <cellStyle name="常规 3 2 2 2 2 3" xfId="18252" xr:uid="{5ABC79B2-CEBF-44D5-92F6-0335A4E4AB7C}"/>
    <cellStyle name="常规 3 2 2 2 2 3 2" xfId="18253" xr:uid="{AAC77BA0-787F-4A01-8F64-C6103C9019E1}"/>
    <cellStyle name="常规 3 2 2 2 2 3 2 2" xfId="18254" xr:uid="{47F55391-24F3-4F65-97B5-71AAE883606E}"/>
    <cellStyle name="常规 3 2 2 2 2 3 3" xfId="18255" xr:uid="{65A416A1-7D84-442D-ACD8-BB560DDC4C14}"/>
    <cellStyle name="常规 3 2 2 2 2 3 4" xfId="18256" xr:uid="{F2BFD1D9-06E3-42BB-A1FB-88CDABC76DC9}"/>
    <cellStyle name="常规 3 2 2 2 2 3 4 2" xfId="34227" xr:uid="{3A1B0343-CD18-4803-B406-ED4D87537B19}"/>
    <cellStyle name="常规 3 2 2 2 2 3 5" xfId="18257" xr:uid="{057B6D3A-AFF2-42FF-BFA1-82C7ADC00B8E}"/>
    <cellStyle name="常规 3 2 2 2 2 4" xfId="18258" xr:uid="{A2464F77-D024-45D2-8986-222D668E4474}"/>
    <cellStyle name="常规 3 2 2 2 2 4 2" xfId="18259" xr:uid="{1C4FDABC-18FB-46A8-BB99-E2B857ED77F4}"/>
    <cellStyle name="常规 3 2 2 2 2 4 2 2" xfId="18260" xr:uid="{BE3BA535-151A-4F0A-82ED-1371BE3B8805}"/>
    <cellStyle name="常规 3 2 2 2 2 4 3" xfId="18261" xr:uid="{8AF67E2C-2102-426E-AB4D-6CBBB47FFAE6}"/>
    <cellStyle name="常规 3 2 2 2 2 4 4" xfId="18262" xr:uid="{724CEC2C-9D6C-442A-897C-8A5A0CD969B4}"/>
    <cellStyle name="常规 3 2 2 2 2 4 4 2" xfId="34228" xr:uid="{6BD7C85D-4013-4F42-AF48-0F6B1C029D74}"/>
    <cellStyle name="常规 3 2 2 2 2 4 5" xfId="18263" xr:uid="{D9558841-7E3F-43E4-8C5F-90E700D95DAF}"/>
    <cellStyle name="常规 3 2 2 2 2 5" xfId="18264" xr:uid="{F88E03A6-98DB-42FA-8882-419DC18672B6}"/>
    <cellStyle name="常规 3 2 2 2 2 5 2" xfId="18265" xr:uid="{DBAB8B99-6958-445D-BB4E-A6024014A5BA}"/>
    <cellStyle name="常规 3 2 2 2 2 5 3" xfId="18266" xr:uid="{9572071F-A259-4AAA-974F-209D1DAF11D3}"/>
    <cellStyle name="常规 3 2 2 2 2 6" xfId="18267" xr:uid="{67432B1D-626B-43D9-88C7-3C75E2100084}"/>
    <cellStyle name="常规 3 2 2 2 2 6 2" xfId="18268" xr:uid="{B92AA90D-B999-4FBF-817D-C5060B8970F9}"/>
    <cellStyle name="常规 3 2 2 2 2 7" xfId="18269" xr:uid="{207C1A99-AD06-4987-AD26-3CF2D7081263}"/>
    <cellStyle name="常规 3 2 2 2 2 7 2" xfId="18270" xr:uid="{E4CAE379-2C75-48AB-A988-2B039D0A72A1}"/>
    <cellStyle name="常规 3 2 2 2 2 7 3" xfId="34229" xr:uid="{B28E1735-8835-4471-996D-A1EB77D70C62}"/>
    <cellStyle name="常规 3 2 2 2 2 8" xfId="18271" xr:uid="{F5F72E5A-8D8F-49C1-BAA6-728A7B88BC87}"/>
    <cellStyle name="常规 3 2 2 2 3" xfId="18272" xr:uid="{9DC4CE4C-44F7-4267-B5F4-07286D91032C}"/>
    <cellStyle name="常规 3 2 2 2 3 2" xfId="18273" xr:uid="{799FCA3D-BF4A-4C62-ACB4-BAE14955AC10}"/>
    <cellStyle name="常规 3 2 2 2 3 2 2" xfId="18274" xr:uid="{A6E04B7B-9704-4D57-B883-E9C279BE7E11}"/>
    <cellStyle name="常规 3 2 2 2 3 2 2 2" xfId="18275" xr:uid="{EBD488AE-11D6-4B12-BAE4-31BFBB8A4843}"/>
    <cellStyle name="常规 3 2 2 2 3 2 2 3" xfId="18276" xr:uid="{2F5F674F-3193-4AFA-BFDE-596B2DD8DA5E}"/>
    <cellStyle name="常规 3 2 2 2 3 2 3" xfId="18277" xr:uid="{3CE97985-47B6-41A7-8FC0-D05A24ED763C}"/>
    <cellStyle name="常规 3 2 2 2 3 2 3 2" xfId="18278" xr:uid="{8C2BB4A0-7113-4DE1-81A7-D8AEE1E51498}"/>
    <cellStyle name="常规 3 2 2 2 3 2 4" xfId="18279" xr:uid="{C3047DB7-8511-41FB-8CB8-7012BF7A1597}"/>
    <cellStyle name="常规 3 2 2 2 3 2 4 2" xfId="18280" xr:uid="{44377B78-F080-4515-B6DC-0F66334BA352}"/>
    <cellStyle name="常规 3 2 2 2 3 2 4 3" xfId="34230" xr:uid="{7A43C44E-E7B0-4A82-9D63-E1189A1CFDF6}"/>
    <cellStyle name="常规 3 2 2 2 3 2 5" xfId="18281" xr:uid="{32538221-4B97-40B8-96D5-6D9809902FD7}"/>
    <cellStyle name="常规 3 2 2 2 3 2 6" xfId="18282" xr:uid="{B8C31243-841B-46AE-B5BF-793FEE17A187}"/>
    <cellStyle name="常规 3 2 2 2 3 2 7" xfId="18283" xr:uid="{93190761-E3FA-4528-9BF2-8EFDD92235FD}"/>
    <cellStyle name="常规 3 2 2 2 3 3" xfId="18284" xr:uid="{FDE8FA1E-86D6-4957-B3C4-B35283AF75E4}"/>
    <cellStyle name="常规 3 2 2 2 3 3 2" xfId="18285" xr:uid="{6D6DCC74-B76E-4F79-ABCD-26568C2416EE}"/>
    <cellStyle name="常规 3 2 2 2 3 3 2 2" xfId="18286" xr:uid="{5BB6A529-DE34-4EEB-8100-5ECC47E93067}"/>
    <cellStyle name="常规 3 2 2 2 3 3 3" xfId="18287" xr:uid="{DD4002BB-59A9-4057-9BFD-85FE38CE2E47}"/>
    <cellStyle name="常规 3 2 2 2 3 3 4" xfId="18288" xr:uid="{34982A79-580D-4A0B-8406-350A9880D544}"/>
    <cellStyle name="常规 3 2 2 2 3 3 4 2" xfId="34231" xr:uid="{F5971F07-BD64-48ED-ABDF-819162F2F3B1}"/>
    <cellStyle name="常规 3 2 2 2 3 3 5" xfId="18289" xr:uid="{8C1E2C16-AD0F-4B60-ABFE-9D88331C9C49}"/>
    <cellStyle name="常规 3 2 2 2 3 4" xfId="18290" xr:uid="{13B4DB29-7FFE-4E0A-9287-773546D6067A}"/>
    <cellStyle name="常规 3 2 2 2 3 4 2" xfId="18291" xr:uid="{F8EF50EC-3499-4DC2-9DFD-772DCF60875F}"/>
    <cellStyle name="常规 3 2 2 2 3 4 3" xfId="18292" xr:uid="{A42A82D8-3A02-4CD9-B623-D008DFE0C4E4}"/>
    <cellStyle name="常规 3 2 2 2 3 5" xfId="18293" xr:uid="{5C2F01F1-8E51-49F7-8115-08AB286E566C}"/>
    <cellStyle name="常规 3 2 2 2 3 5 2" xfId="18294" xr:uid="{80D6BF1C-CAD8-4E48-9BCF-5F382D571D4B}"/>
    <cellStyle name="常规 3 2 2 2 3 6" xfId="18295" xr:uid="{6951A0AC-2523-42F4-9914-9B910A65FB12}"/>
    <cellStyle name="常规 3 2 2 2 3 6 2" xfId="18296" xr:uid="{D89E1C40-573A-4FFF-A451-2DAD409D70FD}"/>
    <cellStyle name="常规 3 2 2 2 3 6 3" xfId="34232" xr:uid="{51F7D171-2E8B-430D-AD5C-43C6C5B172B3}"/>
    <cellStyle name="常规 3 2 2 2 3 7" xfId="18297" xr:uid="{1A500BFB-73B6-48F7-9C34-6630CEDB2635}"/>
    <cellStyle name="常规 3 2 2 2 3 8" xfId="18298" xr:uid="{E60E27F4-75AF-4E24-8278-EC3CCD277F12}"/>
    <cellStyle name="常规 3 2 2 2 4" xfId="18299" xr:uid="{3A46CCC0-E0D5-4ED3-B7B9-39B7E36B8476}"/>
    <cellStyle name="常规 3 2 2 2 4 2" xfId="18300" xr:uid="{E4847DF9-0658-4BEC-AF72-92A4DC52E534}"/>
    <cellStyle name="常规 3 2 2 2 4 2 2" xfId="18301" xr:uid="{0CA7247D-D69A-4DC4-96F1-16C41745541A}"/>
    <cellStyle name="常规 3 2 2 2 4 2 3" xfId="18302" xr:uid="{A126053A-AB68-4425-99A2-BFFF08ACFB51}"/>
    <cellStyle name="常规 3 2 2 2 4 3" xfId="18303" xr:uid="{87C5C666-65D1-48BC-989F-2AB4A2C140A4}"/>
    <cellStyle name="常规 3 2 2 2 4 3 2" xfId="18304" xr:uid="{0ABB8C34-94D1-42AF-8021-ADB1F224E0A3}"/>
    <cellStyle name="常规 3 2 2 2 4 4" xfId="18305" xr:uid="{2A5F8DFE-2865-4679-9FD4-4466797EA2B2}"/>
    <cellStyle name="常规 3 2 2 2 4 4 2" xfId="18306" xr:uid="{AEF051BA-3C38-49B2-BF36-C2AAF7A01B16}"/>
    <cellStyle name="常规 3 2 2 2 4 4 3" xfId="34233" xr:uid="{8B0506D0-3A9D-43D5-9C38-623125C35181}"/>
    <cellStyle name="常规 3 2 2 2 4 5" xfId="18307" xr:uid="{5C1F21EE-21EF-40EE-8ADB-A8845B8B7E22}"/>
    <cellStyle name="常规 3 2 2 2 4 6" xfId="18308" xr:uid="{CF798272-1462-4116-83C8-87552FA7453B}"/>
    <cellStyle name="常规 3 2 2 2 4 7" xfId="18309" xr:uid="{70FF3967-78C0-4577-93D9-FC69D06B34CB}"/>
    <cellStyle name="常规 3 2 2 2 5" xfId="18310" xr:uid="{882EE1EA-03B3-4408-8265-E8E85C451FAD}"/>
    <cellStyle name="常规 3 2 2 2 5 2" xfId="18311" xr:uid="{C57A591F-6F62-4F9E-8077-24305304FE03}"/>
    <cellStyle name="常规 3 2 2 2 5 2 2" xfId="18312" xr:uid="{A7CBF2E6-4D70-49C1-8B06-3DBACAF86A3F}"/>
    <cellStyle name="常规 3 2 2 2 5 3" xfId="18313" xr:uid="{B2A23FE4-4FBF-4C2D-82C4-50F26C2AC077}"/>
    <cellStyle name="常规 3 2 2 2 5 4" xfId="18314" xr:uid="{B774AE65-4DF7-46B5-B614-0D620009E066}"/>
    <cellStyle name="常规 3 2 2 2 5 4 2" xfId="34234" xr:uid="{039B2CB8-A0EF-4840-A67B-F45C16E0D633}"/>
    <cellStyle name="常规 3 2 2 2 5 5" xfId="18315" xr:uid="{CACEB23A-596F-460D-828D-8AFEFE6418CC}"/>
    <cellStyle name="常规 3 2 2 2 6" xfId="18316" xr:uid="{DCC0DFCA-7E73-4F12-B080-79B780FF8448}"/>
    <cellStyle name="常规 3 2 2 2 6 2" xfId="18317" xr:uid="{6059D0C3-B95A-4EEF-9D4C-2C7CD423C386}"/>
    <cellStyle name="常规 3 2 2 2 6 3" xfId="18318" xr:uid="{1594D4E5-6D41-41A7-B64F-3EE1D378CA3B}"/>
    <cellStyle name="常规 3 2 2 2 7" xfId="18319" xr:uid="{03DA8118-E50B-458C-B5F0-2F884851DFE1}"/>
    <cellStyle name="常规 3 2 2 2 7 2" xfId="18320" xr:uid="{2D4BA896-9A89-4D49-A4E6-D0C732E03B8C}"/>
    <cellStyle name="常规 3 2 2 2 8" xfId="18321" xr:uid="{8032D227-656B-4DCD-A357-1F74EA04671F}"/>
    <cellStyle name="常规 3 2 2 2 8 2" xfId="18322" xr:uid="{8D3C17FE-872B-4EBC-977F-F37F0EE0D328}"/>
    <cellStyle name="常规 3 2 2 2 8 3" xfId="34235" xr:uid="{AAE83578-E262-47C9-B642-9A15A301DE0D}"/>
    <cellStyle name="常规 3 2 2 2 9" xfId="18323" xr:uid="{8B0C84CD-CA46-4372-8D40-155A0385A392}"/>
    <cellStyle name="常规 3 2 2 2 9 2" xfId="18324" xr:uid="{19451027-4612-4FA0-AC9F-82E1702C0CEB}"/>
    <cellStyle name="常规 3 2 2 3" xfId="18325" xr:uid="{2B84CEB9-6D1F-4939-A6CC-DAC5016A0469}"/>
    <cellStyle name="常规 3 2 2 3 2" xfId="18326" xr:uid="{102DBCE6-A35E-454E-9035-C81E7631D4DE}"/>
    <cellStyle name="常规 3 2 2 3 2 2" xfId="18327" xr:uid="{DDFCBB4F-713E-430B-9CA5-968B321DA67B}"/>
    <cellStyle name="常规 3 2 2 3 2 2 2" xfId="18328" xr:uid="{BB73F050-0AEE-462E-BC01-3FFAFE1298E1}"/>
    <cellStyle name="常规 3 2 2 3 2 2 2 2" xfId="18329" xr:uid="{768B6A78-33E9-4CA7-9027-66D232179B86}"/>
    <cellStyle name="常规 3 2 2 3 2 2 2 2 2" xfId="18330" xr:uid="{883F7035-388D-4D98-AF04-02B86A15E847}"/>
    <cellStyle name="常规 3 2 2 3 2 2 2 3" xfId="18331" xr:uid="{303510E2-20E3-43C2-AA28-A11E0065991E}"/>
    <cellStyle name="常规 3 2 2 3 2 2 2 4" xfId="18332" xr:uid="{AFFB5328-F8DF-49C3-BE3F-0B6390E28A76}"/>
    <cellStyle name="常规 3 2 2 3 2 2 2 4 2" xfId="34236" xr:uid="{671E161B-5850-4189-A862-E41BD210F5B9}"/>
    <cellStyle name="常规 3 2 2 3 2 2 3" xfId="18333" xr:uid="{A83071F4-5150-4490-B16F-F4C0C0963895}"/>
    <cellStyle name="常规 3 2 2 3 2 2 3 2" xfId="18334" xr:uid="{7017E52E-5E38-499E-8D04-90CE255E8CF4}"/>
    <cellStyle name="常规 3 2 2 3 2 2 4" xfId="18335" xr:uid="{44F8B2D5-5892-4227-A7A0-7451BB72A7C8}"/>
    <cellStyle name="常规 3 2 2 3 2 2 5" xfId="18336" xr:uid="{888EFC45-1297-4938-8A26-AF21B704DD5C}"/>
    <cellStyle name="常规 3 2 2 3 2 2 5 2" xfId="34237" xr:uid="{87921B62-580B-48BA-A280-8E3CA55B3445}"/>
    <cellStyle name="常规 3 2 2 3 2 3" xfId="18337" xr:uid="{4AE847FC-F198-4F4A-AECE-29892BEF7771}"/>
    <cellStyle name="常规 3 2 2 3 2 3 2" xfId="18338" xr:uid="{042D4F0A-31F7-4720-8587-D48C2A1992CF}"/>
    <cellStyle name="常规 3 2 2 3 2 3 2 2" xfId="18339" xr:uid="{D295E398-2673-44F0-9500-82C7CB2D2BED}"/>
    <cellStyle name="常规 3 2 2 3 2 3 3" xfId="18340" xr:uid="{3EC4DD29-FBD3-461D-AFE7-E61D10B5BF61}"/>
    <cellStyle name="常规 3 2 2 3 2 3 4" xfId="18341" xr:uid="{9F3794A4-EA91-4EC4-963C-CECF22235087}"/>
    <cellStyle name="常规 3 2 2 3 2 3 4 2" xfId="34238" xr:uid="{4909D99A-74FC-4B50-994C-2EB442C0DD84}"/>
    <cellStyle name="常规 3 2 2 3 2 4" xfId="18342" xr:uid="{64FAC1A5-0416-49DD-AF03-3608EAD320CF}"/>
    <cellStyle name="常规 3 2 2 3 2 4 2" xfId="18343" xr:uid="{9818D165-5B1E-4CCC-9DB7-F0D3E80BC11A}"/>
    <cellStyle name="常规 3 2 2 3 2 5" xfId="18344" xr:uid="{CB07E0E0-F073-4BA0-B2F1-A15ABC590948}"/>
    <cellStyle name="常规 3 2 2 3 2 6" xfId="18345" xr:uid="{76BC1144-9BEE-4F92-AA35-7247CE1C4B1E}"/>
    <cellStyle name="常规 3 2 2 3 2 6 2" xfId="34239" xr:uid="{9C8862DA-1B44-47CD-86B1-EB54DC55DE67}"/>
    <cellStyle name="常规 3 2 2 3 2 7" xfId="18346" xr:uid="{9A345567-1B00-42F3-AC0A-85621E5FC22D}"/>
    <cellStyle name="常规 3 2 2 3 3" xfId="18347" xr:uid="{1D1EB08B-CC50-4A97-A501-6C030B63BB2E}"/>
    <cellStyle name="常规 3 2 2 3 3 2" xfId="18348" xr:uid="{1A42FBAB-6632-49CD-B723-56EAF521E8E4}"/>
    <cellStyle name="常规 3 2 2 3 3 2 2" xfId="18349" xr:uid="{B4C6170E-C930-4DAE-8D21-D72D6CDF0981}"/>
    <cellStyle name="常规 3 2 2 3 3 2 2 2" xfId="18350" xr:uid="{6A5EC7BF-E0A2-4FC2-A797-40066ED51FD4}"/>
    <cellStyle name="常规 3 2 2 3 3 2 3" xfId="18351" xr:uid="{7A66AFD2-B746-4032-80DE-BD53E3A1E313}"/>
    <cellStyle name="常规 3 2 2 3 3 2 4" xfId="18352" xr:uid="{3A753EFC-E421-4939-A4D3-BD2D1A0EF2DD}"/>
    <cellStyle name="常规 3 2 2 3 3 2 4 2" xfId="34240" xr:uid="{E5A70020-FAE4-460B-8B67-BF8F1EB4E0FB}"/>
    <cellStyle name="常规 3 2 2 3 3 2 5" xfId="18353" xr:uid="{3F7CDA1D-5C02-4E7A-B0D3-5516A0724C89}"/>
    <cellStyle name="常规 3 2 2 3 3 3" xfId="18354" xr:uid="{EE751BCC-63EE-4469-850C-F105D88358D0}"/>
    <cellStyle name="常规 3 2 2 3 3 3 2" xfId="18355" xr:uid="{79F45347-A458-41AC-AC69-5D0C476A0EA7}"/>
    <cellStyle name="常规 3 2 2 3 3 3 2 2" xfId="18356" xr:uid="{602218EF-FB70-4143-9CBE-52D738BC26AD}"/>
    <cellStyle name="常规 3 2 2 3 3 3 3" xfId="18357" xr:uid="{F2A6A059-997D-40CF-95F1-B0C8BAC6B3E6}"/>
    <cellStyle name="常规 3 2 2 3 3 3 4" xfId="18358" xr:uid="{8FFEC210-2CC2-4883-9FB9-ED2E849E7D97}"/>
    <cellStyle name="常规 3 2 2 3 3 3 4 2" xfId="34241" xr:uid="{D8E1EFA1-D744-490A-BE28-C3D935506222}"/>
    <cellStyle name="常规 3 2 2 3 3 3 5" xfId="18359" xr:uid="{264FA4AA-FF6F-41AE-B44A-E40A16CA32C5}"/>
    <cellStyle name="常规 3 2 2 3 3 4" xfId="18360" xr:uid="{1328492C-C856-44D9-89C5-D07CAF26D7D3}"/>
    <cellStyle name="常规 3 2 2 3 3 4 2" xfId="18361" xr:uid="{42174DB2-3F2B-4E33-9877-1410626B9BF8}"/>
    <cellStyle name="常规 3 2 2 3 3 4 3" xfId="18362" xr:uid="{3DB400CF-0703-421A-AEE7-D57E4F1EA417}"/>
    <cellStyle name="常规 3 2 2 3 3 5" xfId="18363" xr:uid="{167FDF2B-959E-42FB-B302-ADE081C589A5}"/>
    <cellStyle name="常规 3 2 2 3 3 5 2" xfId="18364" xr:uid="{D13E8546-634E-4FB2-8F22-31BAE5909700}"/>
    <cellStyle name="常规 3 2 2 3 3 6" xfId="18365" xr:uid="{6F1541B3-D948-428E-906F-252FF7707730}"/>
    <cellStyle name="常规 3 2 2 3 3 6 2" xfId="18366" xr:uid="{9EAB28F0-64B9-4476-96BE-72EE9CEA0093}"/>
    <cellStyle name="常规 3 2 2 3 3 6 3" xfId="34242" xr:uid="{FED95D91-2D61-4382-AEE7-0F2C2BD9A639}"/>
    <cellStyle name="常规 3 2 2 3 3 7" xfId="18367" xr:uid="{0B1A414F-AA4A-441D-944A-C6EF6E63CAC8}"/>
    <cellStyle name="常规 3 2 2 3 4" xfId="18368" xr:uid="{3580B3FD-9C82-41B2-BC1A-B511B24362B2}"/>
    <cellStyle name="常规 3 2 2 3 4 2" xfId="18369" xr:uid="{7ECCB142-D685-47D2-9989-97580F0D3AEE}"/>
    <cellStyle name="常规 3 2 2 3 4 2 2" xfId="18370" xr:uid="{B543D10D-08DD-41EF-92B7-C56BAF235477}"/>
    <cellStyle name="常规 3 2 2 3 4 3" xfId="18371" xr:uid="{27ACEF2E-C921-4D47-99C9-251D3B8A1494}"/>
    <cellStyle name="常规 3 2 2 3 4 4" xfId="18372" xr:uid="{B8FFA717-7CC8-4590-863E-3FFC7201A4D0}"/>
    <cellStyle name="常规 3 2 2 3 4 4 2" xfId="34243" xr:uid="{D58F954B-CF6B-4B3C-8598-3DA2C0995285}"/>
    <cellStyle name="常规 3 2 2 3 4 5" xfId="18373" xr:uid="{584FD35C-AF84-472E-B9AE-4EB0AEED8400}"/>
    <cellStyle name="常规 3 2 2 3 5" xfId="18374" xr:uid="{77FF2458-EF8F-476B-9FC4-BCC9359AD3B8}"/>
    <cellStyle name="常规 3 2 2 3 5 2" xfId="18375" xr:uid="{5FCA643A-07E3-4225-B4D2-B4E352FB0091}"/>
    <cellStyle name="常规 3 2 2 3 5 2 2" xfId="18376" xr:uid="{AF9A3ED9-68DE-4CB6-BAC8-2ABEC295EB61}"/>
    <cellStyle name="常规 3 2 2 3 5 3" xfId="18377" xr:uid="{1729498C-BB2C-422C-86F1-DD9E6283A956}"/>
    <cellStyle name="常规 3 2 2 3 5 4" xfId="18378" xr:uid="{29A3A0DA-1495-4A3B-AB4A-2AA08F536C3C}"/>
    <cellStyle name="常规 3 2 2 3 5 4 2" xfId="34244" xr:uid="{FCE12E2D-5E91-4E28-BD31-1CAB830B4297}"/>
    <cellStyle name="常规 3 2 2 3 5 5" xfId="18379" xr:uid="{57DC55DC-1A35-40DD-BCBB-683243A2752B}"/>
    <cellStyle name="常规 3 2 2 3 6" xfId="18380" xr:uid="{AFFD4FC0-6937-4543-BECD-4CF91A5C9AAF}"/>
    <cellStyle name="常规 3 2 2 3 6 2" xfId="18381" xr:uid="{5192EFCB-3507-4631-9D15-BB4644ACE33B}"/>
    <cellStyle name="常规 3 2 2 3 6 3" xfId="18382" xr:uid="{1D08B654-0A5C-4D9A-BD5A-37328076E6FC}"/>
    <cellStyle name="常规 3 2 2 3 7" xfId="18383" xr:uid="{BC9CA058-428D-41EC-8DEE-21CBBA3E09EB}"/>
    <cellStyle name="常规 3 2 2 3 7 2" xfId="18384" xr:uid="{14E641DB-E22B-47BB-995E-55CBA01D2B2A}"/>
    <cellStyle name="常规 3 2 2 3 8" xfId="18385" xr:uid="{EAF91253-3E95-4687-961B-2616B9483FBE}"/>
    <cellStyle name="常规 3 2 2 3 8 2" xfId="18386" xr:uid="{C5C41331-5E76-4698-B3A3-2B2C246A61A0}"/>
    <cellStyle name="常规 3 2 2 3 8 3" xfId="34245" xr:uid="{FA9AD3BD-46DD-4987-9C9A-180FDE3F2209}"/>
    <cellStyle name="常规 3 2 2 3 9" xfId="18387" xr:uid="{93BB423C-881F-418B-A295-E19C9E086CE1}"/>
    <cellStyle name="常规 3 2 2 4" xfId="18388" xr:uid="{639FEECB-6463-48DB-A064-01108C4A702F}"/>
    <cellStyle name="常规 3 2 2 4 2" xfId="18389" xr:uid="{D0BC2533-290C-4B7B-B582-00C2A1BE453B}"/>
    <cellStyle name="常规 3 2 2 4 2 2" xfId="18390" xr:uid="{8767928E-A5B8-4552-BF23-0503F6020283}"/>
    <cellStyle name="常规 3 2 2 4 2 2 2" xfId="18391" xr:uid="{7E8CA230-95A9-4E20-A2AC-426C949D57EA}"/>
    <cellStyle name="常规 3 2 2 4 2 2 2 2" xfId="18392" xr:uid="{EC6CED7D-483A-4070-BFF9-2D17D27F7B4A}"/>
    <cellStyle name="常规 3 2 2 4 2 2 3" xfId="18393" xr:uid="{1DEC5FDF-F4E6-4D32-ACE3-4CC727E83525}"/>
    <cellStyle name="常规 3 2 2 4 2 2 4" xfId="18394" xr:uid="{B7710F7C-E7F2-4FD1-ABF8-BA57F954C1CA}"/>
    <cellStyle name="常规 3 2 2 4 2 2 4 2" xfId="34246" xr:uid="{BDD88058-06EF-4147-A156-0EB4E8090559}"/>
    <cellStyle name="常规 3 2 2 4 2 3" xfId="18395" xr:uid="{18FD78B6-47D9-482D-95D6-12D172853337}"/>
    <cellStyle name="常规 3 2 2 4 2 3 2" xfId="18396" xr:uid="{0192DE6C-8C31-4DF3-9647-33CB2525A054}"/>
    <cellStyle name="常规 3 2 2 4 2 3 2 2" xfId="18397" xr:uid="{A6504CC0-D6F3-4695-968C-DD09D0206DB9}"/>
    <cellStyle name="常规 3 2 2 4 2 3 3" xfId="18398" xr:uid="{E6CD2831-0B5B-4E7E-BF52-2AA5661E71AE}"/>
    <cellStyle name="常规 3 2 2 4 2 3 4" xfId="18399" xr:uid="{3AFF6D9F-16AE-416B-B34F-BBDB8F5E61E3}"/>
    <cellStyle name="常规 3 2 2 4 2 3 4 2" xfId="34247" xr:uid="{EA7E1185-EC0B-4223-98B0-1ABD1C1C4C28}"/>
    <cellStyle name="常规 3 2 2 4 2 4" xfId="18400" xr:uid="{45830B76-F8B5-42DA-A111-B30FBAAA9376}"/>
    <cellStyle name="常规 3 2 2 4 2 4 2" xfId="18401" xr:uid="{D08E1CCD-BCB3-4D75-B440-12BB08B10455}"/>
    <cellStyle name="常规 3 2 2 4 2 5" xfId="18402" xr:uid="{D5AB069F-B2AC-4BDC-98B3-D422588A6AC8}"/>
    <cellStyle name="常规 3 2 2 4 2 6" xfId="18403" xr:uid="{ACC69A8A-03E5-4679-896A-C3607BF240CA}"/>
    <cellStyle name="常规 3 2 2 4 2 6 2" xfId="34248" xr:uid="{F2E17155-1E02-4041-BE71-85EA791DE8D3}"/>
    <cellStyle name="常规 3 2 2 4 3" xfId="18404" xr:uid="{AEC3EB0D-EC72-4B68-A665-D03CF8A07535}"/>
    <cellStyle name="常规 3 2 2 4 3 2" xfId="18405" xr:uid="{0E7E3F0B-6AFA-49F0-AB07-5C2EE9C0E813}"/>
    <cellStyle name="常规 3 2 2 4 3 2 2" xfId="18406" xr:uid="{582FB2F4-07C4-444C-A552-47E769EBF48E}"/>
    <cellStyle name="常规 3 2 2 4 3 3" xfId="18407" xr:uid="{EE88043D-543E-4E04-8729-D53F9BA8C0BC}"/>
    <cellStyle name="常规 3 2 2 4 3 4" xfId="18408" xr:uid="{43847D88-436A-4876-AF00-5BAE150CAA6F}"/>
    <cellStyle name="常规 3 2 2 4 3 4 2" xfId="34249" xr:uid="{6BF8B8B8-F1E5-4D72-8179-7741C75A10A1}"/>
    <cellStyle name="常规 3 2 2 4 4" xfId="18409" xr:uid="{50722C95-F2CE-42FB-89F4-797BF3D139DE}"/>
    <cellStyle name="常规 3 2 2 4 4 2" xfId="18410" xr:uid="{014097AC-15A4-47FF-9FCF-ED386DC3CD98}"/>
    <cellStyle name="常规 3 2 2 4 4 2 2" xfId="18411" xr:uid="{9265E0E3-BA4F-40F8-9EAC-5DBD0D8018E1}"/>
    <cellStyle name="常规 3 2 2 4 4 3" xfId="18412" xr:uid="{6E7E6410-D3FC-4A6E-ABD5-A04976CE5808}"/>
    <cellStyle name="常规 3 2 2 4 4 4" xfId="18413" xr:uid="{3A87B180-8AAB-41EC-A038-9B910A344DC4}"/>
    <cellStyle name="常规 3 2 2 4 4 4 2" xfId="34250" xr:uid="{A180D989-6333-41AB-8C71-F6623E73441E}"/>
    <cellStyle name="常规 3 2 2 4 5" xfId="18414" xr:uid="{E9C00086-180B-4E4A-B22E-59C407FFCAB9}"/>
    <cellStyle name="常规 3 2 2 4 5 2" xfId="18415" xr:uid="{586B32F8-5AC9-4052-87E4-E527BB10C5F2}"/>
    <cellStyle name="常规 3 2 2 4 6" xfId="18416" xr:uid="{E402793E-BC38-466D-B51F-559D4C66CEF8}"/>
    <cellStyle name="常规 3 2 2 4 7" xfId="18417" xr:uid="{F2815C4E-B2F3-4AFB-A122-54AACA67139E}"/>
    <cellStyle name="常规 3 2 2 4 7 2" xfId="34251" xr:uid="{A2CC5A60-B03A-4AFA-ACA7-9A16FA5961E4}"/>
    <cellStyle name="常规 3 2 2 4 8" xfId="18418" xr:uid="{FCD5E721-1E13-4DDE-95B6-41B1813095A4}"/>
    <cellStyle name="常规 3 2 2 4 9" xfId="18419" xr:uid="{69591F6D-8981-4B0F-8116-1036CAB02253}"/>
    <cellStyle name="常规 3 2 2 5" xfId="18420" xr:uid="{77F834A7-534B-4F77-A6FA-098CCC88946B}"/>
    <cellStyle name="常规 3 2 2 5 2" xfId="18421" xr:uid="{82D9291F-8827-4196-B5A8-729DF55C1182}"/>
    <cellStyle name="常规 3 2 2 5 2 2" xfId="18422" xr:uid="{4D15A5DE-D553-42C8-8D93-3E5A578DCB1A}"/>
    <cellStyle name="常规 3 2 2 5 2 2 2" xfId="18423" xr:uid="{59DA2910-0822-45DB-8175-1E3C06333DE4}"/>
    <cellStyle name="常规 3 2 2 5 2 2 2 2" xfId="18424" xr:uid="{C7172033-4E03-4791-A4DD-AB60515931A7}"/>
    <cellStyle name="常规 3 2 2 5 2 2 3" xfId="18425" xr:uid="{B84C2C2A-35A3-49E5-A2DA-3C600F0FE726}"/>
    <cellStyle name="常规 3 2 2 5 2 2 4" xfId="18426" xr:uid="{FD172404-B92F-473C-8AC1-55DC4F5842F5}"/>
    <cellStyle name="常规 3 2 2 5 2 2 4 2" xfId="34252" xr:uid="{A1B9F472-C1DD-4F5C-97F8-278CDEB4227E}"/>
    <cellStyle name="常规 3 2 2 5 2 3" xfId="18427" xr:uid="{88A1254F-CCD4-4D04-8480-D03204CAE15A}"/>
    <cellStyle name="常规 3 2 2 5 2 3 2" xfId="18428" xr:uid="{C4789AE3-4BAE-4EEB-9838-8AA078D00A40}"/>
    <cellStyle name="常规 3 2 2 5 2 4" xfId="18429" xr:uid="{05763222-2FD4-409B-BF17-E7D9FDF5BA2B}"/>
    <cellStyle name="常规 3 2 2 5 2 5" xfId="18430" xr:uid="{C5C32C85-4911-42C2-8626-3F6B90655F3B}"/>
    <cellStyle name="常规 3 2 2 5 2 5 2" xfId="34253" xr:uid="{BE63BA96-25AA-4401-B04C-FEAE6AA8A48D}"/>
    <cellStyle name="常规 3 2 2 5 3" xfId="18431" xr:uid="{15B6830D-E86C-4CC7-BB73-E3D96D51C14F}"/>
    <cellStyle name="常规 3 2 2 5 3 2" xfId="18432" xr:uid="{7288893A-3713-4DB2-B21B-9F83D5063656}"/>
    <cellStyle name="常规 3 2 2 5 3 2 2" xfId="18433" xr:uid="{94BE1CD7-6462-4E01-8910-BFC3AAA293D0}"/>
    <cellStyle name="常规 3 2 2 5 3 3" xfId="18434" xr:uid="{C11BA5D2-F1F2-4716-9F8A-A03E168A5F95}"/>
    <cellStyle name="常规 3 2 2 5 3 4" xfId="18435" xr:uid="{D26747E4-A5D4-4520-80E3-40F9E8F13A43}"/>
    <cellStyle name="常规 3 2 2 5 3 4 2" xfId="34254" xr:uid="{69074B00-C6F7-4A47-8392-AF09C96D14C9}"/>
    <cellStyle name="常规 3 2 2 5 4" xfId="18436" xr:uid="{B868DE22-FA2C-437E-A6AC-EA7426D3AB2E}"/>
    <cellStyle name="常规 3 2 2 5 4 2" xfId="18437" xr:uid="{393DB6F5-26B9-4688-926C-1FB42C625095}"/>
    <cellStyle name="常规 3 2 2 5 5" xfId="18438" xr:uid="{AEC153B2-4F59-45A2-A6C4-87256B7F4A72}"/>
    <cellStyle name="常规 3 2 2 5 6" xfId="18439" xr:uid="{3424EEEC-3C48-4E99-AC5F-3F3F844C30B0}"/>
    <cellStyle name="常规 3 2 2 5 6 2" xfId="34255" xr:uid="{8A0E1154-0C18-4300-9B11-5EF4265B6A17}"/>
    <cellStyle name="常规 3 2 2 5 7" xfId="18440" xr:uid="{4B6F687C-28C8-4CE3-BF5F-6CADC3FA2E89}"/>
    <cellStyle name="常规 3 2 2 6" xfId="18441" xr:uid="{EDC63C4B-162F-48AF-AF5D-8FEBD2BB71C8}"/>
    <cellStyle name="常规 3 2 2 6 2" xfId="18442" xr:uid="{F793816C-1852-4C90-AEC5-85104829BE7F}"/>
    <cellStyle name="常规 3 2 2 6 2 2" xfId="18443" xr:uid="{8E179DF4-4CD9-46D0-8373-193F1731154B}"/>
    <cellStyle name="常规 3 2 2 6 2 2 2" xfId="18444" xr:uid="{BC090AF8-A649-4337-A556-0306349836C9}"/>
    <cellStyle name="常规 3 2 2 6 2 3" xfId="18445" xr:uid="{EFE5C43B-DD4B-45D6-80B1-B760685ECBED}"/>
    <cellStyle name="常规 3 2 2 6 2 4" xfId="18446" xr:uid="{1B99D683-FDD1-4844-94B1-B85A23695BA2}"/>
    <cellStyle name="常规 3 2 2 6 2 4 2" xfId="34256" xr:uid="{EAAB43C4-3682-4E8F-BC88-3953E4CCC676}"/>
    <cellStyle name="常规 3 2 2 6 2 5" xfId="18447" xr:uid="{7FC17C91-0B64-4EBE-8805-2F6F31CF594A}"/>
    <cellStyle name="常规 3 2 2 6 3" xfId="18448" xr:uid="{4550A8B0-98E7-4F31-ABED-4BFF023B8783}"/>
    <cellStyle name="常规 3 2 2 6 3 2" xfId="18449" xr:uid="{74A7A5B5-1663-4FC6-AEF7-E729D74A87C5}"/>
    <cellStyle name="常规 3 2 2 6 3 3" xfId="18450" xr:uid="{72833B09-8455-42B3-8FB3-E6B5E0E21C1E}"/>
    <cellStyle name="常规 3 2 2 6 4" xfId="18451" xr:uid="{A18B5F0D-8C99-43DF-91CC-54358221D3AF}"/>
    <cellStyle name="常规 3 2 2 6 4 2" xfId="18452" xr:uid="{83FF6688-AF93-4D1C-B1A1-1F915CC534B6}"/>
    <cellStyle name="常规 3 2 2 6 5" xfId="18453" xr:uid="{BD688CB6-EA32-437A-A9CD-8E005DF09CCA}"/>
    <cellStyle name="常规 3 2 2 6 5 2" xfId="18454" xr:uid="{17609194-BBF5-41AE-B6E7-484AD252EA68}"/>
    <cellStyle name="常规 3 2 2 6 5 3" xfId="34257" xr:uid="{558D869C-5055-4229-9CEB-3DC795E73420}"/>
    <cellStyle name="常规 3 2 2 6 6" xfId="18455" xr:uid="{509B8EA2-31F2-47B1-904F-8C93D018FD68}"/>
    <cellStyle name="常规 3 2 2 6 7" xfId="18456" xr:uid="{65A47761-CF81-47AE-A25F-44FAF1730C95}"/>
    <cellStyle name="常规 3 2 2 7" xfId="18457" xr:uid="{4C32860B-00FF-4954-89EE-262625588F89}"/>
    <cellStyle name="常规 3 2 2 7 2" xfId="18458" xr:uid="{06FB9E26-0453-4894-B0AF-B44DA23A6E97}"/>
    <cellStyle name="常规 3 2 2 7 2 2" xfId="18459" xr:uid="{6044252F-EC86-488C-91B3-FA2382E840D7}"/>
    <cellStyle name="常规 3 2 2 7 3" xfId="18460" xr:uid="{737779DE-DB0F-4C0D-A2C0-FF26415354B7}"/>
    <cellStyle name="常规 3 2 2 7 4" xfId="18461" xr:uid="{B4A79403-75BF-412E-9478-86F2665B8446}"/>
    <cellStyle name="常规 3 2 2 7 4 2" xfId="34258" xr:uid="{AE40D46D-0F36-4090-B426-302B3CC8CB15}"/>
    <cellStyle name="常规 3 2 2 7 5" xfId="18462" xr:uid="{6950ADB8-D6B0-453B-82C6-F893F1FE2721}"/>
    <cellStyle name="常规 3 2 2 8" xfId="18463" xr:uid="{C6DC052F-C3A8-49CA-81A8-560D1104E32E}"/>
    <cellStyle name="常规 3 2 2 8 2" xfId="18464" xr:uid="{4AF83E27-F83C-45D4-9CC2-849C21C13359}"/>
    <cellStyle name="常规 3 2 2 8 3" xfId="18465" xr:uid="{D4B4D16D-A899-4991-864E-043F9A5B92DF}"/>
    <cellStyle name="常规 3 2 2 9" xfId="18466" xr:uid="{AFE0BA0F-E69B-4BBD-BC9C-54AC4C37E555}"/>
    <cellStyle name="常规 3 2 2 9 2" xfId="18467" xr:uid="{049D0AAA-4B56-43AF-84F2-CC0B9907B858}"/>
    <cellStyle name="常规 3 2 3" xfId="18468" xr:uid="{E9EE3FD3-4C04-4DBC-804E-A270F7879A3A}"/>
    <cellStyle name="常规 3 2 3 10" xfId="18469" xr:uid="{ECD0D63B-3B82-4009-A649-EE239B295367}"/>
    <cellStyle name="常规 3 2 3 10 2" xfId="18470" xr:uid="{B6E922DB-A85D-41FA-910C-ECC72D7AD026}"/>
    <cellStyle name="常规 3 2 3 11" xfId="18471" xr:uid="{1FDEB263-F48D-4F84-8173-29E4A5973E48}"/>
    <cellStyle name="常规 3 2 3 12" xfId="18472" xr:uid="{CA50DF37-9250-4970-93BA-A048CF626898}"/>
    <cellStyle name="常规 3 2 3 2" xfId="18473" xr:uid="{96A8F80C-9758-4CCC-8BBF-0326BE28DDE3}"/>
    <cellStyle name="常规 3 2 3 2 10" xfId="18474" xr:uid="{18A9954F-F064-4847-8F40-8579ECAF3A31}"/>
    <cellStyle name="常规 3 2 3 2 2" xfId="18475" xr:uid="{AF7B16B6-900A-4305-B27D-475F3DF384FD}"/>
    <cellStyle name="常规 3 2 3 2 2 2" xfId="18476" xr:uid="{50E2C771-EE17-4529-8FB8-6551A7B32CAA}"/>
    <cellStyle name="常规 3 2 3 2 2 2 2" xfId="18477" xr:uid="{7FCC9D4A-17AC-40D0-B4CA-1127A2FB728D}"/>
    <cellStyle name="常规 3 2 3 2 2 2 2 2" xfId="18478" xr:uid="{0A4F68AD-5A45-433B-A728-2D8ED8D312A0}"/>
    <cellStyle name="常规 3 2 3 2 2 2 2 2 2" xfId="18479" xr:uid="{4ADCB12A-8E7B-40A4-AE1F-2794FE0E2B5D}"/>
    <cellStyle name="常规 3 2 3 2 2 2 2 3" xfId="18480" xr:uid="{C8C65EF1-9A39-49EB-92FC-28BBE932CDFA}"/>
    <cellStyle name="常规 3 2 3 2 2 2 2 4" xfId="18481" xr:uid="{EC407D38-B279-4170-A112-E80EC2B1B6E6}"/>
    <cellStyle name="常规 3 2 3 2 2 2 2 4 2" xfId="34259" xr:uid="{A2FE63B2-A139-430C-A22A-9C7EF7CCDC22}"/>
    <cellStyle name="常规 3 2 3 2 2 2 3" xfId="18482" xr:uid="{CE694567-50F0-4FF4-B24A-F59079C478CA}"/>
    <cellStyle name="常规 3 2 3 2 2 2 3 2" xfId="18483" xr:uid="{4ED9CE7D-B224-4D1E-A44F-4A2F761F8B5E}"/>
    <cellStyle name="常规 3 2 3 2 2 2 4" xfId="18484" xr:uid="{F3823752-23CE-4E5D-A924-78AF771B24AE}"/>
    <cellStyle name="常规 3 2 3 2 2 2 5" xfId="18485" xr:uid="{076F4095-5E98-41C5-ACA9-A687803582FD}"/>
    <cellStyle name="常规 3 2 3 2 2 2 5 2" xfId="34260" xr:uid="{D28C8BCB-C148-439E-ABE6-3127F2CEBC32}"/>
    <cellStyle name="常规 3 2 3 2 2 2 6" xfId="18486" xr:uid="{A65B644C-E69D-4D7A-9E6B-58C35A2113AF}"/>
    <cellStyle name="常规 3 2 3 2 2 3" xfId="18487" xr:uid="{F7BAA759-8920-4053-8FE2-0C517EE5DBD8}"/>
    <cellStyle name="常规 3 2 3 2 2 3 2" xfId="18488" xr:uid="{97D77179-FC34-4C21-8EDF-E729F1CCD98F}"/>
    <cellStyle name="常规 3 2 3 2 2 3 2 2" xfId="18489" xr:uid="{11056FAC-4755-4D9A-A279-B36E941A8023}"/>
    <cellStyle name="常规 3 2 3 2 2 3 2 3" xfId="18490" xr:uid="{06D62317-5939-49D2-B7D1-2F64A5B572E2}"/>
    <cellStyle name="常规 3 2 3 2 2 3 3" xfId="18491" xr:uid="{7506FCE2-F8FF-4DA5-8A06-3AB50AFD4630}"/>
    <cellStyle name="常规 3 2 3 2 2 3 3 2" xfId="18492" xr:uid="{191A60E2-2CAA-4A91-B22D-A411E3B44DEC}"/>
    <cellStyle name="常规 3 2 3 2 2 3 4" xfId="18493" xr:uid="{61E4324F-A7FF-46C5-AC84-C56A6D146A90}"/>
    <cellStyle name="常规 3 2 3 2 2 3 4 2" xfId="18494" xr:uid="{F70F5A6F-0082-4A34-B5FB-ADF03B30E9B4}"/>
    <cellStyle name="常规 3 2 3 2 2 3 4 3" xfId="34261" xr:uid="{2B527A8F-2DD0-4A41-8516-581F53B28857}"/>
    <cellStyle name="常规 3 2 3 2 2 3 5" xfId="18495" xr:uid="{7BEA757F-EB62-47C6-98FC-FA0FD8B4BC05}"/>
    <cellStyle name="常规 3 2 3 2 2 3 6" xfId="18496" xr:uid="{18B3F338-9EC1-4056-88AC-C472561FAFBE}"/>
    <cellStyle name="常规 3 2 3 2 2 3 7" xfId="18497" xr:uid="{D16AB8B6-4E14-48D1-8202-ED1145EB78FF}"/>
    <cellStyle name="常规 3 2 3 2 2 4" xfId="18498" xr:uid="{936EFAA6-D732-486E-BDA5-5E272D7AE3A6}"/>
    <cellStyle name="常规 3 2 3 2 2 4 2" xfId="18499" xr:uid="{A3797042-521D-4072-83A9-CD03AF23849D}"/>
    <cellStyle name="常规 3 2 3 2 2 4 3" xfId="18500" xr:uid="{76956BB1-0063-4CDE-9E82-41BB9B4F19E2}"/>
    <cellStyle name="常规 3 2 3 2 2 5" xfId="18501" xr:uid="{A703D8DE-F452-44E1-B208-4B228C734D33}"/>
    <cellStyle name="常规 3 2 3 2 2 5 2" xfId="18502" xr:uid="{E4E3C42F-DCA8-4980-B5B2-95BADBD8CC8D}"/>
    <cellStyle name="常规 3 2 3 2 2 6" xfId="18503" xr:uid="{FAB68D8D-2954-4964-9540-0BD23ECA06D2}"/>
    <cellStyle name="常规 3 2 3 2 2 6 2" xfId="18504" xr:uid="{9077189C-552A-46B9-AEA6-587217911E1F}"/>
    <cellStyle name="常规 3 2 3 2 2 6 3" xfId="34262" xr:uid="{3F4CFE9E-B7E9-4589-94B3-AC1C619F1303}"/>
    <cellStyle name="常规 3 2 3 2 2 7" xfId="18505" xr:uid="{00C9F00C-25D2-4CDF-B0C3-64688561F0D8}"/>
    <cellStyle name="常规 3 2 3 2 2 8" xfId="18506" xr:uid="{599B5D04-CC1D-4451-96C5-A64B9AC6AFB8}"/>
    <cellStyle name="常规 3 2 3 2 2 9" xfId="18507" xr:uid="{72597F91-5D14-468E-A667-45495FDBC855}"/>
    <cellStyle name="常规 3 2 3 2 3" xfId="18508" xr:uid="{19CC6CE7-56B1-48C0-9C36-63F76238BD2D}"/>
    <cellStyle name="常规 3 2 3 2 3 2" xfId="18509" xr:uid="{B921ACB0-C351-4C49-BC15-BE3F005B559F}"/>
    <cellStyle name="常规 3 2 3 2 3 2 2" xfId="18510" xr:uid="{2EC525E0-4FBB-446B-9A56-07AE9F33B3A7}"/>
    <cellStyle name="常规 3 2 3 2 3 2 2 2" xfId="18511" xr:uid="{75C612DA-533D-4179-AE22-76ED3D513BA8}"/>
    <cellStyle name="常规 3 2 3 2 3 2 2 3" xfId="18512" xr:uid="{C1DFDF70-4E52-4E13-A434-EF358636253A}"/>
    <cellStyle name="常规 3 2 3 2 3 2 3" xfId="18513" xr:uid="{22C687FF-6444-44A4-B6C7-AFC13707354C}"/>
    <cellStyle name="常规 3 2 3 2 3 2 3 2" xfId="18514" xr:uid="{BC2BF32C-962A-467F-A5B2-B50B1C52B626}"/>
    <cellStyle name="常规 3 2 3 2 3 2 4" xfId="18515" xr:uid="{3EBDB8C4-1F6B-478E-85FF-28484541E8FC}"/>
    <cellStyle name="常规 3 2 3 2 3 2 4 2" xfId="18516" xr:uid="{A1576695-6042-45DD-9716-91CE7CFF3FB1}"/>
    <cellStyle name="常规 3 2 3 2 3 2 4 3" xfId="34263" xr:uid="{31E89D52-EE6D-47CE-A149-C27C4D53C240}"/>
    <cellStyle name="常规 3 2 3 2 3 2 5" xfId="18517" xr:uid="{A8411F88-C31B-4DD0-857C-65D6CEDB2901}"/>
    <cellStyle name="常规 3 2 3 2 3 2 6" xfId="18518" xr:uid="{9C966363-84B6-48DF-AC1C-1A988C8816B6}"/>
    <cellStyle name="常规 3 2 3 2 3 2 7" xfId="18519" xr:uid="{7451B303-EA6D-413A-94F3-109BCFFED938}"/>
    <cellStyle name="常规 3 2 3 2 3 3" xfId="18520" xr:uid="{D3A2DEF5-3133-4CFD-8CDC-7F859F79AC54}"/>
    <cellStyle name="常规 3 2 3 2 3 3 2" xfId="18521" xr:uid="{0FAD71B1-61E3-45E3-B522-49495E3FD6A0}"/>
    <cellStyle name="常规 3 2 3 2 3 3 2 2" xfId="18522" xr:uid="{E2617E07-5470-4622-9CDB-CB89FFCF777D}"/>
    <cellStyle name="常规 3 2 3 2 3 3 3" xfId="18523" xr:uid="{8EE0A45D-FC89-4BC6-82D9-CE5E92B2DFE7}"/>
    <cellStyle name="常规 3 2 3 2 3 3 4" xfId="18524" xr:uid="{EFCB56F3-8BAC-4B7D-A31E-8A27E8589BB7}"/>
    <cellStyle name="常规 3 2 3 2 3 3 4 2" xfId="34264" xr:uid="{725B0831-5D1E-408A-8A89-F6AE91C72B23}"/>
    <cellStyle name="常规 3 2 3 2 3 3 5" xfId="18525" xr:uid="{62CC5437-504D-41AA-9E31-00D2A4290F11}"/>
    <cellStyle name="常规 3 2 3 2 3 4" xfId="18526" xr:uid="{FBA7FEE6-68E6-4D6B-B5A0-7132B702EA0C}"/>
    <cellStyle name="常规 3 2 3 2 3 4 2" xfId="18527" xr:uid="{E0D9C8AC-0E18-4D3F-8B14-EE4A16D2A9AD}"/>
    <cellStyle name="常规 3 2 3 2 3 4 3" xfId="18528" xr:uid="{A05BCA08-7ED6-4790-AB88-707C1D8A1460}"/>
    <cellStyle name="常规 3 2 3 2 3 5" xfId="18529" xr:uid="{3B587E6A-967F-472E-9B38-26AE1B7598D9}"/>
    <cellStyle name="常规 3 2 3 2 3 5 2" xfId="18530" xr:uid="{434D6847-0E6A-4B2D-A1A4-02858D123E15}"/>
    <cellStyle name="常规 3 2 3 2 3 6" xfId="18531" xr:uid="{58680FD0-3C6F-4CCC-8B96-E298C00DFF56}"/>
    <cellStyle name="常规 3 2 3 2 3 6 2" xfId="18532" xr:uid="{F94FCE1F-02D1-4E62-B867-B14724C4335A}"/>
    <cellStyle name="常规 3 2 3 2 3 6 3" xfId="34265" xr:uid="{79093B2E-A655-4D95-85E2-3A5C70AFE15A}"/>
    <cellStyle name="常规 3 2 3 2 3 7" xfId="18533" xr:uid="{8B1878EA-FDFE-492B-8051-64F1BE48DD20}"/>
    <cellStyle name="常规 3 2 3 2 3 8" xfId="18534" xr:uid="{CC4FE616-E100-4008-8880-5CE0CB1C7EE9}"/>
    <cellStyle name="常规 3 2 3 2 4" xfId="18535" xr:uid="{9F20E577-CF6A-4F03-8CF9-3C1C019165F7}"/>
    <cellStyle name="常规 3 2 3 2 4 2" xfId="18536" xr:uid="{EB3176AE-06E8-479B-9727-89B4333A2140}"/>
    <cellStyle name="常规 3 2 3 2 4 2 2" xfId="18537" xr:uid="{0E2A3421-5110-423F-8137-24CE96EA3AF0}"/>
    <cellStyle name="常规 3 2 3 2 4 2 3" xfId="18538" xr:uid="{F8924AC1-4F34-4D44-A01B-9275CE80C266}"/>
    <cellStyle name="常规 3 2 3 2 4 3" xfId="18539" xr:uid="{6BA17644-885E-47D8-AE22-D7906883FC7E}"/>
    <cellStyle name="常规 3 2 3 2 4 3 2" xfId="18540" xr:uid="{C3B852AB-6F7B-4FCC-ADD9-5ACC539710A8}"/>
    <cellStyle name="常规 3 2 3 2 4 4" xfId="18541" xr:uid="{BA075A21-DFD0-4290-8A9D-874467E59E13}"/>
    <cellStyle name="常规 3 2 3 2 4 4 2" xfId="18542" xr:uid="{EB15EA76-3F09-422B-B72D-BC94CDFD73EF}"/>
    <cellStyle name="常规 3 2 3 2 4 4 3" xfId="34266" xr:uid="{F1D34C18-67FC-427F-8C89-789836A6D1AF}"/>
    <cellStyle name="常规 3 2 3 2 4 5" xfId="18543" xr:uid="{9BC3A53B-158D-4B8A-84AD-D347F524B6FE}"/>
    <cellStyle name="常规 3 2 3 2 4 6" xfId="18544" xr:uid="{E3818592-8E1E-4AC7-BBA4-9E14500AAD6A}"/>
    <cellStyle name="常规 3 2 3 2 4 7" xfId="18545" xr:uid="{84237B12-8A20-4841-9704-3DED4328411B}"/>
    <cellStyle name="常规 3 2 3 2 5" xfId="18546" xr:uid="{EA15721C-F06E-4E60-AD93-ABC942BC595A}"/>
    <cellStyle name="常规 3 2 3 2 5 2" xfId="18547" xr:uid="{2C712D08-4339-4000-98F3-9F14EF005A50}"/>
    <cellStyle name="常规 3 2 3 2 5 2 2" xfId="18548" xr:uid="{E712022D-B4DF-457E-B641-2BD575946EAF}"/>
    <cellStyle name="常规 3 2 3 2 5 3" xfId="18549" xr:uid="{E8B08720-FE42-4994-80A4-02D8CFA0B0C3}"/>
    <cellStyle name="常规 3 2 3 2 5 4" xfId="18550" xr:uid="{209CAF7D-38C7-4DC5-A73E-EBB09C0A9B54}"/>
    <cellStyle name="常规 3 2 3 2 5 4 2" xfId="34267" xr:uid="{019340DB-6570-4377-9140-BFFA57874F44}"/>
    <cellStyle name="常规 3 2 3 2 5 5" xfId="18551" xr:uid="{9570A771-EFC7-47DB-967F-16DA7F5D3BAB}"/>
    <cellStyle name="常规 3 2 3 2 6" xfId="18552" xr:uid="{B7250E7E-94C0-4497-8B74-7E0CA462EDB3}"/>
    <cellStyle name="常规 3 2 3 2 6 2" xfId="18553" xr:uid="{C665428D-B2E2-402D-9E90-F58901E6FA06}"/>
    <cellStyle name="常规 3 2 3 2 6 3" xfId="18554" xr:uid="{78A81590-E0D2-49DE-96FE-88C2C7EF1A7D}"/>
    <cellStyle name="常规 3 2 3 2 7" xfId="18555" xr:uid="{F594B6F2-18CF-40EB-9C38-4D552288319B}"/>
    <cellStyle name="常规 3 2 3 2 7 2" xfId="18556" xr:uid="{861F05C5-395E-4F6F-8D55-BEB11213C84A}"/>
    <cellStyle name="常规 3 2 3 2 8" xfId="18557" xr:uid="{7851B26A-1E74-4A84-875E-BB7DC5A349B3}"/>
    <cellStyle name="常规 3 2 3 2 8 2" xfId="18558" xr:uid="{FA494677-F9EF-4558-9147-4F89AA3BA36E}"/>
    <cellStyle name="常规 3 2 3 2 8 3" xfId="34268" xr:uid="{3DCC1A66-CA02-4517-ACCF-F10DDE917F83}"/>
    <cellStyle name="常规 3 2 3 2 9" xfId="18559" xr:uid="{5DD2FDBE-3CB0-4667-B1E3-3C32D9B5803B}"/>
    <cellStyle name="常规 3 2 3 2 9 2" xfId="18560" xr:uid="{A10FC6BF-1256-44E5-B837-623C62100FBC}"/>
    <cellStyle name="常规 3 2 3 3" xfId="18561" xr:uid="{BB533B25-9B1A-4170-B238-86F8CFEA0F82}"/>
    <cellStyle name="常规 3 2 3 3 2" xfId="18562" xr:uid="{1091CD16-ECAA-48AF-82C4-48CCC15BB76A}"/>
    <cellStyle name="常规 3 2 3 3 2 2" xfId="18563" xr:uid="{6A8A68F6-BBE3-484F-B652-E980A7A69881}"/>
    <cellStyle name="常规 3 2 3 3 2 2 2" xfId="18564" xr:uid="{7D531240-424A-48E4-B2D7-BB235950994C}"/>
    <cellStyle name="常规 3 2 3 3 2 2 2 2" xfId="18565" xr:uid="{76EE9989-EC89-4072-8F0E-5F0C67FC0BB8}"/>
    <cellStyle name="常规 3 2 3 3 2 2 3" xfId="18566" xr:uid="{A534D24D-0FB3-44F1-8607-BD75D4352318}"/>
    <cellStyle name="常规 3 2 3 3 2 2 4" xfId="18567" xr:uid="{EFA8BF61-C87E-4E29-A666-DB5304B6604C}"/>
    <cellStyle name="常规 3 2 3 3 2 2 4 2" xfId="34269" xr:uid="{857EAC8E-776A-4D7A-9489-8289C48B2D0A}"/>
    <cellStyle name="常规 3 2 3 3 2 3" xfId="18568" xr:uid="{6600B2D6-5A6E-4ADC-83AB-E9C1E2969B8F}"/>
    <cellStyle name="常规 3 2 3 3 2 3 2" xfId="18569" xr:uid="{CF4367BE-E83A-4475-B906-0FF948AADB4A}"/>
    <cellStyle name="常规 3 2 3 3 2 3 2 2" xfId="18570" xr:uid="{3526DB41-145B-4E2A-A463-D7BC849AFE92}"/>
    <cellStyle name="常规 3 2 3 3 2 3 3" xfId="18571" xr:uid="{1DA44AF6-ED8C-478E-A603-14DAF2B0807F}"/>
    <cellStyle name="常规 3 2 3 3 2 3 4" xfId="18572" xr:uid="{D1F4C0E3-DE87-44D9-992C-6D0C022B9534}"/>
    <cellStyle name="常规 3 2 3 3 2 3 4 2" xfId="34270" xr:uid="{F9416EF6-1B1F-48C9-9BFB-C887D3CF8D6E}"/>
    <cellStyle name="常规 3 2 3 3 2 4" xfId="18573" xr:uid="{F1FC9A03-B351-42AB-AC2D-836A893D5856}"/>
    <cellStyle name="常规 3 2 3 3 2 4 2" xfId="18574" xr:uid="{2AD0F246-073A-435E-8FF6-B12773C108DF}"/>
    <cellStyle name="常规 3 2 3 3 2 5" xfId="18575" xr:uid="{5C9A1352-5A1E-4DD1-BF4F-202EDF2A3AA0}"/>
    <cellStyle name="常规 3 2 3 3 2 6" xfId="18576" xr:uid="{6AE2E976-611E-4CEE-B657-1A561043851F}"/>
    <cellStyle name="常规 3 2 3 3 2 6 2" xfId="34271" xr:uid="{1A8A5BC5-C358-44D9-89DD-CA758E4E4590}"/>
    <cellStyle name="常规 3 2 3 3 2 7" xfId="18577" xr:uid="{82C2E612-BEF3-4B7A-A3FC-C4607F0C859A}"/>
    <cellStyle name="常规 3 2 3 3 3" xfId="18578" xr:uid="{997443A0-9946-46EC-A81A-61D01EA1E312}"/>
    <cellStyle name="常规 3 2 3 3 3 2" xfId="18579" xr:uid="{2DA39971-3BF2-426D-BD1C-AA180A936041}"/>
    <cellStyle name="常规 3 2 3 3 3 2 2" xfId="18580" xr:uid="{7F0C6048-98AB-4730-9E71-825CAB848180}"/>
    <cellStyle name="常规 3 2 3 3 3 2 3" xfId="18581" xr:uid="{B9F9B0A4-75B3-4C7C-8835-1F43FC5B6A06}"/>
    <cellStyle name="常规 3 2 3 3 3 3" xfId="18582" xr:uid="{CE60376D-24A5-43F0-A34B-0AA19BAEAF27}"/>
    <cellStyle name="常规 3 2 3 3 3 3 2" xfId="18583" xr:uid="{66EBCAB7-D5F4-45D7-ACCB-998A8BA91895}"/>
    <cellStyle name="常规 3 2 3 3 3 4" xfId="18584" xr:uid="{26E2E844-7463-4A26-AAA0-661CC84C1CBA}"/>
    <cellStyle name="常规 3 2 3 3 3 4 2" xfId="18585" xr:uid="{ACF62AA1-F98E-49E3-A7A6-0969FDE20FFE}"/>
    <cellStyle name="常规 3 2 3 3 3 4 3" xfId="34272" xr:uid="{3A5DF820-FDD0-405D-9B0D-EE73F7053778}"/>
    <cellStyle name="常规 3 2 3 3 3 5" xfId="18586" xr:uid="{EC1728A7-5A15-41F8-827C-E811EF949F20}"/>
    <cellStyle name="常规 3 2 3 3 3 6" xfId="18587" xr:uid="{F65C7E82-F292-4A38-B703-070564CCFAF4}"/>
    <cellStyle name="常规 3 2 3 3 3 7" xfId="18588" xr:uid="{8A8FAAD3-60E7-46FB-A208-7321788BC52C}"/>
    <cellStyle name="常规 3 2 3 3 4" xfId="18589" xr:uid="{CAE13452-A2CD-4FE5-AC24-F582821A4E8B}"/>
    <cellStyle name="常规 3 2 3 3 4 2" xfId="18590" xr:uid="{2C3FCDDA-916B-4825-8C50-79A237B74601}"/>
    <cellStyle name="常规 3 2 3 3 4 2 2" xfId="18591" xr:uid="{71E579E8-7C56-4A11-9569-6B712F5F5FE9}"/>
    <cellStyle name="常规 3 2 3 3 4 3" xfId="18592" xr:uid="{26C694B9-F680-4A14-8CAE-A87880F0E20D}"/>
    <cellStyle name="常规 3 2 3 3 4 4" xfId="18593" xr:uid="{F741585F-915A-407A-9337-57BECDA95032}"/>
    <cellStyle name="常规 3 2 3 3 4 4 2" xfId="34273" xr:uid="{241F3811-F448-4BA9-863C-52DCC6B485CA}"/>
    <cellStyle name="常规 3 2 3 3 4 5" xfId="18594" xr:uid="{B6B30CF2-00E6-4897-9EA0-8D3BEF66F249}"/>
    <cellStyle name="常规 3 2 3 3 5" xfId="18595" xr:uid="{064D1317-F7E6-4DCC-9976-7AE811C57A37}"/>
    <cellStyle name="常规 3 2 3 3 5 2" xfId="18596" xr:uid="{7BA51429-D8AE-4294-B312-8839CB0815A5}"/>
    <cellStyle name="常规 3 2 3 3 5 3" xfId="18597" xr:uid="{61AB4ECC-6802-4016-AB2C-4CE47ABA3A0A}"/>
    <cellStyle name="常规 3 2 3 3 6" xfId="18598" xr:uid="{0977A8B8-680D-44E4-A5CB-81ABB3E85A40}"/>
    <cellStyle name="常规 3 2 3 3 6 2" xfId="18599" xr:uid="{9D00FF36-56CE-41F3-952A-C9DF2C965C95}"/>
    <cellStyle name="常规 3 2 3 3 7" xfId="18600" xr:uid="{8859D6F2-A46D-4C26-9D82-EDDBADCD2091}"/>
    <cellStyle name="常规 3 2 3 3 7 2" xfId="18601" xr:uid="{866F9012-0716-426B-852B-7AAB0BD0C93E}"/>
    <cellStyle name="常规 3 2 3 3 7 3" xfId="34274" xr:uid="{C2514E18-56EB-4A95-8AB4-3822C96E200A}"/>
    <cellStyle name="常规 3 2 3 3 8" xfId="18602" xr:uid="{0F7C9AFD-A1E4-4AE9-8686-92F25120AC6E}"/>
    <cellStyle name="常规 3 2 3 3 8 2" xfId="18603" xr:uid="{FE0E6EB2-436D-456B-ABE6-F5297E23C624}"/>
    <cellStyle name="常规 3 2 3 3 9" xfId="18604" xr:uid="{FB2A4BF9-007D-4B0D-A1F3-BD875FFF8290}"/>
    <cellStyle name="常规 3 2 3 4" xfId="18605" xr:uid="{91A45C10-D8FA-46AC-A46B-E891E58CB905}"/>
    <cellStyle name="常规 3 2 3 4 2" xfId="18606" xr:uid="{864DB433-8309-4A57-9EFC-BACE242042BB}"/>
    <cellStyle name="常规 3 2 3 4 2 2" xfId="18607" xr:uid="{48654E16-FFE1-4FFD-848F-A962D0051C78}"/>
    <cellStyle name="常规 3 2 3 4 2 2 2" xfId="18608" xr:uid="{E165BF73-CD12-49FB-AC2F-2FA184271383}"/>
    <cellStyle name="常规 3 2 3 4 2 3" xfId="18609" xr:uid="{BE2E66E9-5176-40A1-B1D2-54021154EF43}"/>
    <cellStyle name="常规 3 2 3 4 2 4" xfId="18610" xr:uid="{7DCC9D4C-D4DD-4591-9049-321FDFC93E1D}"/>
    <cellStyle name="常规 3 2 3 4 2 4 2" xfId="34275" xr:uid="{CAEC64F6-0E49-4E22-80C5-1DA012E3A2AD}"/>
    <cellStyle name="常规 3 2 3 4 3" xfId="18611" xr:uid="{839EFBDE-3F2B-4ECC-9BDF-AF3F8E3D5A8F}"/>
    <cellStyle name="常规 3 2 3 4 3 2" xfId="18612" xr:uid="{7D415E8B-3CF9-4D57-B0D7-A07F0ED732AB}"/>
    <cellStyle name="常规 3 2 3 4 3 2 2" xfId="18613" xr:uid="{7B9AF08B-535E-4545-979D-64794C594673}"/>
    <cellStyle name="常规 3 2 3 4 3 3" xfId="18614" xr:uid="{8034E3AA-C717-4AFF-8885-6DF9BF9B4CB4}"/>
    <cellStyle name="常规 3 2 3 4 3 4" xfId="18615" xr:uid="{CDD0A76A-3E83-4C92-9C6B-0497C84F0DA8}"/>
    <cellStyle name="常规 3 2 3 4 3 4 2" xfId="34276" xr:uid="{227085C1-784F-4461-83B7-BB245E8B2424}"/>
    <cellStyle name="常规 3 2 3 4 4" xfId="18616" xr:uid="{77836AFF-08E5-48FF-9C89-EF9F1AC4C92A}"/>
    <cellStyle name="常规 3 2 3 4 4 2" xfId="18617" xr:uid="{E19C347C-37AB-4EC6-803E-9E4274C60981}"/>
    <cellStyle name="常规 3 2 3 4 5" xfId="18618" xr:uid="{9FCFFD01-62D8-44BE-BCC5-92E26C9EF25E}"/>
    <cellStyle name="常规 3 2 3 4 6" xfId="18619" xr:uid="{A3328EA7-6FCD-4FBE-A817-B4ED043BAAA6}"/>
    <cellStyle name="常规 3 2 3 4 6 2" xfId="34277" xr:uid="{53B19314-CD93-4F93-8C97-894BD063B410}"/>
    <cellStyle name="常规 3 2 3 4 7" xfId="18620" xr:uid="{E0E11BA5-03B5-4BFE-A813-03C7C7425A68}"/>
    <cellStyle name="常规 3 2 3 4 8" xfId="18621" xr:uid="{D763BE9E-0D0C-4816-B9FD-807547D5444B}"/>
    <cellStyle name="常规 3 2 3 5" xfId="18622" xr:uid="{32B91E95-18D1-476F-88D6-CF9F2946E09C}"/>
    <cellStyle name="常规 3 2 3 5 2" xfId="18623" xr:uid="{18D91C3F-7703-442A-87CC-7A8E2117366A}"/>
    <cellStyle name="常规 3 2 3 5 2 2" xfId="18624" xr:uid="{38703C4B-369B-4D41-ADFF-44636EF90341}"/>
    <cellStyle name="常规 3 2 3 5 3" xfId="18625" xr:uid="{34A905CA-C253-41D9-9B3E-8819BB32DF91}"/>
    <cellStyle name="常规 3 2 3 5 4" xfId="18626" xr:uid="{00EC3548-FBFF-496E-B901-7F2BCB332D14}"/>
    <cellStyle name="常规 3 2 3 5 4 2" xfId="34278" xr:uid="{64AAFAE2-3A99-4BBF-A5BC-FA825AF9B9CC}"/>
    <cellStyle name="常规 3 2 3 5 5" xfId="18627" xr:uid="{74DCD9D2-D13A-4CA0-BBB7-6DE11B427DE2}"/>
    <cellStyle name="常规 3 2 3 6" xfId="18628" xr:uid="{2549B33F-4041-49FD-8951-DAAD8EC59A4B}"/>
    <cellStyle name="常规 3 2 3 6 2" xfId="18629" xr:uid="{386D4294-08DB-4362-B496-607C2199C7CE}"/>
    <cellStyle name="常规 3 2 3 6 2 2" xfId="18630" xr:uid="{6498F567-A669-495F-9BBD-AA086E3F5C68}"/>
    <cellStyle name="常规 3 2 3 6 2 3" xfId="18631" xr:uid="{EB8F83F0-81F3-4F91-919C-86F35CCC0280}"/>
    <cellStyle name="常规 3 2 3 6 3" xfId="18632" xr:uid="{6E1CD433-AADC-4646-89E9-2B59EA99C29A}"/>
    <cellStyle name="常规 3 2 3 6 3 2" xfId="18633" xr:uid="{194AE82C-5380-4365-8089-34104A688F17}"/>
    <cellStyle name="常规 3 2 3 6 4" xfId="18634" xr:uid="{DC8EC0AA-34F7-4C9E-B5CC-222E0EE25E51}"/>
    <cellStyle name="常规 3 2 3 6 4 2" xfId="18635" xr:uid="{75DF2E6D-1825-4329-9DBC-71BA3932E55A}"/>
    <cellStyle name="常规 3 2 3 6 4 3" xfId="34279" xr:uid="{76D1BA19-806A-4EEE-9B77-9FF12953D9BA}"/>
    <cellStyle name="常规 3 2 3 6 5" xfId="18636" xr:uid="{2410F237-7256-4895-9ABA-FE7A477B7DA8}"/>
    <cellStyle name="常规 3 2 3 6 6" xfId="18637" xr:uid="{77283D0F-75D6-4671-93FA-47153C788370}"/>
    <cellStyle name="常规 3 2 3 6 7" xfId="18638" xr:uid="{C318C3D8-FD2E-47A2-AA61-4B62C42B2A18}"/>
    <cellStyle name="常规 3 2 3 7" xfId="18639" xr:uid="{63B4B4CD-AECF-4400-8EC1-EE4B89C15D21}"/>
    <cellStyle name="常规 3 2 3 7 2" xfId="18640" xr:uid="{0BB1FEC9-CD37-42EB-834B-5EBDFF3CE2A2}"/>
    <cellStyle name="常规 3 2 3 7 3" xfId="18641" xr:uid="{3534D9E8-DCE3-40E9-A1C5-04893AE0B841}"/>
    <cellStyle name="常规 3 2 3 8" xfId="18642" xr:uid="{87255F4E-3C5D-4C50-B522-111B51D9AF2A}"/>
    <cellStyle name="常规 3 2 3 8 2" xfId="18643" xr:uid="{2E2EF507-8660-4259-B884-5770416E452A}"/>
    <cellStyle name="常规 3 2 3 9" xfId="18644" xr:uid="{68B158AB-CC49-4AB8-BEC8-3E0D4F2064E3}"/>
    <cellStyle name="常规 3 2 3 9 2" xfId="18645" xr:uid="{4AA1456A-06AE-4E48-BBC0-13504807B043}"/>
    <cellStyle name="常规 3 2 3 9 3" xfId="34280" xr:uid="{76AA3BE0-FCE0-4750-9691-065D93BD39BA}"/>
    <cellStyle name="常规 3 2 4" xfId="18646" xr:uid="{439300C3-01B5-4333-932E-18D132D29F65}"/>
    <cellStyle name="常规 3 2 4 10" xfId="18647" xr:uid="{F9091845-DC59-4F73-99F1-3BFBFA25A6C8}"/>
    <cellStyle name="常规 3 2 4 11" xfId="18648" xr:uid="{26AD591D-EC29-4A47-8561-290DB32C2C3A}"/>
    <cellStyle name="常规 3 2 4 2" xfId="18649" xr:uid="{F88FED51-7A6B-44DC-B672-568D7D6701AB}"/>
    <cellStyle name="常规 3 2 4 2 2" xfId="18650" xr:uid="{46AC1D18-9849-4CF4-9B0C-12D4024F6B72}"/>
    <cellStyle name="常规 3 2 4 2 2 2" xfId="18651" xr:uid="{D4EC96F4-FC6B-4EB0-B2E6-A85897D3DF7F}"/>
    <cellStyle name="常规 3 2 4 2 2 2 2" xfId="18652" xr:uid="{62B54CF7-6768-4B60-8B8C-E369F6D0932A}"/>
    <cellStyle name="常规 3 2 4 2 2 2 2 2" xfId="18653" xr:uid="{041A8E07-1C3D-4BF1-8350-9BD3470C09D6}"/>
    <cellStyle name="常规 3 2 4 2 2 2 2 2 2" xfId="18654" xr:uid="{A080C948-A78B-4BAA-9587-9DB46593BB6D}"/>
    <cellStyle name="常规 3 2 4 2 2 2 2 3" xfId="18655" xr:uid="{9A5C7F84-0062-488D-90F5-E726B50B1C9C}"/>
    <cellStyle name="常规 3 2 4 2 2 2 2 4" xfId="18656" xr:uid="{426AD9B4-5925-4A71-879C-E59C5A87221F}"/>
    <cellStyle name="常规 3 2 4 2 2 2 2 4 2" xfId="34281" xr:uid="{1CDF4DA5-6154-4C65-8C82-B2749563B17A}"/>
    <cellStyle name="常规 3 2 4 2 2 2 3" xfId="18657" xr:uid="{3DEF7CFF-08FD-447E-B978-3584B1AD89AE}"/>
    <cellStyle name="常规 3 2 4 2 2 2 3 2" xfId="18658" xr:uid="{1DF0FAAF-AD28-4DDD-B62C-86E7526776F7}"/>
    <cellStyle name="常规 3 2 4 2 2 2 4" xfId="18659" xr:uid="{0AAEA4CB-EDD2-454C-A249-2558FF5757F0}"/>
    <cellStyle name="常规 3 2 4 2 2 2 5" xfId="18660" xr:uid="{A5BBDE2D-318A-49DD-B875-DF3775C392CC}"/>
    <cellStyle name="常规 3 2 4 2 2 2 5 2" xfId="34282" xr:uid="{193813B7-4906-406C-BE3F-83B8BDBE4DB9}"/>
    <cellStyle name="常规 3 2 4 2 2 3" xfId="18661" xr:uid="{D3DA50A3-CEB0-48D5-BFC3-CCD849228D99}"/>
    <cellStyle name="常规 3 2 4 2 2 3 2" xfId="18662" xr:uid="{F02FF6A3-C62D-432A-8907-EF8C2ADA607E}"/>
    <cellStyle name="常规 3 2 4 2 2 3 2 2" xfId="18663" xr:uid="{8E2376F8-6760-4FF4-AC91-E8F2F5FC4847}"/>
    <cellStyle name="常规 3 2 4 2 2 3 3" xfId="18664" xr:uid="{DD906C23-EF47-46CF-861D-CA1F10CCE63B}"/>
    <cellStyle name="常规 3 2 4 2 2 3 4" xfId="18665" xr:uid="{531032BD-61DE-41CD-921B-07C950FDCC45}"/>
    <cellStyle name="常规 3 2 4 2 2 3 4 2" xfId="34283" xr:uid="{E380A767-2F05-45B3-9E80-4A83AD6D3B22}"/>
    <cellStyle name="常规 3 2 4 2 2 4" xfId="18666" xr:uid="{2A5B0EF7-FD14-4A37-94AD-0EC525D30DB1}"/>
    <cellStyle name="常规 3 2 4 2 2 4 2" xfId="18667" xr:uid="{64F2E0E9-02C3-405A-8D90-626A7D3F211D}"/>
    <cellStyle name="常规 3 2 4 2 2 5" xfId="18668" xr:uid="{09CCE42C-0888-49D2-AEE7-A29F28DC17E0}"/>
    <cellStyle name="常规 3 2 4 2 2 6" xfId="18669" xr:uid="{5697C19E-C542-4529-AA3C-C99E0EE27027}"/>
    <cellStyle name="常规 3 2 4 2 2 6 2" xfId="34284" xr:uid="{671C0E40-57BF-4FC9-AE84-46EF18AB549D}"/>
    <cellStyle name="常规 3 2 4 2 2 7" xfId="18670" xr:uid="{BB851948-C2DE-417C-A9A9-39A7428FE74C}"/>
    <cellStyle name="常规 3 2 4 2 3" xfId="18671" xr:uid="{A3206852-76EB-450A-96CD-BC9A55E2CCB8}"/>
    <cellStyle name="常规 3 2 4 2 3 2" xfId="18672" xr:uid="{05B93BA6-9E3E-4C3B-AC78-07E1538B0064}"/>
    <cellStyle name="常规 3 2 4 2 3 2 2" xfId="18673" xr:uid="{895E6F09-E7BC-417D-8C5C-D27BFB0CDC9F}"/>
    <cellStyle name="常规 3 2 4 2 3 2 2 2" xfId="18674" xr:uid="{0F004338-C19E-4E9C-9C20-14DBC878DA6E}"/>
    <cellStyle name="常规 3 2 4 2 3 2 3" xfId="18675" xr:uid="{0ED3802E-0E8A-409E-839F-856815028AF2}"/>
    <cellStyle name="常规 3 2 4 2 3 2 4" xfId="18676" xr:uid="{96D1211E-6C6A-4BD3-9D78-9B66953C7F60}"/>
    <cellStyle name="常规 3 2 4 2 3 2 4 2" xfId="34285" xr:uid="{C35B0C2D-21C7-4251-AF26-CB90F9F39500}"/>
    <cellStyle name="常规 3 2 4 2 3 2 5" xfId="18677" xr:uid="{DD031E58-71FF-4EEA-B78D-DA8D30CAC95D}"/>
    <cellStyle name="常规 3 2 4 2 3 3" xfId="18678" xr:uid="{23D815E8-FA4A-464C-BA01-F5AE06678DFE}"/>
    <cellStyle name="常规 3 2 4 2 3 3 2" xfId="18679" xr:uid="{74C2DC6B-9D4B-4B3E-8C68-1DE6284D3AEA}"/>
    <cellStyle name="常规 3 2 4 2 3 3 2 2" xfId="18680" xr:uid="{6DF5381B-3A53-4EB0-8AF4-0E686B69C1AB}"/>
    <cellStyle name="常规 3 2 4 2 3 3 3" xfId="18681" xr:uid="{F51EAD7B-2132-4A71-ADD1-4839809FFD13}"/>
    <cellStyle name="常规 3 2 4 2 3 3 4" xfId="18682" xr:uid="{0BD5225C-C49A-480C-AAFB-DDC187B96944}"/>
    <cellStyle name="常规 3 2 4 2 3 3 4 2" xfId="34286" xr:uid="{5F2332C1-6F06-492B-BBF4-15293AB32B72}"/>
    <cellStyle name="常规 3 2 4 2 3 3 5" xfId="18683" xr:uid="{3ACB861D-C2E6-4A23-8071-BB9814AD0185}"/>
    <cellStyle name="常规 3 2 4 2 3 4" xfId="18684" xr:uid="{C5D90D95-2CD8-464A-BC0B-E3C5AE85A036}"/>
    <cellStyle name="常规 3 2 4 2 3 4 2" xfId="18685" xr:uid="{19EE9FC7-0992-4990-9807-7C1B8A34B627}"/>
    <cellStyle name="常规 3 2 4 2 3 4 3" xfId="18686" xr:uid="{1F69A398-65CD-4A52-B5AB-F4BB5DFCA675}"/>
    <cellStyle name="常规 3 2 4 2 3 5" xfId="18687" xr:uid="{359E88C6-9F3A-4ADA-9C2D-B05522081799}"/>
    <cellStyle name="常规 3 2 4 2 3 5 2" xfId="18688" xr:uid="{8360A2F7-0FCE-4FC7-B1E3-59527C91772E}"/>
    <cellStyle name="常规 3 2 4 2 3 6" xfId="18689" xr:uid="{70FF10E3-1A8A-4519-9C79-99AC49D1FFBF}"/>
    <cellStyle name="常规 3 2 4 2 3 6 2" xfId="18690" xr:uid="{243010DE-6C1C-4021-9E4A-83529BC7CEBC}"/>
    <cellStyle name="常规 3 2 4 2 3 6 3" xfId="34287" xr:uid="{A6654625-2CA0-454F-BC94-343D678197F9}"/>
    <cellStyle name="常规 3 2 4 2 3 7" xfId="18691" xr:uid="{600B5539-6657-413C-A4D6-94A4F1F9BF15}"/>
    <cellStyle name="常规 3 2 4 2 4" xfId="18692" xr:uid="{F29841F7-FDE7-4A92-B277-CB458A038BF3}"/>
    <cellStyle name="常规 3 2 4 2 4 2" xfId="18693" xr:uid="{BCAF54E5-564E-46D3-A1E6-2B5DB613D1EB}"/>
    <cellStyle name="常规 3 2 4 2 4 2 2" xfId="18694" xr:uid="{DE182171-288C-49F4-8EA8-3E892135484A}"/>
    <cellStyle name="常规 3 2 4 2 4 3" xfId="18695" xr:uid="{15E0F8DB-5B80-427D-9189-E30EFC489DBE}"/>
    <cellStyle name="常规 3 2 4 2 4 4" xfId="18696" xr:uid="{996F8B59-5160-438E-9BD2-F9F113B85E12}"/>
    <cellStyle name="常规 3 2 4 2 4 4 2" xfId="34288" xr:uid="{4FE818BF-1C0B-40A1-9705-D5FCA3B7ED7C}"/>
    <cellStyle name="常规 3 2 4 2 4 5" xfId="18697" xr:uid="{3919513C-5070-4F86-8E63-49D29D18639B}"/>
    <cellStyle name="常规 3 2 4 2 5" xfId="18698" xr:uid="{AED2AE9B-64E9-41B9-A7D3-9D26520DBCB7}"/>
    <cellStyle name="常规 3 2 4 2 5 2" xfId="18699" xr:uid="{042D2DC9-6DA9-4E61-9719-152DCAF73A0B}"/>
    <cellStyle name="常规 3 2 4 2 5 2 2" xfId="18700" xr:uid="{E4E43D08-B10B-46A3-BDA3-E050594F3A50}"/>
    <cellStyle name="常规 3 2 4 2 5 3" xfId="18701" xr:uid="{B9E8AA3C-0723-4F0F-87D7-20526731CC56}"/>
    <cellStyle name="常规 3 2 4 2 5 4" xfId="18702" xr:uid="{33854D83-5684-4957-986C-647A4C2EC132}"/>
    <cellStyle name="常规 3 2 4 2 5 4 2" xfId="34289" xr:uid="{36159C19-1EB8-465A-87C3-6A9587A394AA}"/>
    <cellStyle name="常规 3 2 4 2 5 5" xfId="18703" xr:uid="{C0955E3C-DF55-4A07-884D-9A2F3AA8F2BC}"/>
    <cellStyle name="常规 3 2 4 2 6" xfId="18704" xr:uid="{C87B78D0-ED04-40A4-A5DA-8DC5F0783949}"/>
    <cellStyle name="常规 3 2 4 2 6 2" xfId="18705" xr:uid="{50DA1D33-64D8-4AAC-8BE6-CD47E9B5BBC4}"/>
    <cellStyle name="常规 3 2 4 2 6 3" xfId="18706" xr:uid="{02DB0E71-7E23-4882-9F25-9E1F18C5826E}"/>
    <cellStyle name="常规 3 2 4 2 7" xfId="18707" xr:uid="{ECC2E857-62D9-4D24-B1F1-64B4FA3A0E5B}"/>
    <cellStyle name="常规 3 2 4 2 7 2" xfId="18708" xr:uid="{A96C8F81-7F4D-493C-8AC0-8C04585E9D1A}"/>
    <cellStyle name="常规 3 2 4 2 8" xfId="18709" xr:uid="{923B32A0-5ECB-4333-808B-D4E73FB9BD70}"/>
    <cellStyle name="常规 3 2 4 2 8 2" xfId="18710" xr:uid="{B61E1BBD-EF19-4522-9C60-FAFF68740440}"/>
    <cellStyle name="常规 3 2 4 2 8 3" xfId="34290" xr:uid="{37DFDD03-0ABE-4F1F-9431-FF0635A1330E}"/>
    <cellStyle name="常规 3 2 4 2 9" xfId="18711" xr:uid="{96AFAA36-E35D-4BDB-8A23-084CCF4CA222}"/>
    <cellStyle name="常规 3 2 4 3" xfId="18712" xr:uid="{C54FD947-B8DB-4325-8430-EA557F3748A3}"/>
    <cellStyle name="常规 3 2 4 3 2" xfId="18713" xr:uid="{EB6B47CE-4B47-4884-9C8F-D5D33F15A7E4}"/>
    <cellStyle name="常规 3 2 4 3 2 2" xfId="18714" xr:uid="{8B69C32D-C995-4FF8-A1D0-543928A8BEAD}"/>
    <cellStyle name="常规 3 2 4 3 2 3" xfId="18715" xr:uid="{E910D0A6-828D-482C-A7AC-1F5E7823B20A}"/>
    <cellStyle name="常规 3 2 4 3 2 4" xfId="18716" xr:uid="{50DD55AE-164E-490A-9AFB-FE0627A19E1A}"/>
    <cellStyle name="常规 3 2 4 3 2 5" xfId="18717" xr:uid="{04E8F2BD-3877-4F26-B70C-A0140341D440}"/>
    <cellStyle name="常规 3 2 4 3 2 6" xfId="18718" xr:uid="{F097C006-45B5-4A0B-BCE3-A2B0C3542BF7}"/>
    <cellStyle name="常规 3 2 4 3 3" xfId="18719" xr:uid="{23494469-3E13-45A4-A05C-54DB4DDCE4E8}"/>
    <cellStyle name="常规 3 2 4 3 4" xfId="18720" xr:uid="{881B6F59-47B6-4DD5-8FB1-490515C23248}"/>
    <cellStyle name="常规 3 2 4 3 5" xfId="18721" xr:uid="{25EBD5F5-82FF-4D97-90F3-DB0F5B064B02}"/>
    <cellStyle name="常规 3 2 4 3 6" xfId="18722" xr:uid="{C20ED056-A824-4F7B-B1C5-8A2365E4B007}"/>
    <cellStyle name="常规 3 2 4 3 7" xfId="18723" xr:uid="{DC27CF03-B573-4412-8893-C893FC87536F}"/>
    <cellStyle name="常规 3 2 4 3 8" xfId="18724" xr:uid="{CD1B56A6-F349-4F63-904C-BEE279BE0A9C}"/>
    <cellStyle name="常规 3 2 4 4" xfId="18725" xr:uid="{E737E61B-6AE6-4EBB-AB6B-1D7C2D0A21DD}"/>
    <cellStyle name="常规 3 2 4 4 2" xfId="18726" xr:uid="{A489CE5B-3A69-43E0-9D69-B6ABF13DC483}"/>
    <cellStyle name="常规 3 2 4 4 2 2" xfId="18727" xr:uid="{5957D1ED-3471-4676-9529-0D01FFB9E7FF}"/>
    <cellStyle name="常规 3 2 4 4 2 3" xfId="18728" xr:uid="{358F2165-B995-4FB8-AC22-53D798A7444B}"/>
    <cellStyle name="常规 3 2 4 4 3" xfId="18729" xr:uid="{2719C0D5-A049-407C-A7C4-3331CC936DC4}"/>
    <cellStyle name="常规 3 2 4 4 3 2" xfId="18730" xr:uid="{2CC9E16A-4C21-4007-B2BC-A4CDEA83CE52}"/>
    <cellStyle name="常规 3 2 4 4 4" xfId="18731" xr:uid="{57E30B12-79A5-4AD4-AEE6-3B1B8DD75145}"/>
    <cellStyle name="常规 3 2 4 4 4 2" xfId="18732" xr:uid="{83C4D431-362C-4C98-9B5B-CE344A7BB6E6}"/>
    <cellStyle name="常规 3 2 4 4 4 3" xfId="34291" xr:uid="{D1C0DE9A-FF81-4256-9C8E-AF6EE38EF080}"/>
    <cellStyle name="常规 3 2 4 4 5" xfId="18733" xr:uid="{216F6B88-CE53-4E4E-AE45-EF4F7F019DDA}"/>
    <cellStyle name="常规 3 2 4 4 6" xfId="18734" xr:uid="{3B43C187-128C-4B83-B021-6A23975BF195}"/>
    <cellStyle name="常规 3 2 4 4 7" xfId="18735" xr:uid="{600AC3F4-12C5-4198-96D6-555582535D06}"/>
    <cellStyle name="常规 3 2 4 5" xfId="18736" xr:uid="{A8C31B6D-9FC2-40D2-8AA5-5F0397AEEFA6}"/>
    <cellStyle name="常规 3 2 4 5 2" xfId="18737" xr:uid="{6D21AC9E-9813-4303-B904-BE7E1FEE0A6A}"/>
    <cellStyle name="常规 3 2 4 5 3" xfId="18738" xr:uid="{B6C7EA0F-81B2-4ED7-8B0B-DE867DD00DB1}"/>
    <cellStyle name="常规 3 2 4 6" xfId="18739" xr:uid="{2ADB344F-D904-4F51-B391-FF6EA816EECA}"/>
    <cellStyle name="常规 3 2 4 6 2" xfId="18740" xr:uid="{14108601-0802-492F-9233-DFAB1C6033F4}"/>
    <cellStyle name="常规 3 2 4 7" xfId="18741" xr:uid="{63CC912F-7A0B-4E9A-B5C6-4E59AC5FACD7}"/>
    <cellStyle name="常规 3 2 4 7 2" xfId="18742" xr:uid="{E50C366B-89F6-4DB7-AA7D-138D65D2DD0A}"/>
    <cellStyle name="常规 3 2 4 7 3" xfId="34292" xr:uid="{A5331EF0-86E9-4409-99DA-212897CF7CF4}"/>
    <cellStyle name="常规 3 2 4 8" xfId="18743" xr:uid="{D94C8B8E-06CA-4CE1-B244-4D74162CE97B}"/>
    <cellStyle name="常规 3 2 4 8 2" xfId="18744" xr:uid="{5832C9D5-E4B8-4288-B044-879C6E74EB59}"/>
    <cellStyle name="常规 3 2 4 9" xfId="18745" xr:uid="{65CC7B22-0B79-44B8-B417-C7898364FC9A}"/>
    <cellStyle name="常规 3 2 5" xfId="18746" xr:uid="{09F08B87-EBDA-4DA2-BFE1-83DD74CDE63B}"/>
    <cellStyle name="常规 3 2 5 2" xfId="18747" xr:uid="{D76ED51D-6692-4CEB-A9D5-5D02C546292F}"/>
    <cellStyle name="常规 3 2 5 2 2" xfId="18748" xr:uid="{8C41AA24-C0AB-4175-965F-6D64E62B1625}"/>
    <cellStyle name="常规 3 2 5 2 2 2" xfId="18749" xr:uid="{8CEB10A4-A405-4D39-A76C-9DEAB59EF8C9}"/>
    <cellStyle name="常规 3 2 5 2 2 2 2" xfId="18750" xr:uid="{96AB83A6-4AA4-4DA9-BED0-87D4AD3D089E}"/>
    <cellStyle name="常规 3 2 5 2 2 2 2 2" xfId="18751" xr:uid="{E0A751C9-BC6F-4738-B671-FB551E95A955}"/>
    <cellStyle name="常规 3 2 5 2 2 2 3" xfId="18752" xr:uid="{B783BABC-E2D1-4555-998C-4649A46FD6B2}"/>
    <cellStyle name="常规 3 2 5 2 2 2 4" xfId="18753" xr:uid="{C59A32A6-E060-4EDA-BB48-1B3C8914ABA2}"/>
    <cellStyle name="常规 3 2 5 2 2 2 4 2" xfId="34293" xr:uid="{4BDB03A0-205B-4680-B7F8-BF03DB8ACBAA}"/>
    <cellStyle name="常规 3 2 5 2 2 3" xfId="18754" xr:uid="{1328D046-3776-4BBC-900A-07733E74B25D}"/>
    <cellStyle name="常规 3 2 5 2 2 3 2" xfId="18755" xr:uid="{BA437306-E1B5-4492-8F72-A3557EF41864}"/>
    <cellStyle name="常规 3 2 5 2 2 3 2 2" xfId="18756" xr:uid="{55B73B84-E2F5-4823-97E4-6611ECF9E2FD}"/>
    <cellStyle name="常规 3 2 5 2 2 3 3" xfId="18757" xr:uid="{0F863760-CAFB-4829-BE80-C2F3832975C0}"/>
    <cellStyle name="常规 3 2 5 2 2 3 4" xfId="18758" xr:uid="{82A9EFCB-3B18-41D2-90C8-DBFD8D31834C}"/>
    <cellStyle name="常规 3 2 5 2 2 3 4 2" xfId="34294" xr:uid="{77477F0F-4771-4F69-B6BC-B582611D4A36}"/>
    <cellStyle name="常规 3 2 5 2 2 4" xfId="18759" xr:uid="{185E3721-548B-4F45-ADD0-BD3CE9B211B6}"/>
    <cellStyle name="常规 3 2 5 2 2 4 2" xfId="18760" xr:uid="{D3EEBA2C-5427-4E53-889F-1826A50C2FC1}"/>
    <cellStyle name="常规 3 2 5 2 2 5" xfId="18761" xr:uid="{EAF1B857-F039-4E49-B8AD-B883D5D1A198}"/>
    <cellStyle name="常规 3 2 5 2 2 6" xfId="18762" xr:uid="{D4E6199B-F7E9-4230-8A53-705A5B8EBAC6}"/>
    <cellStyle name="常规 3 2 5 2 2 6 2" xfId="34295" xr:uid="{FE893AE2-B7C1-4F88-8626-38A956DAC0CE}"/>
    <cellStyle name="常规 3 2 5 2 3" xfId="18763" xr:uid="{7D298AD8-11AF-4C3E-B503-3CA93414CE6D}"/>
    <cellStyle name="常规 3 2 5 2 3 2" xfId="18764" xr:uid="{70546CFF-2199-4402-8509-515D3BCCDF56}"/>
    <cellStyle name="常规 3 2 5 2 3 2 2" xfId="18765" xr:uid="{735C0254-678E-4784-9732-F96BE0EF740D}"/>
    <cellStyle name="常规 3 2 5 2 3 3" xfId="18766" xr:uid="{B5496998-34F3-4C8D-91D4-20AB6D268F78}"/>
    <cellStyle name="常规 3 2 5 2 3 4" xfId="18767" xr:uid="{44278391-2F11-49FA-B073-209C93D608FE}"/>
    <cellStyle name="常规 3 2 5 2 3 4 2" xfId="34296" xr:uid="{2E67DF44-5F61-4D76-A2C8-233A277AC759}"/>
    <cellStyle name="常规 3 2 5 2 4" xfId="18768" xr:uid="{E3E6DB4C-5CAD-484B-96EF-E2AC9C42D3AE}"/>
    <cellStyle name="常规 3 2 5 2 4 2" xfId="18769" xr:uid="{4B95D637-898C-4608-AF69-1246EF696695}"/>
    <cellStyle name="常规 3 2 5 2 4 2 2" xfId="18770" xr:uid="{C8F3D6CC-6A64-4337-BEBD-1BFC78046869}"/>
    <cellStyle name="常规 3 2 5 2 4 3" xfId="18771" xr:uid="{93E5EAE8-B279-4A4B-83D8-F6E711EC7EF4}"/>
    <cellStyle name="常规 3 2 5 2 4 4" xfId="18772" xr:uid="{292D8A14-3C0C-4C03-B805-7C8D7E6E8240}"/>
    <cellStyle name="常规 3 2 5 2 4 4 2" xfId="34297" xr:uid="{18B06804-DFBD-4BCA-8C13-1D984F87FD42}"/>
    <cellStyle name="常规 3 2 5 2 5" xfId="18773" xr:uid="{C501F646-2A5E-4A08-91AA-9FD6E5D8782C}"/>
    <cellStyle name="常规 3 2 5 2 5 2" xfId="18774" xr:uid="{2A702A80-1538-43DF-8E52-0A259459F940}"/>
    <cellStyle name="常规 3 2 5 2 6" xfId="18775" xr:uid="{21AE25FD-4799-4449-A3F4-D03421EA643B}"/>
    <cellStyle name="常规 3 2 5 2 7" xfId="18776" xr:uid="{E86738B5-DDF0-46EA-9056-8D0E4BADB5FB}"/>
    <cellStyle name="常规 3 2 5 2 7 2" xfId="34298" xr:uid="{74586ED0-62CE-42EA-8632-D782086EA9EA}"/>
    <cellStyle name="常规 3 2 5 3" xfId="18777" xr:uid="{121F55C9-582E-4C98-8499-E7DA334F2693}"/>
    <cellStyle name="常规 3 2 5 3 2" xfId="18778" xr:uid="{7828452F-1D87-427E-8A30-88401563F66E}"/>
    <cellStyle name="常规 3 2 5 3 2 2" xfId="18779" xr:uid="{1BA235FC-CC98-4D53-8A95-A0122B339C60}"/>
    <cellStyle name="常规 3 2 5 3 2 2 2" xfId="18780" xr:uid="{C31856B4-BB54-4E33-964E-76A10349258B}"/>
    <cellStyle name="常规 3 2 5 3 2 3" xfId="18781" xr:uid="{FE736311-2DF2-4E2D-B2E4-DD032F1FC201}"/>
    <cellStyle name="常规 3 2 5 3 2 4" xfId="18782" xr:uid="{9EE5D92B-C358-4190-A105-1EC0445BEA72}"/>
    <cellStyle name="常规 3 2 5 3 2 4 2" xfId="34299" xr:uid="{FBB13127-7BA4-4817-A92F-E16A84063A38}"/>
    <cellStyle name="常规 3 2 5 3 3" xfId="18783" xr:uid="{CDC80EDD-5047-4B4E-A5EE-6C6BF6E9C2AE}"/>
    <cellStyle name="常规 3 2 5 3 3 2" xfId="18784" xr:uid="{728CA763-293A-4ABC-AD8A-4444C25392ED}"/>
    <cellStyle name="常规 3 2 5 3 3 2 2" xfId="18785" xr:uid="{3D2BFF66-17B8-449C-B984-BB0BA71F37D7}"/>
    <cellStyle name="常规 3 2 5 3 3 3" xfId="18786" xr:uid="{3A3A3DC6-D864-49B2-B158-3AD0E7655A71}"/>
    <cellStyle name="常规 3 2 5 3 3 4" xfId="18787" xr:uid="{24323E6C-002B-40C7-A1E2-B5971A064360}"/>
    <cellStyle name="常规 3 2 5 3 3 4 2" xfId="34300" xr:uid="{6380E92A-B2A8-4B16-876F-B56E38F15E4C}"/>
    <cellStyle name="常规 3 2 5 3 4" xfId="18788" xr:uid="{42B85980-472F-4ECD-BBBE-23D2E5A2BA70}"/>
    <cellStyle name="常规 3 2 5 3 4 2" xfId="18789" xr:uid="{42256308-194F-4885-A08E-B4461F497373}"/>
    <cellStyle name="常规 3 2 5 3 5" xfId="18790" xr:uid="{9E1937B5-9B06-49AE-A2A7-2FB49CBB7EE6}"/>
    <cellStyle name="常规 3 2 5 3 6" xfId="18791" xr:uid="{159BBCFC-64CB-4D19-ADF3-59CC339E2B4A}"/>
    <cellStyle name="常规 3 2 5 3 6 2" xfId="34301" xr:uid="{88187081-D1E6-455D-AA70-1836F2E32D72}"/>
    <cellStyle name="常规 3 2 5 4" xfId="18792" xr:uid="{752A6C26-6509-4F02-8DF0-D7E30A546381}"/>
    <cellStyle name="常规 3 2 5 4 2" xfId="18793" xr:uid="{1978FCD7-D3EF-41E0-92DF-17B2385EB2C8}"/>
    <cellStyle name="常规 3 2 5 4 2 2" xfId="18794" xr:uid="{18D5AE2E-DB6B-485E-8E5F-EEF4C19DC92D}"/>
    <cellStyle name="常规 3 2 5 4 3" xfId="18795" xr:uid="{4D6F2DC7-7337-47F0-A871-211A832EA871}"/>
    <cellStyle name="常规 3 2 5 4 4" xfId="18796" xr:uid="{9F7A717B-8F5C-4288-8D94-472148EC84DC}"/>
    <cellStyle name="常规 3 2 5 4 4 2" xfId="34302" xr:uid="{65E28975-CADB-4781-AB03-392073146A27}"/>
    <cellStyle name="常规 3 2 5 5" xfId="18797" xr:uid="{AAD7EC4E-5707-4587-8AED-6F004630A8B4}"/>
    <cellStyle name="常规 3 2 5 5 2" xfId="18798" xr:uid="{D559D70F-F0C3-4787-8FD6-CB320EBF660A}"/>
    <cellStyle name="常规 3 2 5 5 2 2" xfId="18799" xr:uid="{1FA61264-3FB4-48E8-9600-EE01E9EE5ED7}"/>
    <cellStyle name="常规 3 2 5 5 3" xfId="18800" xr:uid="{A1362964-6D43-4525-87E1-8898C8C4D59C}"/>
    <cellStyle name="常规 3 2 5 5 4" xfId="18801" xr:uid="{4D033753-4DFC-44B7-8E92-0D271DA0D781}"/>
    <cellStyle name="常规 3 2 5 5 4 2" xfId="34303" xr:uid="{84533E40-80EE-4155-B4EE-BF48CC1EC281}"/>
    <cellStyle name="常规 3 2 5 6" xfId="18802" xr:uid="{A5167A27-D57E-40C6-B1A5-72804DF201E4}"/>
    <cellStyle name="常规 3 2 5 6 2" xfId="18803" xr:uid="{C8B96714-9A9A-44C3-8942-5EE173DB6C9E}"/>
    <cellStyle name="常规 3 2 5 7" xfId="18804" xr:uid="{29A0184F-6772-463F-84FB-8937F7B652BA}"/>
    <cellStyle name="常规 3 2 5 8" xfId="18805" xr:uid="{6D0642F8-D0B9-4089-B764-D4F831EA4C3E}"/>
    <cellStyle name="常规 3 2 5 8 2" xfId="34304" xr:uid="{2B0E14DD-CB4A-46A7-AD79-3C905C512C4E}"/>
    <cellStyle name="常规 3 2 5 9" xfId="18806" xr:uid="{2ED08EF7-3AD9-4108-B820-8E9A404F818D}"/>
    <cellStyle name="常规 3 2 6" xfId="18807" xr:uid="{9588DCA8-BD6D-494E-B78F-539A812364A2}"/>
    <cellStyle name="常规 3 2 6 10" xfId="18808" xr:uid="{87DE01EB-115F-468F-833A-BF199FE2C043}"/>
    <cellStyle name="常规 3 2 6 2" xfId="18809" xr:uid="{C5E1F2DB-AAB2-44E2-9288-0D02B6D94F3B}"/>
    <cellStyle name="常规 3 2 6 2 2" xfId="18810" xr:uid="{66FB70D3-ACEC-4FC9-989D-069A2BCF3830}"/>
    <cellStyle name="常规 3 2 6 2 2 2" xfId="18811" xr:uid="{43AA6806-9A54-4DF1-8738-474A1E4EA437}"/>
    <cellStyle name="常规 3 2 6 2 2 2 2" xfId="18812" xr:uid="{55EC3BB0-7114-455D-B9D4-576BAF990C3E}"/>
    <cellStyle name="常规 3 2 6 2 2 2 2 2" xfId="18813" xr:uid="{A4ACA3DD-715D-4F68-9403-12AF5900DBB2}"/>
    <cellStyle name="常规 3 2 6 2 2 2 3" xfId="18814" xr:uid="{83DD3979-456C-4F83-BB75-E503FFDADC1F}"/>
    <cellStyle name="常规 3 2 6 2 2 2 4" xfId="18815" xr:uid="{49428BC7-DB1F-4ACD-BCF4-F30C1356E328}"/>
    <cellStyle name="常规 3 2 6 2 2 2 4 2" xfId="34305" xr:uid="{B39D4153-BE76-4A30-808A-D9E21EAADEBE}"/>
    <cellStyle name="常规 3 2 6 2 2 3" xfId="18816" xr:uid="{6A51322A-73ED-401D-8634-012FFB203859}"/>
    <cellStyle name="常规 3 2 6 2 2 3 2" xfId="18817" xr:uid="{500C2F22-36DF-4A38-B238-2C9F723FCDFD}"/>
    <cellStyle name="常规 3 2 6 2 2 4" xfId="18818" xr:uid="{1C40B913-6AD1-4DE9-9D2B-ADFFD6EA2F98}"/>
    <cellStyle name="常规 3 2 6 2 2 5" xfId="18819" xr:uid="{216CA109-41AC-48DF-8C88-F69AB3EF989C}"/>
    <cellStyle name="常规 3 2 6 2 2 5 2" xfId="34306" xr:uid="{E6BF61D2-4E59-4D55-BC22-F1BA415AAB3A}"/>
    <cellStyle name="常规 3 2 6 2 3" xfId="18820" xr:uid="{AD1CD638-A83A-429F-A52D-1E2E214D5AC1}"/>
    <cellStyle name="常规 3 2 6 2 3 2" xfId="18821" xr:uid="{5C7BBB96-478F-445C-BB4B-E9EAF20F6333}"/>
    <cellStyle name="常规 3 2 6 2 3 2 2" xfId="18822" xr:uid="{DF19B6F8-7A43-41B4-AA00-4B78EB7E755A}"/>
    <cellStyle name="常规 3 2 6 2 3 3" xfId="18823" xr:uid="{83F99E32-F570-49A7-853F-687E81DAE909}"/>
    <cellStyle name="常规 3 2 6 2 3 4" xfId="18824" xr:uid="{76F473DF-799D-488F-BF02-3C71E80E0661}"/>
    <cellStyle name="常规 3 2 6 2 3 4 2" xfId="34307" xr:uid="{A18BC01F-A91B-4403-AF88-2718771CE650}"/>
    <cellStyle name="常规 3 2 6 2 4" xfId="18825" xr:uid="{C8AA2408-1A2A-4D9E-81E4-52BDEBD598CA}"/>
    <cellStyle name="常规 3 2 6 2 4 2" xfId="18826" xr:uid="{93C23B69-DC97-4EA2-8BA4-0E7B794DE272}"/>
    <cellStyle name="常规 3 2 6 2 5" xfId="18827" xr:uid="{721AF850-2E9C-44A4-A1DA-9892B9557CD9}"/>
    <cellStyle name="常规 3 2 6 2 6" xfId="18828" xr:uid="{44A0469B-C490-4BBF-9CF3-7FF679B254D3}"/>
    <cellStyle name="常规 3 2 6 2 6 2" xfId="34308" xr:uid="{286472B0-91C6-4BA1-B26C-2CF078095A2A}"/>
    <cellStyle name="常规 3 2 6 3" xfId="18829" xr:uid="{F8FA80A4-27E6-4E98-A83E-11F6F47B970A}"/>
    <cellStyle name="常规 3 2 6 3 2" xfId="18830" xr:uid="{997C452D-49F2-4C30-8DFE-ACF194A17EFF}"/>
    <cellStyle name="常规 3 2 6 3 2 2" xfId="18831" xr:uid="{B0EFC9A2-9F3C-44B2-8BE1-DD52E16C3E34}"/>
    <cellStyle name="常规 3 2 6 3 2 2 2" xfId="18832" xr:uid="{605C1648-1D19-468C-A317-E2CE78ECED46}"/>
    <cellStyle name="常规 3 2 6 3 2 3" xfId="18833" xr:uid="{758A87A8-0807-464A-A6A5-9E9B67CF21E3}"/>
    <cellStyle name="常规 3 2 6 3 2 4" xfId="18834" xr:uid="{FDBAA9E9-B172-407E-93DD-C811EEF8C28F}"/>
    <cellStyle name="常规 3 2 6 3 2 4 2" xfId="34309" xr:uid="{F64ADB9F-00B8-4534-9B0E-CD5DB0570A5F}"/>
    <cellStyle name="常规 3 2 6 3 3" xfId="18835" xr:uid="{EC40765C-F653-46BC-B570-B99C0DA53E67}"/>
    <cellStyle name="常规 3 2 6 3 3 2" xfId="18836" xr:uid="{FAE37B56-D328-477C-8B56-893ED8554591}"/>
    <cellStyle name="常规 3 2 6 3 3 2 2" xfId="18837" xr:uid="{78AC4D4B-3825-488B-9DA2-4AF3FEBA9021}"/>
    <cellStyle name="常规 3 2 6 3 3 3" xfId="18838" xr:uid="{EBFE1A92-4F35-4D95-B042-51E443EE266C}"/>
    <cellStyle name="常规 3 2 6 3 3 4" xfId="18839" xr:uid="{3DA2A8F3-BE8D-4929-A326-F711E2CB734D}"/>
    <cellStyle name="常规 3 2 6 3 3 4 2" xfId="34310" xr:uid="{F31D06CC-4A23-4941-85FD-266C1756D9D8}"/>
    <cellStyle name="常规 3 2 6 3 4" xfId="18840" xr:uid="{EA0AFFBC-0067-4C43-A4BF-17AC50657235}"/>
    <cellStyle name="常规 3 2 6 3 4 2" xfId="18841" xr:uid="{731218E9-659B-46C3-A722-04134A54FA33}"/>
    <cellStyle name="常规 3 2 6 3 5" xfId="18842" xr:uid="{E8907035-6C44-4345-8258-0156548601A9}"/>
    <cellStyle name="常规 3 2 6 3 6" xfId="18843" xr:uid="{D6125EFF-3BDE-41B4-B85D-1320C54F417B}"/>
    <cellStyle name="常规 3 2 6 3 6 2" xfId="34311" xr:uid="{8440463A-8B2B-4A97-AA6E-DB24A00A9CAD}"/>
    <cellStyle name="常规 3 2 6 4" xfId="18844" xr:uid="{61231132-C592-43B1-B926-E5BAC75B9F42}"/>
    <cellStyle name="常规 3 2 6 4 2" xfId="18845" xr:uid="{3098AE1D-FC1D-43B1-B804-2AA202FCA37C}"/>
    <cellStyle name="常规 3 2 6 4 2 2" xfId="18846" xr:uid="{FF435B7A-648C-4D31-80A1-57847EAEEA99}"/>
    <cellStyle name="常规 3 2 6 4 3" xfId="18847" xr:uid="{30653A21-A342-418B-9D5A-3A04D173A930}"/>
    <cellStyle name="常规 3 2 6 4 4" xfId="18848" xr:uid="{FDD74679-736F-45EC-894E-DCB48418CF9B}"/>
    <cellStyle name="常规 3 2 6 4 4 2" xfId="34312" xr:uid="{77C58B07-2F26-49FD-8C35-E57782D0B081}"/>
    <cellStyle name="常规 3 2 6 5" xfId="18849" xr:uid="{0D5DDBD8-D379-4A23-8699-802BF8576EF0}"/>
    <cellStyle name="常规 3 2 6 5 2" xfId="18850" xr:uid="{0AC9F3C1-797C-4C9C-AEA5-D329AEC4D6F6}"/>
    <cellStyle name="常规 3 2 6 5 2 2" xfId="18851" xr:uid="{2AC8B0BE-0DDB-450C-BB11-C35AEC76BACA}"/>
    <cellStyle name="常规 3 2 6 5 3" xfId="18852" xr:uid="{04AA0EF7-151E-429D-BCA5-6A3058DBAC8A}"/>
    <cellStyle name="常规 3 2 6 5 4" xfId="18853" xr:uid="{3976C046-FC61-4037-B375-0C8A9238FD57}"/>
    <cellStyle name="常规 3 2 6 5 4 2" xfId="34313" xr:uid="{DD59EB3B-9B8F-4EDE-9A4F-256F50AD6B8C}"/>
    <cellStyle name="常规 3 2 6 6" xfId="18854" xr:uid="{B5D64AEB-90E8-45D9-B27E-4367CFE98FBA}"/>
    <cellStyle name="常规 3 2 6 6 2" xfId="18855" xr:uid="{FD5C6AB0-516B-40B3-B11C-2D0FA7D937CD}"/>
    <cellStyle name="常规 3 2 6 7" xfId="18856" xr:uid="{58D3E1DF-C463-4AF1-B2FA-89943ED16FF5}"/>
    <cellStyle name="常规 3 2 6 8" xfId="18857" xr:uid="{D626F44A-34DD-4B3E-ADC9-F2284A3895BE}"/>
    <cellStyle name="常规 3 2 6 8 2" xfId="34314" xr:uid="{04441F4E-5732-4AE3-9C20-0D77FAD97B30}"/>
    <cellStyle name="常规 3 2 6 9" xfId="18858" xr:uid="{7BB0964F-7CFC-42E6-8423-CD0D3BAF3A5A}"/>
    <cellStyle name="常规 3 2 7" xfId="18859" xr:uid="{01AF0026-E316-4679-99B9-9CD882045743}"/>
    <cellStyle name="常规 3 2 7 2" xfId="18860" xr:uid="{FCD227E9-E2FE-4B80-A7F2-BCAF31F173D7}"/>
    <cellStyle name="常规 3 2 7 2 2" xfId="18861" xr:uid="{EB9704C0-6A07-4A18-8FB9-32F901EE81C3}"/>
    <cellStyle name="常规 3 2 7 2 2 2" xfId="18862" xr:uid="{27C5D6BB-04D9-4650-BD20-C4F16FE937EA}"/>
    <cellStyle name="常规 3 2 7 2 2 2 2" xfId="18863" xr:uid="{40FB4C37-7F8E-4F8E-B81D-513E837E65F6}"/>
    <cellStyle name="常规 3 2 7 2 2 3" xfId="18864" xr:uid="{1E3A0B37-ED86-4BD5-8DDA-5B18EDF74640}"/>
    <cellStyle name="常规 3 2 7 2 2 4" xfId="18865" xr:uid="{9D331BD9-6ABB-47B5-8EAF-F783C4AFECF9}"/>
    <cellStyle name="常规 3 2 7 2 2 4 2" xfId="34315" xr:uid="{04919D2D-F1D8-4E1C-982E-43428DCDD9E9}"/>
    <cellStyle name="常规 3 2 7 2 3" xfId="18866" xr:uid="{BA3BB3C4-8D52-495F-B790-5A99A4C49EB3}"/>
    <cellStyle name="常规 3 2 7 2 3 2" xfId="18867" xr:uid="{A88DB26C-FB04-4505-9BE4-E24C3B8253C9}"/>
    <cellStyle name="常规 3 2 7 2 3 2 2" xfId="18868" xr:uid="{D08AD0FB-FF13-4C16-A978-79F35E0EA873}"/>
    <cellStyle name="常规 3 2 7 2 3 3" xfId="18869" xr:uid="{D4DAADEB-C99D-463A-8155-9EAD801AD6E4}"/>
    <cellStyle name="常规 3 2 7 2 3 4" xfId="18870" xr:uid="{8FE1DFE9-B2B1-4C43-944B-1C8421C58A47}"/>
    <cellStyle name="常规 3 2 7 2 3 4 2" xfId="34316" xr:uid="{A3ABB4FD-1332-4D97-B376-A3BFE233A918}"/>
    <cellStyle name="常规 3 2 7 2 4" xfId="18871" xr:uid="{8DE09C5A-8A01-4510-9FE2-679A228AF3BF}"/>
    <cellStyle name="常规 3 2 7 2 4 2" xfId="18872" xr:uid="{171BC5E7-7208-4600-BE95-4BF229D9797B}"/>
    <cellStyle name="常规 3 2 7 2 5" xfId="18873" xr:uid="{1C60684D-F075-4962-B86E-F7D953E56499}"/>
    <cellStyle name="常规 3 2 7 2 6" xfId="18874" xr:uid="{9B606DB0-B841-48D7-9696-CFB6FEADBFE4}"/>
    <cellStyle name="常规 3 2 7 2 6 2" xfId="34317" xr:uid="{34ADB0C0-282C-4DD2-AA20-E107DE4EA823}"/>
    <cellStyle name="常规 3 2 7 3" xfId="18875" xr:uid="{AF7B99B3-DFF8-4D9A-928E-697FDD4AEF99}"/>
    <cellStyle name="常规 3 2 7 3 2" xfId="18876" xr:uid="{A7E0FE9B-8DA3-448C-9B15-1EFCBDBD7154}"/>
    <cellStyle name="常规 3 2 7 3 2 2" xfId="18877" xr:uid="{210479DD-81CA-44E3-8465-1851AA75793F}"/>
    <cellStyle name="常规 3 2 7 3 3" xfId="18878" xr:uid="{6E290942-99DC-46A3-8F1B-1D19711E0B88}"/>
    <cellStyle name="常规 3 2 7 3 4" xfId="18879" xr:uid="{D50FC002-377D-4647-A634-9CF645C52495}"/>
    <cellStyle name="常规 3 2 7 3 4 2" xfId="34318" xr:uid="{25C74295-BB4E-4836-8850-F92235E49D32}"/>
    <cellStyle name="常规 3 2 7 4" xfId="18880" xr:uid="{5885D68B-6A6A-45EA-BEC5-6DA02F7F910E}"/>
    <cellStyle name="常规 3 2 7 4 2" xfId="18881" xr:uid="{CDBB8678-6445-48E5-BCDB-72412F5D6508}"/>
    <cellStyle name="常规 3 2 7 4 2 2" xfId="18882" xr:uid="{FC5AC876-89DA-4E84-A7E7-815AFD336296}"/>
    <cellStyle name="常规 3 2 7 4 3" xfId="18883" xr:uid="{FCFD816F-DF3C-4EA8-B036-D66CC075FCB1}"/>
    <cellStyle name="常规 3 2 7 4 4" xfId="18884" xr:uid="{F1C4858B-48BA-48BE-9B09-A074BC5CC8FD}"/>
    <cellStyle name="常规 3 2 7 4 4 2" xfId="34319" xr:uid="{9EA78457-A9D7-43F5-938E-9A2A823D81DF}"/>
    <cellStyle name="常规 3 2 7 5" xfId="18885" xr:uid="{DCD466F9-AF8A-4D92-B8E0-36C57C280FC4}"/>
    <cellStyle name="常规 3 2 7 5 2" xfId="18886" xr:uid="{5287A8DB-1C00-4F9E-8E58-AB5217329BCD}"/>
    <cellStyle name="常规 3 2 7 6" xfId="18887" xr:uid="{A966A793-CF67-45C5-8B13-046BDABE57EB}"/>
    <cellStyle name="常规 3 2 7 7" xfId="18888" xr:uid="{1862F919-18C8-4BC6-89BA-3000469CB221}"/>
    <cellStyle name="常规 3 2 7 7 2" xfId="34320" xr:uid="{21C68EFB-4C1E-4D2E-9738-7B09072858E9}"/>
    <cellStyle name="常规 3 2 7 8" xfId="18889" xr:uid="{911BA214-71FB-47C0-A458-AE4AC9CC85B6}"/>
    <cellStyle name="常规 3 2 8" xfId="18890" xr:uid="{98302410-FDE8-423D-BCEA-5DA648EFADBF}"/>
    <cellStyle name="常规 3 2 8 2" xfId="18891" xr:uid="{A7DA253C-F34E-4B57-9E1F-42F0A7E4A47F}"/>
    <cellStyle name="常规 3 2 8 2 2" xfId="18892" xr:uid="{723352F7-E38F-47D6-A34B-D48E0E8636B6}"/>
    <cellStyle name="常规 3 2 8 2 2 2" xfId="18893" xr:uid="{78C5423B-D7B7-4CD7-BEEA-2420A1D3E44A}"/>
    <cellStyle name="常规 3 2 8 2 3" xfId="18894" xr:uid="{A89A74F6-B4B9-42A7-8287-A509F970EA10}"/>
    <cellStyle name="常规 3 2 8 2 4" xfId="18895" xr:uid="{08D28F8F-07CC-4312-9949-2334B5D044CA}"/>
    <cellStyle name="常规 3 2 8 2 4 2" xfId="34321" xr:uid="{B0C41550-915C-4BCA-BE00-F9456F3A0EF3}"/>
    <cellStyle name="常规 3 2 8 3" xfId="18896" xr:uid="{24F4A46D-2FB3-44A8-BF59-9CB73B1D39EA}"/>
    <cellStyle name="常规 3 2 8 3 2" xfId="18897" xr:uid="{7A530ABA-C821-48B7-8B72-2E48619A1C73}"/>
    <cellStyle name="常规 3 2 8 4" xfId="18898" xr:uid="{41225F87-17DF-48AB-9510-36B2EAA7E980}"/>
    <cellStyle name="常规 3 2 8 4 2" xfId="18899" xr:uid="{6E2E4FA1-4A12-40B0-B41E-185FE47857C7}"/>
    <cellStyle name="常规 3 2 8 5" xfId="18900" xr:uid="{8809C93B-8C8D-4B15-9939-5C39C1F835F2}"/>
    <cellStyle name="常规 3 2 8 6" xfId="18901" xr:uid="{0F38C86B-4014-415E-AF1E-2E20A40581F4}"/>
    <cellStyle name="常规 3 2 8 6 2" xfId="34322" xr:uid="{F3F607DE-89A3-497B-9EBF-C35CF7FC0C1B}"/>
    <cellStyle name="常规 3 2 8 7" xfId="18902" xr:uid="{5B9FB2A7-725A-4C96-BC0F-D6087AD44F11}"/>
    <cellStyle name="常规 3 2 9" xfId="18903" xr:uid="{F0EAC778-3321-41AF-9F7E-E23ECE7D6240}"/>
    <cellStyle name="常规 3 2 9 2" xfId="18904" xr:uid="{CAB28A0C-630A-4C1C-8676-6229E26E67CF}"/>
    <cellStyle name="常规 3 2 9 2 2" xfId="18905" xr:uid="{31A22965-5E22-4133-BBD2-E8BA45307855}"/>
    <cellStyle name="常规 3 2 9 2 2 2" xfId="18906" xr:uid="{349D8991-55E6-4744-B70F-3B825D69A119}"/>
    <cellStyle name="常规 3 2 9 2 3" xfId="18907" xr:uid="{2675498D-A522-47AD-90FC-2A2706D1F0B5}"/>
    <cellStyle name="常规 3 2 9 2 4" xfId="18908" xr:uid="{E3BDA77E-39F3-4CBC-9B6B-181D51258361}"/>
    <cellStyle name="常规 3 2 9 2 4 2" xfId="34323" xr:uid="{41A7C435-2A66-4670-BFC9-B82A4CDE0F03}"/>
    <cellStyle name="常规 3 2 9 3" xfId="18909" xr:uid="{16AB6D39-629C-462F-BC41-AEF75EAF2B3A}"/>
    <cellStyle name="常规 3 2 9 3 2" xfId="18910" xr:uid="{22BDE0F3-3056-4AD7-980C-10768D2AB7F2}"/>
    <cellStyle name="常规 3 2 9 4" xfId="18911" xr:uid="{70221940-A5C9-4215-BE15-14B5ED43EF31}"/>
    <cellStyle name="常规 3 2 9 5" xfId="18912" xr:uid="{8EAA1B17-4067-4AFB-B1FE-4DE5FE296D54}"/>
    <cellStyle name="常规 3 2 9 5 2" xfId="34324" xr:uid="{0C789BE2-15C2-48EA-BF74-284ED5765ECE}"/>
    <cellStyle name="常规 3 3" xfId="18913" xr:uid="{C1537EBE-9EAB-4DCD-8957-935D332E2E25}"/>
    <cellStyle name="常规 3 3 2" xfId="18914" xr:uid="{13D1540A-8802-46D1-8FCD-E3F4DB390556}"/>
    <cellStyle name="常规 3 3 2 2" xfId="18915" xr:uid="{FC16912E-FD5B-44A4-8ABA-3E6F837DB9DA}"/>
    <cellStyle name="常规 3 3 2 2 2" xfId="18916" xr:uid="{21B9091D-90BC-40F6-8902-15F961C1F076}"/>
    <cellStyle name="常规 3 3 2 2 3" xfId="18917" xr:uid="{58B97CC2-3BAC-4361-B74A-D57863BE6ED6}"/>
    <cellStyle name="常规 3 3 2 2 4" xfId="34325" xr:uid="{B78537CC-E670-489A-804D-8D1C0A036C7C}"/>
    <cellStyle name="常规 3 3 2 3" xfId="18918" xr:uid="{B2111FC9-12C8-4D92-8840-F89D77D0855B}"/>
    <cellStyle name="常规 3 3 2 3 2" xfId="18919" xr:uid="{B504B3AD-58C1-43C3-AED8-E7A842A612B6}"/>
    <cellStyle name="常规 3 3 2 4" xfId="18920" xr:uid="{6E94E4D7-6B73-452E-A901-1E59DC2B9F06}"/>
    <cellStyle name="常规 3 3 2 5" xfId="18921" xr:uid="{C10D741F-8F90-40BD-83A9-42CF4EBFF95D}"/>
    <cellStyle name="常规 3 3 2 6" xfId="34326" xr:uid="{BFAE7E48-C2F0-45D4-A8C7-48BF2D83CBC9}"/>
    <cellStyle name="常规 3 3 3" xfId="18922" xr:uid="{3F36B3B4-9224-4C09-83F5-096182920DA3}"/>
    <cellStyle name="常规 3 3 3 2" xfId="18923" xr:uid="{205BA9C8-8F1E-492A-BD62-0FC7BA828DD5}"/>
    <cellStyle name="常规 3 3 3 2 2" xfId="18924" xr:uid="{578C41EE-AE30-4636-B8AA-D48A773D487C}"/>
    <cellStyle name="常规 3 3 3 2 2 2" xfId="18925" xr:uid="{0E37777B-23F3-49E1-BB33-901DC28CBE0F}"/>
    <cellStyle name="常规 3 3 3 2 3" xfId="18926" xr:uid="{7F65C4BE-823C-46B8-92C9-ABE891F7AA59}"/>
    <cellStyle name="常规 3 3 3 2 4" xfId="18927" xr:uid="{A89B262F-8680-4955-81BC-7C7A89B13E17}"/>
    <cellStyle name="常规 3 3 3 2 4 2" xfId="34327" xr:uid="{608C6672-FEF5-4717-A8F3-3A2BB3DB2FD1}"/>
    <cellStyle name="常规 3 3 3 2 5" xfId="18928" xr:uid="{35BCD157-381F-4CFD-A043-1EA5E6AA7658}"/>
    <cellStyle name="常规 3 3 3 3" xfId="18929" xr:uid="{66355EF3-F4A4-40C6-AF3D-F7F7DC1C34A2}"/>
    <cellStyle name="常规 3 3 3 3 2" xfId="18930" xr:uid="{E2E9A8AE-CC0A-41B6-A78E-1AB34239BDDD}"/>
    <cellStyle name="常规 3 3 3 4" xfId="18931" xr:uid="{732F9618-1718-497B-B5B6-F632C1FF3E3F}"/>
    <cellStyle name="常规 3 3 3 5" xfId="18932" xr:uid="{4FA1BA86-A149-461E-880A-4DF86FF6485B}"/>
    <cellStyle name="常规 3 3 3 5 2" xfId="34328" xr:uid="{9CEEB2F3-5382-4EE9-9288-43F9106C8E07}"/>
    <cellStyle name="常规 3 3 3 6" xfId="18933" xr:uid="{A38897C8-4CCA-4BEC-BB3A-7E34F933C990}"/>
    <cellStyle name="常规 3 3 3 7" xfId="18934" xr:uid="{1582264B-58A4-4296-819E-0DE55E611192}"/>
    <cellStyle name="常规 3 3 3 8" xfId="34329" xr:uid="{E4B4A84A-E8ED-4B8F-BCE4-87A33A94DE2E}"/>
    <cellStyle name="常规 3 3 4" xfId="18935" xr:uid="{0ADC2FB2-B29E-4865-A637-131A96B6F873}"/>
    <cellStyle name="常规 3 3 4 2" xfId="18936" xr:uid="{FC62FFD2-0D85-4CC6-8D25-8762FA14D38B}"/>
    <cellStyle name="常规 3 3 5" xfId="18937" xr:uid="{A11A878E-BC45-4986-82B8-D2440B0C9B39}"/>
    <cellStyle name="常规 3 3 6" xfId="18938" xr:uid="{623CD972-6170-4D42-AA13-A3DAA5B48CF5}"/>
    <cellStyle name="常规 3 3 7" xfId="34330" xr:uid="{4B34085C-3939-4764-860E-4A4D290D688F}"/>
    <cellStyle name="常规 3 4" xfId="18939" xr:uid="{5F0951B2-9FFB-41B8-95F1-B9272C0DEED9}"/>
    <cellStyle name="常规 3 4 2" xfId="18940" xr:uid="{74688002-9846-4D88-9B2E-C5EE9A1884D1}"/>
    <cellStyle name="常规 3 4 2 2" xfId="18941" xr:uid="{41EC1637-D111-4A1D-81B2-2EAABF49C78E}"/>
    <cellStyle name="常规 3 4 2 2 2" xfId="18942" xr:uid="{47EF0ED3-32BE-4E32-AAA0-59F5E988295A}"/>
    <cellStyle name="常规 3 4 2 2 3" xfId="34331" xr:uid="{381EA594-140A-4B1D-AEF0-F4169ED87CC5}"/>
    <cellStyle name="常规 3 4 2 3" xfId="18943" xr:uid="{0EA0AB42-93C7-4E52-9751-A5F7BD6007C0}"/>
    <cellStyle name="常规 3 4 2 4" xfId="18944" xr:uid="{8921ACC3-795F-4920-9492-AE3487450695}"/>
    <cellStyle name="常规 3 4 2 5" xfId="18945" xr:uid="{92C4BD70-BBA7-4B42-8C60-79B9C1DAD9B5}"/>
    <cellStyle name="常规 3 4 2 6" xfId="34332" xr:uid="{33688909-B78E-49F1-A56F-BBA353F4C65F}"/>
    <cellStyle name="常规 3 4 3" xfId="18946" xr:uid="{1C8676B3-F717-450C-B8C9-5B1D38363392}"/>
    <cellStyle name="常规 3 4 3 2" xfId="18947" xr:uid="{4A053ACB-F9EF-459F-B203-578EF6197E92}"/>
    <cellStyle name="常规 3 4 3 3" xfId="18948" xr:uid="{45DCC057-3B21-401B-A4EA-65A52D76CF89}"/>
    <cellStyle name="常规 3 4 3 4" xfId="34333" xr:uid="{BEBDA7A5-A45C-4CDF-9C2A-A21B07EE96CB}"/>
    <cellStyle name="常规 3 4 4" xfId="18949" xr:uid="{1CB715B2-37B5-4511-B948-CE1AC5AA6475}"/>
    <cellStyle name="常规 3 4 4 2" xfId="18950" xr:uid="{78E372E3-25DA-4BC0-8943-B774DCF00A10}"/>
    <cellStyle name="常规 3 4 4 3" xfId="18951" xr:uid="{E7538BC9-5F37-4B98-92E8-315BFC9CFBBA}"/>
    <cellStyle name="常规 3 4 5" xfId="18952" xr:uid="{9B8C7BF3-1E28-4E6A-BCAA-C843939AE724}"/>
    <cellStyle name="常规 3 4 6" xfId="34334" xr:uid="{794933B3-D788-47A6-874F-D9C7DFBA9B95}"/>
    <cellStyle name="常规 3 5" xfId="18953" xr:uid="{A454478A-CB0C-45E8-8714-07E888434ADF}"/>
    <cellStyle name="常规 3 5 2" xfId="18954" xr:uid="{30BD4608-63A1-4ED4-9025-1295A21917C9}"/>
    <cellStyle name="常规 3 5 2 2" xfId="18955" xr:uid="{1CBCF0E3-B711-4FF4-AECD-964BE1247FD8}"/>
    <cellStyle name="常规 3 5 2 3" xfId="18956" xr:uid="{A3581B89-8B25-4714-8A99-477ABCD9D1F2}"/>
    <cellStyle name="常规 3 5 3" xfId="18957" xr:uid="{C9BD14EC-967D-4671-8C4E-51DD4167A262}"/>
    <cellStyle name="常规 3 5 3 2" xfId="18958" xr:uid="{1332F85C-A22E-47B9-B39C-0BF1852BA56C}"/>
    <cellStyle name="常规 3 5 4" xfId="18959" xr:uid="{B15A15D7-929E-4431-89F9-81389225D5B2}"/>
    <cellStyle name="常规 3 5 5" xfId="34335" xr:uid="{0D70FD52-98E2-46C2-9FC5-37DC2E9C0F18}"/>
    <cellStyle name="常规 3 6" xfId="18960" xr:uid="{A9057D69-A759-4B46-B91C-3D09A687D2BE}"/>
    <cellStyle name="常规 3 6 10" xfId="18961" xr:uid="{0AD13C35-2BCA-4348-8721-D1A315E33D73}"/>
    <cellStyle name="常规 3 6 11" xfId="18962" xr:uid="{427F1A6D-B753-4639-8C72-4C06DAF24281}"/>
    <cellStyle name="常规 3 6 12" xfId="18963" xr:uid="{C71D96E0-8167-4EB7-A0A9-8B3C292DF72A}"/>
    <cellStyle name="常规 3 6 13" xfId="34336" xr:uid="{18FDED91-B5B8-4C56-BFF4-FC9667F8417F}"/>
    <cellStyle name="常规 3 6 2" xfId="18964" xr:uid="{9CF75110-F7AE-43A0-82EF-769B03859922}"/>
    <cellStyle name="常规 3 6 2 2" xfId="18965" xr:uid="{F871C2B5-B7B3-4DC6-B44B-AA5B96A6BF46}"/>
    <cellStyle name="常规 3 6 2 3" xfId="18966" xr:uid="{704CE4B7-5537-4CF8-85EE-B1BF627BD86E}"/>
    <cellStyle name="常规 3 6 2 3 2" xfId="18967" xr:uid="{C4EF6F3F-57C3-482B-8045-2D4F4D89B041}"/>
    <cellStyle name="常规 3 6 2 3 3" xfId="18968" xr:uid="{A3477021-1487-413A-A7DB-654975AAD5C8}"/>
    <cellStyle name="常规 3 6 2 3 4" xfId="18969" xr:uid="{8F2E0B28-A921-45F1-9D15-CA6D96DC4595}"/>
    <cellStyle name="常规 3 6 2 3 5" xfId="18970" xr:uid="{710AF8C9-A429-4357-935C-9EFD0A12F99D}"/>
    <cellStyle name="常规 3 6 2 3 6" xfId="18971" xr:uid="{985F2751-CC05-460C-9A12-C62470E270AF}"/>
    <cellStyle name="常规 3 6 2 4" xfId="18972" xr:uid="{187DB33A-1F1F-4384-B743-1A3BF08AF68C}"/>
    <cellStyle name="常规 3 6 2 5" xfId="18973" xr:uid="{1937EB17-B27D-48A9-B13E-52E8B9878391}"/>
    <cellStyle name="常规 3 6 2 6" xfId="18974" xr:uid="{3DFDCBF8-61CF-4500-ACF6-64F8814ED4FC}"/>
    <cellStyle name="常规 3 6 2 7" xfId="18975" xr:uid="{2C3B2279-086C-4264-BDE0-7DE4D7AB825A}"/>
    <cellStyle name="常规 3 6 2 8" xfId="18976" xr:uid="{400DC243-45D8-4076-8FCF-7671A650BD72}"/>
    <cellStyle name="常规 3 6 2 9" xfId="18977" xr:uid="{334B2FB5-842A-491C-8E56-BED56B09A688}"/>
    <cellStyle name="常规 3 6 3" xfId="18978" xr:uid="{504C7272-5547-4C4B-8F17-B7D30083945F}"/>
    <cellStyle name="常规 3 6 3 2" xfId="18979" xr:uid="{491CB0E7-2173-478F-93C0-0BB9234F4492}"/>
    <cellStyle name="常规 3 6 3 2 2" xfId="18980" xr:uid="{D11190AE-A915-4988-81D6-F8A164B25DD8}"/>
    <cellStyle name="常规 3 6 3 2 3" xfId="18981" xr:uid="{F012DE43-6D3D-482E-AD60-FE971BA6B9B2}"/>
    <cellStyle name="常规 3 6 3 2 4" xfId="18982" xr:uid="{F9082F67-2915-439E-AFA8-6155740C7D26}"/>
    <cellStyle name="常规 3 6 3 2 5" xfId="18983" xr:uid="{8A91D4BB-0F04-481B-9769-5DCEE2CD2D34}"/>
    <cellStyle name="常规 3 6 3 2 6" xfId="18984" xr:uid="{44AB478E-75AD-4411-842D-F492C3366C69}"/>
    <cellStyle name="常规 3 6 3 3" xfId="18985" xr:uid="{46510E16-9DFC-4CF5-9DB1-6D5EE41ECFCD}"/>
    <cellStyle name="常规 3 6 3 4" xfId="18986" xr:uid="{B17B9EAD-E219-4473-8CE9-DC719625CEC2}"/>
    <cellStyle name="常规 3 6 3 5" xfId="18987" xr:uid="{C1015125-E84E-4A52-9990-BC4F9C8AFF0B}"/>
    <cellStyle name="常规 3 6 3 6" xfId="18988" xr:uid="{62F28090-F62C-4E41-B510-5E9D025BF60B}"/>
    <cellStyle name="常规 3 6 3 7" xfId="18989" xr:uid="{3E289888-A2C5-4162-BC46-258ABAF6AD2D}"/>
    <cellStyle name="常规 3 6 3 8" xfId="18990" xr:uid="{E7C577E0-B4F6-4243-9228-99629D3E4815}"/>
    <cellStyle name="常规 3 6 4" xfId="18991" xr:uid="{ADFEB03B-7873-4A54-BC2E-3FE37A4D2F1E}"/>
    <cellStyle name="常规 3 6 4 2" xfId="18992" xr:uid="{B2F0E165-980B-43E4-81CA-C8FB78FB58A7}"/>
    <cellStyle name="常规 3 6 4 3" xfId="18993" xr:uid="{7A8395A4-0A70-4791-A724-2EDFB37AAB40}"/>
    <cellStyle name="常规 3 6 4 4" xfId="18994" xr:uid="{6622C6CF-A300-44C7-9F6B-E9A2B1ECCC1A}"/>
    <cellStyle name="常规 3 6 4 5" xfId="18995" xr:uid="{83151890-B593-4914-BA5B-46BA1F25825E}"/>
    <cellStyle name="常规 3 6 4 6" xfId="18996" xr:uid="{B4E4C3A1-BE1F-44BF-A894-98E4ADB61165}"/>
    <cellStyle name="常规 3 6 5" xfId="18997" xr:uid="{394F8BE9-1022-457B-BB27-CCE801D68786}"/>
    <cellStyle name="常规 3 6 6" xfId="18998" xr:uid="{2344ED04-E76D-483C-AC90-E430BE7D3C9C}"/>
    <cellStyle name="常规 3 6 7" xfId="18999" xr:uid="{57B01482-2CB0-41B7-9288-E8FF847471E7}"/>
    <cellStyle name="常规 3 6 8" xfId="19000" xr:uid="{1ED8D6EF-14AC-41B8-BE59-384B98DEE4DA}"/>
    <cellStyle name="常规 3 6 9" xfId="19001" xr:uid="{6C2FA55D-F45B-4448-B31C-F75AB511BD84}"/>
    <cellStyle name="常规 3 7" xfId="19002" xr:uid="{8797C023-1013-459F-BDA7-9BC651177239}"/>
    <cellStyle name="常规 3 7 2" xfId="19003" xr:uid="{17B2B606-5FA9-4A46-991F-EAAC1F3BF2AC}"/>
    <cellStyle name="常规 3 8" xfId="19004" xr:uid="{8587BE9E-31FB-48EA-86EC-67A945C5C32A}"/>
    <cellStyle name="常规 3 8 2" xfId="19005" xr:uid="{1ABB2067-5DEF-4D94-9097-1BB72F872C55}"/>
    <cellStyle name="常规 3 9" xfId="19006" xr:uid="{79340AC3-674F-415A-844E-C37A587A0973}"/>
    <cellStyle name="常规 3 9 2" xfId="19007" xr:uid="{A879BA06-20F2-4CE3-B6BB-9FDD494F1F9A}"/>
    <cellStyle name="常规 30" xfId="19008" xr:uid="{AEDD4410-3749-4C48-9528-491808F472D6}"/>
    <cellStyle name="常规 30 2" xfId="19009" xr:uid="{951A9122-2AA1-4EE3-9756-9235A1863B31}"/>
    <cellStyle name="常规 30 2 2" xfId="19010" xr:uid="{11CEDBD1-A54E-470C-930A-C097C47CE1C3}"/>
    <cellStyle name="常规 30 2 2 2" xfId="19011" xr:uid="{2BA12F9A-ECD1-4185-92FE-5A56E293CDCD}"/>
    <cellStyle name="常规 30 2 2 2 2" xfId="19012" xr:uid="{3FD72C47-8D3C-4A93-BDC3-302A852B48EC}"/>
    <cellStyle name="常规 30 2 2 2 2 2" xfId="19013" xr:uid="{97B32598-140F-41A4-861F-85ABA813D338}"/>
    <cellStyle name="常规 30 2 2 2 3" xfId="19014" xr:uid="{810961D2-31B9-4EF8-AB85-C8093A00FFF9}"/>
    <cellStyle name="常规 30 2 2 2 4" xfId="19015" xr:uid="{7567A5D7-D183-4AD4-B5AD-004EC001B90A}"/>
    <cellStyle name="常规 30 2 2 2 4 2" xfId="34337" xr:uid="{304D05B8-D093-4E9D-826C-ECAA7CAD9512}"/>
    <cellStyle name="常规 30 2 2 3" xfId="19016" xr:uid="{A12F6E39-E06C-4992-AA59-98CD007A159C}"/>
    <cellStyle name="常规 30 2 2 3 2" xfId="19017" xr:uid="{6DA4FF0D-F2B2-4EA4-B9D3-18FC6C49C4A8}"/>
    <cellStyle name="常规 30 2 2 4" xfId="19018" xr:uid="{D454C3B3-720F-4CEE-A0C7-75A17E2573AA}"/>
    <cellStyle name="常规 30 2 2 5" xfId="19019" xr:uid="{F595E8F0-9F3D-435E-9238-B94F986E0047}"/>
    <cellStyle name="常规 30 2 2 5 2" xfId="34338" xr:uid="{1C65B799-626F-4720-B078-DA7CE0C51FC9}"/>
    <cellStyle name="常规 30 2 3" xfId="19020" xr:uid="{33111C1E-D9AC-4C13-A75B-2DBA2F2D5A34}"/>
    <cellStyle name="常规 30 2 3 2" xfId="19021" xr:uid="{16D5C8CB-5693-4061-8BF9-4CD3839A21BD}"/>
    <cellStyle name="常规 30 2 3 2 2" xfId="19022" xr:uid="{4897A05F-79F0-42C0-B14B-614BF5E23AA4}"/>
    <cellStyle name="常规 30 2 3 3" xfId="19023" xr:uid="{D7515EBA-CBF7-4E57-AB54-28E7D7378BD6}"/>
    <cellStyle name="常规 30 2 3 4" xfId="19024" xr:uid="{449D37A8-1BF5-4B3F-AD16-E1433A6E1D7E}"/>
    <cellStyle name="常规 30 2 3 4 2" xfId="34339" xr:uid="{B1F901ED-D718-4861-803F-0C3AD7F6F064}"/>
    <cellStyle name="常规 30 2 4" xfId="19025" xr:uid="{26D49375-5B05-47DA-99F5-1628F9D73743}"/>
    <cellStyle name="常规 30 2 4 2" xfId="19026" xr:uid="{AA83A54F-4DF9-415D-9EEF-CA337E0196ED}"/>
    <cellStyle name="常规 30 2 5" xfId="19027" xr:uid="{5893F207-3FAA-4948-AAD7-ABBD595D5684}"/>
    <cellStyle name="常规 30 2 6" xfId="19028" xr:uid="{B881C24A-43C6-444D-8D4B-4AD2F238A556}"/>
    <cellStyle name="常规 30 2 6 2" xfId="34340" xr:uid="{17B9AC78-1E46-4F57-986E-F29B14F828CE}"/>
    <cellStyle name="常规 30 3" xfId="19029" xr:uid="{8A00091A-50E0-4DD0-9358-A7C8B0F6E6E6}"/>
    <cellStyle name="常规 30 3 2" xfId="19030" xr:uid="{D0C6F0E0-0B46-435C-B416-E8B7F1717841}"/>
    <cellStyle name="常规 30 3 2 2" xfId="19031" xr:uid="{DB9006C5-79F0-47CD-BE1C-459A4C348A35}"/>
    <cellStyle name="常规 30 3 2 2 2" xfId="19032" xr:uid="{9FA36758-9523-4FCF-BD96-F73DA1B2AB0F}"/>
    <cellStyle name="常规 30 3 2 3" xfId="19033" xr:uid="{CEAB9479-79F8-468C-9263-A41888D4B258}"/>
    <cellStyle name="常规 30 3 2 4" xfId="19034" xr:uid="{52D3A8F2-37B9-4BA8-AB9C-B4CC7E164912}"/>
    <cellStyle name="常规 30 3 2 4 2" xfId="34341" xr:uid="{09C16B9D-570A-47B3-8365-1E03D161FD3E}"/>
    <cellStyle name="常规 30 3 3" xfId="19035" xr:uid="{44ABFAC7-EF17-4119-8B01-B542398C26E8}"/>
    <cellStyle name="常规 30 3 3 2" xfId="19036" xr:uid="{CA06106D-5732-4392-AA24-0D7D7F2EDD1C}"/>
    <cellStyle name="常规 30 3 4" xfId="19037" xr:uid="{D0B31B64-7F35-4241-BE9F-C21F9B72117D}"/>
    <cellStyle name="常规 30 3 5" xfId="19038" xr:uid="{EE1D1D7C-7B35-4BA8-95C9-34E29758A7FA}"/>
    <cellStyle name="常规 30 3 5 2" xfId="34342" xr:uid="{84CEB232-B093-4695-A0BB-B92714F684C1}"/>
    <cellStyle name="常规 30 4" xfId="19039" xr:uid="{4078AB64-A82D-45D9-AFA2-C99ECF596540}"/>
    <cellStyle name="常规 30 4 2" xfId="19040" xr:uid="{B466CFBC-FCED-4B91-8B71-DEE09704DA4F}"/>
    <cellStyle name="常规 30 4 2 2" xfId="19041" xr:uid="{BE8CCD7A-69C9-4DF9-8467-E848F204DA76}"/>
    <cellStyle name="常规 30 4 3" xfId="19042" xr:uid="{E7BC0FE7-318B-46AE-8F6B-2B0060863470}"/>
    <cellStyle name="常规 30 4 4" xfId="19043" xr:uid="{D7F86907-B332-48A7-A76F-E6798F616C87}"/>
    <cellStyle name="常规 30 4 4 2" xfId="34343" xr:uid="{D75A1AE6-9C7B-4FC0-9192-4D20331DFFB3}"/>
    <cellStyle name="常规 30 5" xfId="19044" xr:uid="{F9947580-84F6-4966-B8D0-C502E630F703}"/>
    <cellStyle name="常规 30 5 2" xfId="19045" xr:uid="{E0E69DB4-C181-470B-BDBB-36443E25CC09}"/>
    <cellStyle name="常规 30 6" xfId="19046" xr:uid="{8523F0AA-617D-4247-8BED-7B2559475209}"/>
    <cellStyle name="常规 30 7" xfId="19047" xr:uid="{FC9838D4-04B5-4510-828F-8C31AD86FB62}"/>
    <cellStyle name="常规 30 7 2" xfId="34344" xr:uid="{1743885F-4EAC-4966-AA34-831E1983A9ED}"/>
    <cellStyle name="常规 30 8" xfId="19048" xr:uid="{14CE64EB-CD15-4F3B-8829-96BB7E505237}"/>
    <cellStyle name="常规 31" xfId="19049" xr:uid="{79DE4BB4-8F7F-4A17-A9D4-5976D545E4B6}"/>
    <cellStyle name="常规 31 2" xfId="19050" xr:uid="{390FFE78-2B4C-4218-8FC4-C0D8B78C9ECE}"/>
    <cellStyle name="常规 31 3" xfId="19051" xr:uid="{DB4EED70-1629-42CE-BED5-3B85472632BD}"/>
    <cellStyle name="常规 32" xfId="19052" xr:uid="{608B29A1-3BDD-4267-8237-875566F5D8B2}"/>
    <cellStyle name="常规 32 2" xfId="19053" xr:uid="{EAB5DD4A-E654-4A5E-8411-6321AA17AE4D}"/>
    <cellStyle name="常规 32 2 2" xfId="19054" xr:uid="{89C7CE98-6372-450C-A1ED-356339726CC0}"/>
    <cellStyle name="常规 32 2 2 2" xfId="19055" xr:uid="{7DDB5C51-C011-495F-8A1D-7D050351EDE4}"/>
    <cellStyle name="常规 32 2 2 2 2" xfId="19056" xr:uid="{2D4DF5E5-4F68-4AFE-B13A-9329E6704F50}"/>
    <cellStyle name="常规 32 2 2 3" xfId="19057" xr:uid="{1DD8F0AB-8672-4DE9-B4B1-B94F078BB405}"/>
    <cellStyle name="常规 32 2 2 4" xfId="19058" xr:uid="{8894BB70-D0FD-4496-AEA0-26CEB65D18D9}"/>
    <cellStyle name="常规 32 2 2 4 2" xfId="34345" xr:uid="{41373BE6-A9E5-4988-9338-577266DDB7E4}"/>
    <cellStyle name="常规 32 2 3" xfId="19059" xr:uid="{5695E8F5-A925-47A6-96DF-F89A186A75E4}"/>
    <cellStyle name="常规 32 2 3 2" xfId="19060" xr:uid="{E43A272B-BFFE-4DC9-8E44-5E1566B2A319}"/>
    <cellStyle name="常规 32 2 4" xfId="19061" xr:uid="{D4797682-5C6B-4B0E-B432-354312E10615}"/>
    <cellStyle name="常规 32 2 5" xfId="19062" xr:uid="{FF62E64A-8D78-46B0-8E7C-1DF36FF349F7}"/>
    <cellStyle name="常规 32 2 5 2" xfId="34346" xr:uid="{5D0E00E0-AB5C-4387-9B82-0051DB27A098}"/>
    <cellStyle name="常规 32 2 6" xfId="19063" xr:uid="{9778941C-AB38-4DC3-AB1F-AE8873A67879}"/>
    <cellStyle name="常规 32 3" xfId="19064" xr:uid="{5F92EE08-903B-4E72-9B68-C812605D2205}"/>
    <cellStyle name="常规 32 3 2" xfId="19065" xr:uid="{9BC477BC-3696-45B9-BA94-31E419B9CF50}"/>
    <cellStyle name="常规 32 3 2 2" xfId="19066" xr:uid="{DDD35326-AD14-4E51-A872-70538E440347}"/>
    <cellStyle name="常规 32 3 2 3" xfId="19067" xr:uid="{ABA3531A-14B3-4EF9-84AC-171F67F43D54}"/>
    <cellStyle name="常规 32 3 3" xfId="19068" xr:uid="{55F4E177-6E29-4FD5-907F-BA967430AD3D}"/>
    <cellStyle name="常规 32 3 3 2" xfId="19069" xr:uid="{9213F6BE-7C74-4FE0-AB47-119983AC5C09}"/>
    <cellStyle name="常规 32 3 4" xfId="19070" xr:uid="{A902B778-EB79-4584-85CF-D2F8A079C227}"/>
    <cellStyle name="常规 32 3 4 2" xfId="19071" xr:uid="{728577C4-B435-4424-B1ED-1B9C960B1E06}"/>
    <cellStyle name="常规 32 3 4 3" xfId="34347" xr:uid="{7551E5DC-7ABF-44E2-A755-8FE8DA5968C7}"/>
    <cellStyle name="常规 32 3 5" xfId="19072" xr:uid="{E9FA9D74-2B44-4224-8BAD-BCEB84F7E9A7}"/>
    <cellStyle name="常规 32 3 6" xfId="19073" xr:uid="{F2E27B02-08FA-43B1-AB31-8D6C0D8885EB}"/>
    <cellStyle name="常规 32 3 7" xfId="19074" xr:uid="{AE3CA717-E7C4-4034-A59C-0473CF72A18F}"/>
    <cellStyle name="常规 32 4" xfId="19075" xr:uid="{EF55D7FE-121F-48B2-BBEE-10F32AEDF3A5}"/>
    <cellStyle name="常规 32 4 2" xfId="19076" xr:uid="{6E83AA99-45F0-414C-8A33-2AE98E114918}"/>
    <cellStyle name="常规 32 4 3" xfId="19077" xr:uid="{09FE0812-4A73-4224-8DCF-45B483BF7A00}"/>
    <cellStyle name="常规 32 5" xfId="19078" xr:uid="{DDC4137F-B855-47FE-A278-935D9D3C4B6B}"/>
    <cellStyle name="常规 32 5 2" xfId="19079" xr:uid="{8E2D03FF-4546-4B91-B5A0-DD10CEE16F7F}"/>
    <cellStyle name="常规 32 6" xfId="19080" xr:uid="{EF558562-7756-442B-9502-D2352FCC3162}"/>
    <cellStyle name="常规 32 6 2" xfId="19081" xr:uid="{864C6A8F-FC8A-4FEF-B9E5-82BF23B94172}"/>
    <cellStyle name="常规 32 6 3" xfId="34348" xr:uid="{3FD466A2-6EBE-4911-92EF-2E640D995B15}"/>
    <cellStyle name="常规 32 7" xfId="19082" xr:uid="{52965A0F-5BC0-41D4-95B3-1EF0537023D0}"/>
    <cellStyle name="常规 32 8" xfId="19083" xr:uid="{8EDA1692-7EF7-48C6-9978-2C99DB5C7BFD}"/>
    <cellStyle name="常规 32 9" xfId="19084" xr:uid="{23DD6FA3-E792-4400-A919-EC40FFA28559}"/>
    <cellStyle name="常规 33" xfId="19085" xr:uid="{1EB56C17-188A-4450-A338-98524E9AD604}"/>
    <cellStyle name="常规 33 2" xfId="19086" xr:uid="{49CA9712-3425-4888-AC4C-93D73CB8EFC1}"/>
    <cellStyle name="常规 33 2 2" xfId="19087" xr:uid="{7D2FFC37-9886-4522-829E-79CE911668B2}"/>
    <cellStyle name="常规 33 2 2 2" xfId="19088" xr:uid="{2D36B45D-0BCC-48D3-BFF6-A6AB5554E039}"/>
    <cellStyle name="常规 33 2 3" xfId="19089" xr:uid="{D858FA6B-985C-49D7-A201-37027A18A989}"/>
    <cellStyle name="常规 33 2 4" xfId="19090" xr:uid="{264D2057-8D74-4535-92BD-4F7FEF8EED32}"/>
    <cellStyle name="常规 33 2 4 2" xfId="34349" xr:uid="{AB1D622B-AA5F-467E-B85A-27B67C395532}"/>
    <cellStyle name="常规 33 3" xfId="19091" xr:uid="{30ABE3AC-E035-419C-BB6D-BC0A24BCE9C5}"/>
    <cellStyle name="常规 33 3 2" xfId="19092" xr:uid="{5174F5DA-26FA-4D42-B307-6E1C08D07CCD}"/>
    <cellStyle name="常规 33 4" xfId="19093" xr:uid="{AEF16510-AC7F-45BB-861B-0B72221BFA49}"/>
    <cellStyle name="常规 33 5" xfId="19094" xr:uid="{7697EB21-0A99-4D75-A3C8-33AAC332C124}"/>
    <cellStyle name="常规 33 5 2" xfId="34350" xr:uid="{F1771159-5474-4908-AD4A-7038A2A05579}"/>
    <cellStyle name="常规 33 6" xfId="19095" xr:uid="{F044C2F1-1F4B-4788-BA53-3F7A3BF58FE6}"/>
    <cellStyle name="常规 34" xfId="19096" xr:uid="{3BEBBF2D-E11E-48EA-827A-BE6579B78DE4}"/>
    <cellStyle name="常规 34 2" xfId="19097" xr:uid="{356EE0BD-8236-453C-9EF0-E97E1C5C6B3C}"/>
    <cellStyle name="常规 35" xfId="19098" xr:uid="{BAE231CC-3A1C-4E4E-8FB3-724208644D21}"/>
    <cellStyle name="常规 35 2" xfId="19099" xr:uid="{D3FA6000-0582-46D7-B17F-CB7E1683DADE}"/>
    <cellStyle name="常规 35 3" xfId="19100" xr:uid="{5AC0FC31-B3D5-4037-9B8D-50C44F02F463}"/>
    <cellStyle name="常规 36" xfId="19101" xr:uid="{77A3AEA7-AA5E-44D6-A488-372E2DE22954}"/>
    <cellStyle name="常规 36 2" xfId="19102" xr:uid="{B3FD3CED-96F0-419E-9594-E2901C9B9E9A}"/>
    <cellStyle name="常规 36 2 2" xfId="19103" xr:uid="{70CAFB98-E37D-4E89-8AA6-B0EA77212398}"/>
    <cellStyle name="常规 36 2 2 2" xfId="19104" xr:uid="{C2FCF133-22DA-44AC-8882-9679521622EF}"/>
    <cellStyle name="常规 36 2 3" xfId="19105" xr:uid="{B340344A-0BD0-4654-BDB3-CC61F4680E73}"/>
    <cellStyle name="常规 36 2 4" xfId="19106" xr:uid="{3280C9CE-61EA-4BA9-85F5-443E3A7B1441}"/>
    <cellStyle name="常规 36 2 4 2" xfId="34351" xr:uid="{10A07AC9-6DA9-48B2-965F-B4918D054F09}"/>
    <cellStyle name="常规 36 3" xfId="19107" xr:uid="{275933A9-F350-4794-ABC5-4E206C660096}"/>
    <cellStyle name="常规 36 3 2" xfId="19108" xr:uid="{84C1DCB2-97AF-42DD-8B66-F9AAE5B7501C}"/>
    <cellStyle name="常规 36 4" xfId="19109" xr:uid="{2A4F82B0-9DB7-4769-8060-616A55A1FC9E}"/>
    <cellStyle name="常规 36 5" xfId="19110" xr:uid="{7A564420-066E-4652-A88B-8D72E0BFBEBB}"/>
    <cellStyle name="常规 36 5 2" xfId="34352" xr:uid="{B92FBC2C-0438-4571-AC87-6E1355BB454C}"/>
    <cellStyle name="常规 37" xfId="19111" xr:uid="{D9A43BCC-4F9C-4522-916E-199AD695BAB4}"/>
    <cellStyle name="常规 37 2" xfId="19112" xr:uid="{F1E6A6BA-2180-4B22-B612-3EC28867E188}"/>
    <cellStyle name="常规 37 3" xfId="19113" xr:uid="{37721E00-E1C8-444A-99CC-B529DB1EE155}"/>
    <cellStyle name="常规 37 4" xfId="19114" xr:uid="{A8A7883B-6752-429D-9A06-2FCE3D4C9027}"/>
    <cellStyle name="常规 37 5" xfId="19115" xr:uid="{B610A65E-4D98-49A3-ACD6-05883E901BBA}"/>
    <cellStyle name="常规 38" xfId="19116" xr:uid="{6DD841CC-6779-4DA7-AF23-F96437962CC7}"/>
    <cellStyle name="常规 38 2" xfId="19117" xr:uid="{C5EEAF86-65FE-4BCD-B920-282F8A066F86}"/>
    <cellStyle name="常规 38 3" xfId="19118" xr:uid="{867B2C9D-1D6E-414F-A9E0-3241B1211EDD}"/>
    <cellStyle name="常规 38 4" xfId="19119" xr:uid="{4CDDB15D-4D15-4C04-9F50-945AFA80D902}"/>
    <cellStyle name="常规 38 5" xfId="19120" xr:uid="{82F80ABF-B2B6-4FDD-A7A4-6447B019B5DA}"/>
    <cellStyle name="常规 39" xfId="19121" xr:uid="{EC0C2099-9654-49A9-899F-7737B9128478}"/>
    <cellStyle name="常规 39 2" xfId="19122" xr:uid="{2C3B5225-BC7F-4372-BF3F-BA883324EB36}"/>
    <cellStyle name="常规 39 3" xfId="19123" xr:uid="{79F0AF98-7024-43C8-BBCA-F6D6261EBF65}"/>
    <cellStyle name="常规 39 4" xfId="19124" xr:uid="{06A23E58-955A-461D-83EE-1D69B53F0874}"/>
    <cellStyle name="常规 39 5" xfId="19125" xr:uid="{F1D7F100-41D5-4222-9B47-98FE7BACF3BB}"/>
    <cellStyle name="常规 4" xfId="19126" xr:uid="{352FED56-3878-4454-BE7F-C5357747B4BD}"/>
    <cellStyle name="常规 4 10" xfId="19127" xr:uid="{2191284C-02E9-4D37-9D49-B7CE1415287F}"/>
    <cellStyle name="常规 4 10 2" xfId="19128" xr:uid="{C820F46C-527F-43F6-8059-BF8C3E1F0071}"/>
    <cellStyle name="常规 4 11" xfId="19129" xr:uid="{EA2BF29D-8A10-4E3D-8FF9-0D71F13A8144}"/>
    <cellStyle name="常规 4 11 2" xfId="19130" xr:uid="{4B2C5169-A1BF-4186-88CC-8E3DE04EE6B7}"/>
    <cellStyle name="常规 4 11 3" xfId="19131" xr:uid="{E78EFF80-B71E-4E7D-860D-DDD9C51FE5E4}"/>
    <cellStyle name="常规 4 12" xfId="19132" xr:uid="{BCCF094E-6C0E-428C-A7C4-605D701D685C}"/>
    <cellStyle name="常规 4 12 2" xfId="19133" xr:uid="{74733DD6-CAD2-4AFA-AD20-0AAA3F65D797}"/>
    <cellStyle name="常规 4 12 2 2" xfId="19134" xr:uid="{AC9D4EFE-2B9D-4331-AE63-21073430F531}"/>
    <cellStyle name="常规 4 12 2 3" xfId="32838" xr:uid="{62679DAD-4606-47F7-B737-DB49690095F5}"/>
    <cellStyle name="常规 4 12 3" xfId="19135" xr:uid="{FB64F86B-99F5-4B0F-818E-15EC8E9A1657}"/>
    <cellStyle name="常规 4 12 4" xfId="19136" xr:uid="{4876B0AF-B729-434F-A60C-5C73E79EBE14}"/>
    <cellStyle name="常规 4 12 4 2" xfId="34353" xr:uid="{3D44BDCD-4156-40F1-B1D2-AD3AFDCAE7EC}"/>
    <cellStyle name="常规 4 12 5" xfId="19137" xr:uid="{504A8CB2-473F-475B-A28F-607E528364ED}"/>
    <cellStyle name="常规 4 13" xfId="19138" xr:uid="{D6E1AA5D-F280-4A9B-BD91-39E4A1BF9948}"/>
    <cellStyle name="常规 4 13 2" xfId="19139" xr:uid="{12DC4A4D-BD32-4A18-A55F-B4EF62A5139C}"/>
    <cellStyle name="常规 4 13 2 2" xfId="19140" xr:uid="{05166E4C-402C-45D7-9893-C17411FE1B93}"/>
    <cellStyle name="常规 4 13 3" xfId="19141" xr:uid="{8EE2CE92-8B79-4FD4-8C39-23E4D974A276}"/>
    <cellStyle name="常规 4 13 4" xfId="19142" xr:uid="{463F5269-0E20-4A11-9FDE-CD8ACFE2BB34}"/>
    <cellStyle name="常规 4 13 4 2" xfId="34354" xr:uid="{4C2B4ABB-0608-4C6D-AC7C-7D7DBAF079D0}"/>
    <cellStyle name="常规 4 13 5" xfId="19143" xr:uid="{6DA73629-8069-4F41-80AA-5246167E9FCA}"/>
    <cellStyle name="常规 4 14" xfId="19144" xr:uid="{6086AC39-A74D-409E-A836-2EFEC0455ED9}"/>
    <cellStyle name="常规 4 14 2" xfId="19145" xr:uid="{80604F70-5C9B-4DD5-9905-D4B75B9D6F3C}"/>
    <cellStyle name="常规 4 15" xfId="19146" xr:uid="{004C30F0-36EB-48D3-85BD-77277006E683}"/>
    <cellStyle name="常规 4 16" xfId="19147" xr:uid="{B99392BC-9A7D-4126-B71D-98B0E9076A6E}"/>
    <cellStyle name="常规 4 17" xfId="19148" xr:uid="{74F63A9C-3850-4F6E-8A7E-06C961FE541A}"/>
    <cellStyle name="常规 4 18" xfId="34355" xr:uid="{D02A3ECA-0219-452A-B0B1-FE44CC0200B0}"/>
    <cellStyle name="常规 4 2" xfId="19149" xr:uid="{5723D765-4CF2-4370-9C85-0217A3E799BF}"/>
    <cellStyle name="常规 4 2 10" xfId="19150" xr:uid="{3C787BD8-0A85-44CB-B06F-0860BA905000}"/>
    <cellStyle name="常规 4 2 10 2" xfId="19151" xr:uid="{DFDB8E3E-F9B1-41E4-8DD5-8CB22F69B2AA}"/>
    <cellStyle name="常规 4 2 10 3" xfId="19152" xr:uid="{06E2A3F6-70A1-42FA-BDBB-B65FC8E4AC8F}"/>
    <cellStyle name="常规 4 2 10 4" xfId="19153" xr:uid="{0B3F8C22-75F5-4503-B71B-8FFD2747412B}"/>
    <cellStyle name="常规 4 2 10 5" xfId="19154" xr:uid="{EB12D3C3-C51D-4E5E-BBF5-3009A4AE23FB}"/>
    <cellStyle name="常规 4 2 10 6" xfId="19155" xr:uid="{01F8D1DD-E0C7-4506-B47C-04AEA39AD1DE}"/>
    <cellStyle name="常规 4 2 10 7" xfId="19156" xr:uid="{7CECE545-EF43-46C3-B67C-88E1B8997868}"/>
    <cellStyle name="常规 4 2 10 8" xfId="34356" xr:uid="{4EDBBD5D-24C1-4C39-872C-8613053D8804}"/>
    <cellStyle name="常规 4 2 11" xfId="19157" xr:uid="{44A294F1-5FE8-45F0-B298-BDF64D618F8A}"/>
    <cellStyle name="常规 4 2 11 2" xfId="19158" xr:uid="{E65291F6-2E63-459E-A323-FA0D16CCC3B5}"/>
    <cellStyle name="常规 4 2 11 3" xfId="19159" xr:uid="{C1BA2141-06DE-439E-AE19-278C13E2795A}"/>
    <cellStyle name="常规 4 2 11 4" xfId="19160" xr:uid="{43B05ACB-FA93-4FF5-AB70-120C6BB64E63}"/>
    <cellStyle name="常规 4 2 11 5" xfId="19161" xr:uid="{EC3C9F29-51B9-4D8C-A93F-3AE87DA7EEB1}"/>
    <cellStyle name="常规 4 2 11 6" xfId="19162" xr:uid="{643EE454-8C35-4292-9180-A61F473CD988}"/>
    <cellStyle name="常规 4 2 11 7" xfId="19163" xr:uid="{4EB77AFD-BF9B-4E75-B850-D3189BD3DE64}"/>
    <cellStyle name="常规 4 2 12" xfId="19164" xr:uid="{9F513666-F6B1-43A4-9A2B-19F60B0E25D1}"/>
    <cellStyle name="常规 4 2 13" xfId="19165" xr:uid="{1123B7F8-688E-4400-A7C0-E8595CB59355}"/>
    <cellStyle name="常规 4 2 14" xfId="19166" xr:uid="{0F0BC9A5-FD13-4DEB-BDD0-E2B1560FF82F}"/>
    <cellStyle name="常规 4 2 15" xfId="19167" xr:uid="{23EBA3CE-3717-4FE1-99D1-40E88EB45A00}"/>
    <cellStyle name="常规 4 2 16" xfId="19168" xr:uid="{5D31009A-196E-42B7-96A0-01C64F740D7C}"/>
    <cellStyle name="常规 4 2 17" xfId="19169" xr:uid="{08030751-11D3-4C2F-9F87-EBF1C35B2443}"/>
    <cellStyle name="常规 4 2 18" xfId="19170" xr:uid="{B62A4684-E2E4-40D4-A83D-786856951D2F}"/>
    <cellStyle name="常规 4 2 19" xfId="34357" xr:uid="{FE74DA27-DBF4-428A-AE69-A527D722ED7C}"/>
    <cellStyle name="常规 4 2 2" xfId="19171" xr:uid="{D0EC1398-67F9-4BBF-8061-75DCD7CF6946}"/>
    <cellStyle name="常规 4 2 2 10" xfId="19172" xr:uid="{35A09CB4-0A6A-4A4A-8C8C-8A0831FE481B}"/>
    <cellStyle name="常规 4 2 2 11" xfId="19173" xr:uid="{29900452-8E8A-44BD-8CDF-F33062F0E738}"/>
    <cellStyle name="常规 4 2 2 12" xfId="19174" xr:uid="{3CD046DC-F15C-402E-98BE-66362C5B94B8}"/>
    <cellStyle name="常规 4 2 2 13" xfId="19175" xr:uid="{FAFE8E68-4893-49E4-9447-ED6720EF2A83}"/>
    <cellStyle name="常规 4 2 2 14" xfId="19176" xr:uid="{5B8A6B17-6053-4C9B-A5F4-B6B4B0BFEFBF}"/>
    <cellStyle name="常规 4 2 2 15" xfId="19177" xr:uid="{2B3D55DB-CE8F-4242-99B4-1806EE846EE3}"/>
    <cellStyle name="常规 4 2 2 16" xfId="34358" xr:uid="{09F7982F-8C91-46C3-B283-BB7C10A45ADF}"/>
    <cellStyle name="常规 4 2 2 2" xfId="19178" xr:uid="{88810897-C9AC-40E4-9DBB-91A90AFB261D}"/>
    <cellStyle name="常规 4 2 2 2 10" xfId="19179" xr:uid="{CF5BBEFE-C9CC-49CE-BD5E-4F35267A3F97}"/>
    <cellStyle name="常规 4 2 2 2 2" xfId="19180" xr:uid="{31D41F99-7854-4EDD-9236-A8FEF0B33923}"/>
    <cellStyle name="常规 4 2 2 2 2 2" xfId="19181" xr:uid="{CFD8DD9E-C2E9-41F1-9592-9D0073199B6B}"/>
    <cellStyle name="常规 4 2 2 2 2 2 2" xfId="19182" xr:uid="{B4712B62-A9B7-48B6-9B8F-B02F5212FD2B}"/>
    <cellStyle name="常规 4 2 2 2 2 2 2 2" xfId="19183" xr:uid="{CB57E8B5-1E31-499A-A7FD-D3B21BCA93EF}"/>
    <cellStyle name="常规 4 2 2 2 2 2 3" xfId="19184" xr:uid="{FD834BB1-73FA-4734-AE62-815768ABA3C7}"/>
    <cellStyle name="常规 4 2 2 2 2 2 4" xfId="19185" xr:uid="{D6B00E1F-BF9D-4364-BE83-439658720E00}"/>
    <cellStyle name="常规 4 2 2 2 2 2 4 2" xfId="34359" xr:uid="{EC9A81E7-855F-40E0-9F88-A1AB23E50199}"/>
    <cellStyle name="常规 4 2 2 2 2 2 5" xfId="19186" xr:uid="{C99CF854-8328-4443-9E04-A58E14F892A5}"/>
    <cellStyle name="常规 4 2 2 2 2 3" xfId="19187" xr:uid="{F2662DDA-75A6-4EE4-BABF-5DADDA65157C}"/>
    <cellStyle name="常规 4 2 2 2 2 3 2" xfId="19188" xr:uid="{363AECF4-2393-43B7-A20F-B215A9D0E6C3}"/>
    <cellStyle name="常规 4 2 2 2 2 3 2 2" xfId="19189" xr:uid="{24959D8C-A5DC-4ABB-80DC-313ED8A7DE63}"/>
    <cellStyle name="常规 4 2 2 2 2 3 3" xfId="19190" xr:uid="{50AD8C8E-61E7-435C-8EF4-311D79FE9DE0}"/>
    <cellStyle name="常规 4 2 2 2 2 3 4" xfId="19191" xr:uid="{48078C00-AE18-4853-A21D-3DEC60689CAB}"/>
    <cellStyle name="常规 4 2 2 2 2 3 4 2" xfId="34360" xr:uid="{EF7E8AEC-30FF-4F9B-9AAB-8A2ACA7007B8}"/>
    <cellStyle name="常规 4 2 2 2 2 3 5" xfId="19192" xr:uid="{AD3AF649-FDEC-42BC-9249-D84286BB6E90}"/>
    <cellStyle name="常规 4 2 2 2 2 4" xfId="19193" xr:uid="{ADF2C6DB-7FCF-49ED-82F2-D45C4E996726}"/>
    <cellStyle name="常规 4 2 2 2 2 4 2" xfId="19194" xr:uid="{E4D947A5-F715-49FE-80B8-65E49896E887}"/>
    <cellStyle name="常规 4 2 2 2 2 4 3" xfId="19195" xr:uid="{CC4ED86A-18FD-47E7-8F8E-E372BD316A5F}"/>
    <cellStyle name="常规 4 2 2 2 2 5" xfId="19196" xr:uid="{A31D95B9-F611-4444-B4A8-5D8331321DBB}"/>
    <cellStyle name="常规 4 2 2 2 2 5 2" xfId="19197" xr:uid="{B99C85FA-1341-4E1E-A7A6-64DC44B3B15E}"/>
    <cellStyle name="常规 4 2 2 2 2 6" xfId="19198" xr:uid="{8D4F5BF1-84B1-4AA3-8026-B90053B8AEC2}"/>
    <cellStyle name="常规 4 2 2 2 2 6 2" xfId="19199" xr:uid="{E443F3AB-9220-4470-A6F2-5E112BBBD89E}"/>
    <cellStyle name="常规 4 2 2 2 2 6 3" xfId="34361" xr:uid="{FA593D49-CF03-4F6D-AA82-7608B44D4B5B}"/>
    <cellStyle name="常规 4 2 2 2 2 7" xfId="19200" xr:uid="{239C8652-C730-4976-9C26-99BC9AAFAD5B}"/>
    <cellStyle name="常规 4 2 2 2 2 8" xfId="19201" xr:uid="{2A3CF156-54DD-45DA-ADCA-C9841066648F}"/>
    <cellStyle name="常规 4 2 2 2 3" xfId="19202" xr:uid="{F5D86653-FE15-46F8-B9EF-D05A3E211720}"/>
    <cellStyle name="常规 4 2 2 2 3 2" xfId="19203" xr:uid="{C92E2AEA-3786-48E8-B97C-8BEF3A861E06}"/>
    <cellStyle name="常规 4 2 2 2 3 2 2" xfId="19204" xr:uid="{4075EC5D-341D-4985-80C1-4EEB7E83E4C5}"/>
    <cellStyle name="常规 4 2 2 2 3 2 3" xfId="19205" xr:uid="{F4B1436F-2882-4BA3-879F-EEBBFE98D286}"/>
    <cellStyle name="常规 4 2 2 2 3 3" xfId="19206" xr:uid="{B1A5D7B2-3327-45D7-A68E-5F984A4D6DC4}"/>
    <cellStyle name="常规 4 2 2 2 3 3 2" xfId="19207" xr:uid="{587B8D63-1188-4124-88B6-2D23CCA08DB6}"/>
    <cellStyle name="常规 4 2 2 2 3 4" xfId="19208" xr:uid="{6F2DD649-ECBA-4A70-B4DC-90448203C1FA}"/>
    <cellStyle name="常规 4 2 2 2 3 4 2" xfId="19209" xr:uid="{E66A2E38-C079-4083-83CA-57AA5B343266}"/>
    <cellStyle name="常规 4 2 2 2 3 4 3" xfId="34362" xr:uid="{4345D3FF-B415-4499-8292-B1E25AC7C50E}"/>
    <cellStyle name="常规 4 2 2 2 3 5" xfId="19210" xr:uid="{BEA413DD-7DD4-4BA4-BF89-321412013955}"/>
    <cellStyle name="常规 4 2 2 2 3 6" xfId="19211" xr:uid="{07084D68-E72D-4186-8F02-35CA367A9C39}"/>
    <cellStyle name="常规 4 2 2 2 3 7" xfId="19212" xr:uid="{AAEBF050-38EC-4115-A50C-E802063C52C0}"/>
    <cellStyle name="常规 4 2 2 2 4" xfId="19213" xr:uid="{E359CCDA-E39E-4CB2-A79C-5AB4DD74B1D3}"/>
    <cellStyle name="常规 4 2 2 2 4 2" xfId="19214" xr:uid="{4306D3BB-83D2-4EA4-92E9-FA3F8601CD6E}"/>
    <cellStyle name="常规 4 2 2 2 4 2 2" xfId="19215" xr:uid="{7E0C8631-6B23-443C-99C6-85FE9F87A418}"/>
    <cellStyle name="常规 4 2 2 2 4 2 3" xfId="19216" xr:uid="{63A5A67C-999B-4447-B81D-F9D169FA597E}"/>
    <cellStyle name="常规 4 2 2 2 4 3" xfId="19217" xr:uid="{3718511C-62B5-4BD8-B46F-B5436B510FE0}"/>
    <cellStyle name="常规 4 2 2 2 4 3 2" xfId="19218" xr:uid="{82824EAD-024C-4C2B-99C0-9F058CDDF243}"/>
    <cellStyle name="常规 4 2 2 2 4 4" xfId="19219" xr:uid="{0CC5889B-D646-47B6-95C9-14545FC9A3F3}"/>
    <cellStyle name="常规 4 2 2 2 4 4 2" xfId="19220" xr:uid="{071F4EFE-66C2-4053-B668-2B23028BDE59}"/>
    <cellStyle name="常规 4 2 2 2 4 4 3" xfId="34363" xr:uid="{64A5C74E-1B32-4CBB-B58D-12D660957331}"/>
    <cellStyle name="常规 4 2 2 2 4 5" xfId="19221" xr:uid="{65F20D5A-70DA-464E-AD74-3F6BFFE013D1}"/>
    <cellStyle name="常规 4 2 2 2 4 6" xfId="19222" xr:uid="{DD3E739F-A18C-4FA3-B54E-7FF8F874B382}"/>
    <cellStyle name="常规 4 2 2 2 4 7" xfId="19223" xr:uid="{EF6EE00D-69C7-4809-B45A-41ACF8512B89}"/>
    <cellStyle name="常规 4 2 2 2 5" xfId="19224" xr:uid="{8BE9229B-092A-40AE-90B8-7A305F3CAB04}"/>
    <cellStyle name="常规 4 2 2 2 5 2" xfId="19225" xr:uid="{E076753C-6A44-459F-8844-1C2C176DCB6C}"/>
    <cellStyle name="常规 4 2 2 2 5 3" xfId="19226" xr:uid="{A28C634C-DBDF-4A79-9B10-8A3470DFEA21}"/>
    <cellStyle name="常规 4 2 2 2 6" xfId="19227" xr:uid="{494BD7EA-716A-4171-88FC-F0C530BA1AB7}"/>
    <cellStyle name="常规 4 2 2 2 6 2" xfId="19228" xr:uid="{27FA67B7-D198-4CBA-8B0D-59B48BEBFA86}"/>
    <cellStyle name="常规 4 2 2 2 7" xfId="19229" xr:uid="{76286320-F32F-4044-AB91-4937C18DC025}"/>
    <cellStyle name="常规 4 2 2 2 7 2" xfId="19230" xr:uid="{F6BD11E3-D46E-428E-8FB0-3888E0B0C710}"/>
    <cellStyle name="常规 4 2 2 2 7 3" xfId="34364" xr:uid="{A2B326D4-4287-45C7-9945-C390D6F364FC}"/>
    <cellStyle name="常规 4 2 2 2 8" xfId="19231" xr:uid="{6592CA81-772C-4EAE-9074-30C5957192C5}"/>
    <cellStyle name="常规 4 2 2 2 9" xfId="19232" xr:uid="{42E3D1BD-BA80-4AA1-9716-52E904145122}"/>
    <cellStyle name="常规 4 2 2 3" xfId="19233" xr:uid="{7134BE47-8771-40EC-9748-70FC2521EDCE}"/>
    <cellStyle name="常规 4 2 2 3 2" xfId="19234" xr:uid="{AC6F5CFC-5571-41D4-A9E1-6EA5477D1CAD}"/>
    <cellStyle name="常规 4 2 2 3 2 2" xfId="19235" xr:uid="{A23E5A35-F654-441B-B016-3608D7846550}"/>
    <cellStyle name="常规 4 2 2 3 2 2 2" xfId="19236" xr:uid="{0AEAB944-04E2-4650-8447-43AB445EDE25}"/>
    <cellStyle name="常规 4 2 2 3 2 3" xfId="19237" xr:uid="{2964EEAE-CF5A-44DF-9E39-8AA6C1CF09ED}"/>
    <cellStyle name="常规 4 2 2 3 2 4" xfId="19238" xr:uid="{D7716123-86A6-4F81-AE13-8B5628C5377F}"/>
    <cellStyle name="常规 4 2 2 3 2 4 2" xfId="34365" xr:uid="{721DBE19-62A5-4C3D-907A-D75148F935B9}"/>
    <cellStyle name="常规 4 2 2 3 2 5" xfId="19239" xr:uid="{06EF11B3-C49B-4E7C-BB33-90F58F7E5450}"/>
    <cellStyle name="常规 4 2 2 3 3" xfId="19240" xr:uid="{783C9550-2327-4099-9EA0-10F651F401AD}"/>
    <cellStyle name="常规 4 2 2 3 3 2" xfId="19241" xr:uid="{E89F1062-D640-4A76-B7FF-F145A3ECA36D}"/>
    <cellStyle name="常规 4 2 2 3 3 2 2" xfId="19242" xr:uid="{DBAC6908-3427-48EB-A93A-91FF7F68C607}"/>
    <cellStyle name="常规 4 2 2 3 3 3" xfId="19243" xr:uid="{D149C41E-CC4E-458C-9EF4-AFD737F28C51}"/>
    <cellStyle name="常规 4 2 2 3 3 4" xfId="19244" xr:uid="{66273515-682B-4EE5-B8E3-2EAF1E5BA4E9}"/>
    <cellStyle name="常规 4 2 2 3 3 4 2" xfId="34366" xr:uid="{2F7F0A48-C587-419B-B712-EAE7DBD57131}"/>
    <cellStyle name="常规 4 2 2 3 3 5" xfId="19245" xr:uid="{1D7F4C30-FC59-4F9B-B173-AAB727F1071E}"/>
    <cellStyle name="常规 4 2 2 3 4" xfId="19246" xr:uid="{31B84990-FE1D-46F2-BA07-6C9F117E5ACF}"/>
    <cellStyle name="常规 4 2 2 3 4 2" xfId="19247" xr:uid="{15E5445D-D26E-41DC-8FA8-B9B41DD1DED6}"/>
    <cellStyle name="常规 4 2 2 3 4 3" xfId="19248" xr:uid="{742F3AF0-9804-41D7-B42E-6A8919EAFCDB}"/>
    <cellStyle name="常规 4 2 2 3 5" xfId="19249" xr:uid="{F32AE3ED-1E7C-4F74-A7D1-AF013FF65702}"/>
    <cellStyle name="常规 4 2 2 3 5 2" xfId="19250" xr:uid="{094BAE4D-B94B-4E33-9758-92E42B3E0CAA}"/>
    <cellStyle name="常规 4 2 2 3 6" xfId="19251" xr:uid="{3F8DD85B-73A3-4A8E-8B50-3C042626D02B}"/>
    <cellStyle name="常规 4 2 2 3 6 2" xfId="19252" xr:uid="{821A6C1E-5C1C-4BAD-A18A-6656D6A5EA29}"/>
    <cellStyle name="常规 4 2 2 3 6 3" xfId="34367" xr:uid="{1DC928AF-A73E-4978-9BEA-8D81F69C1E3A}"/>
    <cellStyle name="常规 4 2 2 3 7" xfId="19253" xr:uid="{CEAADC96-4A72-4834-83F5-0A6BE000C18D}"/>
    <cellStyle name="常规 4 2 2 3 8" xfId="19254" xr:uid="{73CFB8BE-A391-4645-A4E0-B1511400AAE5}"/>
    <cellStyle name="常规 4 2 2 4" xfId="19255" xr:uid="{B5B63741-56A3-453A-9BCE-937CEC25DC8E}"/>
    <cellStyle name="常规 4 2 2 4 2" xfId="19256" xr:uid="{6F3E3C7C-22B9-43AF-9404-316CFD90132C}"/>
    <cellStyle name="常规 4 2 2 4 2 2" xfId="19257" xr:uid="{C38D87D7-DAC1-4BD6-B540-E4089CB6DCFE}"/>
    <cellStyle name="常规 4 2 2 4 3" xfId="19258" xr:uid="{D24733D0-CDFF-44AC-9E46-BB34EE825F1F}"/>
    <cellStyle name="常规 4 2 2 4 4" xfId="19259" xr:uid="{1EEBF408-2AA6-48D6-BA25-6CFAC2EA5F69}"/>
    <cellStyle name="常规 4 2 2 4 4 2" xfId="34368" xr:uid="{A4922A63-10A0-440C-A70A-EFBAA3E5EE3A}"/>
    <cellStyle name="常规 4 2 2 4 5" xfId="19260" xr:uid="{36750919-BB81-4DD1-9BD7-1274F686B455}"/>
    <cellStyle name="常规 4 2 2 5" xfId="19261" xr:uid="{5EA661DD-0C09-4408-BEBD-20DA4B11D826}"/>
    <cellStyle name="常规 4 2 2 5 2" xfId="19262" xr:uid="{592EBC9F-673C-4DA3-8153-501564C50813}"/>
    <cellStyle name="常规 4 2 2 5 2 2" xfId="19263" xr:uid="{3C6EF031-DFCE-4AE2-98C7-4F70F0ECFBF3}"/>
    <cellStyle name="常规 4 2 2 5 3" xfId="19264" xr:uid="{CC693AA2-EC46-427E-8F4B-C5A019473D8F}"/>
    <cellStyle name="常规 4 2 2 5 4" xfId="19265" xr:uid="{88B38ABA-8129-4AD0-9577-585EC96B02E9}"/>
    <cellStyle name="常规 4 2 2 5 4 2" xfId="34369" xr:uid="{DB3B9523-96FB-40F6-B3B8-4853DF4FE9E9}"/>
    <cellStyle name="常规 4 2 2 5 5" xfId="19266" xr:uid="{215A40B7-82E4-4AE2-B45B-F2A5D12BB662}"/>
    <cellStyle name="常规 4 2 2 6" xfId="19267" xr:uid="{48ED7861-9525-4AF1-BD0E-2AD7BC8B4CDE}"/>
    <cellStyle name="常规 4 2 2 6 2" xfId="19268" xr:uid="{8FFE0C80-4172-4F5B-9FE7-5003A690D745}"/>
    <cellStyle name="常规 4 2 2 6 2 2" xfId="19269" xr:uid="{168F99B4-D603-4737-8506-D77C526FA873}"/>
    <cellStyle name="常规 4 2 2 6 2 3" xfId="19270" xr:uid="{FC327342-9499-4DA7-8FDC-34D499F88389}"/>
    <cellStyle name="常规 4 2 2 6 2 4" xfId="19271" xr:uid="{FE477892-0EDC-4B57-8596-8C0C2ADA1EFF}"/>
    <cellStyle name="常规 4 2 2 6 2 5" xfId="19272" xr:uid="{D30EE1A7-E40C-436E-BEE1-3E1C70708838}"/>
    <cellStyle name="常规 4 2 2 6 2 6" xfId="19273" xr:uid="{BE249BD2-278D-4EA3-BF08-448F7481D078}"/>
    <cellStyle name="常规 4 2 2 6 3" xfId="19274" xr:uid="{CB738183-DC86-4BA6-9B13-116A140DFFD8}"/>
    <cellStyle name="常规 4 2 2 6 4" xfId="19275" xr:uid="{B5089F57-EB1D-439C-A6ED-FF5B5EBB8BD9}"/>
    <cellStyle name="常规 4 2 2 6 5" xfId="19276" xr:uid="{CAC411CE-CDDD-4E6C-A9B1-B337D7EB1E24}"/>
    <cellStyle name="常规 4 2 2 6 6" xfId="19277" xr:uid="{E63CD0D9-C931-446F-8DED-F9B14EFC9D63}"/>
    <cellStyle name="常规 4 2 2 6 7" xfId="19278" xr:uid="{93203960-6A53-4D74-9637-B902EDE65A84}"/>
    <cellStyle name="常规 4 2 2 6 8" xfId="19279" xr:uid="{6389F307-770E-4153-A78A-CBCD5A5B5377}"/>
    <cellStyle name="常规 4 2 2 6 9" xfId="19280" xr:uid="{44C0DB04-5BCD-486D-9D05-D4C9B5BD1B99}"/>
    <cellStyle name="常规 4 2 2 7" xfId="19281" xr:uid="{19B38D1D-3E5C-447A-B2B4-CE00B0B4AC93}"/>
    <cellStyle name="常规 4 2 2 7 2" xfId="19282" xr:uid="{A06FE150-B789-4EE4-A09B-CCE7C042C139}"/>
    <cellStyle name="常规 4 2 2 7 3" xfId="19283" xr:uid="{0DFD55DD-4318-4084-A4BD-62016065BC9E}"/>
    <cellStyle name="常规 4 2 2 7 4" xfId="19284" xr:uid="{81516894-ADDD-40D5-9DB4-62770C7024D3}"/>
    <cellStyle name="常规 4 2 2 7 5" xfId="19285" xr:uid="{900BD10C-AFBF-4638-AC6E-17B3067F4F85}"/>
    <cellStyle name="常规 4 2 2 7 6" xfId="19286" xr:uid="{14257AF1-AD8B-43B7-8702-10935276CB35}"/>
    <cellStyle name="常规 4 2 2 7 7" xfId="19287" xr:uid="{005A6F69-9AC2-47A6-AA77-6CE4236C9768}"/>
    <cellStyle name="常规 4 2 2 8" xfId="19288" xr:uid="{BB19554A-EDAA-4710-BDEE-F962968AFFEB}"/>
    <cellStyle name="常规 4 2 2 8 2" xfId="19289" xr:uid="{3ED14BF4-4418-496D-B624-3CD9F1EA0905}"/>
    <cellStyle name="常规 4 2 2 8 3" xfId="19290" xr:uid="{4C295A0F-95C6-4C24-B586-C237A9BB7B9B}"/>
    <cellStyle name="常规 4 2 2 8 4" xfId="19291" xr:uid="{71D39B22-985B-44E4-AF57-EDE03A42F0C1}"/>
    <cellStyle name="常规 4 2 2 8 5" xfId="19292" xr:uid="{EE2515DF-9D04-4B76-90E5-A9906E29351B}"/>
    <cellStyle name="常规 4 2 2 8 6" xfId="19293" xr:uid="{D3824E49-D0C9-42EE-A6AF-73F9A10AD26B}"/>
    <cellStyle name="常规 4 2 2 8 7" xfId="19294" xr:uid="{21615689-22E7-42C3-B4D6-000BFD2CF380}"/>
    <cellStyle name="常规 4 2 2 8 8" xfId="34370" xr:uid="{45A17176-C92A-42D0-861E-B0D6C430C9BC}"/>
    <cellStyle name="常规 4 2 2 9" xfId="19295" xr:uid="{E166F6B8-940D-4339-B0FD-C99AFA21DAF8}"/>
    <cellStyle name="常规 4 2 2 9 2" xfId="19296" xr:uid="{5BBF1BA8-E8A3-43C7-AFF6-72734116D130}"/>
    <cellStyle name="常规 4 2 3" xfId="19297" xr:uid="{E9DEDED0-D858-4B4D-ACEF-3672AF2F917E}"/>
    <cellStyle name="常规 4 2 3 10" xfId="19298" xr:uid="{EAB83B9F-4B15-4E7C-9796-991C1F17A9EF}"/>
    <cellStyle name="常规 4 2 3 11" xfId="19299" xr:uid="{1407FF1B-5614-40BD-9A16-5A548733505B}"/>
    <cellStyle name="常规 4 2 3 2" xfId="19300" xr:uid="{57A203F8-15B3-4753-BB24-674C0FF85E7F}"/>
    <cellStyle name="常规 4 2 3 2 2" xfId="19301" xr:uid="{B9683B55-5AE8-460A-856C-B3FCACBFBAAB}"/>
    <cellStyle name="常规 4 2 3 2 2 2" xfId="19302" xr:uid="{F93825F1-F198-41C6-B190-55D9B8E0133F}"/>
    <cellStyle name="常规 4 2 3 2 2 2 2" xfId="19303" xr:uid="{00B1FD00-25D7-43DD-B013-67FF8D35469A}"/>
    <cellStyle name="常规 4 2 3 2 2 2 2 2" xfId="19304" xr:uid="{87DFD1BB-3CAA-4FC6-9DE9-2478D9CC5C0E}"/>
    <cellStyle name="常规 4 2 3 2 2 2 3" xfId="19305" xr:uid="{60A9716E-707A-40AC-B77C-51F80409123F}"/>
    <cellStyle name="常规 4 2 3 2 2 2 4" xfId="19306" xr:uid="{DED3C4D1-D274-4D20-8A9A-82F57DF97DBD}"/>
    <cellStyle name="常规 4 2 3 2 2 2 4 2" xfId="34371" xr:uid="{DE0AD133-628F-4AB0-B8D0-F500221EF140}"/>
    <cellStyle name="常规 4 2 3 2 2 2 5" xfId="19307" xr:uid="{D5829BEF-565E-4AA1-97A5-014634DAED15}"/>
    <cellStyle name="常规 4 2 3 2 2 3" xfId="19308" xr:uid="{9346B1D2-B01A-4598-B95F-1557A476D21A}"/>
    <cellStyle name="常规 4 2 3 2 2 3 2" xfId="19309" xr:uid="{99A54DD2-3E7E-426D-847D-AC9B74AF1405}"/>
    <cellStyle name="常规 4 2 3 2 2 3 3" xfId="19310" xr:uid="{DDF62922-F432-427C-AC3F-FDC759D3C53C}"/>
    <cellStyle name="常规 4 2 3 2 2 4" xfId="19311" xr:uid="{F3F267FE-A1A2-4749-8921-B840604614CA}"/>
    <cellStyle name="常规 4 2 3 2 2 4 2" xfId="19312" xr:uid="{2D20216B-F441-4328-A5C5-51E2AFD5B131}"/>
    <cellStyle name="常规 4 2 3 2 2 5" xfId="19313" xr:uid="{7E8E9BC8-44AC-400D-AD4E-B1946C6E92A1}"/>
    <cellStyle name="常规 4 2 3 2 2 5 2" xfId="19314" xr:uid="{3806D978-6E41-4EAB-8F8C-CFE0F62B8863}"/>
    <cellStyle name="常规 4 2 3 2 2 5 3" xfId="34372" xr:uid="{5444B3B1-C453-42A8-AA77-9877B6218E8A}"/>
    <cellStyle name="常规 4 2 3 2 2 6" xfId="19315" xr:uid="{A07E0613-E5AA-4C85-B1BE-4ADFA26A395F}"/>
    <cellStyle name="常规 4 2 3 2 2 7" xfId="19316" xr:uid="{8A4CDCB7-071C-4876-AD88-8861711D0855}"/>
    <cellStyle name="常规 4 2 3 2 3" xfId="19317" xr:uid="{6AD0CA24-D3FF-4391-8AF1-F3937278BF2D}"/>
    <cellStyle name="常规 4 2 3 2 3 2" xfId="19318" xr:uid="{4B2270D2-3BBA-4E86-B12C-AD2EDFD9CB7A}"/>
    <cellStyle name="常规 4 2 3 2 3 2 2" xfId="19319" xr:uid="{2480D961-ACB5-43F4-A5C5-F72B4BA67D93}"/>
    <cellStyle name="常规 4 2 3 2 3 3" xfId="19320" xr:uid="{D07A882E-DEBD-4BC2-A736-C6817B68E782}"/>
    <cellStyle name="常规 4 2 3 2 3 4" xfId="19321" xr:uid="{288DAFD0-3683-4E20-961E-C18F6F552B3A}"/>
    <cellStyle name="常规 4 2 3 2 3 4 2" xfId="34373" xr:uid="{8B689D51-37C5-4A39-9960-FF4CC3CE33CC}"/>
    <cellStyle name="常规 4 2 3 2 3 5" xfId="19322" xr:uid="{89B9A7B1-E684-4019-858E-222758DB3B32}"/>
    <cellStyle name="常规 4 2 3 2 4" xfId="19323" xr:uid="{E109E354-88F0-46DA-973C-D0362EAC1285}"/>
    <cellStyle name="常规 4 2 3 2 4 2" xfId="19324" xr:uid="{29E1FBF2-5F17-4BF6-99E4-D16796E48F2B}"/>
    <cellStyle name="常规 4 2 3 2 4 3" xfId="19325" xr:uid="{25A1B9AA-98B1-4C7B-9170-929D0D18F22C}"/>
    <cellStyle name="常规 4 2 3 2 5" xfId="19326" xr:uid="{251FE0CF-0E06-4CF4-83C6-4B032CD17224}"/>
    <cellStyle name="常规 4 2 3 2 5 2" xfId="19327" xr:uid="{CD59F149-4DDA-4AED-8FEB-F85AB6753415}"/>
    <cellStyle name="常规 4 2 3 2 6" xfId="19328" xr:uid="{C53A7804-1429-4DB7-BF70-5AF51674BCD4}"/>
    <cellStyle name="常规 4 2 3 2 6 2" xfId="19329" xr:uid="{F41943A6-C052-4F95-B8BC-42D43EA799F4}"/>
    <cellStyle name="常规 4 2 3 2 6 3" xfId="34374" xr:uid="{868D9867-928E-45E0-B3A9-1A88EE913F65}"/>
    <cellStyle name="常规 4 2 3 2 7" xfId="19330" xr:uid="{023824AB-0585-47C0-A96E-A28800D066D8}"/>
    <cellStyle name="常规 4 2 3 2 8" xfId="19331" xr:uid="{31AF230F-6D53-4529-A008-BCA3EB3B9F6E}"/>
    <cellStyle name="常规 4 2 3 2 9" xfId="19332" xr:uid="{DD6B4CD6-91E0-468A-886B-5869B06991DB}"/>
    <cellStyle name="常规 4 2 3 3" xfId="19333" xr:uid="{53A29FFA-4528-4F40-8858-A7B35543C632}"/>
    <cellStyle name="常规 4 2 3 3 2" xfId="19334" xr:uid="{894995C0-DE53-4A64-B11C-C11183DF3E93}"/>
    <cellStyle name="常规 4 2 3 3 2 2" xfId="19335" xr:uid="{C621FBCA-290F-4DFE-B8EB-BD9D635129C8}"/>
    <cellStyle name="常规 4 2 3 3 2 2 2" xfId="19336" xr:uid="{B18FF93C-DBEB-4F6C-AE7C-3A56E06796AE}"/>
    <cellStyle name="常规 4 2 3 3 2 3" xfId="19337" xr:uid="{0D95AE1F-4A64-43A8-9715-6867FB263796}"/>
    <cellStyle name="常规 4 2 3 3 2 4" xfId="19338" xr:uid="{F2120EE7-D6F9-42D1-A99E-B86A8E5F99E7}"/>
    <cellStyle name="常规 4 2 3 3 2 4 2" xfId="34375" xr:uid="{6FA1DE41-C0B0-4846-9FA1-6FECEB207555}"/>
    <cellStyle name="常规 4 2 3 3 2 5" xfId="19339" xr:uid="{5C2C2986-8569-473C-AD1E-1515ED5D3823}"/>
    <cellStyle name="常规 4 2 3 3 3" xfId="19340" xr:uid="{BBC492C8-A12F-4156-9F5F-FCC2D3CCA6EB}"/>
    <cellStyle name="常规 4 2 3 3 3 2" xfId="19341" xr:uid="{ECCE2352-4F41-4FE8-B5BE-2CCAA50BF5B8}"/>
    <cellStyle name="常规 4 2 3 3 3 2 2" xfId="19342" xr:uid="{F05E8A5F-0D06-4807-AA2E-FB749FD41F3B}"/>
    <cellStyle name="常规 4 2 3 3 3 3" xfId="19343" xr:uid="{3B11FB0B-FAD3-4AF2-9F13-10CA21749EC0}"/>
    <cellStyle name="常规 4 2 3 3 3 4" xfId="19344" xr:uid="{2CF27727-1F12-470F-97BC-5CA735BF2252}"/>
    <cellStyle name="常规 4 2 3 3 3 4 2" xfId="34376" xr:uid="{C803C931-A6E4-40DC-829D-349CD1523133}"/>
    <cellStyle name="常规 4 2 3 3 3 5" xfId="19345" xr:uid="{281FE8CF-2790-4E73-83CC-6A7B411F600A}"/>
    <cellStyle name="常规 4 2 3 3 4" xfId="19346" xr:uid="{778921AF-1327-4AB0-9702-5454EE66E1B0}"/>
    <cellStyle name="常规 4 2 3 3 4 2" xfId="19347" xr:uid="{9C5725F0-BF2E-4D18-B021-8A893C781E91}"/>
    <cellStyle name="常规 4 2 3 3 4 3" xfId="19348" xr:uid="{0F25AB94-49D5-41B9-A87F-4A9A0E1E1F19}"/>
    <cellStyle name="常规 4 2 3 3 5" xfId="19349" xr:uid="{C42146F5-E1EC-4E74-998F-9653ADFBA1C0}"/>
    <cellStyle name="常规 4 2 3 3 5 2" xfId="19350" xr:uid="{A0E22469-5A2F-477E-AF43-0D41341E4108}"/>
    <cellStyle name="常规 4 2 3 3 6" xfId="19351" xr:uid="{D1759AC2-F3FB-4A67-B391-B55ADD2C025C}"/>
    <cellStyle name="常规 4 2 3 3 6 2" xfId="19352" xr:uid="{948FB02D-7128-463E-B3EE-C2766BE08E2C}"/>
    <cellStyle name="常规 4 2 3 3 6 3" xfId="34377" xr:uid="{23578E49-14AE-4121-87EB-8E5DC62AA839}"/>
    <cellStyle name="常规 4 2 3 3 7" xfId="19353" xr:uid="{A03FC445-10A7-4FD5-855F-B85997E4A2F9}"/>
    <cellStyle name="常规 4 2 3 4" xfId="19354" xr:uid="{ECCE7352-746C-445E-A709-8EE9D1F0C724}"/>
    <cellStyle name="常规 4 2 3 4 2" xfId="19355" xr:uid="{551F5B34-36FB-4252-AF3B-A91B636412A8}"/>
    <cellStyle name="常规 4 2 3 4 2 2" xfId="19356" xr:uid="{1C09AA36-5085-4064-A3B1-EB5031C0C7E9}"/>
    <cellStyle name="常规 4 2 3 4 2 3" xfId="19357" xr:uid="{AF5A8DA2-4D90-4A34-A7AC-1BC9FC011834}"/>
    <cellStyle name="常规 4 2 3 4 3" xfId="19358" xr:uid="{606EF588-4010-4163-B7F5-BDFAF878C83A}"/>
    <cellStyle name="常规 4 2 3 4 3 2" xfId="19359" xr:uid="{F0AF2EA1-7127-4F28-9FF2-8D10C050BF6C}"/>
    <cellStyle name="常规 4 2 3 4 4" xfId="19360" xr:uid="{126DB4C1-4104-4EEB-ABF6-4239F7E8E20D}"/>
    <cellStyle name="常规 4 2 3 4 4 2" xfId="19361" xr:uid="{DA7C6FA6-4BB1-400E-B7B2-9F35BE61FC5C}"/>
    <cellStyle name="常规 4 2 3 4 4 3" xfId="34378" xr:uid="{890ECD80-D38E-43E8-9E0A-1AA9E2AD67EE}"/>
    <cellStyle name="常规 4 2 3 4 5" xfId="19362" xr:uid="{27B27189-32B9-465E-98ED-A91E7E5CDE50}"/>
    <cellStyle name="常规 4 2 3 4 6" xfId="19363" xr:uid="{5FD6ADE1-18CB-4112-9694-A3C5F868008E}"/>
    <cellStyle name="常规 4 2 3 4 7" xfId="19364" xr:uid="{E3DB7B4A-CD9C-4E69-B1BE-B2A1E31F3319}"/>
    <cellStyle name="常规 4 2 3 5" xfId="19365" xr:uid="{F3B5480D-42A2-4C60-8D0D-A6098F57193C}"/>
    <cellStyle name="常规 4 2 3 5 2" xfId="19366" xr:uid="{4BF4960A-D7B1-4279-B34D-84004E945B14}"/>
    <cellStyle name="常规 4 2 3 5 2 2" xfId="19367" xr:uid="{6E03695A-CE86-420B-BA65-CF235280AC95}"/>
    <cellStyle name="常规 4 2 3 5 2 3" xfId="19368" xr:uid="{5D704340-A0F2-4020-BE8A-CD8CE20F675A}"/>
    <cellStyle name="常规 4 2 3 5 3" xfId="19369" xr:uid="{A53B2939-4C05-42F1-BBD8-2DA095416B8F}"/>
    <cellStyle name="常规 4 2 3 5 3 2" xfId="19370" xr:uid="{0E73A5FD-FC1E-42F4-9F1E-9988023E85F6}"/>
    <cellStyle name="常规 4 2 3 5 4" xfId="19371" xr:uid="{77158799-556C-4EFD-ADD5-3900212AEBF8}"/>
    <cellStyle name="常规 4 2 3 5 4 2" xfId="19372" xr:uid="{7D115A04-E30F-45B1-89F4-C515317B1E5E}"/>
    <cellStyle name="常规 4 2 3 5 4 3" xfId="34379" xr:uid="{50A9FAB4-8B33-4F71-A5A1-3FD86825F383}"/>
    <cellStyle name="常规 4 2 3 5 5" xfId="19373" xr:uid="{952519D3-15A0-4874-9FFB-02BC402300F2}"/>
    <cellStyle name="常规 4 2 3 5 6" xfId="19374" xr:uid="{E03B5180-BC4E-45A2-BA92-1E4AAAF59B66}"/>
    <cellStyle name="常规 4 2 3 5 7" xfId="19375" xr:uid="{3C949D4F-7AFF-4027-8096-CF1C45D8BCC1}"/>
    <cellStyle name="常规 4 2 3 6" xfId="19376" xr:uid="{BD4990C2-B85D-470F-A395-B07F7B90FBF1}"/>
    <cellStyle name="常规 4 2 3 6 2" xfId="19377" xr:uid="{8A751E08-D75E-4BD6-AE03-F60544F3392F}"/>
    <cellStyle name="常规 4 2 3 6 3" xfId="19378" xr:uid="{2EA62934-2286-4D89-BC9E-E3E9A75CA243}"/>
    <cellStyle name="常规 4 2 3 7" xfId="19379" xr:uid="{62D62BF9-0339-497B-BD9C-B6EF7C1049F4}"/>
    <cellStyle name="常规 4 2 3 7 2" xfId="19380" xr:uid="{97ABD36B-4222-46F6-8A77-2528807F4C17}"/>
    <cellStyle name="常规 4 2 3 8" xfId="19381" xr:uid="{4A905394-F13C-4802-B7F3-7CC3B480B1D0}"/>
    <cellStyle name="常规 4 2 3 8 2" xfId="19382" xr:uid="{35D3B127-666A-4F79-93BC-285BAB42BBCF}"/>
    <cellStyle name="常规 4 2 3 8 3" xfId="34380" xr:uid="{959C76CC-0CD1-4CE8-8C06-CC8D01A8EDC5}"/>
    <cellStyle name="常规 4 2 3 9" xfId="19383" xr:uid="{676F2993-9B31-4445-9FBC-0E031670816B}"/>
    <cellStyle name="常规 4 2 3 9 2" xfId="19384" xr:uid="{5F3CB03B-9E9D-47CF-BF1E-7C055155CA08}"/>
    <cellStyle name="常规 4 2 4" xfId="19385" xr:uid="{4477F685-4EB9-450A-A72D-9CED73CF0412}"/>
    <cellStyle name="常规 4 2 4 2" xfId="19386" xr:uid="{44A6C98F-01EC-490B-86EB-D54D3998B2A6}"/>
    <cellStyle name="常规 4 2 4 2 2" xfId="19387" xr:uid="{631D099F-0630-4870-808B-24EDDE7678C5}"/>
    <cellStyle name="常规 4 2 4 2 2 2" xfId="19388" xr:uid="{65CCCD97-1214-448E-A605-EEF9CCD926EA}"/>
    <cellStyle name="常规 4 2 4 2 2 2 2" xfId="19389" xr:uid="{056C4D5E-EDBD-4F3D-9EC7-7A79C83AFA9E}"/>
    <cellStyle name="常规 4 2 4 2 2 3" xfId="19390" xr:uid="{B38487DF-2E55-4B1A-8698-D943EF3F5F31}"/>
    <cellStyle name="常规 4 2 4 2 2 4" xfId="19391" xr:uid="{F96DF95B-415D-4A0D-9800-6AC1B4A59E1F}"/>
    <cellStyle name="常规 4 2 4 2 2 4 2" xfId="34381" xr:uid="{40F0DC75-3FF3-4645-97DF-27CA2DAA1B12}"/>
    <cellStyle name="常规 4 2 4 2 2 5" xfId="19392" xr:uid="{E0597E54-8494-4056-98D9-C18D0ECF1BD4}"/>
    <cellStyle name="常规 4 2 4 2 3" xfId="19393" xr:uid="{D67801A7-C4B4-44AF-B4D2-887811A39981}"/>
    <cellStyle name="常规 4 2 4 2 3 2" xfId="19394" xr:uid="{C0FE8DB6-2461-487D-AEFB-CF601436880F}"/>
    <cellStyle name="常规 4 2 4 2 3 2 2" xfId="19395" xr:uid="{D5E629E9-BD00-406D-B9C9-0C22590B9D97}"/>
    <cellStyle name="常规 4 2 4 2 3 3" xfId="19396" xr:uid="{D0AFE44B-DE0C-4719-A8F6-8EB9FBC17092}"/>
    <cellStyle name="常规 4 2 4 2 3 4" xfId="19397" xr:uid="{6BF0A9D4-C9C4-49B5-B10A-560883DF7B46}"/>
    <cellStyle name="常规 4 2 4 2 3 4 2" xfId="34382" xr:uid="{109290B8-ADD5-4885-BB21-EAD9170C5D79}"/>
    <cellStyle name="常规 4 2 4 2 3 5" xfId="19398" xr:uid="{6956DF90-8578-4016-9592-BFEC520F6979}"/>
    <cellStyle name="常规 4 2 4 2 4" xfId="19399" xr:uid="{9968C22A-1EE0-4817-A955-A5916D76D913}"/>
    <cellStyle name="常规 4 2 4 2 4 2" xfId="19400" xr:uid="{C8300AEB-6277-441C-8A15-91FE8B70D61D}"/>
    <cellStyle name="常规 4 2 4 2 4 3" xfId="19401" xr:uid="{0F7D813A-1495-4F8C-AD31-10E991071566}"/>
    <cellStyle name="常规 4 2 4 2 5" xfId="19402" xr:uid="{5E63A865-4D20-4ABD-94F5-38341146557C}"/>
    <cellStyle name="常规 4 2 4 2 5 2" xfId="19403" xr:uid="{FA84F478-94D6-46FD-A255-81FDCB5B785D}"/>
    <cellStyle name="常规 4 2 4 2 6" xfId="19404" xr:uid="{494384D1-5811-4CC1-AB45-806B8CD43BE7}"/>
    <cellStyle name="常规 4 2 4 2 6 2" xfId="19405" xr:uid="{03CA832D-E031-4F3A-AE24-E9F5F7A0FE0E}"/>
    <cellStyle name="常规 4 2 4 2 6 3" xfId="34383" xr:uid="{F757D772-B676-4DF6-8C5F-F7E671D58003}"/>
    <cellStyle name="常规 4 2 4 2 7" xfId="19406" xr:uid="{290D3330-8E0B-488B-B8AF-6A355C76902D}"/>
    <cellStyle name="常规 4 2 4 2 8" xfId="19407" xr:uid="{C674FFC8-C6BE-4A76-9A50-77BB654CDBEB}"/>
    <cellStyle name="常规 4 2 4 3" xfId="19408" xr:uid="{2AD02793-31A3-48B7-883D-693985CB9928}"/>
    <cellStyle name="常规 4 2 4 3 2" xfId="19409" xr:uid="{495A89A8-2BC7-46F6-9646-8169E465A90A}"/>
    <cellStyle name="常规 4 2 4 3 2 2" xfId="19410" xr:uid="{2A84F1CA-C243-4B63-BC3E-B3FAEE2E663B}"/>
    <cellStyle name="常规 4 2 4 3 3" xfId="19411" xr:uid="{30FFD68C-6766-4AEC-8B3F-58EBCF776969}"/>
    <cellStyle name="常规 4 2 4 3 4" xfId="19412" xr:uid="{E04F3D67-AE64-4FF4-B651-42D3E991C9AB}"/>
    <cellStyle name="常规 4 2 4 3 4 2" xfId="34384" xr:uid="{08ABCD88-F1DA-4A02-B5BB-132926970CFA}"/>
    <cellStyle name="常规 4 2 4 3 5" xfId="19413" xr:uid="{D724C65E-517F-4E1F-B63A-1718F2648C13}"/>
    <cellStyle name="常规 4 2 4 4" xfId="19414" xr:uid="{ECC67C33-3A97-47FD-95B1-AF507909C247}"/>
    <cellStyle name="常规 4 2 4 4 2" xfId="19415" xr:uid="{0109BD73-A443-4526-953C-210F0161C139}"/>
    <cellStyle name="常规 4 2 4 4 2 2" xfId="19416" xr:uid="{6B2BA7CF-0D45-408E-BE4B-E7E0051C3F1C}"/>
    <cellStyle name="常规 4 2 4 4 3" xfId="19417" xr:uid="{8A9202DE-BC84-4B1A-B486-ADA47DC126FA}"/>
    <cellStyle name="常规 4 2 4 4 4" xfId="19418" xr:uid="{2EA87665-F9DA-4393-9728-C7A52F684C4D}"/>
    <cellStyle name="常规 4 2 4 4 4 2" xfId="34385" xr:uid="{AD5CE659-A69E-4838-B010-57FBB8486F3B}"/>
    <cellStyle name="常规 4 2 4 4 5" xfId="19419" xr:uid="{4A4E066D-473D-4958-A5BD-3E9131FBD09E}"/>
    <cellStyle name="常规 4 2 4 5" xfId="19420" xr:uid="{725B4DDA-420F-4CD4-9B26-E037761C738D}"/>
    <cellStyle name="常规 4 2 4 5 2" xfId="19421" xr:uid="{8BEC5426-DCF2-4887-A28E-C7227240221C}"/>
    <cellStyle name="常规 4 2 4 5 3" xfId="19422" xr:uid="{F928E7B3-BF04-4876-BF14-4E3D674B8CE0}"/>
    <cellStyle name="常规 4 2 4 6" xfId="19423" xr:uid="{E5C1A39B-14A3-4865-9174-A8A580EB4306}"/>
    <cellStyle name="常规 4 2 4 6 2" xfId="19424" xr:uid="{E218DC4A-50F7-4EC2-94D1-5FDDD7BFA8DC}"/>
    <cellStyle name="常规 4 2 4 7" xfId="19425" xr:uid="{5EF52F4F-5EEA-4E8B-A17A-116D8B1EBDCD}"/>
    <cellStyle name="常规 4 2 4 7 2" xfId="19426" xr:uid="{D92F033E-AAB7-417E-9C7E-59F26225043F}"/>
    <cellStyle name="常规 4 2 4 7 3" xfId="34386" xr:uid="{EF9F4C97-AA4E-4674-9B31-DD24BA5A3E90}"/>
    <cellStyle name="常规 4 2 4 8" xfId="19427" xr:uid="{FBCEEC54-1F5A-45D7-8B33-C0C38D469F31}"/>
    <cellStyle name="常规 4 2 4 8 2" xfId="19428" xr:uid="{A2DDBB83-C66A-4DAC-92DA-73C91AA34AA6}"/>
    <cellStyle name="常规 4 2 4 9" xfId="19429" xr:uid="{8217BF47-D036-4B99-980B-FC0A53E73AA7}"/>
    <cellStyle name="常规 4 2 5" xfId="19430" xr:uid="{65D5F7D4-19B2-43A5-9760-68E5915CC1D1}"/>
    <cellStyle name="常规 4 2 5 2" xfId="19431" xr:uid="{0D6D7821-236A-4651-ADE8-D4E6488621E0}"/>
    <cellStyle name="常规 4 2 5 2 2" xfId="19432" xr:uid="{ACC552E7-731C-483B-BB57-974625B6C9BC}"/>
    <cellStyle name="常规 4 2 5 2 2 2" xfId="19433" xr:uid="{10D8027F-2947-40A0-AE65-068AAB147537}"/>
    <cellStyle name="常规 4 2 5 2 3" xfId="19434" xr:uid="{C5DB8EDC-EE07-434A-AB46-DF5FA51D1BA3}"/>
    <cellStyle name="常规 4 2 5 2 4" xfId="19435" xr:uid="{08067312-F71C-4587-8E87-86E06B64096D}"/>
    <cellStyle name="常规 4 2 5 2 4 2" xfId="34387" xr:uid="{4537A41F-E922-40FF-B90B-4E98DE864466}"/>
    <cellStyle name="常规 4 2 5 2 5" xfId="19436" xr:uid="{661F625D-0DD2-4F77-8179-C050609399E7}"/>
    <cellStyle name="常规 4 2 5 3" xfId="19437" xr:uid="{050F77FF-8EBA-4F8A-9D31-B32EF787B93E}"/>
    <cellStyle name="常规 4 2 5 3 2" xfId="19438" xr:uid="{AE123C72-C8DB-48FB-89F4-90883DB3FFB5}"/>
    <cellStyle name="常规 4 2 5 3 2 2" xfId="19439" xr:uid="{97A895B2-E712-4A8E-9FB3-569E7A837F51}"/>
    <cellStyle name="常规 4 2 5 3 3" xfId="19440" xr:uid="{62DFB673-6BC6-4FA1-B87C-EA9B85B74440}"/>
    <cellStyle name="常规 4 2 5 3 4" xfId="19441" xr:uid="{E6ACF123-58E1-40E5-B5B3-83C128ACF882}"/>
    <cellStyle name="常规 4 2 5 3 4 2" xfId="34388" xr:uid="{77A24112-99A0-4BB9-93B1-E905CDBCDF0D}"/>
    <cellStyle name="常规 4 2 5 3 5" xfId="19442" xr:uid="{44B7E242-E25B-4AFE-92EE-180FE0D0938E}"/>
    <cellStyle name="常规 4 2 5 4" xfId="19443" xr:uid="{03010316-9B75-4922-95FF-D4AC092F108B}"/>
    <cellStyle name="常规 4 2 5 4 2" xfId="19444" xr:uid="{0E9D359C-6481-4FFC-9C9A-566328A9A665}"/>
    <cellStyle name="常规 4 2 5 4 3" xfId="19445" xr:uid="{245891C5-3926-4E36-9B0A-68DDC23BD702}"/>
    <cellStyle name="常规 4 2 5 5" xfId="19446" xr:uid="{EE3E00C1-95AA-47B0-86B2-360391196BA2}"/>
    <cellStyle name="常规 4 2 5 5 2" xfId="19447" xr:uid="{E5A239D2-D759-472E-9AB0-57B167AC6752}"/>
    <cellStyle name="常规 4 2 5 6" xfId="19448" xr:uid="{BFB712AA-07DC-4846-B84A-FF9D26507F47}"/>
    <cellStyle name="常规 4 2 5 6 2" xfId="19449" xr:uid="{ACB9487A-B40C-481D-AC56-AB295D6511FE}"/>
    <cellStyle name="常规 4 2 5 6 3" xfId="34389" xr:uid="{D753080C-C6F5-43F8-963D-DAE89568D9FE}"/>
    <cellStyle name="常规 4 2 5 7" xfId="19450" xr:uid="{D7524E55-4969-4ECD-B1EF-73B2855AC312}"/>
    <cellStyle name="常规 4 2 5 7 2" xfId="19451" xr:uid="{2FEF2302-82D2-4819-BAF7-A45DDEB8E466}"/>
    <cellStyle name="常规 4 2 5 8" xfId="19452" xr:uid="{323C7604-CF23-421A-8E78-D8E3D306B445}"/>
    <cellStyle name="常规 4 2 6" xfId="19453" xr:uid="{ACDDE2BE-75F6-4E1C-A10D-47D419BEBBC9}"/>
    <cellStyle name="常规 4 2 6 2" xfId="19454" xr:uid="{3D8E71AA-5895-4512-946A-11F75F7CA9AC}"/>
    <cellStyle name="常规 4 2 6 2 2" xfId="19455" xr:uid="{D008FFED-4D82-4166-9B47-965EE73FFD69}"/>
    <cellStyle name="常规 4 2 6 3" xfId="19456" xr:uid="{5006A26F-B9D2-438E-A4A8-115BED355FF9}"/>
    <cellStyle name="常规 4 2 6 4" xfId="19457" xr:uid="{146740CB-B0A9-41E4-8EF3-E507E574008E}"/>
    <cellStyle name="常规 4 2 6 4 2" xfId="34390" xr:uid="{EE4F52B7-C9BF-4881-BFDB-75809D894AF8}"/>
    <cellStyle name="常规 4 2 6 5" xfId="19458" xr:uid="{3FDDFA2B-EE09-4402-8989-42195E72580D}"/>
    <cellStyle name="常规 4 2 7" xfId="19459" xr:uid="{E158119F-1FD9-4A1C-A637-DA428E40EB75}"/>
    <cellStyle name="常规 4 2 7 2" xfId="19460" xr:uid="{8C5FA272-139A-4DB2-A55F-C834A6AA8450}"/>
    <cellStyle name="常规 4 2 7 2 2" xfId="19461" xr:uid="{876B6C51-31EC-4DD6-8E74-3CACF58C9AC4}"/>
    <cellStyle name="常规 4 2 7 3" xfId="19462" xr:uid="{0BB58B63-73AA-4DF9-9274-C6C163131103}"/>
    <cellStyle name="常规 4 2 7 4" xfId="19463" xr:uid="{59AAEBDD-2428-46ED-8C29-D62ED0BBB581}"/>
    <cellStyle name="常规 4 2 7 4 2" xfId="34391" xr:uid="{9D16B7DC-4BB7-4CD8-971D-24851CC14815}"/>
    <cellStyle name="常规 4 2 7 5" xfId="19464" xr:uid="{13B2029B-4A5C-4838-AF36-3794349A7007}"/>
    <cellStyle name="常规 4 2 8" xfId="19465" xr:uid="{A1D3200C-32B0-41C1-8D18-B67827633EB0}"/>
    <cellStyle name="常规 4 2 8 2" xfId="19466" xr:uid="{119590A9-6460-46E2-84C0-C3F6E6534810}"/>
    <cellStyle name="常规 4 2 8 2 2" xfId="19467" xr:uid="{E9902B69-3CFF-4CAA-AD88-B79D10C6DF50}"/>
    <cellStyle name="常规 4 2 8 3" xfId="19468" xr:uid="{1ED455D7-FB8F-4B41-9838-2A2C32B5F00C}"/>
    <cellStyle name="常规 4 2 9" xfId="19469" xr:uid="{ECBD81D2-2BC8-4E86-862A-53E2F50C7DD2}"/>
    <cellStyle name="常规 4 2 9 2" xfId="19470" xr:uid="{C7096A26-6C95-473F-86F0-8A983E872E39}"/>
    <cellStyle name="常规 4 3" xfId="19471" xr:uid="{47CB049F-0AF3-444D-9797-B54E3DBE2980}"/>
    <cellStyle name="常规 4 3 10" xfId="19472" xr:uid="{0C34923A-D94E-4B5E-8CC0-D57785530F33}"/>
    <cellStyle name="常规 4 3 10 2" xfId="19473" xr:uid="{1503A5A1-7E69-4789-830E-83B201423F25}"/>
    <cellStyle name="常规 4 3 10 3" xfId="34392" xr:uid="{35BAC22A-E61E-4D07-9245-BC0B7A633885}"/>
    <cellStyle name="常规 4 3 11" xfId="19474" xr:uid="{67979C3B-AA12-4A23-B40A-8480162F4684}"/>
    <cellStyle name="常规 4 3 11 2" xfId="19475" xr:uid="{5B978900-52C9-491E-B900-2D5003006F14}"/>
    <cellStyle name="常规 4 3 12" xfId="19476" xr:uid="{40709BDF-1BB8-43D0-9000-EA03E6F43AAA}"/>
    <cellStyle name="常规 4 3 13" xfId="19477" xr:uid="{11FE9C11-C549-4EDB-B1FB-0B1E57C0816E}"/>
    <cellStyle name="常规 4 3 14" xfId="19478" xr:uid="{50D7C94B-C07C-4473-BAD6-60361E58E6E6}"/>
    <cellStyle name="常规 4 3 15" xfId="34393" xr:uid="{9AAE5B81-6498-44E5-842B-4DD83EB80A8B}"/>
    <cellStyle name="常规 4 3 2" xfId="19479" xr:uid="{5D758FC1-5A38-49E8-85D2-199B7212F764}"/>
    <cellStyle name="常规 4 3 2 10" xfId="19480" xr:uid="{C58610F2-7E59-49F0-ABCD-5872C608673F}"/>
    <cellStyle name="常规 4 3 2 11" xfId="19481" xr:uid="{97B69F8A-F360-4C53-80FD-D27982953B7E}"/>
    <cellStyle name="常规 4 3 2 12" xfId="34394" xr:uid="{CAC98515-C9E4-4CEA-99C9-46AE8AC48F74}"/>
    <cellStyle name="常规 4 3 2 2" xfId="19482" xr:uid="{DBBE7737-DDCF-4E4A-9304-9521B248DB56}"/>
    <cellStyle name="常规 4 3 2 2 10" xfId="19483" xr:uid="{A87C3766-6F95-4B32-8188-8292AAF79CF3}"/>
    <cellStyle name="常规 4 3 2 2 11" xfId="34395" xr:uid="{7E0B1ADD-7976-4A2A-B564-8A934AA633C6}"/>
    <cellStyle name="常规 4 3 2 2 2" xfId="19484" xr:uid="{77FB451A-39B9-4134-BF73-602EE93BA2B9}"/>
    <cellStyle name="常规 4 3 2 2 2 2" xfId="19485" xr:uid="{2D3B2186-1671-44E5-8BDA-E6712E4F8613}"/>
    <cellStyle name="常规 4 3 2 2 2 2 2" xfId="19486" xr:uid="{4DF16EE4-4B29-4CB7-BFE6-E7094B2ABB7B}"/>
    <cellStyle name="常规 4 3 2 2 2 2 2 2" xfId="19487" xr:uid="{31874ED3-0C93-43C6-8AB8-06429A82A8C3}"/>
    <cellStyle name="常规 4 3 2 2 2 2 3" xfId="19488" xr:uid="{1CEC09EF-9FF0-4796-8F30-C40C042D3031}"/>
    <cellStyle name="常规 4 3 2 2 2 2 4" xfId="19489" xr:uid="{E937FCF3-DC09-455C-9398-4A13118EC9D2}"/>
    <cellStyle name="常规 4 3 2 2 2 2 4 2" xfId="34396" xr:uid="{14257788-2733-4542-9341-5711BD6D3932}"/>
    <cellStyle name="常规 4 3 2 2 2 2 5" xfId="19490" xr:uid="{AD0C3C5E-21D1-487E-BD12-011BA337157A}"/>
    <cellStyle name="常规 4 3 2 2 2 3" xfId="19491" xr:uid="{2EEBF2A0-4820-40E6-A8B3-6E5B2F8495F9}"/>
    <cellStyle name="常规 4 3 2 2 2 3 2" xfId="19492" xr:uid="{826BE6AE-393E-4A1E-82DB-C7554D861DD3}"/>
    <cellStyle name="常规 4 3 2 2 2 3 2 2" xfId="19493" xr:uid="{4F88ECCB-0439-4614-94E4-214E46054D69}"/>
    <cellStyle name="常规 4 3 2 2 2 3 3" xfId="19494" xr:uid="{76D421D1-4F3E-4C95-8AC0-B6543B1170CB}"/>
    <cellStyle name="常规 4 3 2 2 2 3 4" xfId="19495" xr:uid="{DBDEB33B-2C04-47FB-BEE0-12C47654A33F}"/>
    <cellStyle name="常规 4 3 2 2 2 3 4 2" xfId="34397" xr:uid="{0F317EB4-3857-48E5-A39C-AEC587505F50}"/>
    <cellStyle name="常规 4 3 2 2 2 3 5" xfId="19496" xr:uid="{20397138-4185-4908-B85E-3656DB767772}"/>
    <cellStyle name="常规 4 3 2 2 2 4" xfId="19497" xr:uid="{C24ED165-7B76-4494-8241-E86FC8EEEDDD}"/>
    <cellStyle name="常规 4 3 2 2 2 4 2" xfId="19498" xr:uid="{4373282C-04AB-4324-8B0B-43B050533369}"/>
    <cellStyle name="常规 4 3 2 2 2 4 3" xfId="19499" xr:uid="{3FEB269C-C6C3-418A-9152-AA4348C0A7A7}"/>
    <cellStyle name="常规 4 3 2 2 2 5" xfId="19500" xr:uid="{9C4ED958-94E5-454D-B8C1-050729AE5E2D}"/>
    <cellStyle name="常规 4 3 2 2 2 5 2" xfId="19501" xr:uid="{1C491D91-C981-4A75-9850-F6DEC4357F84}"/>
    <cellStyle name="常规 4 3 2 2 2 6" xfId="19502" xr:uid="{79E0C04A-023D-4C39-AAB8-8D22C0C13A8C}"/>
    <cellStyle name="常规 4 3 2 2 2 6 2" xfId="19503" xr:uid="{05B2B7AE-8E8A-43CC-A09F-9D23F6C14005}"/>
    <cellStyle name="常规 4 3 2 2 2 6 3" xfId="34398" xr:uid="{BED97088-D5ED-4F2F-BC2A-EDE577D9D4DA}"/>
    <cellStyle name="常规 4 3 2 2 2 7" xfId="19504" xr:uid="{F24FC166-F5B0-4B70-AB56-7BBE9B212731}"/>
    <cellStyle name="常规 4 3 2 2 2 8" xfId="19505" xr:uid="{FBC7F7BB-9385-461F-9E10-A08B750E10B9}"/>
    <cellStyle name="常规 4 3 2 2 2 9" xfId="34399" xr:uid="{11AB3B86-EC77-479D-B1CF-EE8A938D80FC}"/>
    <cellStyle name="常规 4 3 2 2 3" xfId="19506" xr:uid="{16A16F12-DCED-4726-AB05-B783AC61641F}"/>
    <cellStyle name="常规 4 3 2 2 3 2" xfId="19507" xr:uid="{9924D5BE-D37F-4313-B62F-6836301F239A}"/>
    <cellStyle name="常规 4 3 2 2 3 2 2" xfId="19508" xr:uid="{078C7541-8083-47F9-B532-3F10FEBDA74A}"/>
    <cellStyle name="常规 4 3 2 2 3 2 3" xfId="19509" xr:uid="{CBAAC777-B64F-4603-AAD6-F89EC751178D}"/>
    <cellStyle name="常规 4 3 2 2 3 3" xfId="19510" xr:uid="{6F5D608A-852B-41A0-8E8E-5D122F440C24}"/>
    <cellStyle name="常规 4 3 2 2 3 3 2" xfId="19511" xr:uid="{E8249B5B-3C0F-41D0-8E3D-06CF74833F9B}"/>
    <cellStyle name="常规 4 3 2 2 3 4" xfId="19512" xr:uid="{A7E37254-1F10-4C26-9641-9AA78B677F53}"/>
    <cellStyle name="常规 4 3 2 2 3 4 2" xfId="19513" xr:uid="{8B29CAB7-1DC4-4585-80CC-50231D82ED23}"/>
    <cellStyle name="常规 4 3 2 2 3 4 3" xfId="34400" xr:uid="{4C80E1A1-A621-40B5-A9A9-B927DEAF6778}"/>
    <cellStyle name="常规 4 3 2 2 3 5" xfId="19514" xr:uid="{75A3D35B-1137-4AF5-8664-4A56B63EFF63}"/>
    <cellStyle name="常规 4 3 2 2 3 6" xfId="19515" xr:uid="{2C51642B-EAB5-427F-9995-6557725BCE29}"/>
    <cellStyle name="常规 4 3 2 2 3 7" xfId="19516" xr:uid="{FDF20652-FDD3-4C26-8584-E950F829E1C1}"/>
    <cellStyle name="常规 4 3 2 2 4" xfId="19517" xr:uid="{75B18F31-7102-445E-9DBB-3F7147AD37F0}"/>
    <cellStyle name="常规 4 3 2 2 4 2" xfId="19518" xr:uid="{27F5B097-2C92-4CDB-BCEF-C60EAD1257E6}"/>
    <cellStyle name="常规 4 3 2 2 4 2 2" xfId="19519" xr:uid="{8761B31A-0501-462D-815E-58366703765B}"/>
    <cellStyle name="常规 4 3 2 2 4 3" xfId="19520" xr:uid="{9FB8A8B1-93FB-4329-A456-ECD9C8416CBE}"/>
    <cellStyle name="常规 4 3 2 2 4 4" xfId="19521" xr:uid="{BA53EE74-322F-463B-9E76-F198541CD916}"/>
    <cellStyle name="常规 4 3 2 2 4 4 2" xfId="34401" xr:uid="{CBB78D17-BDFD-4F34-8F95-71BB274BCAE3}"/>
    <cellStyle name="常规 4 3 2 2 4 5" xfId="19522" xr:uid="{E7895317-4782-4F77-8D87-A36E3BA35D28}"/>
    <cellStyle name="常规 4 3 2 2 5" xfId="19523" xr:uid="{C2DEAC7E-FAC1-4E12-AC7A-C067A6D89C96}"/>
    <cellStyle name="常规 4 3 2 2 5 2" xfId="19524" xr:uid="{BCBC6FB9-961C-4BEF-A8E3-0C15E2537DCB}"/>
    <cellStyle name="常规 4 3 2 2 5 3" xfId="19525" xr:uid="{674B62B5-E7FB-42FC-B5C9-EFDF080BCC70}"/>
    <cellStyle name="常规 4 3 2 2 6" xfId="19526" xr:uid="{991DC9FD-4899-4719-84DC-95F427BA1DDE}"/>
    <cellStyle name="常规 4 3 2 2 6 2" xfId="19527" xr:uid="{08702516-E5B3-467A-BF08-9E7CCFF79646}"/>
    <cellStyle name="常规 4 3 2 2 7" xfId="19528" xr:uid="{521B774A-F228-43D3-9998-6369ADFDCB41}"/>
    <cellStyle name="常规 4 3 2 2 7 2" xfId="19529" xr:uid="{38C2EEBA-03AE-43F5-873A-4A61D5AD0933}"/>
    <cellStyle name="常规 4 3 2 2 7 3" xfId="34402" xr:uid="{307DBE01-6EC6-4640-8BF7-2CD38815758F}"/>
    <cellStyle name="常规 4 3 2 2 8" xfId="19530" xr:uid="{62BE747B-17D7-4CED-B394-DDC378E6D7F4}"/>
    <cellStyle name="常规 4 3 2 2 8 2" xfId="19531" xr:uid="{66D9AB90-3141-4129-A6A2-31261C30615D}"/>
    <cellStyle name="常规 4 3 2 2 9" xfId="19532" xr:uid="{FB0C1DD3-7620-45C0-98F6-3213C0F77631}"/>
    <cellStyle name="常规 4 3 2 3" xfId="19533" xr:uid="{9A356C5C-EFD6-442C-9399-F6DF18435037}"/>
    <cellStyle name="常规 4 3 2 3 10" xfId="34403" xr:uid="{CFA1F87B-EBBD-4212-A4E2-EA1C6D3CA935}"/>
    <cellStyle name="常规 4 3 2 3 2" xfId="19534" xr:uid="{2469D3C4-E012-49D2-B94B-28D470EC04F8}"/>
    <cellStyle name="常规 4 3 2 3 2 2" xfId="19535" xr:uid="{DCBC3B0E-5142-4E5B-9EA1-76B4F55C9E17}"/>
    <cellStyle name="常规 4 3 2 3 2 2 2" xfId="19536" xr:uid="{E1C4F5C3-EB39-4400-9EDF-5EC1ED973090}"/>
    <cellStyle name="常规 4 3 2 3 2 2 3" xfId="19537" xr:uid="{8417201D-BBFE-4921-BDCA-136F66458B03}"/>
    <cellStyle name="常规 4 3 2 3 2 3" xfId="19538" xr:uid="{76AA1D20-063E-4635-86C1-E238A166CAFD}"/>
    <cellStyle name="常规 4 3 2 3 2 3 2" xfId="19539" xr:uid="{45302BBE-46C5-4684-ABBB-012C95FD52EF}"/>
    <cellStyle name="常规 4 3 2 3 2 4" xfId="19540" xr:uid="{F19B3236-F866-4A9F-A2F8-2EE948450FFC}"/>
    <cellStyle name="常规 4 3 2 3 2 4 2" xfId="19541" xr:uid="{5DF79642-29D6-4146-82C6-1BD0A7CF617A}"/>
    <cellStyle name="常规 4 3 2 3 2 4 3" xfId="34404" xr:uid="{B14FD17E-4B84-4495-ABF5-24D2C9FCD96A}"/>
    <cellStyle name="常规 4 3 2 3 2 5" xfId="19542" xr:uid="{72477AB3-244A-4652-BFA2-329B0CCD83BD}"/>
    <cellStyle name="常规 4 3 2 3 2 6" xfId="19543" xr:uid="{8DAFA8F2-B862-43F1-9E15-D7D6C7ED6974}"/>
    <cellStyle name="常规 4 3 2 3 2 7" xfId="19544" xr:uid="{F8BEE012-A49B-406D-B1D5-0B54477133E7}"/>
    <cellStyle name="常规 4 3 2 3 3" xfId="19545" xr:uid="{459056F1-D62E-4E8B-9671-FE8EBFCB1EF8}"/>
    <cellStyle name="常规 4 3 2 3 3 2" xfId="19546" xr:uid="{2E46EB5E-A6F3-466B-B335-6102AB8A6951}"/>
    <cellStyle name="常规 4 3 2 3 3 2 2" xfId="19547" xr:uid="{8E0C4304-095E-473C-A2FA-B13506035B27}"/>
    <cellStyle name="常规 4 3 2 3 3 3" xfId="19548" xr:uid="{D2EF379F-D38E-47B7-A4F2-1395A7DA62A9}"/>
    <cellStyle name="常规 4 3 2 3 3 4" xfId="19549" xr:uid="{5F160635-2C13-40CD-A2FC-53C299461F7B}"/>
    <cellStyle name="常规 4 3 2 3 3 4 2" xfId="34405" xr:uid="{AA90B84F-783A-4FB6-BC2D-BE6C604C9D0A}"/>
    <cellStyle name="常规 4 3 2 3 3 5" xfId="19550" xr:uid="{EB789CD4-BBEA-4137-AE02-0FF1410344CC}"/>
    <cellStyle name="常规 4 3 2 3 4" xfId="19551" xr:uid="{2F4DD0E2-111F-46A0-9085-B57F07E1BA20}"/>
    <cellStyle name="常规 4 3 2 3 4 2" xfId="19552" xr:uid="{A9E1662F-505F-42A2-B003-2ECB75AE1AAB}"/>
    <cellStyle name="常规 4 3 2 3 4 3" xfId="19553" xr:uid="{7F7F62D1-B7D8-4DF5-833D-47EB83D0C9F7}"/>
    <cellStyle name="常规 4 3 2 3 5" xfId="19554" xr:uid="{F9558F1D-02D3-496F-BD31-D27F5F3F42DF}"/>
    <cellStyle name="常规 4 3 2 3 5 2" xfId="19555" xr:uid="{3939A23F-B407-4DD3-97B4-19E31EBC2168}"/>
    <cellStyle name="常规 4 3 2 3 6" xfId="19556" xr:uid="{90D9C301-2FD5-435E-B105-45DE46DEBCE3}"/>
    <cellStyle name="常规 4 3 2 3 6 2" xfId="19557" xr:uid="{BBD8898F-5C75-4F20-B1C2-433E4F071D8D}"/>
    <cellStyle name="常规 4 3 2 3 6 3" xfId="34406" xr:uid="{15C5D46A-AE12-429F-8511-E994523DD6FD}"/>
    <cellStyle name="常规 4 3 2 3 7" xfId="19558" xr:uid="{76EBF64C-93D4-4603-8945-152FB653A8D4}"/>
    <cellStyle name="常规 4 3 2 3 8" xfId="19559" xr:uid="{7E254C8F-2B98-42C6-BBD7-A260677B937B}"/>
    <cellStyle name="常规 4 3 2 3 9" xfId="19560" xr:uid="{D28637B4-5779-42FB-9BE5-4FECD146B5E7}"/>
    <cellStyle name="常规 4 3 2 4" xfId="19561" xr:uid="{589E99C5-45C3-4585-9ECF-4F5886BAE785}"/>
    <cellStyle name="常规 4 3 2 4 2" xfId="19562" xr:uid="{0AD61FC6-48F5-4723-839B-276D41FF14FF}"/>
    <cellStyle name="常规 4 3 2 4 2 2" xfId="19563" xr:uid="{F322AFE6-33F5-44F1-8B86-58C9A73246D3}"/>
    <cellStyle name="常规 4 3 2 4 2 3" xfId="19564" xr:uid="{6676430E-4E5E-4B7E-9262-B00FC670F8B9}"/>
    <cellStyle name="常规 4 3 2 4 3" xfId="19565" xr:uid="{E6020832-9CA6-4131-8538-378AADF459DE}"/>
    <cellStyle name="常规 4 3 2 4 3 2" xfId="19566" xr:uid="{1CB400AD-2E46-40A7-AA7B-221270A035AE}"/>
    <cellStyle name="常规 4 3 2 4 4" xfId="19567" xr:uid="{25BA1EED-F15B-4B07-A59F-D04121981991}"/>
    <cellStyle name="常规 4 3 2 4 4 2" xfId="19568" xr:uid="{994C01CC-FEAC-488F-A150-FB07147CEB82}"/>
    <cellStyle name="常规 4 3 2 4 4 3" xfId="34407" xr:uid="{3BA48447-D5BF-40E5-9227-0B3A065241E6}"/>
    <cellStyle name="常规 4 3 2 4 5" xfId="19569" xr:uid="{73C0879F-685A-448A-A9B9-37CDA2E05D06}"/>
    <cellStyle name="常规 4 3 2 4 6" xfId="19570" xr:uid="{EEFFED2F-1359-4952-B0B2-1CBA1C2EB826}"/>
    <cellStyle name="常规 4 3 2 4 7" xfId="19571" xr:uid="{F067AF5F-0982-4FE3-AB96-0F997C037AB4}"/>
    <cellStyle name="常规 4 3 2 5" xfId="19572" xr:uid="{EAF130A4-6A98-4E1C-BCB0-D0C9920438C9}"/>
    <cellStyle name="常规 4 3 2 5 2" xfId="19573" xr:uid="{ECEC0283-2A82-4374-AD1F-AB6468D6F46E}"/>
    <cellStyle name="常规 4 3 2 5 2 2" xfId="19574" xr:uid="{FCF6AA22-D8CC-4907-A708-3F7973AC91A9}"/>
    <cellStyle name="常规 4 3 2 5 2 3" xfId="19575" xr:uid="{3A568760-5B2A-4E49-A016-F6E401AC0790}"/>
    <cellStyle name="常规 4 3 2 5 3" xfId="19576" xr:uid="{81A172EA-9963-4F6F-BF4C-611DDAAB0F93}"/>
    <cellStyle name="常规 4 3 2 5 3 2" xfId="19577" xr:uid="{63E6E326-0A0D-4E15-A1CA-5CA4E982B635}"/>
    <cellStyle name="常规 4 3 2 5 4" xfId="19578" xr:uid="{E29AC0C9-B336-4388-B271-4D47DFC229E3}"/>
    <cellStyle name="常规 4 3 2 5 4 2" xfId="19579" xr:uid="{35069740-BC4A-4FB0-9BB1-EB1F69B18360}"/>
    <cellStyle name="常规 4 3 2 5 4 3" xfId="34408" xr:uid="{ACBD8A2F-FD8D-4EDC-AA19-8A8621AAE234}"/>
    <cellStyle name="常规 4 3 2 5 5" xfId="19580" xr:uid="{C66B0E29-F3C6-4493-9BA2-DDBEEA7B7FCD}"/>
    <cellStyle name="常规 4 3 2 5 6" xfId="19581" xr:uid="{0C46DE0A-4794-4DE4-BED0-CBBD8D47F369}"/>
    <cellStyle name="常规 4 3 2 5 7" xfId="19582" xr:uid="{3A79F40C-BBBC-4E84-A85E-88CA72F6F72C}"/>
    <cellStyle name="常规 4 3 2 6" xfId="19583" xr:uid="{A825E011-3863-47B1-B9C9-0576CAD2834B}"/>
    <cellStyle name="常规 4 3 2 6 2" xfId="19584" xr:uid="{7F9B0429-504A-446A-860B-2FFC381EC85D}"/>
    <cellStyle name="常规 4 3 2 6 3" xfId="19585" xr:uid="{2095A92A-E375-4B2B-9182-24D180BE8C58}"/>
    <cellStyle name="常规 4 3 2 7" xfId="19586" xr:uid="{063753D7-2460-430E-9209-F6529C0B05E0}"/>
    <cellStyle name="常规 4 3 2 7 2" xfId="19587" xr:uid="{FBA7CEA8-8ECD-4C54-9C03-CABBEEA1EF5D}"/>
    <cellStyle name="常规 4 3 2 8" xfId="19588" xr:uid="{573D75B3-96E8-47DA-91C5-D9C085304DCF}"/>
    <cellStyle name="常规 4 3 2 8 2" xfId="19589" xr:uid="{D8A6F7BD-3770-4FFA-9572-6AB0F72F663F}"/>
    <cellStyle name="常规 4 3 2 8 3" xfId="34409" xr:uid="{63D3191F-38E2-43B2-A112-5F1F40C2723D}"/>
    <cellStyle name="常规 4 3 2 9" xfId="19590" xr:uid="{3AD693FE-23B7-4953-A539-708C8DFB2835}"/>
    <cellStyle name="常规 4 3 2 9 2" xfId="19591" xr:uid="{FBDFD878-A676-477C-8B56-734F37B352CD}"/>
    <cellStyle name="常规 4 3 3" xfId="19592" xr:uid="{E69C2D47-DC0A-48AE-8F63-231753D371AA}"/>
    <cellStyle name="常规 4 3 3 10" xfId="19593" xr:uid="{B7F492FD-53B4-4F17-B936-F75D41C7607F}"/>
    <cellStyle name="常规 4 3 3 11" xfId="19594" xr:uid="{E609F910-68D9-4F13-AC9C-3AC00BCC28D0}"/>
    <cellStyle name="常规 4 3 3 12" xfId="34410" xr:uid="{D6ADBE3E-0056-47C9-84A4-EAEC707A8473}"/>
    <cellStyle name="常规 4 3 3 2" xfId="19595" xr:uid="{08922CBE-E99D-4451-9D3E-5DDE3575BE69}"/>
    <cellStyle name="常规 4 3 3 2 2" xfId="19596" xr:uid="{7FD060B8-B997-4753-8F51-5418D49FE27A}"/>
    <cellStyle name="常规 4 3 3 2 2 2" xfId="19597" xr:uid="{5D066944-F712-445A-8738-2700DD4ECEAE}"/>
    <cellStyle name="常规 4 3 3 2 2 2 2" xfId="19598" xr:uid="{445C12E4-EEF1-402B-A4D5-0E1906F1EDA6}"/>
    <cellStyle name="常规 4 3 3 2 2 2 2 2" xfId="19599" xr:uid="{98AAE570-1095-4130-B3FB-21D83DAC671A}"/>
    <cellStyle name="常规 4 3 3 2 2 2 3" xfId="19600" xr:uid="{A64AA45C-4D24-4315-92FC-74BD1EBF5BF6}"/>
    <cellStyle name="常规 4 3 3 2 2 2 4" xfId="19601" xr:uid="{F9E2A60D-6A4E-4756-BC95-93A807887CE6}"/>
    <cellStyle name="常规 4 3 3 2 2 2 4 2" xfId="34411" xr:uid="{01EFB699-3DC2-48C6-A2F4-9ADA01C69CA8}"/>
    <cellStyle name="常规 4 3 3 2 2 3" xfId="19602" xr:uid="{DED154DC-A5B5-4D10-9557-20A37F4AB5B6}"/>
    <cellStyle name="常规 4 3 3 2 2 3 2" xfId="19603" xr:uid="{A9ECBCF1-7173-4F9B-B0C8-EC0535702AC8}"/>
    <cellStyle name="常规 4 3 3 2 2 4" xfId="19604" xr:uid="{5793A4B8-5859-40C1-9F3A-ED2F596F6814}"/>
    <cellStyle name="常规 4 3 3 2 2 5" xfId="19605" xr:uid="{BA872609-AAA8-49CF-BD4F-6CF9A4F15A7B}"/>
    <cellStyle name="常规 4 3 3 2 2 5 2" xfId="34412" xr:uid="{0C6860E4-5072-4321-BD9D-74F0A0313924}"/>
    <cellStyle name="常规 4 3 3 2 3" xfId="19606" xr:uid="{0D8C1905-9C2A-4DE1-9AF5-1E4D2C480677}"/>
    <cellStyle name="常规 4 3 3 2 3 2" xfId="19607" xr:uid="{BB5C1D89-933D-4940-BE65-36C5440D01B8}"/>
    <cellStyle name="常规 4 3 3 2 3 2 2" xfId="19608" xr:uid="{FA6C29AF-79EA-46F0-9337-2771DEB87157}"/>
    <cellStyle name="常规 4 3 3 2 3 3" xfId="19609" xr:uid="{3C13BADA-9BB2-493E-AE45-CD747102E748}"/>
    <cellStyle name="常规 4 3 3 2 3 4" xfId="19610" xr:uid="{E0CB44B5-0226-4FF2-AAEB-8D49534EBCB6}"/>
    <cellStyle name="常规 4 3 3 2 3 4 2" xfId="34413" xr:uid="{9DB64790-E5A0-40E5-A725-ECF6A7A452AC}"/>
    <cellStyle name="常规 4 3 3 2 4" xfId="19611" xr:uid="{A1EECCB4-85D2-4764-A904-43743F9C078F}"/>
    <cellStyle name="常规 4 3 3 2 4 2" xfId="19612" xr:uid="{7BFC02E6-A4DC-4713-A73E-190C9D1EA185}"/>
    <cellStyle name="常规 4 3 3 2 5" xfId="19613" xr:uid="{7F3A0A00-E076-444D-8C2B-20EA05407508}"/>
    <cellStyle name="常规 4 3 3 2 6" xfId="19614" xr:uid="{1EF21D2F-7CEE-4590-B26E-56E5E31D207D}"/>
    <cellStyle name="常规 4 3 3 2 6 2" xfId="34414" xr:uid="{162DC885-4787-47C9-97D7-3BEF20562A9A}"/>
    <cellStyle name="常规 4 3 3 2 7" xfId="19615" xr:uid="{A8E9FB07-AE4A-4B90-B119-0C6E72BED14E}"/>
    <cellStyle name="常规 4 3 3 3" xfId="19616" xr:uid="{CA584E55-1E1E-4746-BC9B-1C7294745BF8}"/>
    <cellStyle name="常规 4 3 3 3 2" xfId="19617" xr:uid="{512AF42B-B808-4D39-80C3-132B1C521D3F}"/>
    <cellStyle name="常规 4 3 3 3 2 2" xfId="19618" xr:uid="{C496C317-C208-4756-BAFD-81FEF133EB92}"/>
    <cellStyle name="常规 4 3 3 3 2 2 2" xfId="19619" xr:uid="{BFE468D5-6954-405D-A9FD-C59D78D0DCB3}"/>
    <cellStyle name="常规 4 3 3 3 2 3" xfId="19620" xr:uid="{ECF83DBA-9002-4917-B6F6-36E92824441C}"/>
    <cellStyle name="常规 4 3 3 3 2 4" xfId="19621" xr:uid="{9171BC49-41D4-41CA-8F4D-948EA54CF94D}"/>
    <cellStyle name="常规 4 3 3 3 2 4 2" xfId="34415" xr:uid="{316B6882-CFC7-4FC8-A240-9A007B593B8E}"/>
    <cellStyle name="常规 4 3 3 3 2 5" xfId="19622" xr:uid="{7FDAF70A-312F-4B04-9434-E3BD984755A3}"/>
    <cellStyle name="常规 4 3 3 3 3" xfId="19623" xr:uid="{0A347CD6-782A-4CD2-A004-14F86CD31E2E}"/>
    <cellStyle name="常规 4 3 3 3 3 2" xfId="19624" xr:uid="{F51D1C6D-FC6C-4703-9994-02255FD48D9C}"/>
    <cellStyle name="常规 4 3 3 3 3 2 2" xfId="19625" xr:uid="{66369E9B-B1EE-4852-BB9D-F757109CAA60}"/>
    <cellStyle name="常规 4 3 3 3 3 3" xfId="19626" xr:uid="{F5280C43-8AD6-42F0-A0D7-812C6666C40D}"/>
    <cellStyle name="常规 4 3 3 3 3 4" xfId="19627" xr:uid="{5A440C28-5557-4168-A754-D36CAC22F180}"/>
    <cellStyle name="常规 4 3 3 3 3 4 2" xfId="34416" xr:uid="{38A33BD5-A0CB-4271-B026-F977C8E54868}"/>
    <cellStyle name="常规 4 3 3 3 3 5" xfId="19628" xr:uid="{777B6C02-6EE1-4F25-BD47-C28329B32759}"/>
    <cellStyle name="常规 4 3 3 3 4" xfId="19629" xr:uid="{5A605291-B5E6-4965-8D5F-AA9F8DDD1540}"/>
    <cellStyle name="常规 4 3 3 3 4 2" xfId="19630" xr:uid="{EE426A8F-C5B6-4C89-A87F-4448E1666F7F}"/>
    <cellStyle name="常规 4 3 3 3 4 3" xfId="19631" xr:uid="{4FA11C70-0662-401D-BF8E-9EA2897C62CB}"/>
    <cellStyle name="常规 4 3 3 3 5" xfId="19632" xr:uid="{FDFA1046-D1C2-4351-9B2F-6DCAB87BDA8F}"/>
    <cellStyle name="常规 4 3 3 3 5 2" xfId="19633" xr:uid="{930BFF0C-1EBA-41F3-973B-9718E716431A}"/>
    <cellStyle name="常规 4 3 3 3 6" xfId="19634" xr:uid="{F2B3FCC0-EF8F-49DA-871A-2AA33FF68F19}"/>
    <cellStyle name="常规 4 3 3 3 6 2" xfId="19635" xr:uid="{C03C2364-F7A7-4F29-AAD9-D4B688A02060}"/>
    <cellStyle name="常规 4 3 3 3 6 3" xfId="34417" xr:uid="{528E627A-A0E9-4B24-B364-088BC2797590}"/>
    <cellStyle name="常规 4 3 3 3 7" xfId="19636" xr:uid="{4C0759F3-F4EC-4908-B3DB-0E7AA192C9FB}"/>
    <cellStyle name="常规 4 3 3 4" xfId="19637" xr:uid="{995AFE31-DE5A-4126-A24F-3578E6C8324D}"/>
    <cellStyle name="常规 4 3 3 4 2" xfId="19638" xr:uid="{EDF153E4-0642-474D-A59F-4F717AB044BD}"/>
    <cellStyle name="常规 4 3 3 4 2 2" xfId="19639" xr:uid="{971508D0-6B1B-41F6-97EC-A87E5E285B81}"/>
    <cellStyle name="常规 4 3 3 4 2 3" xfId="19640" xr:uid="{D5505575-2756-49BE-AD6D-0AE6F0E5A7E8}"/>
    <cellStyle name="常规 4 3 3 4 3" xfId="19641" xr:uid="{2F663C09-AEA5-4AA7-A96F-6EBBDC08422A}"/>
    <cellStyle name="常规 4 3 3 4 3 2" xfId="19642" xr:uid="{E5BF54A9-7A50-4FA3-8563-08EE2D84F2ED}"/>
    <cellStyle name="常规 4 3 3 4 4" xfId="19643" xr:uid="{F9F442E2-F0E7-412D-BBA6-B6938D93593A}"/>
    <cellStyle name="常规 4 3 3 4 4 2" xfId="19644" xr:uid="{F9BE064B-0823-44B8-9713-C52B93963268}"/>
    <cellStyle name="常规 4 3 3 4 4 3" xfId="34418" xr:uid="{D8FB41D7-CF33-4664-8B36-ED35013D50E9}"/>
    <cellStyle name="常规 4 3 3 4 5" xfId="19645" xr:uid="{880517ED-FD80-434C-9DDC-0E7D8D38288F}"/>
    <cellStyle name="常规 4 3 3 4 6" xfId="19646" xr:uid="{625470D2-6AB5-4C12-8EC9-046CEC2517E0}"/>
    <cellStyle name="常规 4 3 3 4 7" xfId="19647" xr:uid="{48EC2D29-ACED-4575-BB6D-904EF9314D2E}"/>
    <cellStyle name="常规 4 3 3 5" xfId="19648" xr:uid="{03EE8A7B-F721-48B6-94ED-1585D6C64DC9}"/>
    <cellStyle name="常规 4 3 3 5 2" xfId="19649" xr:uid="{DB44C834-A608-4BAB-9743-3E6327172F58}"/>
    <cellStyle name="常规 4 3 3 5 2 2" xfId="19650" xr:uid="{003F27E2-8B87-4FBF-BA02-BE65C5245F73}"/>
    <cellStyle name="常规 4 3 3 5 3" xfId="19651" xr:uid="{8E77C683-2FF3-43DC-BA81-A4440E8BF126}"/>
    <cellStyle name="常规 4 3 3 5 4" xfId="19652" xr:uid="{C3258E93-0F2A-4C1E-868E-0D4D276F9733}"/>
    <cellStyle name="常规 4 3 3 5 4 2" xfId="34419" xr:uid="{6C711D42-D6D0-434F-8B19-BF442DE62968}"/>
    <cellStyle name="常规 4 3 3 5 5" xfId="19653" xr:uid="{00FF3E1C-607B-43E3-9622-739CBED68841}"/>
    <cellStyle name="常规 4 3 3 6" xfId="19654" xr:uid="{DC583123-2391-4D0C-A08B-6F073AEDBE60}"/>
    <cellStyle name="常规 4 3 3 6 2" xfId="19655" xr:uid="{4D2088E8-9BEE-4AB1-A377-987456B36378}"/>
    <cellStyle name="常规 4 3 3 6 3" xfId="19656" xr:uid="{7ACE0C6F-13AC-4A9B-9EDA-0490A0F1EC33}"/>
    <cellStyle name="常规 4 3 3 7" xfId="19657" xr:uid="{38257AFB-F734-4F52-8A65-2BFD258BA41F}"/>
    <cellStyle name="常规 4 3 3 7 2" xfId="19658" xr:uid="{C7422982-3288-439D-922F-D62D227E6492}"/>
    <cellStyle name="常规 4 3 3 8" xfId="19659" xr:uid="{B06263AD-CA43-4B10-A5C9-B0EE55FBAF38}"/>
    <cellStyle name="常规 4 3 3 8 2" xfId="19660" xr:uid="{32BC3D15-8E13-490B-BA9F-D5A893FE4A53}"/>
    <cellStyle name="常规 4 3 3 8 3" xfId="34420" xr:uid="{C94D98FA-9E80-4CB0-B351-2A8CEAA3109A}"/>
    <cellStyle name="常规 4 3 3 9" xfId="19661" xr:uid="{5B2A2D3D-3202-4D01-AB6A-26B2E77E7CF4}"/>
    <cellStyle name="常规 4 3 3 9 2" xfId="19662" xr:uid="{58415BAC-5CD8-4059-A792-01985A6C8DA9}"/>
    <cellStyle name="常规 4 3 4" xfId="19663" xr:uid="{3BDAA660-49EA-4C3B-BBC7-254F2D369795}"/>
    <cellStyle name="常规 4 3 4 2" xfId="19664" xr:uid="{1089781D-5C12-454C-9DC9-5ACDE8C7E644}"/>
    <cellStyle name="常规 4 3 4 2 2" xfId="19665" xr:uid="{7018E418-D036-45F2-B721-8D9F78564B76}"/>
    <cellStyle name="常规 4 3 4 2 2 2" xfId="19666" xr:uid="{EFD561E7-05D8-4B3D-9F42-7B86A022EAE1}"/>
    <cellStyle name="常规 4 3 4 2 2 2 2" xfId="19667" xr:uid="{2C43290B-327A-456D-A057-A9BF995B921B}"/>
    <cellStyle name="常规 4 3 4 2 2 3" xfId="19668" xr:uid="{12359E02-1A2A-430D-9506-DF910BA309E0}"/>
    <cellStyle name="常规 4 3 4 2 2 4" xfId="19669" xr:uid="{2C0C4931-8B59-41AD-A4FF-57CCEE40B562}"/>
    <cellStyle name="常规 4 3 4 2 2 4 2" xfId="34421" xr:uid="{539355E3-F3D1-4C16-9B60-3B4FA86238EF}"/>
    <cellStyle name="常规 4 3 4 2 3" xfId="19670" xr:uid="{EC408878-00D4-4508-9DC5-622E4D97E44A}"/>
    <cellStyle name="常规 4 3 4 2 3 2" xfId="19671" xr:uid="{E0B79F8A-7E50-4FE3-BE44-0DFDE589FF6A}"/>
    <cellStyle name="常规 4 3 4 2 3 2 2" xfId="19672" xr:uid="{EADB1EC2-9DFE-4AE0-B282-4B648F1A0CBA}"/>
    <cellStyle name="常规 4 3 4 2 3 3" xfId="19673" xr:uid="{059CF1CF-F6C2-43D0-9995-613627F382A1}"/>
    <cellStyle name="常规 4 3 4 2 3 4" xfId="19674" xr:uid="{959C3211-7AD6-44A2-AA05-1066E7C783EC}"/>
    <cellStyle name="常规 4 3 4 2 3 4 2" xfId="34422" xr:uid="{04F2089B-1E30-4773-AAED-A29465CF70CF}"/>
    <cellStyle name="常规 4 3 4 2 4" xfId="19675" xr:uid="{ADD1093C-7753-424C-AB05-4FEA23E745BF}"/>
    <cellStyle name="常规 4 3 4 2 4 2" xfId="19676" xr:uid="{74B45014-D20B-4C3D-82EF-742DB1EAA0D7}"/>
    <cellStyle name="常规 4 3 4 2 5" xfId="19677" xr:uid="{59D0B53C-A9ED-48AC-A4C4-03C3C9476963}"/>
    <cellStyle name="常规 4 3 4 2 6" xfId="19678" xr:uid="{9AFBAF89-C7E3-4D55-9561-9A0B58CFF3E6}"/>
    <cellStyle name="常规 4 3 4 2 6 2" xfId="34423" xr:uid="{B171701A-D5AB-4839-99EC-FA994E028B64}"/>
    <cellStyle name="常规 4 3 4 3" xfId="19679" xr:uid="{A6870395-714A-44E2-AEFD-1369C881679C}"/>
    <cellStyle name="常规 4 3 4 3 2" xfId="19680" xr:uid="{2F1CD7BE-A73C-48C9-A4B4-44CF2FBC2F04}"/>
    <cellStyle name="常规 4 3 4 3 2 2" xfId="19681" xr:uid="{B24C2A42-C56F-4174-A370-E364DAF38056}"/>
    <cellStyle name="常规 4 3 4 3 3" xfId="19682" xr:uid="{A5B154C9-7086-4A06-BD6F-A124B75D060B}"/>
    <cellStyle name="常规 4 3 4 3 4" xfId="19683" xr:uid="{226B7E0A-ECBF-49CC-ABC8-8E8D930886C5}"/>
    <cellStyle name="常规 4 3 4 3 4 2" xfId="34424" xr:uid="{A9D73E2D-51A2-42B2-9908-1AC3548F6B4E}"/>
    <cellStyle name="常规 4 3 4 4" xfId="19684" xr:uid="{FAAACEFF-5A94-48C4-8309-85AE1C743072}"/>
    <cellStyle name="常规 4 3 4 4 2" xfId="19685" xr:uid="{A762A70F-3395-4C62-AE21-E02EFC36030A}"/>
    <cellStyle name="常规 4 3 4 4 2 2" xfId="19686" xr:uid="{3DE950C7-7445-4B41-8F27-B305E6E12DE3}"/>
    <cellStyle name="常规 4 3 4 4 3" xfId="19687" xr:uid="{A4DA9A6F-2366-46B0-B3C3-8C739AB735EC}"/>
    <cellStyle name="常规 4 3 4 4 4" xfId="19688" xr:uid="{A3C6BEB4-E4B8-4FFA-BAA7-B89FA90C5E41}"/>
    <cellStyle name="常规 4 3 4 4 4 2" xfId="34425" xr:uid="{302B7662-E3E2-47DA-9527-0FE1049255A5}"/>
    <cellStyle name="常规 4 3 4 5" xfId="19689" xr:uid="{897775DE-7A4E-43C0-ACDC-C8E9A32A9F28}"/>
    <cellStyle name="常规 4 3 4 5 2" xfId="19690" xr:uid="{E4D76F26-7F21-4EF0-91A5-A1E3C4BCBECE}"/>
    <cellStyle name="常规 4 3 4 6" xfId="19691" xr:uid="{CEEDC660-CF3B-46BC-A4FD-85D34DF32238}"/>
    <cellStyle name="常规 4 3 4 7" xfId="19692" xr:uid="{5137D3C3-9096-4C16-BA8C-6AB29680FFD6}"/>
    <cellStyle name="常规 4 3 4 7 2" xfId="34426" xr:uid="{341572CA-25E3-4F75-BF4F-6368575626CB}"/>
    <cellStyle name="常规 4 3 4 8" xfId="19693" xr:uid="{E51DE022-414B-4700-A6D4-16DD09600A63}"/>
    <cellStyle name="常规 4 3 4 9" xfId="19694" xr:uid="{06BC5B22-4937-4DED-ADE5-1E8D7430315A}"/>
    <cellStyle name="常规 4 3 5" xfId="19695" xr:uid="{EB97EABE-336F-4A32-BB43-6C3A60C6B0C3}"/>
    <cellStyle name="常规 4 3 5 2" xfId="19696" xr:uid="{645E9BBB-E725-4D6C-A769-9DCAF6E60AAE}"/>
    <cellStyle name="常规 4 3 5 2 2" xfId="19697" xr:uid="{EE1A4DC6-88E7-4757-8184-975761531EF9}"/>
    <cellStyle name="常规 4 3 5 2 2 2" xfId="19698" xr:uid="{98FC73C1-F411-4ACF-93A4-8575DAC0A3DD}"/>
    <cellStyle name="常规 4 3 5 2 3" xfId="19699" xr:uid="{E2E4536D-1A62-46FC-A4C2-ABB77D3B7393}"/>
    <cellStyle name="常规 4 3 5 2 4" xfId="19700" xr:uid="{3F598901-6D87-46F4-BBD2-F5A62C58580F}"/>
    <cellStyle name="常规 4 3 5 2 4 2" xfId="34427" xr:uid="{CDC0FC1D-FE54-49D0-8A9D-CDF6211E3521}"/>
    <cellStyle name="常规 4 3 5 3" xfId="19701" xr:uid="{11B18831-8205-4016-9B1C-EB42F089145C}"/>
    <cellStyle name="常规 4 3 5 3 2" xfId="19702" xr:uid="{321AD38E-98DC-484F-AC90-C4EB2F2BF4A3}"/>
    <cellStyle name="常规 4 3 5 3 2 2" xfId="19703" xr:uid="{3B595F54-5269-4E10-BEA8-13B9A900F1FA}"/>
    <cellStyle name="常规 4 3 5 3 3" xfId="19704" xr:uid="{52E5415E-37FD-4096-843C-C9458AB8D3A7}"/>
    <cellStyle name="常规 4 3 5 3 4" xfId="19705" xr:uid="{270D17C2-20D8-4A46-A350-33119DF9A96A}"/>
    <cellStyle name="常规 4 3 5 3 4 2" xfId="34428" xr:uid="{F5C92C9F-C791-4B13-8026-42595309E6FE}"/>
    <cellStyle name="常规 4 3 5 4" xfId="19706" xr:uid="{6CF2CDBD-EED1-4E2E-9DCF-FACC8B745675}"/>
    <cellStyle name="常规 4 3 5 4 2" xfId="19707" xr:uid="{EE45939C-5C3D-47B6-820A-5ED46DB5DD39}"/>
    <cellStyle name="常规 4 3 5 5" xfId="19708" xr:uid="{6F628F7B-1FB8-48F2-BDCE-1682ADA91A28}"/>
    <cellStyle name="常规 4 3 5 6" xfId="19709" xr:uid="{F25B7021-77AD-47C8-B3FE-82C8DE50C6EC}"/>
    <cellStyle name="常规 4 3 5 6 2" xfId="34429" xr:uid="{420F45FD-09EF-40D7-B419-69249B3476BF}"/>
    <cellStyle name="常规 4 3 5 7" xfId="19710" xr:uid="{B95C8D18-FC4D-406B-A1C3-03F21B2F7877}"/>
    <cellStyle name="常规 4 3 6" xfId="19711" xr:uid="{16FB4D9B-1D0A-4965-98EC-9766EE4A4E4D}"/>
    <cellStyle name="常规 4 3 6 2" xfId="19712" xr:uid="{810BEA17-1E46-46E6-ACE5-3C80895F9D9C}"/>
    <cellStyle name="常规 4 3 6 2 2" xfId="19713" xr:uid="{7E9D7B30-8F60-4E7E-BE36-89B9CB474348}"/>
    <cellStyle name="常规 4 3 6 2 3" xfId="19714" xr:uid="{8723F5D5-9A02-4B1B-B94D-28111D02F16B}"/>
    <cellStyle name="常规 4 3 6 3" xfId="19715" xr:uid="{EF703E3E-BE94-4788-B085-41407E8AA9E6}"/>
    <cellStyle name="常规 4 3 6 3 2" xfId="19716" xr:uid="{47E25DFE-43A5-4FA0-8F11-DC6D76E4254D}"/>
    <cellStyle name="常规 4 3 6 4" xfId="19717" xr:uid="{F75B5230-98CF-43E7-AF23-F31230528FD8}"/>
    <cellStyle name="常规 4 3 6 4 2" xfId="19718" xr:uid="{BBB85882-C2D5-4D1C-B23F-7E4FF30F4DF6}"/>
    <cellStyle name="常规 4 3 6 4 3" xfId="34430" xr:uid="{E709EE31-0011-44D2-8424-BD08DE414639}"/>
    <cellStyle name="常规 4 3 6 5" xfId="19719" xr:uid="{452208FA-5A2B-4946-AA53-9058A16E1607}"/>
    <cellStyle name="常规 4 3 6 6" xfId="19720" xr:uid="{090CE4D0-EA86-4547-A8BE-D300801CD36E}"/>
    <cellStyle name="常规 4 3 6 7" xfId="19721" xr:uid="{9C2D8A04-DB29-4755-B423-FFDE4B41BCF8}"/>
    <cellStyle name="常规 4 3 7" xfId="19722" xr:uid="{91217CDF-8024-4E84-824A-629015E71003}"/>
    <cellStyle name="常规 4 3 7 2" xfId="19723" xr:uid="{5911D1C4-EA18-4ED9-A018-A7B6EDA8BE56}"/>
    <cellStyle name="常规 4 3 7 2 2" xfId="19724" xr:uid="{8AE4D74A-2017-4B15-AB79-D4CFA3320BB4}"/>
    <cellStyle name="常规 4 3 7 2 3" xfId="19725" xr:uid="{99F489DD-EA29-4D10-B535-F2C951666941}"/>
    <cellStyle name="常规 4 3 7 3" xfId="19726" xr:uid="{F025F5A9-FA0C-4AD0-9C77-4D1179615E4C}"/>
    <cellStyle name="常规 4 3 7 3 2" xfId="19727" xr:uid="{1F2DD9F4-CE5D-4982-A866-A6C9A7AD4BFC}"/>
    <cellStyle name="常规 4 3 7 4" xfId="19728" xr:uid="{D8FB053E-8F8F-4151-97C6-B383CF8CF3B9}"/>
    <cellStyle name="常规 4 3 7 4 2" xfId="19729" xr:uid="{319A9EB3-7CB0-42D8-9512-1A06323E0CA1}"/>
    <cellStyle name="常规 4 3 7 4 3" xfId="34431" xr:uid="{3B066FDB-4F91-48CF-BADE-58D085B6ECB6}"/>
    <cellStyle name="常规 4 3 7 5" xfId="19730" xr:uid="{ED134FCB-91FC-4F9A-B743-9E7992404D10}"/>
    <cellStyle name="常规 4 3 7 6" xfId="19731" xr:uid="{D1020EE2-4304-4019-8EF9-E571C5C10AB5}"/>
    <cellStyle name="常规 4 3 7 7" xfId="19732" xr:uid="{60F8A520-8DB3-4E18-8E53-241D44854B32}"/>
    <cellStyle name="常规 4 3 8" xfId="19733" xr:uid="{76F7329C-5D3E-4AB5-9F0C-5691291B2B4F}"/>
    <cellStyle name="常规 4 3 8 2" xfId="19734" xr:uid="{804DAB95-393A-46B9-B513-4F4F5355F662}"/>
    <cellStyle name="常规 4 3 8 3" xfId="19735" xr:uid="{B7CC3E19-DD36-4869-B699-C9EC196D91EB}"/>
    <cellStyle name="常规 4 3 9" xfId="19736" xr:uid="{991758BB-BA88-4D95-83FA-26F28A37BE18}"/>
    <cellStyle name="常规 4 3 9 2" xfId="19737" xr:uid="{10808DAD-8DA3-4618-B3AA-1B9E8AFB2DF1}"/>
    <cellStyle name="常规 4 4" xfId="19738" xr:uid="{9E0642F2-2EED-466E-81C0-6AF98E55584F}"/>
    <cellStyle name="常规 4 4 10" xfId="19739" xr:uid="{AA2B86E7-192C-4138-AEEB-C6821FFA6D30}"/>
    <cellStyle name="常规 4 4 11" xfId="19740" xr:uid="{DC6D9CB3-E942-46A6-8FB3-70E0DC40C9C9}"/>
    <cellStyle name="常规 4 4 12" xfId="19741" xr:uid="{2DFCF75B-6152-40DB-82E9-3993B7F27784}"/>
    <cellStyle name="常规 4 4 13" xfId="34432" xr:uid="{69C84715-D0E9-4C88-BD26-895CA5988C1D}"/>
    <cellStyle name="常规 4 4 2" xfId="19742" xr:uid="{A5474A67-A5CB-47A3-96EE-8A5CD17DA87E}"/>
    <cellStyle name="常规 4 4 2 2" xfId="19743" xr:uid="{BEF1303E-A27A-45A7-BB41-075FF91C4B32}"/>
    <cellStyle name="常规 4 4 2 2 2" xfId="19744" xr:uid="{FA4D5D57-E48E-4C60-B2DD-FCE4AB3BC4F7}"/>
    <cellStyle name="常规 4 4 2 2 3" xfId="19745" xr:uid="{3F4A1E95-D9FF-48D4-97D8-309E42876CED}"/>
    <cellStyle name="常规 4 4 2 2 4" xfId="19746" xr:uid="{8370DA1F-6275-40DE-9F47-2469A655655F}"/>
    <cellStyle name="常规 4 4 2 2 5" xfId="19747" xr:uid="{3D35A99A-93E3-4A61-8EAB-B89394264C8C}"/>
    <cellStyle name="常规 4 4 2 2 6" xfId="19748" xr:uid="{5117094B-4575-4125-9553-8FFAE8B7C07B}"/>
    <cellStyle name="常规 4 4 2 3" xfId="19749" xr:uid="{B073D748-C54E-4436-95A7-2C9DAFF66CCC}"/>
    <cellStyle name="常规 4 4 2 4" xfId="19750" xr:uid="{DCAF9AB0-A807-4E3D-92EC-EB82BCF5C35E}"/>
    <cellStyle name="常规 4 4 2 5" xfId="19751" xr:uid="{3C5DE1B3-23F7-402A-9CF3-6E7D4AAD827B}"/>
    <cellStyle name="常规 4 4 2 6" xfId="19752" xr:uid="{8CEC053E-38E7-4104-B330-326D36756B55}"/>
    <cellStyle name="常规 4 4 2 7" xfId="19753" xr:uid="{5F069DCE-5CAD-4360-90D8-24B90DAEB7C3}"/>
    <cellStyle name="常规 4 4 2 8" xfId="19754" xr:uid="{E8929967-8DC9-411A-8DD2-B2BC1C5C9875}"/>
    <cellStyle name="常规 4 4 2 9" xfId="19755" xr:uid="{A49AA0F4-DA56-4ADB-BE0E-54F8BD62DD93}"/>
    <cellStyle name="常规 4 4 3" xfId="19756" xr:uid="{4DEA39DF-0547-4821-8875-8E6E3C0729DD}"/>
    <cellStyle name="常规 4 4 3 2" xfId="19757" xr:uid="{0407C820-94FB-453C-8691-F7E64BACF67D}"/>
    <cellStyle name="常规 4 4 3 3" xfId="19758" xr:uid="{9070C2C3-1632-4EB7-AC30-187EEF2D0A91}"/>
    <cellStyle name="常规 4 4 3 4" xfId="19759" xr:uid="{254302FD-AEB5-464B-91C3-E93AFEF7FEB0}"/>
    <cellStyle name="常规 4 4 3 5" xfId="19760" xr:uid="{647BF8BA-961E-4A2E-B3B8-68BBA7910985}"/>
    <cellStyle name="常规 4 4 3 6" xfId="19761" xr:uid="{727FDFFF-63B2-4069-A92C-FB01A4AC1E98}"/>
    <cellStyle name="常规 4 4 3 7" xfId="19762" xr:uid="{7B5FF129-E8F4-4D96-876F-C911881E9706}"/>
    <cellStyle name="常规 4 4 4" xfId="19763" xr:uid="{FB5C4540-980E-4BD6-9E01-787E40942BC6}"/>
    <cellStyle name="常规 4 4 5" xfId="19764" xr:uid="{DF09B897-EC08-4712-AD0E-2BF5E59480ED}"/>
    <cellStyle name="常规 4 4 6" xfId="19765" xr:uid="{D71F455D-A3D6-4E0A-974E-8C7C354F236B}"/>
    <cellStyle name="常规 4 4 7" xfId="19766" xr:uid="{97174C50-E495-4363-AEC6-A7D5AF67D48C}"/>
    <cellStyle name="常规 4 4 8" xfId="19767" xr:uid="{C8FD9B22-D40D-4783-AFE4-B4F8E88E6729}"/>
    <cellStyle name="常规 4 4 9" xfId="19768" xr:uid="{372104D6-E0F8-4EE3-9ACC-DE7CBEA1D9BF}"/>
    <cellStyle name="常规 4 5" xfId="19769" xr:uid="{517C5F9F-010F-4E5F-980F-6C1ADC6EA67B}"/>
    <cellStyle name="常规 4 5 10" xfId="19770" xr:uid="{1F73A80F-15D2-464C-9DB1-837A6FF238EA}"/>
    <cellStyle name="常规 4 5 10 2" xfId="19771" xr:uid="{2F2178FA-9560-4F11-84BB-722F3A828687}"/>
    <cellStyle name="常规 4 5 11" xfId="19772" xr:uid="{4C2458DC-3B52-4F31-AB17-44D42F5907A9}"/>
    <cellStyle name="常规 4 5 12" xfId="19773" xr:uid="{E203BCF8-822D-486F-BC0F-024BD1C33C56}"/>
    <cellStyle name="常规 4 5 13" xfId="19774" xr:uid="{6811D5D0-1DB3-4443-997D-841CCB569EB2}"/>
    <cellStyle name="常规 4 5 14" xfId="19775" xr:uid="{93216CA1-5F06-46FE-86F1-6C31EEF7BFC5}"/>
    <cellStyle name="常规 4 5 15" xfId="34433" xr:uid="{25288781-E28B-47C2-B119-89980E3685BB}"/>
    <cellStyle name="常规 4 5 2" xfId="19776" xr:uid="{DA9B54B2-E413-4717-A220-34DAC9169FB1}"/>
    <cellStyle name="常规 4 5 2 10" xfId="19777" xr:uid="{4FDE6E19-9ACF-4A3C-AC3B-10B629052EAA}"/>
    <cellStyle name="常规 4 5 2 11" xfId="19778" xr:uid="{CA739E91-A857-4142-A12B-16D169EBA841}"/>
    <cellStyle name="常规 4 5 2 2" xfId="19779" xr:uid="{D09CE364-99AF-49A5-96C3-89979F2DA06C}"/>
    <cellStyle name="常规 4 5 2 2 2" xfId="19780" xr:uid="{F0D12742-0EFE-49FF-B463-76EDE1861BAA}"/>
    <cellStyle name="常规 4 5 2 2 2 2" xfId="19781" xr:uid="{04176DED-4510-40E1-8BDF-B3D37ECCF676}"/>
    <cellStyle name="常规 4 5 2 2 2 2 2" xfId="19782" xr:uid="{9999C29A-430E-47B8-9203-FBAAA99BDE65}"/>
    <cellStyle name="常规 4 5 2 2 2 2 2 2" xfId="19783" xr:uid="{53D41C55-3557-4856-B035-B969161A647F}"/>
    <cellStyle name="常规 4 5 2 2 2 2 3" xfId="19784" xr:uid="{464D7F68-A532-42AD-BD96-81CAFA709F1C}"/>
    <cellStyle name="常规 4 5 2 2 2 2 4" xfId="19785" xr:uid="{3305A76B-7433-41D9-826E-2FDAB257040E}"/>
    <cellStyle name="常规 4 5 2 2 2 2 4 2" xfId="34434" xr:uid="{0EC921E7-94A5-49F7-8947-ADAD3450BBAE}"/>
    <cellStyle name="常规 4 5 2 2 2 2 5" xfId="19786" xr:uid="{7767B54E-2EDB-4390-B7E5-B22AA0D26264}"/>
    <cellStyle name="常规 4 5 2 2 2 3" xfId="19787" xr:uid="{195F4982-09A5-40DB-960D-52855D976F81}"/>
    <cellStyle name="常规 4 5 2 2 2 3 2" xfId="19788" xr:uid="{A467A0EB-FB9A-4B4F-9155-215BC55477D2}"/>
    <cellStyle name="常规 4 5 2 2 2 3 3" xfId="19789" xr:uid="{97DA3009-BA00-4999-B3C3-485724CACA75}"/>
    <cellStyle name="常规 4 5 2 2 2 4" xfId="19790" xr:uid="{DDAA2768-2273-4924-B6D5-56885902942C}"/>
    <cellStyle name="常规 4 5 2 2 2 4 2" xfId="19791" xr:uid="{1DDFDE12-58E4-4159-9CF9-C1371F52F58B}"/>
    <cellStyle name="常规 4 5 2 2 2 5" xfId="19792" xr:uid="{F46E871E-BBBC-4E88-8463-D88A3B252F3C}"/>
    <cellStyle name="常规 4 5 2 2 2 5 2" xfId="19793" xr:uid="{6528AF02-3BCD-42BB-BA79-16B7FB206A10}"/>
    <cellStyle name="常规 4 5 2 2 2 5 3" xfId="34435" xr:uid="{7FD1E2D2-F98D-417E-A925-EABF2A03384F}"/>
    <cellStyle name="常规 4 5 2 2 2 6" xfId="19794" xr:uid="{CA6F9C3A-2727-44B9-95F1-D3119B63CD48}"/>
    <cellStyle name="常规 4 5 2 2 2 7" xfId="19795" xr:uid="{70EF1E9C-A181-4F72-A8CE-71CB205BACD7}"/>
    <cellStyle name="常规 4 5 2 2 3" xfId="19796" xr:uid="{18A96C5F-EB77-4299-99FD-95075A61DAD4}"/>
    <cellStyle name="常规 4 5 2 2 3 2" xfId="19797" xr:uid="{E4E072F7-C07C-4D8E-881D-B80F52245FB2}"/>
    <cellStyle name="常规 4 5 2 2 3 2 2" xfId="19798" xr:uid="{1A1169EC-A699-4F90-A26C-A061D66CB9E9}"/>
    <cellStyle name="常规 4 5 2 2 3 3" xfId="19799" xr:uid="{8DEBA374-689B-45D4-94BB-3BB4CD2D8DC6}"/>
    <cellStyle name="常规 4 5 2 2 3 4" xfId="19800" xr:uid="{ACA3BD9F-B7E7-42DE-B3EF-25D3814766BD}"/>
    <cellStyle name="常规 4 5 2 2 3 4 2" xfId="34436" xr:uid="{82182C8B-61AC-4EC4-B24A-3CC98844D6E0}"/>
    <cellStyle name="常规 4 5 2 2 3 5" xfId="19801" xr:uid="{54ECBA26-B0F6-446B-9DBB-99CCA7FFF10B}"/>
    <cellStyle name="常规 4 5 2 2 4" xfId="19802" xr:uid="{84E89399-86D1-40DD-ADFD-D9EE8EDAF60C}"/>
    <cellStyle name="常规 4 5 2 2 4 2" xfId="19803" xr:uid="{9925D5C0-8CF5-42DD-B2BE-97CF390EA61B}"/>
    <cellStyle name="常规 4 5 2 2 4 3" xfId="19804" xr:uid="{C43876B9-58C2-48C3-8AB3-F73F4BB95C76}"/>
    <cellStyle name="常规 4 5 2 2 5" xfId="19805" xr:uid="{96F05E61-9B99-4044-80CB-6B0E5C43DC56}"/>
    <cellStyle name="常规 4 5 2 2 5 2" xfId="19806" xr:uid="{2E8A627B-F36A-45F2-A2CD-AA3590B16D63}"/>
    <cellStyle name="常规 4 5 2 2 6" xfId="19807" xr:uid="{7D00CEA1-ED71-4DDA-9D09-F8D2156ED390}"/>
    <cellStyle name="常规 4 5 2 2 6 2" xfId="19808" xr:uid="{B5358DDD-1DE1-4775-9C97-1BD619B914EA}"/>
    <cellStyle name="常规 4 5 2 2 6 3" xfId="34437" xr:uid="{5AEBA614-09AB-46FA-B9BE-DD742B262EBF}"/>
    <cellStyle name="常规 4 5 2 2 7" xfId="19809" xr:uid="{02DB8509-C20C-469A-8EB0-69088C84104F}"/>
    <cellStyle name="常规 4 5 2 2 8" xfId="19810" xr:uid="{9323F8A5-4602-4D7B-A9B8-5E7B08260786}"/>
    <cellStyle name="常规 4 5 2 3" xfId="19811" xr:uid="{D932E62A-A1DA-40B0-A3CF-FD5547EE8F5D}"/>
    <cellStyle name="常规 4 5 2 3 2" xfId="19812" xr:uid="{83398C34-0F97-466D-8D4E-4EB440885E58}"/>
    <cellStyle name="常规 4 5 2 3 2 2" xfId="19813" xr:uid="{FEFEE099-308F-4383-A746-D6B197147400}"/>
    <cellStyle name="常规 4 5 2 3 2 2 2" xfId="19814" xr:uid="{EC19EAE1-B4DE-475A-8F2A-BD372E1408A3}"/>
    <cellStyle name="常规 4 5 2 3 2 2 3" xfId="19815" xr:uid="{D4F71FAF-4FAB-463B-B562-2D2858DDC7D2}"/>
    <cellStyle name="常规 4 5 2 3 2 3" xfId="19816" xr:uid="{B4852F95-0EAD-4996-8220-43B009B7C375}"/>
    <cellStyle name="常规 4 5 2 3 2 3 2" xfId="19817" xr:uid="{4F7E5BB9-5663-4A1F-B221-CD2677DDB513}"/>
    <cellStyle name="常规 4 5 2 3 2 4" xfId="19818" xr:uid="{E1F148EC-8249-4F20-8E36-27E599C6499F}"/>
    <cellStyle name="常规 4 5 2 3 2 4 2" xfId="19819" xr:uid="{AA97C0DA-861F-4A47-8D82-9469EC4A6270}"/>
    <cellStyle name="常规 4 5 2 3 2 4 3" xfId="34438" xr:uid="{B872FF0E-10CB-4B6B-AADC-504FF82621C9}"/>
    <cellStyle name="常规 4 5 2 3 2 5" xfId="19820" xr:uid="{59C15F5E-B4E9-44B4-A563-C141199B6C24}"/>
    <cellStyle name="常规 4 5 2 3 2 6" xfId="19821" xr:uid="{D15239B8-1438-44E0-954C-D6B81C42492F}"/>
    <cellStyle name="常规 4 5 2 3 2 7" xfId="19822" xr:uid="{FD215A24-B81C-45C3-B56B-FCBEE1F6D17F}"/>
    <cellStyle name="常规 4 5 2 3 3" xfId="19823" xr:uid="{5A7DA01A-6534-4188-9D2B-DCC504B909DE}"/>
    <cellStyle name="常规 4 5 2 3 3 2" xfId="19824" xr:uid="{CDAF9113-5829-4418-9455-A4E47B4252AB}"/>
    <cellStyle name="常规 4 5 2 3 3 2 2" xfId="19825" xr:uid="{10EB2051-C2D6-41CA-B569-FD83895BA543}"/>
    <cellStyle name="常规 4 5 2 3 3 3" xfId="19826" xr:uid="{499B3749-9DA6-4A91-9614-A76F6033F1B3}"/>
    <cellStyle name="常规 4 5 2 3 3 4" xfId="19827" xr:uid="{93E3EEA3-2961-457C-BC9E-9F5B9E0EBB89}"/>
    <cellStyle name="常规 4 5 2 3 3 4 2" xfId="34439" xr:uid="{9E198925-588E-4C71-9CDC-EE0BA2653143}"/>
    <cellStyle name="常规 4 5 2 3 3 5" xfId="19828" xr:uid="{C3FD888C-58BC-4069-984C-67C914B35003}"/>
    <cellStyle name="常规 4 5 2 3 4" xfId="19829" xr:uid="{49F05B72-6060-4588-BD3E-9CD16ED3983B}"/>
    <cellStyle name="常规 4 5 2 3 4 2" xfId="19830" xr:uid="{3C3F0CE2-FFFD-4981-AA9F-080A2D06EDFE}"/>
    <cellStyle name="常规 4 5 2 3 4 3" xfId="19831" xr:uid="{21D82859-E3D8-4532-B93E-E8BDC641F955}"/>
    <cellStyle name="常规 4 5 2 3 5" xfId="19832" xr:uid="{C0B7DF54-7961-4CF4-84D9-DC111F1DF230}"/>
    <cellStyle name="常规 4 5 2 3 5 2" xfId="19833" xr:uid="{122A6C78-9E69-48B3-BC2F-61854379064D}"/>
    <cellStyle name="常规 4 5 2 3 6" xfId="19834" xr:uid="{004C3B09-F7F9-4CB9-811E-99A8341F9D12}"/>
    <cellStyle name="常规 4 5 2 3 6 2" xfId="19835" xr:uid="{928C61A1-BAEF-42C8-B0F2-A90116F2CBE1}"/>
    <cellStyle name="常规 4 5 2 3 6 3" xfId="34440" xr:uid="{71EC922A-D243-4234-BBE5-844A072A97D9}"/>
    <cellStyle name="常规 4 5 2 3 7" xfId="19836" xr:uid="{23C19A04-7D41-479A-BAC8-1EC5F9D4D204}"/>
    <cellStyle name="常规 4 5 2 3 8" xfId="19837" xr:uid="{3F87DFE9-29C6-4D1D-BDE8-7007A351A735}"/>
    <cellStyle name="常规 4 5 2 4" xfId="19838" xr:uid="{CD17AA8F-1EF0-4A56-B73C-876008335685}"/>
    <cellStyle name="常规 4 5 2 4 2" xfId="19839" xr:uid="{6E6ADA09-3A9D-46B2-B770-98812A3D9888}"/>
    <cellStyle name="常规 4 5 2 4 2 2" xfId="19840" xr:uid="{0FCE0393-9D81-4FF7-A37D-FB79D4786D66}"/>
    <cellStyle name="常规 4 5 2 4 2 3" xfId="19841" xr:uid="{54BC2E43-74A3-4D0D-8027-3C2CCB42A437}"/>
    <cellStyle name="常规 4 5 2 4 3" xfId="19842" xr:uid="{3716FBE4-ADFB-48FE-9D1E-F0F9905F8FCF}"/>
    <cellStyle name="常规 4 5 2 4 3 2" xfId="19843" xr:uid="{D83556EC-2A0E-45E9-8EE1-B6E1C34DCA50}"/>
    <cellStyle name="常规 4 5 2 4 4" xfId="19844" xr:uid="{9EB90A97-A981-41D0-A62E-F644FE116515}"/>
    <cellStyle name="常规 4 5 2 4 4 2" xfId="19845" xr:uid="{1B8CFB06-E04C-49D2-8C23-D2AE8795755A}"/>
    <cellStyle name="常规 4 5 2 4 4 3" xfId="34441" xr:uid="{BC5F817E-20FC-4AE1-9131-F7D5C8BE5CA1}"/>
    <cellStyle name="常规 4 5 2 4 5" xfId="19846" xr:uid="{2FBA0C2F-BBF9-490E-BCD1-34A3F5D35B23}"/>
    <cellStyle name="常规 4 5 2 4 6" xfId="19847" xr:uid="{9C9CFCCC-FFF4-4B9D-AD43-4511C9C985DB}"/>
    <cellStyle name="常规 4 5 2 4 7" xfId="19848" xr:uid="{4CA915B7-3AE1-4179-A447-0F613DAC9DA0}"/>
    <cellStyle name="常规 4 5 2 5" xfId="19849" xr:uid="{0801F290-54D1-4E58-B50C-C127A1B28871}"/>
    <cellStyle name="常规 4 5 2 5 2" xfId="19850" xr:uid="{33F79728-BFF0-4397-90A8-2FC26B3AA351}"/>
    <cellStyle name="常规 4 5 2 5 2 2" xfId="19851" xr:uid="{7FA83C57-E676-4144-AA48-9EFBFB89BF06}"/>
    <cellStyle name="常规 4 5 2 5 2 3" xfId="19852" xr:uid="{661AFC0C-7965-4BB5-A737-A66657F67D06}"/>
    <cellStyle name="常规 4 5 2 5 3" xfId="19853" xr:uid="{F8F71EF6-CE23-4466-96DC-233F9C79CCD6}"/>
    <cellStyle name="常规 4 5 2 5 3 2" xfId="19854" xr:uid="{561F0DFA-E110-4382-965E-FF0B37D095F0}"/>
    <cellStyle name="常规 4 5 2 5 4" xfId="19855" xr:uid="{A8742AA8-F3AB-48AF-A97A-5762DA5E16C0}"/>
    <cellStyle name="常规 4 5 2 5 4 2" xfId="19856" xr:uid="{D4262B94-0F4F-46C3-AFB4-AAEA229DCFF8}"/>
    <cellStyle name="常规 4 5 2 5 4 3" xfId="34442" xr:uid="{48B22AD5-8B4F-4B55-A70F-AABEF65E5374}"/>
    <cellStyle name="常规 4 5 2 5 5" xfId="19857" xr:uid="{A1F33D0D-DA7B-4F5A-9A85-F9FB419EADEC}"/>
    <cellStyle name="常规 4 5 2 5 6" xfId="19858" xr:uid="{8C56BED7-8210-4389-9F79-5A6DCB1AD948}"/>
    <cellStyle name="常规 4 5 2 5 7" xfId="19859" xr:uid="{9A02B195-D4C7-4CE6-9291-78718EA1A21C}"/>
    <cellStyle name="常规 4 5 2 6" xfId="19860" xr:uid="{515276AF-7C42-4A96-9B54-8B3CF0861017}"/>
    <cellStyle name="常规 4 5 2 6 2" xfId="19861" xr:uid="{FCA6097E-50F6-420C-99D7-E405AEC8FFAF}"/>
    <cellStyle name="常规 4 5 2 6 3" xfId="19862" xr:uid="{49E5884E-2065-4328-A57E-D94B54018251}"/>
    <cellStyle name="常规 4 5 2 7" xfId="19863" xr:uid="{339963B3-46A8-4CEF-8D26-5B28637CABF2}"/>
    <cellStyle name="常规 4 5 2 7 2" xfId="19864" xr:uid="{F000FE8A-A368-466F-B8C8-40908FE99E7E}"/>
    <cellStyle name="常规 4 5 2 8" xfId="19865" xr:uid="{8D74096D-B5B3-4F2F-BB4C-48DEF5D21A60}"/>
    <cellStyle name="常规 4 5 2 8 2" xfId="19866" xr:uid="{D23DC977-1D73-4F7E-B0BE-E31E4C0D3EA7}"/>
    <cellStyle name="常规 4 5 2 8 3" xfId="34443" xr:uid="{E821FDFA-ABAD-492B-A8A4-709C686F0500}"/>
    <cellStyle name="常规 4 5 2 9" xfId="19867" xr:uid="{A86FE9C3-E836-441A-807D-47350F270295}"/>
    <cellStyle name="常规 4 5 2 9 2" xfId="19868" xr:uid="{88BE759E-6BC6-486F-9DE5-6EDE25F20B0C}"/>
    <cellStyle name="常规 4 5 3" xfId="19869" xr:uid="{6E969723-99A4-4495-AB78-CB2DAF0EB440}"/>
    <cellStyle name="常规 4 5 3 2" xfId="19870" xr:uid="{2CB79A38-DE9B-419C-B474-2BD8A81D52D2}"/>
    <cellStyle name="常规 4 5 3 2 2" xfId="19871" xr:uid="{B2FC45EA-092A-4170-999E-FFB135644E92}"/>
    <cellStyle name="常规 4 5 3 2 2 2" xfId="19872" xr:uid="{02C30D67-A322-483D-A666-A65473778FEE}"/>
    <cellStyle name="常规 4 5 3 2 2 2 2" xfId="19873" xr:uid="{C7E9E9CF-0810-4D4E-A426-9B8468489209}"/>
    <cellStyle name="常规 4 5 3 2 2 3" xfId="19874" xr:uid="{2B887793-9BA8-415D-9B6D-0AAAAEA2234C}"/>
    <cellStyle name="常规 4 5 3 2 2 4" xfId="19875" xr:uid="{E303F476-4586-4D32-B33F-0150DC0DBEA1}"/>
    <cellStyle name="常规 4 5 3 2 2 4 2" xfId="34444" xr:uid="{B5926662-4414-433B-8179-1BA541EC80F7}"/>
    <cellStyle name="常规 4 5 3 2 3" xfId="19876" xr:uid="{2659EF6A-A03A-46F3-83C9-BDAE961A18D4}"/>
    <cellStyle name="常规 4 5 3 2 3 2" xfId="19877" xr:uid="{A8B5A504-7A68-4B12-9CEA-4D44307E8437}"/>
    <cellStyle name="常规 4 5 3 2 3 2 2" xfId="19878" xr:uid="{94E361D9-FB23-418B-A170-273F5345BA57}"/>
    <cellStyle name="常规 4 5 3 2 3 3" xfId="19879" xr:uid="{B3F75FD2-EF1A-462D-BD91-8DD21467ED0B}"/>
    <cellStyle name="常规 4 5 3 2 3 4" xfId="19880" xr:uid="{B493E3B6-D5C9-4066-A99F-74DE0714D247}"/>
    <cellStyle name="常规 4 5 3 2 3 4 2" xfId="34445" xr:uid="{2E147314-5CFA-4191-AEA8-CEA2B1B31F14}"/>
    <cellStyle name="常规 4 5 3 2 4" xfId="19881" xr:uid="{E27ED787-5AC9-47A5-A6D0-DBD67F321C34}"/>
    <cellStyle name="常规 4 5 3 2 4 2" xfId="19882" xr:uid="{3C98A2A8-4D30-4252-8694-E02F4BF12EBD}"/>
    <cellStyle name="常规 4 5 3 2 5" xfId="19883" xr:uid="{DF004F1F-2D59-4327-A3E5-D2A84202FC5A}"/>
    <cellStyle name="常规 4 5 3 2 6" xfId="19884" xr:uid="{99BB1BB6-2AF1-49A0-B7D7-7BF152313791}"/>
    <cellStyle name="常规 4 5 3 2 6 2" xfId="34446" xr:uid="{1F30A3CE-DC80-4167-AAB5-935511F7CAE8}"/>
    <cellStyle name="常规 4 5 3 2 7" xfId="19885" xr:uid="{7B0BE527-0D5C-4479-A832-66356AFB909B}"/>
    <cellStyle name="常规 4 5 3 3" xfId="19886" xr:uid="{798F4756-3CF2-4FD8-B4D5-19E79FEC0C84}"/>
    <cellStyle name="常规 4 5 3 3 2" xfId="19887" xr:uid="{4288AFBD-DFCD-4FF0-BFB7-E148B1F0CC02}"/>
    <cellStyle name="常规 4 5 3 3 2 2" xfId="19888" xr:uid="{65CEA59A-2B78-4CFA-A2B0-24B2B32F43FD}"/>
    <cellStyle name="常规 4 5 3 3 2 3" xfId="19889" xr:uid="{98FAE2C1-D1ED-4194-BE2C-610AE323A214}"/>
    <cellStyle name="常规 4 5 3 3 3" xfId="19890" xr:uid="{4D9A719D-6AAE-4B21-A398-F36A8DB0768F}"/>
    <cellStyle name="常规 4 5 3 3 3 2" xfId="19891" xr:uid="{FBE335EB-6C69-4986-958A-C39E34ACB2EE}"/>
    <cellStyle name="常规 4 5 3 3 4" xfId="19892" xr:uid="{870DFBB1-1FF9-41C4-8E96-9F86FC9258F6}"/>
    <cellStyle name="常规 4 5 3 3 4 2" xfId="19893" xr:uid="{2800BCD8-E3B3-42C6-902E-FCEF480BF2B3}"/>
    <cellStyle name="常规 4 5 3 3 4 3" xfId="34447" xr:uid="{150781E4-956F-4F4A-AA37-96C98E2E2C3A}"/>
    <cellStyle name="常规 4 5 3 3 5" xfId="19894" xr:uid="{E5E83064-4691-4932-9B4E-CB9425725AF8}"/>
    <cellStyle name="常规 4 5 3 3 6" xfId="19895" xr:uid="{C1E89BAF-AE5D-4339-9822-675A444C75D1}"/>
    <cellStyle name="常规 4 5 3 3 7" xfId="19896" xr:uid="{0DAB451F-3CD7-45BC-8BE6-6E0024E63132}"/>
    <cellStyle name="常规 4 5 3 4" xfId="19897" xr:uid="{8A7B4E40-BE10-42A7-8B6C-84254965EF29}"/>
    <cellStyle name="常规 4 5 3 4 2" xfId="19898" xr:uid="{2D620CBF-EC85-43BC-A73B-13326E9812FE}"/>
    <cellStyle name="常规 4 5 3 4 2 2" xfId="19899" xr:uid="{42FC9D8C-638A-4364-AF44-A34B0DBB610C}"/>
    <cellStyle name="常规 4 5 3 4 3" xfId="19900" xr:uid="{9624743F-D9EE-42D1-93B1-9DE9DE0C913C}"/>
    <cellStyle name="常规 4 5 3 4 4" xfId="19901" xr:uid="{997A1669-CB83-47BC-8336-3EB3C0A53026}"/>
    <cellStyle name="常规 4 5 3 4 4 2" xfId="34448" xr:uid="{4C1A7F23-A111-4666-84EB-A7EF385EF56D}"/>
    <cellStyle name="常规 4 5 3 4 5" xfId="19902" xr:uid="{1133E0C6-6A51-458C-B0D5-E4BB8EFA371A}"/>
    <cellStyle name="常规 4 5 3 5" xfId="19903" xr:uid="{D2DEB37E-B18B-4CC4-BE7F-F9B4717D9259}"/>
    <cellStyle name="常规 4 5 3 5 2" xfId="19904" xr:uid="{4324BCC9-8B5E-4B40-B8FB-2040C0664490}"/>
    <cellStyle name="常规 4 5 3 5 3" xfId="19905" xr:uid="{BB5945F5-F922-43C0-BBB4-23508F0818F5}"/>
    <cellStyle name="常规 4 5 3 6" xfId="19906" xr:uid="{2F1CF2B1-E744-45B8-A76C-749A89F9B9D5}"/>
    <cellStyle name="常规 4 5 3 6 2" xfId="19907" xr:uid="{44137300-75F7-429D-87F7-59FB749D1FF9}"/>
    <cellStyle name="常规 4 5 3 7" xfId="19908" xr:uid="{E4FC2C46-AA50-4AF3-829B-25D85F632A20}"/>
    <cellStyle name="常规 4 5 3 7 2" xfId="19909" xr:uid="{CE1E3BFC-39E8-4CCE-A3BC-575679BCFBA9}"/>
    <cellStyle name="常规 4 5 3 7 3" xfId="34449" xr:uid="{225FDDCE-3E63-479D-874A-173CC9B05C0C}"/>
    <cellStyle name="常规 4 5 3 8" xfId="19910" xr:uid="{2EEE7848-18CF-489A-A728-9CE3DC4C0EBB}"/>
    <cellStyle name="常规 4 5 3 8 2" xfId="19911" xr:uid="{841DF3FB-587A-4D63-9B4C-AA59ED4BEE11}"/>
    <cellStyle name="常规 4 5 3 9" xfId="19912" xr:uid="{12A3B1D9-638A-4BD7-937B-69DF31D33FEC}"/>
    <cellStyle name="常规 4 5 4" xfId="19913" xr:uid="{8915B55C-2DCF-4579-B83E-EA4D8533C1BF}"/>
    <cellStyle name="常规 4 5 4 2" xfId="19914" xr:uid="{6B13EABC-0E54-4987-9050-A7DD22713B8F}"/>
    <cellStyle name="常规 4 5 4 2 2" xfId="19915" xr:uid="{BA2E8BDD-8EB2-42C3-99A7-97DDAC6C1792}"/>
    <cellStyle name="常规 4 5 4 2 2 2" xfId="19916" xr:uid="{31C3C14E-6073-4AAC-AAAA-1E4F209B9816}"/>
    <cellStyle name="常规 4 5 4 2 3" xfId="19917" xr:uid="{44F9E9F5-BFE5-435B-B5A8-4A83222A9E8C}"/>
    <cellStyle name="常规 4 5 4 2 4" xfId="19918" xr:uid="{98C6960B-A3EB-4E47-A9B9-7B7FA79209E8}"/>
    <cellStyle name="常规 4 5 4 2 4 2" xfId="34450" xr:uid="{09699243-5C0B-45D2-8A76-8E7FA2A970FE}"/>
    <cellStyle name="常规 4 5 4 3" xfId="19919" xr:uid="{29BCB0A2-F900-4FC6-AE69-6F6F0DB8789E}"/>
    <cellStyle name="常规 4 5 4 3 2" xfId="19920" xr:uid="{6D9F35E5-26B7-49F4-81FE-5B7DCA057F81}"/>
    <cellStyle name="常规 4 5 4 3 2 2" xfId="19921" xr:uid="{39329FA7-0083-41EE-86DA-F2EC2944C816}"/>
    <cellStyle name="常规 4 5 4 3 3" xfId="19922" xr:uid="{7DFDDD94-4DBF-4872-884E-2F61C284D96B}"/>
    <cellStyle name="常规 4 5 4 3 4" xfId="19923" xr:uid="{EE5BF0F3-FF56-45B4-AD66-304E80C0BE76}"/>
    <cellStyle name="常规 4 5 4 3 4 2" xfId="34451" xr:uid="{0DD2D3BB-24EF-403F-ACFC-9D21BD189DFC}"/>
    <cellStyle name="常规 4 5 4 4" xfId="19924" xr:uid="{15C9C47B-26B6-4704-B65D-2E5BF9051006}"/>
    <cellStyle name="常规 4 5 4 4 2" xfId="19925" xr:uid="{B42CCB61-5C7D-4111-AC8E-F125719EE3AA}"/>
    <cellStyle name="常规 4 5 4 5" xfId="19926" xr:uid="{178C3573-1564-4A9C-B6C5-DBFF18C74E70}"/>
    <cellStyle name="常规 4 5 4 6" xfId="19927" xr:uid="{52165BF5-F0AF-4451-AD9B-FBF8E34FD1C3}"/>
    <cellStyle name="常规 4 5 4 6 2" xfId="34452" xr:uid="{775170D9-8709-48F0-8D6F-031F51634B36}"/>
    <cellStyle name="常规 4 5 4 7" xfId="19928" xr:uid="{878FADD2-4D87-47EA-970E-5DDC42927C3E}"/>
    <cellStyle name="常规 4 5 4 8" xfId="19929" xr:uid="{A9E9DECB-908C-4D9C-8C1D-EE6371748903}"/>
    <cellStyle name="常规 4 5 5" xfId="19930" xr:uid="{284EDD65-32C7-41B0-B692-05940FFD47C9}"/>
    <cellStyle name="常规 4 5 5 2" xfId="19931" xr:uid="{786FF8C1-D791-469D-8B4F-ABD6ADAF529C}"/>
    <cellStyle name="常规 4 5 5 2 2" xfId="19932" xr:uid="{8D88E7F5-37E6-4503-A82E-BAC03B0A7F8F}"/>
    <cellStyle name="常规 4 5 5 3" xfId="19933" xr:uid="{654B5044-EF9F-4224-849A-BF6040DC85CC}"/>
    <cellStyle name="常规 4 5 5 4" xfId="19934" xr:uid="{2F22CCB5-681C-4F1D-92F7-9C06B132357E}"/>
    <cellStyle name="常规 4 5 5 4 2" xfId="34453" xr:uid="{BD6977BB-4B70-4458-8591-75A88205DC9C}"/>
    <cellStyle name="常规 4 5 5 5" xfId="19935" xr:uid="{53410BF9-1583-491F-A361-E964B86F10BD}"/>
    <cellStyle name="常规 4 5 6" xfId="19936" xr:uid="{4C914EEA-3435-4AEA-B561-1D9274D65338}"/>
    <cellStyle name="常规 4 5 6 2" xfId="19937" xr:uid="{EB912D13-BE10-420F-AAF9-34841B6C9648}"/>
    <cellStyle name="常规 4 5 6 2 2" xfId="19938" xr:uid="{94A604AA-E557-43BC-A78E-CC6D9851F88F}"/>
    <cellStyle name="常规 4 5 6 2 3" xfId="19939" xr:uid="{16DF4D96-A50B-474E-8112-D8459C400613}"/>
    <cellStyle name="常规 4 5 6 3" xfId="19940" xr:uid="{975F6E04-25B2-4ACA-9795-C41659A88EC9}"/>
    <cellStyle name="常规 4 5 6 3 2" xfId="19941" xr:uid="{14FDD379-C8C2-490C-B379-45889230BD1C}"/>
    <cellStyle name="常规 4 5 6 4" xfId="19942" xr:uid="{842C20E8-7BB1-4CFB-A459-A6F0952BA7EB}"/>
    <cellStyle name="常规 4 5 6 4 2" xfId="19943" xr:uid="{1A4812CC-19C3-4701-BD11-5FF73029300A}"/>
    <cellStyle name="常规 4 5 6 4 3" xfId="34454" xr:uid="{ACC8E2B9-15DB-4E2A-B0DC-6AC6DD676677}"/>
    <cellStyle name="常规 4 5 6 5" xfId="19944" xr:uid="{9C89BEB8-202C-47DA-9368-DA7A886F20AF}"/>
    <cellStyle name="常规 4 5 6 6" xfId="19945" xr:uid="{38CF1214-C8D7-4C13-B579-C290B42F489D}"/>
    <cellStyle name="常规 4 5 6 7" xfId="19946" xr:uid="{23AB401B-156E-47A8-B414-F5789984C96E}"/>
    <cellStyle name="常规 4 5 7" xfId="19947" xr:uid="{2AEE8ED1-7487-4A91-8A30-A319EC261447}"/>
    <cellStyle name="常规 4 5 7 2" xfId="19948" xr:uid="{03674D56-7AF4-4229-BD8C-CBE11E5A6FB6}"/>
    <cellStyle name="常规 4 5 7 3" xfId="19949" xr:uid="{DE39BE42-C3EC-4A90-8ED6-F1F44AFA66F0}"/>
    <cellStyle name="常规 4 5 7 4" xfId="19950" xr:uid="{765834D5-9AED-42A2-92B8-58781D14A1F2}"/>
    <cellStyle name="常规 4 5 7 5" xfId="19951" xr:uid="{4838BB03-8C48-4DE5-B956-F40A620544FF}"/>
    <cellStyle name="常规 4 5 7 6" xfId="19952" xr:uid="{E4BC74A5-245B-4286-94DC-BD0BD8C50F54}"/>
    <cellStyle name="常规 4 5 7 7" xfId="19953" xr:uid="{45678C21-69B9-43C6-8AEF-B8807AAF806D}"/>
    <cellStyle name="常规 4 5 7 8" xfId="19954" xr:uid="{11818B11-CB49-43B0-A5FA-60885B2E79F6}"/>
    <cellStyle name="常规 4 5 8" xfId="19955" xr:uid="{4B455760-FEE6-43B9-836E-5F9CE6802A04}"/>
    <cellStyle name="常规 4 5 8 2" xfId="19956" xr:uid="{A51FB1A0-87C5-4C55-8F55-5AEBFA8E9BC7}"/>
    <cellStyle name="常规 4 5 9" xfId="19957" xr:uid="{4F48B4BC-8EF0-493A-A136-E3CEE8FC7CBD}"/>
    <cellStyle name="常规 4 5 9 2" xfId="19958" xr:uid="{4805827A-D21D-42AA-BD6D-186A45F504C0}"/>
    <cellStyle name="常规 4 5 9 3" xfId="34455" xr:uid="{33F5D488-F95F-4240-95CD-80EAE54DC83F}"/>
    <cellStyle name="常规 4 6" xfId="19959" xr:uid="{12C29EB3-6985-44CD-B431-7427CB9ADC61}"/>
    <cellStyle name="常规 4 6 10" xfId="19960" xr:uid="{CA9AE9B5-1DF0-47ED-AFB2-EFE9E028E6DE}"/>
    <cellStyle name="常规 4 6 11" xfId="34456" xr:uid="{70EC4525-7E8E-40DA-9B34-42A22C3E790F}"/>
    <cellStyle name="常规 4 6 2" xfId="19961" xr:uid="{D63AE0EC-6A4A-47AE-A357-FD6DF250CA19}"/>
    <cellStyle name="常规 4 6 2 2" xfId="19962" xr:uid="{052DD196-124F-49FC-BF40-E94F1C30F759}"/>
    <cellStyle name="常规 4 6 2 2 2" xfId="19963" xr:uid="{44EC59A9-A8B1-49D9-B395-B4ABD0C3FF34}"/>
    <cellStyle name="常规 4 6 2 2 2 2" xfId="19964" xr:uid="{39A461F7-7276-4BDB-AF17-392057B916F9}"/>
    <cellStyle name="常规 4 6 2 2 2 2 2" xfId="19965" xr:uid="{EE2C96AA-1F9B-48AA-8035-7DBFAEF377F1}"/>
    <cellStyle name="常规 4 6 2 2 2 3" xfId="19966" xr:uid="{5DD2B7AB-06F3-4D2C-ACB3-7F3B3E2555EC}"/>
    <cellStyle name="常规 4 6 2 2 2 4" xfId="19967" xr:uid="{0314EDA5-162D-4EC5-9400-0277D635669F}"/>
    <cellStyle name="常规 4 6 2 2 2 4 2" xfId="34457" xr:uid="{91C7CF71-B020-4452-886F-9307C12377D2}"/>
    <cellStyle name="常规 4 6 2 2 3" xfId="19968" xr:uid="{CBDD22CB-E5E6-43E2-A9BF-E085AA2F0C26}"/>
    <cellStyle name="常规 4 6 2 2 3 2" xfId="19969" xr:uid="{1DDCCADC-1A39-43A9-BF56-4847D61651CB}"/>
    <cellStyle name="常规 4 6 2 2 3 2 2" xfId="19970" xr:uid="{BFF0B654-FF80-42AD-8F47-53209817DD61}"/>
    <cellStyle name="常规 4 6 2 2 3 3" xfId="19971" xr:uid="{A9DEDE2B-A297-4340-B975-637C971B6910}"/>
    <cellStyle name="常规 4 6 2 2 3 4" xfId="19972" xr:uid="{CF30ED74-2B47-4FCB-A86E-746F33A708A6}"/>
    <cellStyle name="常规 4 6 2 2 3 4 2" xfId="34458" xr:uid="{62FE4397-401A-45AF-A93D-0DA0DB0DF36A}"/>
    <cellStyle name="常规 4 6 2 2 4" xfId="19973" xr:uid="{6C559CF5-48AD-4A36-98C2-172435ECCD94}"/>
    <cellStyle name="常规 4 6 2 2 4 2" xfId="19974" xr:uid="{0E79B8F3-BBCB-4F39-AB00-142C0E9898EF}"/>
    <cellStyle name="常规 4 6 2 2 5" xfId="19975" xr:uid="{C9AEEC61-96D0-4204-A9CB-2A772029E31A}"/>
    <cellStyle name="常规 4 6 2 2 6" xfId="19976" xr:uid="{162DA477-B012-4212-8F08-AD874F92DAE9}"/>
    <cellStyle name="常规 4 6 2 2 6 2" xfId="34459" xr:uid="{04631E2B-A5E8-4C00-A6E3-22460DD02963}"/>
    <cellStyle name="常规 4 6 2 3" xfId="19977" xr:uid="{40CCC8E5-8C10-4E76-8F9D-963AC21E7AB2}"/>
    <cellStyle name="常规 4 6 2 3 2" xfId="19978" xr:uid="{036ADDA3-36FB-4B67-84F0-E14F4FB113B1}"/>
    <cellStyle name="常规 4 6 2 3 2 2" xfId="19979" xr:uid="{2AA9DC35-E590-4C43-AC45-BC068BA349CB}"/>
    <cellStyle name="常规 4 6 2 3 3" xfId="19980" xr:uid="{09306755-638E-41EE-8349-2B5172235A50}"/>
    <cellStyle name="常规 4 6 2 3 4" xfId="19981" xr:uid="{B0B4CB71-ED9E-4576-8DA0-17408E43607D}"/>
    <cellStyle name="常规 4 6 2 3 4 2" xfId="34460" xr:uid="{6BD39B86-8C6A-48E3-A19D-F329EC79ABBB}"/>
    <cellStyle name="常规 4 6 2 4" xfId="19982" xr:uid="{5DEA3EDE-8C00-4902-97C4-889BECE3AE04}"/>
    <cellStyle name="常规 4 6 2 4 2" xfId="19983" xr:uid="{0148E09B-C278-498F-BDE6-AAAF4EAC2B06}"/>
    <cellStyle name="常规 4 6 2 4 2 2" xfId="19984" xr:uid="{E0D7270D-897E-4F64-BC9D-13DDBF968065}"/>
    <cellStyle name="常规 4 6 2 4 3" xfId="19985" xr:uid="{EEE1B6D4-3561-4ABA-BEE1-57612DE1F5FB}"/>
    <cellStyle name="常规 4 6 2 4 4" xfId="19986" xr:uid="{267D7F79-FBF9-4CC0-98A1-CBF6811C0A1C}"/>
    <cellStyle name="常规 4 6 2 4 4 2" xfId="34461" xr:uid="{667B0854-445B-4FC6-BCEB-76A40F357FCF}"/>
    <cellStyle name="常规 4 6 2 5" xfId="19987" xr:uid="{C9F13D9E-A821-4C82-88F4-5C8A79307A4B}"/>
    <cellStyle name="常规 4 6 2 5 2" xfId="19988" xr:uid="{499F10B8-EFF0-4A03-AF75-B8F108E8985D}"/>
    <cellStyle name="常规 4 6 2 6" xfId="19989" xr:uid="{A56E0AAC-BAA9-447A-9B39-9295F2D2AB2A}"/>
    <cellStyle name="常规 4 6 2 7" xfId="19990" xr:uid="{076C80B0-61F7-4CC2-8CF4-67A0897B0000}"/>
    <cellStyle name="常规 4 6 2 7 2" xfId="34462" xr:uid="{EE45673A-AA3E-4E8C-8FCF-368A4917E5C0}"/>
    <cellStyle name="常规 4 6 2 8" xfId="19991" xr:uid="{BDF769CF-0824-4F42-8337-B2EC59F72BBA}"/>
    <cellStyle name="常规 4 6 3" xfId="19992" xr:uid="{014A3399-9EE8-45A2-87D2-5EC088880602}"/>
    <cellStyle name="常规 4 6 3 2" xfId="19993" xr:uid="{08410421-B81F-4D34-9399-412D579AB4C3}"/>
    <cellStyle name="常规 4 6 3 2 2" xfId="19994" xr:uid="{C265E914-FF7C-42A1-8DBE-B390F1A044EA}"/>
    <cellStyle name="常规 4 6 3 2 2 2" xfId="19995" xr:uid="{991E020E-7A25-4F93-848C-71004169F705}"/>
    <cellStyle name="常规 4 6 3 2 3" xfId="19996" xr:uid="{D5D70DA1-4DEE-4F65-AC9B-5A164A864E5F}"/>
    <cellStyle name="常规 4 6 3 2 4" xfId="19997" xr:uid="{0DAEE833-4799-44A9-A585-579E5F5335BA}"/>
    <cellStyle name="常规 4 6 3 2 4 2" xfId="34463" xr:uid="{4FCFB57C-A5BC-4553-B3C5-0AE1523991DB}"/>
    <cellStyle name="常规 4 6 3 3" xfId="19998" xr:uid="{949E43CD-20C3-4FA4-B4E7-AAF60217B2BB}"/>
    <cellStyle name="常规 4 6 3 3 2" xfId="19999" xr:uid="{EC77F0F3-D795-4ABE-9709-47682FF1047E}"/>
    <cellStyle name="常规 4 6 3 3 2 2" xfId="20000" xr:uid="{5EEDA3D9-38A2-47D7-8009-E9615C882965}"/>
    <cellStyle name="常规 4 6 3 3 3" xfId="20001" xr:uid="{4A7A5A65-A0E5-423C-B9E7-D1246610245C}"/>
    <cellStyle name="常规 4 6 3 3 4" xfId="20002" xr:uid="{7B261CEA-2A1A-4011-A54F-BE9CFB5368C3}"/>
    <cellStyle name="常规 4 6 3 3 4 2" xfId="34464" xr:uid="{EF8084BD-135C-4447-AE1F-47D91CF846F2}"/>
    <cellStyle name="常规 4 6 3 4" xfId="20003" xr:uid="{7E4820DA-2ADF-4B1E-BF1F-4186158E4B82}"/>
    <cellStyle name="常规 4 6 3 4 2" xfId="20004" xr:uid="{7E4CA0F5-7677-49C3-8AB9-AD891D7DF320}"/>
    <cellStyle name="常规 4 6 3 5" xfId="20005" xr:uid="{3B376A4A-5F4D-4C56-A91E-1B8FE224651C}"/>
    <cellStyle name="常规 4 6 3 6" xfId="20006" xr:uid="{5DC40390-07FF-437A-A9C4-7CBD86D749D0}"/>
    <cellStyle name="常规 4 6 3 6 2" xfId="34465" xr:uid="{4A70F893-B211-4EAB-8492-EF3792B5EC7E}"/>
    <cellStyle name="常规 4 6 3 7" xfId="20007" xr:uid="{22B9803C-6017-4DD8-BABE-9A355AAD2530}"/>
    <cellStyle name="常规 4 6 4" xfId="20008" xr:uid="{FFF81344-C135-41D1-B049-5823E20D4EAB}"/>
    <cellStyle name="常规 4 6 4 2" xfId="20009" xr:uid="{99C6D51F-39DE-44D5-835B-638BB557F7D6}"/>
    <cellStyle name="常规 4 6 4 2 2" xfId="20010" xr:uid="{83923CC7-3C99-4B62-96B7-3A8EBA834104}"/>
    <cellStyle name="常规 4 6 4 3" xfId="20011" xr:uid="{46A1378C-A74C-4733-A287-5FE605C96083}"/>
    <cellStyle name="常规 4 6 4 4" xfId="20012" xr:uid="{8482A675-6BA3-4571-BA18-7288182743D2}"/>
    <cellStyle name="常规 4 6 4 4 2" xfId="34466" xr:uid="{B89DCE5A-AE66-431A-A631-A5539A362173}"/>
    <cellStyle name="常规 4 6 4 5" xfId="20013" xr:uid="{A2F7ACB9-CBEB-413C-9A1E-338A7C61D591}"/>
    <cellStyle name="常规 4 6 5" xfId="20014" xr:uid="{86971905-AD3D-4AA4-8964-C3AE91B0576F}"/>
    <cellStyle name="常规 4 6 5 2" xfId="20015" xr:uid="{A3036178-FE02-4AF7-A163-816F43982E73}"/>
    <cellStyle name="常规 4 6 5 2 2" xfId="20016" xr:uid="{7144F49B-F6EC-4659-BA3E-E6115B801481}"/>
    <cellStyle name="常规 4 6 5 3" xfId="20017" xr:uid="{E72BFB5F-EDE9-45F9-A7E2-2F134194FFDA}"/>
    <cellStyle name="常规 4 6 5 4" xfId="20018" xr:uid="{2FFBA38D-539A-4DD4-AA2D-14F7772F6C13}"/>
    <cellStyle name="常规 4 6 5 4 2" xfId="34467" xr:uid="{43339AE0-198D-4848-BEE0-7123E7CD2654}"/>
    <cellStyle name="常规 4 6 5 5" xfId="20019" xr:uid="{CAD0B0C8-F3E8-4FD0-BBD6-3FC5F8ABC9F9}"/>
    <cellStyle name="常规 4 6 6" xfId="20020" xr:uid="{B8E072ED-1ADA-4120-BA2D-C49633469009}"/>
    <cellStyle name="常规 4 6 6 2" xfId="20021" xr:uid="{D64566F8-E01D-4F5F-9037-9A91CA537D5D}"/>
    <cellStyle name="常规 4 6 6 3" xfId="20022" xr:uid="{4B5BA1BD-78D5-439D-B286-571C0B2CB3E7}"/>
    <cellStyle name="常规 4 6 7" xfId="20023" xr:uid="{00078482-D2D5-44E2-BEDE-AEB63BC2D8A6}"/>
    <cellStyle name="常规 4 6 7 2" xfId="20024" xr:uid="{4665BFFE-A54C-4614-93D1-9FFC6A95CC4E}"/>
    <cellStyle name="常规 4 6 8" xfId="20025" xr:uid="{A4E66345-42D2-44ED-A162-63ECD737E76F}"/>
    <cellStyle name="常规 4 6 8 2" xfId="34468" xr:uid="{F798C2D7-C3A3-42E3-B3FD-3D57EFD38772}"/>
    <cellStyle name="常规 4 6 9" xfId="20026" xr:uid="{03FF52CC-CEA0-49DC-B961-04E1A8552239}"/>
    <cellStyle name="常规 4 7" xfId="20027" xr:uid="{AC0B608E-B9E6-4E9C-B58B-1CC5F8B301F0}"/>
    <cellStyle name="常规 4 7 2" xfId="20028" xr:uid="{A55838B5-61F4-4B3F-8EBD-F0492B460A7C}"/>
    <cellStyle name="常规 4 7 2 2" xfId="20029" xr:uid="{BF8893C6-9C34-403B-96FB-A8B79BCBF000}"/>
    <cellStyle name="常规 4 7 2 2 2" xfId="20030" xr:uid="{EA20251E-15F0-4AD6-AA00-E1E1136C6913}"/>
    <cellStyle name="常规 4 7 2 2 2 2" xfId="20031" xr:uid="{BDA03355-E987-410A-99F8-6A6A170D6BB6}"/>
    <cellStyle name="常规 4 7 2 2 2 2 2" xfId="20032" xr:uid="{273D9039-B5D4-41E2-9FFF-38D929C12CCF}"/>
    <cellStyle name="常规 4 7 2 2 2 3" xfId="20033" xr:uid="{ACA4186E-A040-4288-A0E2-A4AA80103C14}"/>
    <cellStyle name="常规 4 7 2 2 2 4" xfId="20034" xr:uid="{C337F4DC-2A82-4A2B-8543-984269E95010}"/>
    <cellStyle name="常规 4 7 2 2 2 4 2" xfId="34469" xr:uid="{0CB27AE5-AAEC-4808-B217-E66505B663FC}"/>
    <cellStyle name="常规 4 7 2 2 3" xfId="20035" xr:uid="{248379EE-466B-42B0-9E32-D064CE6529AD}"/>
    <cellStyle name="常规 4 7 2 2 3 2" xfId="20036" xr:uid="{58D4A106-C327-4188-918A-E7EBEDACA8D9}"/>
    <cellStyle name="常规 4 7 2 2 3 2 2" xfId="20037" xr:uid="{65D70FD8-C321-4F9C-9324-283DD941D723}"/>
    <cellStyle name="常规 4 7 2 2 3 3" xfId="20038" xr:uid="{E469427B-B1D2-482E-A45C-0C976A1963FF}"/>
    <cellStyle name="常规 4 7 2 2 3 4" xfId="20039" xr:uid="{FF87397B-54F2-4B88-91F1-57D5BEBE19DF}"/>
    <cellStyle name="常规 4 7 2 2 3 4 2" xfId="34470" xr:uid="{040D3D8D-2539-47D4-B0C0-67B9E1677F08}"/>
    <cellStyle name="常规 4 7 2 2 4" xfId="20040" xr:uid="{DFF7293F-7A76-47EC-802A-11F1CCFD210F}"/>
    <cellStyle name="常规 4 7 2 2 4 2" xfId="20041" xr:uid="{2831C6D2-F287-471E-8942-330BFAA51D52}"/>
    <cellStyle name="常规 4 7 2 2 5" xfId="20042" xr:uid="{540D5B71-B091-4B87-8619-1ABD5F990047}"/>
    <cellStyle name="常规 4 7 2 2 6" xfId="20043" xr:uid="{CB9A2C79-C42A-4678-A21D-886E51DC2080}"/>
    <cellStyle name="常规 4 7 2 2 6 2" xfId="34471" xr:uid="{F74A9CD6-CFAA-46C3-B635-1CBDB60C13AF}"/>
    <cellStyle name="常规 4 7 2 3" xfId="20044" xr:uid="{408082F9-F525-4552-9212-2E8F806BAD5B}"/>
    <cellStyle name="常规 4 7 2 3 2" xfId="20045" xr:uid="{A12B4578-4FA1-469C-975E-564BF5C20645}"/>
    <cellStyle name="常规 4 7 2 3 2 2" xfId="20046" xr:uid="{6E108A08-063B-4052-8BC4-D257798844E4}"/>
    <cellStyle name="常规 4 7 2 3 3" xfId="20047" xr:uid="{5B494832-A5EE-4A71-AAA6-1A6C0B108169}"/>
    <cellStyle name="常规 4 7 2 3 4" xfId="20048" xr:uid="{A01380D8-0D2B-49DD-8227-A406995B8274}"/>
    <cellStyle name="常规 4 7 2 3 4 2" xfId="34472" xr:uid="{0466848B-D9E9-4749-95FF-8B3B163BF0DE}"/>
    <cellStyle name="常规 4 7 2 4" xfId="20049" xr:uid="{01EEDC19-EF3E-4819-ADA1-3175C53D6F3F}"/>
    <cellStyle name="常规 4 7 2 4 2" xfId="20050" xr:uid="{EACE513E-3929-427D-AFA6-007623515103}"/>
    <cellStyle name="常规 4 7 2 4 2 2" xfId="20051" xr:uid="{A6EDC6E7-2090-439A-A8BA-1024FF705663}"/>
    <cellStyle name="常规 4 7 2 4 3" xfId="20052" xr:uid="{27392385-306C-4760-80CA-2BAF7405DF3E}"/>
    <cellStyle name="常规 4 7 2 4 4" xfId="20053" xr:uid="{A8796048-7843-4464-91C8-1A988989F4F8}"/>
    <cellStyle name="常规 4 7 2 4 4 2" xfId="34473" xr:uid="{261E9C23-D8C3-44F0-AC23-9F9837799A06}"/>
    <cellStyle name="常规 4 7 2 5" xfId="20054" xr:uid="{B65C846A-DEC1-4B7E-BD49-C66E809CC27D}"/>
    <cellStyle name="常规 4 7 2 5 2" xfId="20055" xr:uid="{ECA7FACA-A77A-4DC7-AC72-4D54E2992DBE}"/>
    <cellStyle name="常规 4 7 2 6" xfId="20056" xr:uid="{7665D61A-1EAF-4F0F-BE77-167490125CF9}"/>
    <cellStyle name="常规 4 7 2 7" xfId="20057" xr:uid="{C34F4299-5E38-4E9E-94C5-F43AC5A09F5D}"/>
    <cellStyle name="常规 4 7 2 7 2" xfId="34474" xr:uid="{1822198B-64D6-4A8C-A0F5-5BFA2FD5121E}"/>
    <cellStyle name="常规 4 7 2 8" xfId="20058" xr:uid="{B5213949-047B-4023-AC1F-BCF75AAEA1FB}"/>
    <cellStyle name="常规 4 7 3" xfId="20059" xr:uid="{97107C4F-E321-411A-AFFB-3242842C6E5E}"/>
    <cellStyle name="常规 4 7 3 2" xfId="20060" xr:uid="{473DC19A-EF2D-43D9-92E5-DBE2385FC558}"/>
    <cellStyle name="常规 4 7 3 2 2" xfId="20061" xr:uid="{BFF2F7F8-2305-453A-994F-373B3AA54B42}"/>
    <cellStyle name="常规 4 7 3 2 2 2" xfId="20062" xr:uid="{6E99F055-1436-42D3-8366-3CF6165C63DA}"/>
    <cellStyle name="常规 4 7 3 2 3" xfId="20063" xr:uid="{CEB64A07-4F09-4B61-8D6F-29F3A4754932}"/>
    <cellStyle name="常规 4 7 3 2 4" xfId="20064" xr:uid="{0A8710FE-4F59-4048-AF66-82390FFAB0B5}"/>
    <cellStyle name="常规 4 7 3 2 4 2" xfId="34475" xr:uid="{176CA588-1731-4DAA-9B9C-F2D380BF3548}"/>
    <cellStyle name="常规 4 7 3 3" xfId="20065" xr:uid="{2502F073-9ABE-42A6-96E3-BD055BFC13AE}"/>
    <cellStyle name="常规 4 7 3 3 2" xfId="20066" xr:uid="{FDD1122F-6BCF-4DD7-9DE9-6FBDEEC10F83}"/>
    <cellStyle name="常规 4 7 3 3 2 2" xfId="20067" xr:uid="{B37AD041-0B6A-4FEB-951E-522E33A9AA35}"/>
    <cellStyle name="常规 4 7 3 3 3" xfId="20068" xr:uid="{7E4AA506-05CE-4877-B914-2A003590031C}"/>
    <cellStyle name="常规 4 7 3 3 4" xfId="20069" xr:uid="{03A056E4-48B2-4380-A880-AD7661EC5706}"/>
    <cellStyle name="常规 4 7 3 3 4 2" xfId="34476" xr:uid="{4FA17FFF-5A7A-4E83-AC05-11A5E2DF5526}"/>
    <cellStyle name="常规 4 7 3 4" xfId="20070" xr:uid="{315FCD7C-295B-413B-B03F-85BEC6724B2F}"/>
    <cellStyle name="常规 4 7 3 4 2" xfId="20071" xr:uid="{91F30ADE-AB2B-4149-AA91-525CD4E550A8}"/>
    <cellStyle name="常规 4 7 3 5" xfId="20072" xr:uid="{70DE4C66-4299-4BAE-8D7D-61BCEC1240FC}"/>
    <cellStyle name="常规 4 7 3 6" xfId="20073" xr:uid="{E1623B34-D7E2-4B92-89F8-FE7B5C481FEC}"/>
    <cellStyle name="常规 4 7 3 6 2" xfId="34477" xr:uid="{8015EBAB-3979-440F-ACCF-C0450B0F9491}"/>
    <cellStyle name="常规 4 7 4" xfId="20074" xr:uid="{D49CA06C-FD65-4F83-A114-764F6449DCB4}"/>
    <cellStyle name="常规 4 7 4 2" xfId="20075" xr:uid="{956D3DC4-ABC7-4022-A8E1-9E909ADF8369}"/>
    <cellStyle name="常规 4 7 4 2 2" xfId="20076" xr:uid="{CE30D9C3-4A1D-46D6-832E-93F3D934644C}"/>
    <cellStyle name="常规 4 7 4 3" xfId="20077" xr:uid="{B6A8AB20-8AF3-40DE-B891-60DF0ED89542}"/>
    <cellStyle name="常规 4 7 4 4" xfId="20078" xr:uid="{ADC5E5ED-ADBF-4CDA-983F-DF3400AC1BB2}"/>
    <cellStyle name="常规 4 7 4 4 2" xfId="34478" xr:uid="{5579C249-71CB-4FEB-A319-287C58208EF8}"/>
    <cellStyle name="常规 4 7 5" xfId="20079" xr:uid="{84397CAD-158E-4372-B7D4-567E5A860D34}"/>
    <cellStyle name="常规 4 7 5 2" xfId="20080" xr:uid="{B0D52734-7B80-48E2-B031-B18D73CFAAB5}"/>
    <cellStyle name="常规 4 7 5 2 2" xfId="20081" xr:uid="{41612E93-C773-4CC5-A3D0-FC4777D572A0}"/>
    <cellStyle name="常规 4 7 5 3" xfId="20082" xr:uid="{4AF09FFC-F73C-46EB-8DD7-25346E18E4B7}"/>
    <cellStyle name="常规 4 7 5 4" xfId="20083" xr:uid="{7D25A8DA-94D6-444A-8CC7-C3F84FA6DD4C}"/>
    <cellStyle name="常规 4 7 5 4 2" xfId="34479" xr:uid="{18E90F8C-7AC3-48E9-9B6A-209A3B855DDB}"/>
    <cellStyle name="常规 4 7 6" xfId="20084" xr:uid="{5286EA82-F437-4E51-BFA9-0E278CF4E1DF}"/>
    <cellStyle name="常规 4 7 6 2" xfId="20085" xr:uid="{0F03A7D0-4A1E-4D83-BFDF-42E20A7D2F25}"/>
    <cellStyle name="常规 4 7 7" xfId="20086" xr:uid="{490C734F-FEE6-454B-BACA-14B2B8655674}"/>
    <cellStyle name="常规 4 7 8" xfId="20087" xr:uid="{25890CDD-1FDE-442E-A905-732375CBEEF5}"/>
    <cellStyle name="常规 4 7 8 2" xfId="34480" xr:uid="{4150A286-9E6F-439E-BC80-E12ACDA99182}"/>
    <cellStyle name="常规 4 7 9" xfId="20088" xr:uid="{D455BAC8-16A7-46A4-BC5C-5593F796EBFD}"/>
    <cellStyle name="常规 4 8" xfId="20089" xr:uid="{69F5D92B-5346-424D-BFC3-83613491B739}"/>
    <cellStyle name="常规 4 8 2" xfId="20090" xr:uid="{E1774C1A-C40E-4647-A9D8-B11F82494D5E}"/>
    <cellStyle name="常规 4 8 2 2" xfId="20091" xr:uid="{5532B159-E006-4320-9B1F-EFEE9D6008E2}"/>
    <cellStyle name="常规 4 8 2 2 2" xfId="20092" xr:uid="{4CA26059-CBFB-4460-9DAA-2BACD55B28CA}"/>
    <cellStyle name="常规 4 8 2 2 2 2" xfId="20093" xr:uid="{217F9B3A-2435-4C9D-B7B0-5458BE6EBA64}"/>
    <cellStyle name="常规 4 8 2 2 3" xfId="20094" xr:uid="{800C349F-B2FA-4D94-800B-6A55D702F9E1}"/>
    <cellStyle name="常规 4 8 2 2 4" xfId="20095" xr:uid="{D5D92A6B-707F-48EE-BA62-C5C6DA37A2E1}"/>
    <cellStyle name="常规 4 8 2 2 4 2" xfId="34481" xr:uid="{1AE8982B-8496-4FAD-BCF7-23B4BC404A62}"/>
    <cellStyle name="常规 4 8 2 3" xfId="20096" xr:uid="{7B8EAB10-4A1B-49B0-B082-ADA9D580C5BD}"/>
    <cellStyle name="常规 4 8 2 3 2" xfId="20097" xr:uid="{D73AC5EE-E920-42E9-B56D-3753802D8C2B}"/>
    <cellStyle name="常规 4 8 2 3 2 2" xfId="20098" xr:uid="{506C9ED4-5F88-489A-A617-8628DF190B17}"/>
    <cellStyle name="常规 4 8 2 3 3" xfId="20099" xr:uid="{93DF063D-0491-4316-A16B-CE00E4158B52}"/>
    <cellStyle name="常规 4 8 2 3 4" xfId="20100" xr:uid="{8E92EB68-BC36-4FD0-91A8-F2CE5ACBC7D4}"/>
    <cellStyle name="常规 4 8 2 3 4 2" xfId="34482" xr:uid="{C1C302C7-1D67-4C88-8FD1-8A8FAF9C2BBF}"/>
    <cellStyle name="常规 4 8 2 4" xfId="20101" xr:uid="{572F22FC-6BE9-4F29-B165-3D53420F54F0}"/>
    <cellStyle name="常规 4 8 2 4 2" xfId="20102" xr:uid="{524790BB-C4B4-4B84-9CCE-5D16215D082F}"/>
    <cellStyle name="常规 4 8 2 5" xfId="20103" xr:uid="{4B8307C6-DD55-45BE-9E3F-D14FFA0680D6}"/>
    <cellStyle name="常规 4 8 2 6" xfId="20104" xr:uid="{09F279D9-ADC8-4B64-ACFD-556F6EB69A67}"/>
    <cellStyle name="常规 4 8 2 6 2" xfId="34483" xr:uid="{4CAC7560-CC3D-40E4-9BB1-7D3FFC35C7CF}"/>
    <cellStyle name="常规 4 8 3" xfId="20105" xr:uid="{07E0E7F5-2851-4863-B489-50A38F5E96D3}"/>
    <cellStyle name="常规 4 8 3 2" xfId="20106" xr:uid="{57ABCFCA-8303-4648-B49E-8C0729BA9122}"/>
    <cellStyle name="常规 4 8 3 2 2" xfId="20107" xr:uid="{85EAC230-BB7C-4C66-B74D-8653A0D9CEFF}"/>
    <cellStyle name="常规 4 8 3 3" xfId="20108" xr:uid="{70D5485B-A8FA-425B-809C-997F7071EBDB}"/>
    <cellStyle name="常规 4 8 3 4" xfId="20109" xr:uid="{8F6E7251-0F3E-43B8-97AB-7F4DC27FFC72}"/>
    <cellStyle name="常规 4 8 3 4 2" xfId="34484" xr:uid="{9FE7DE43-AF1A-4D05-881E-8CFBECB805D2}"/>
    <cellStyle name="常规 4 8 4" xfId="20110" xr:uid="{474F176E-3D8B-4513-B6BE-074E472CB164}"/>
    <cellStyle name="常规 4 8 4 2" xfId="20111" xr:uid="{593BB767-D20C-49A1-923B-9290C0FB698A}"/>
    <cellStyle name="常规 4 8 4 2 2" xfId="20112" xr:uid="{C011A707-53AD-49DA-B8D2-A8DA00E3F612}"/>
    <cellStyle name="常规 4 8 4 3" xfId="20113" xr:uid="{A414B70C-0B94-4956-B604-9D7C6067E4AF}"/>
    <cellStyle name="常规 4 8 4 4" xfId="20114" xr:uid="{225E2188-82D0-44B6-928B-7E54BF3847D8}"/>
    <cellStyle name="常规 4 8 4 4 2" xfId="34485" xr:uid="{9CDF973E-FC15-4186-90BD-7A8504DE5930}"/>
    <cellStyle name="常规 4 8 5" xfId="20115" xr:uid="{D7FB356A-6BB9-460E-86E0-89AC2AF7A690}"/>
    <cellStyle name="常规 4 8 5 2" xfId="20116" xr:uid="{4FC36569-F26A-4802-A163-7E4743E33113}"/>
    <cellStyle name="常规 4 8 6" xfId="20117" xr:uid="{CC27D579-933D-4BB6-B685-C271410DE7C6}"/>
    <cellStyle name="常规 4 8 7" xfId="20118" xr:uid="{4A321A5F-D517-4327-B216-6B0BD008F6E1}"/>
    <cellStyle name="常规 4 8 7 2" xfId="34486" xr:uid="{DE1309F3-BFFC-432E-AC1D-A3815B22C6EC}"/>
    <cellStyle name="常规 4 8 8" xfId="20119" xr:uid="{4251FBD6-734E-41AA-82DF-7D88A15197F0}"/>
    <cellStyle name="常规 4 9" xfId="20120" xr:uid="{C5DF299E-737A-47E9-AA6B-C2C2A28FFA53}"/>
    <cellStyle name="常规 4 9 2" xfId="20121" xr:uid="{5DFCD70B-3BDD-4943-B5F5-E6510C382990}"/>
    <cellStyle name="常规 4 9 2 2" xfId="20122" xr:uid="{2A9C4981-262F-4AC0-90E1-767BB14EAE18}"/>
    <cellStyle name="常规 4 9 2 2 2" xfId="20123" xr:uid="{6249327B-3BAA-4C41-A247-875F5CB2A59D}"/>
    <cellStyle name="常规 4 9 2 3" xfId="20124" xr:uid="{2F335757-B085-4015-B121-CD800E7C167C}"/>
    <cellStyle name="常规 4 9 2 4" xfId="20125" xr:uid="{889EF0FE-1E7D-452F-942D-8400E16D99C9}"/>
    <cellStyle name="常规 4 9 2 4 2" xfId="34487" xr:uid="{FB3E28EB-D9D0-4968-B9FD-10463B6F2E54}"/>
    <cellStyle name="常规 4 9 3" xfId="20126" xr:uid="{C16D40F3-1795-40E6-A720-F9808258E69B}"/>
    <cellStyle name="常规 4 9 3 2" xfId="20127" xr:uid="{B1610E7F-5300-4543-AA26-932CD4A55F52}"/>
    <cellStyle name="常规 4 9 4" xfId="20128" xr:uid="{EEC51B22-D6FA-495E-BAA0-D30401918723}"/>
    <cellStyle name="常规 4 9 4 2" xfId="20129" xr:uid="{C4D321F9-3618-41F2-932B-6247384BBD62}"/>
    <cellStyle name="常规 4 9 5" xfId="20130" xr:uid="{28971DBF-4953-465C-AED7-700287824C69}"/>
    <cellStyle name="常规 4 9 6" xfId="20131" xr:uid="{CDE02DC1-EC59-4700-95EF-3EC6B500417B}"/>
    <cellStyle name="常规 4 9 6 2" xfId="34488" xr:uid="{C63A504D-AEDA-48E2-A377-A80FA584E36E}"/>
    <cellStyle name="常规 4 9 7" xfId="20132" xr:uid="{A9C03A41-0CB4-4A6E-9C2C-0E9342A08672}"/>
    <cellStyle name="常规 40" xfId="20133" xr:uid="{5B63E806-70A8-48FF-A036-BE11077D3E35}"/>
    <cellStyle name="常规 40 2" xfId="20134" xr:uid="{C06A0688-3503-4A4F-B8B7-99E5BBB9D000}"/>
    <cellStyle name="常规 40 2 2" xfId="20135" xr:uid="{7D36E679-78BE-462E-8E84-1545D28808FB}"/>
    <cellStyle name="常规 40 2 3" xfId="20136" xr:uid="{F369ECF4-5DF9-4BBA-BD47-775C5177EDEC}"/>
    <cellStyle name="常规 40 2 4" xfId="20137" xr:uid="{8B67663D-0144-43B4-9D2A-58B7AE0A6CC6}"/>
    <cellStyle name="常规 40 2 5" xfId="20138" xr:uid="{9E0E5408-44CE-4245-906F-E6C445FA86B3}"/>
    <cellStyle name="常规 40 3" xfId="20139" xr:uid="{D8B750B5-A721-48C9-89DA-AA3BBA401F10}"/>
    <cellStyle name="常规 40 4" xfId="20140" xr:uid="{66997090-D15D-4C99-B2CD-71BFAAE253D0}"/>
    <cellStyle name="常规 40 5" xfId="20141" xr:uid="{5ED48602-63A1-4652-9F68-D19DB7EB73CD}"/>
    <cellStyle name="常规 40 6" xfId="20142" xr:uid="{52D6073D-C7F4-4822-9634-F04F6345727F}"/>
    <cellStyle name="常规 41" xfId="20143" xr:uid="{E87EEB2A-22A6-4FE3-83A1-39BEC6CAC9CA}"/>
    <cellStyle name="常规 41 2" xfId="20144" xr:uid="{3329610F-DD24-4B19-8E78-1A8EAEAB7F4A}"/>
    <cellStyle name="常规 41 3" xfId="20145" xr:uid="{82EB3FE3-0C21-4102-BE4A-A7CC101AAFD4}"/>
    <cellStyle name="常规 42" xfId="20146" xr:uid="{850D3C28-520A-4290-98A6-5E1BBCC399DD}"/>
    <cellStyle name="常规 42 2" xfId="20147" xr:uid="{10EAB453-4B1B-47AB-893F-90562FF3054A}"/>
    <cellStyle name="常规 42 3" xfId="20148" xr:uid="{CDE05235-875A-41BE-8317-B7C2F44E6F53}"/>
    <cellStyle name="常规 42 4" xfId="20149" xr:uid="{03FB0E1A-1BE6-4C47-89C2-7403E7633AB8}"/>
    <cellStyle name="常规 42 5" xfId="20150" xr:uid="{9ED2E32F-1C1A-43CA-931D-5BEFC050B5E0}"/>
    <cellStyle name="常规 43" xfId="20151" xr:uid="{6BA2147E-476C-4E44-8B17-539E27CD5319}"/>
    <cellStyle name="常规 43 2" xfId="20152" xr:uid="{AC8785C4-8645-4405-925D-7139993D87B2}"/>
    <cellStyle name="常规 43 2 2" xfId="20153" xr:uid="{ADC8C66B-6C17-49B2-82DD-9B9777D2A737}"/>
    <cellStyle name="常规 43 2 3" xfId="20154" xr:uid="{55246E25-40BE-4DF7-9874-F4073C522910}"/>
    <cellStyle name="常规 43 2 4" xfId="20155" xr:uid="{E0675C70-05D6-48BD-8AD1-F6C8D595694D}"/>
    <cellStyle name="常规 43 2 5" xfId="20156" xr:uid="{DE192916-F197-4F33-8A49-C704AB7B8D40}"/>
    <cellStyle name="常规 43 3" xfId="20157" xr:uid="{05AF356D-597D-4A70-A2A9-9163F887ABA2}"/>
    <cellStyle name="常规 43 4" xfId="20158" xr:uid="{B1D4BEDE-8E3E-461D-8245-40225FE2783D}"/>
    <cellStyle name="常规 43 5" xfId="20159" xr:uid="{BD67A355-E5C0-490F-A411-60575BC68632}"/>
    <cellStyle name="常规 43 6" xfId="20160" xr:uid="{4DF2174D-EFB0-4EDD-8446-613A34B1C7EE}"/>
    <cellStyle name="常规 44" xfId="20161" xr:uid="{9513CA06-6E1C-43C3-8C47-C7FEA3F7AA18}"/>
    <cellStyle name="常规 44 2" xfId="20162" xr:uid="{9440E78C-3CAB-497D-B4F0-67B1A61990C5}"/>
    <cellStyle name="常规 44 3" xfId="20163" xr:uid="{AE1A75AF-E1E2-463A-BA53-50E4A0F36967}"/>
    <cellStyle name="常规 44 4" xfId="20164" xr:uid="{2BE4CAAD-9B26-4722-A5C7-FEEC9F118904}"/>
    <cellStyle name="常规 44 5" xfId="20165" xr:uid="{CA859D9B-CD07-48BD-A2DD-A54672E1502C}"/>
    <cellStyle name="常规 45" xfId="20166" xr:uid="{4929D1F2-D854-453A-AC14-3E6F55CDB1A5}"/>
    <cellStyle name="常规 45 2" xfId="20167" xr:uid="{E6DF84B0-B340-4384-A249-B1773A79382A}"/>
    <cellStyle name="常规 45 3" xfId="20168" xr:uid="{B92B1A41-8667-45F7-8E98-698769E42BB6}"/>
    <cellStyle name="常规 45 4" xfId="20169" xr:uid="{48DBBC1D-B90F-4BE8-86DD-9EF06332BA24}"/>
    <cellStyle name="常规 45 5" xfId="20170" xr:uid="{D9230F09-C065-4784-BFBB-55315744444C}"/>
    <cellStyle name="常规 46" xfId="20171" xr:uid="{10FF9E8A-E45B-4A15-AFEC-2708C0ABC39D}"/>
    <cellStyle name="常规 46 2" xfId="20172" xr:uid="{EDD24682-1FB8-46EE-BB28-CB9AFA4BA53C}"/>
    <cellStyle name="常规 46 3" xfId="20173" xr:uid="{6D5693BA-1497-401A-9B4E-CDF2CA99B4AC}"/>
    <cellStyle name="常规 46 4" xfId="20174" xr:uid="{FA000F51-C4E0-4D56-8DE3-B7EA0CFDC8F1}"/>
    <cellStyle name="常规 46 5" xfId="20175" xr:uid="{47403C53-BC92-4838-81FC-7986BB21970C}"/>
    <cellStyle name="常规 47" xfId="20176" xr:uid="{DC9CB104-E321-4DFA-B92F-7447C6615132}"/>
    <cellStyle name="常规 47 2" xfId="20177" xr:uid="{B20591ED-9EA4-4348-B73B-7A306DC8310D}"/>
    <cellStyle name="常规 47 3" xfId="20178" xr:uid="{3A150A1A-0CAF-4905-8904-DDC2131446CF}"/>
    <cellStyle name="常规 47 4" xfId="20179" xr:uid="{339CB83B-2B01-4C07-8914-5A648A7789C9}"/>
    <cellStyle name="常规 47 5" xfId="20180" xr:uid="{32B05CD6-6A8C-46C3-8E58-4305F5825C1A}"/>
    <cellStyle name="常规 48" xfId="20181" xr:uid="{D546646E-4A79-4CE5-BC91-189F3A9364F3}"/>
    <cellStyle name="常规 48 2" xfId="20182" xr:uid="{FFB1ECE3-E9D4-4ECB-95DB-3A17FEE0AD3F}"/>
    <cellStyle name="常规 48 2 2" xfId="20183" xr:uid="{67DA0494-0C64-4583-9A29-1254E6DEED18}"/>
    <cellStyle name="常规 48 3" xfId="20184" xr:uid="{286E191B-F7CF-425E-BACF-A7516EAB30D1}"/>
    <cellStyle name="常规 48 4" xfId="20185" xr:uid="{4D8A5135-6F5D-49F7-AD30-F6D695A3F14C}"/>
    <cellStyle name="常规 48 4 2" xfId="34489" xr:uid="{304CDDCF-E7EA-474B-B6C4-60330C390245}"/>
    <cellStyle name="常规 49" xfId="20186" xr:uid="{5A28B7EF-AD21-414B-BAEB-AAF69ED8FA9A}"/>
    <cellStyle name="常规 49 2" xfId="20187" xr:uid="{00C86844-7FCB-4E05-9A1C-4B05E0003D99}"/>
    <cellStyle name="常规 49 2 2" xfId="20188" xr:uid="{CB6A2C00-A2DD-4048-A618-E66A275292C9}"/>
    <cellStyle name="常规 49 3" xfId="20189" xr:uid="{6AF23F8D-6421-4D6E-9241-8437F941A3AC}"/>
    <cellStyle name="常规 49 4" xfId="20190" xr:uid="{7A2F9095-0A51-49DA-8AA5-A1783029D929}"/>
    <cellStyle name="常规 49 4 2" xfId="34490" xr:uid="{E027B80C-D0F5-4E04-BCC2-962D375E03CE}"/>
    <cellStyle name="常规 5" xfId="6" xr:uid="{D78D09FE-7423-44E6-83C6-F99E42861B02}"/>
    <cellStyle name="常规 5 10" xfId="20192" xr:uid="{5EC81C16-2989-4479-B32C-4A7BA30030D8}"/>
    <cellStyle name="常规 5 10 2" xfId="20193" xr:uid="{0A009224-9C96-4963-BEA7-5669856B4058}"/>
    <cellStyle name="常规 5 11" xfId="20194" xr:uid="{AD5D64E3-1F6D-4377-B97B-DDF3BC1497BB}"/>
    <cellStyle name="常规 5 11 2" xfId="20195" xr:uid="{7BD21CD4-D509-4576-A32B-1916173571BC}"/>
    <cellStyle name="常规 5 12" xfId="20196" xr:uid="{D5AD5550-49A9-49E9-927F-CC1C39FD1B7C}"/>
    <cellStyle name="常规 5 12 2" xfId="20197" xr:uid="{CFB370E8-636B-4E3C-A57B-AD11FF9A1662}"/>
    <cellStyle name="常规 5 13" xfId="20198" xr:uid="{E0ED201F-84DD-4A60-B560-837436D1A9EE}"/>
    <cellStyle name="常规 5 14" xfId="20199" xr:uid="{38D4386C-6DE7-4136-86EB-E595B03ADB2D}"/>
    <cellStyle name="常规 5 15" xfId="20200" xr:uid="{26D27512-DA71-4DF1-A050-FB6FCE85B638}"/>
    <cellStyle name="常规 5 16" xfId="20201" xr:uid="{75B0F694-D647-4F45-9F7F-4DD174162203}"/>
    <cellStyle name="常规 5 17" xfId="34491" xr:uid="{800A048D-7C6A-4A22-BE9F-44EC3F2AEC8D}"/>
    <cellStyle name="常规 5 18" xfId="20191" xr:uid="{EC9E91A3-FE89-4518-AAA5-F1748DCA257C}"/>
    <cellStyle name="常规 5 2" xfId="20202" xr:uid="{84B7596F-07FD-4C29-9939-5D991B0E9B09}"/>
    <cellStyle name="常规 5 2 10" xfId="20203" xr:uid="{2BDC82C3-AA51-4CFC-A710-112711CAF49E}"/>
    <cellStyle name="常规 5 2 10 2" xfId="20204" xr:uid="{52F2E4B5-7477-49DD-9A9C-32503CA2D0A3}"/>
    <cellStyle name="常规 5 2 11" xfId="20205" xr:uid="{AFDC4AAF-2DE0-4173-BD94-207FD424F075}"/>
    <cellStyle name="常规 5 2 12" xfId="20206" xr:uid="{36D82F2A-9445-4E22-AC4B-F1BBF94B05C3}"/>
    <cellStyle name="常规 5 2 13" xfId="20207" xr:uid="{790D0986-6CB5-4551-ACB7-4820B2883665}"/>
    <cellStyle name="常规 5 2 14" xfId="20208" xr:uid="{E5AF2438-65F9-42C1-8A9C-219846373739}"/>
    <cellStyle name="常规 5 2 15" xfId="34492" xr:uid="{590B1AA2-0E55-41B2-9AAE-EDBD217E397D}"/>
    <cellStyle name="常规 5 2 2" xfId="20209" xr:uid="{297201E4-75F7-4A8E-A270-1E0EA8C75B43}"/>
    <cellStyle name="常规 5 2 2 10" xfId="20210" xr:uid="{4B8F1640-F064-4737-B7FB-47D40BD22CF8}"/>
    <cellStyle name="常规 5 2 2 11" xfId="20211" xr:uid="{BA838F16-3D0A-45B0-A7BD-FC6CFD689C3A}"/>
    <cellStyle name="常规 5 2 2 12" xfId="20212" xr:uid="{092D58B6-1E7F-4904-BEA8-6BA03C53C99E}"/>
    <cellStyle name="常规 5 2 2 13" xfId="20213" xr:uid="{0291BDB0-46F8-40FE-ABD9-0418E430A608}"/>
    <cellStyle name="常规 5 2 2 14" xfId="20214" xr:uid="{2C6A9274-EE14-4A65-BD18-D09FD67F2A2B}"/>
    <cellStyle name="常规 5 2 2 2" xfId="20215" xr:uid="{11F929CB-6027-4BBF-960D-BB080C7523B6}"/>
    <cellStyle name="常规 5 2 2 2 10" xfId="20216" xr:uid="{9C077372-10A9-4B9A-88FD-EA67B36ECA8A}"/>
    <cellStyle name="常规 5 2 2 2 11" xfId="20217" xr:uid="{53C96F7F-68A2-4C03-A55F-22AE8A37DBAF}"/>
    <cellStyle name="常规 5 2 2 2 12" xfId="20218" xr:uid="{49745A1B-89EC-4FC2-999E-11A18558A6EB}"/>
    <cellStyle name="常规 5 2 2 2 2" xfId="20219" xr:uid="{0BE84A14-855A-44FE-B480-6BCA3D90D511}"/>
    <cellStyle name="常规 5 2 2 2 2 2" xfId="20220" xr:uid="{97B626B3-8810-4BF3-A919-EE40EEEF8959}"/>
    <cellStyle name="常规 5 2 2 2 2 2 2" xfId="20221" xr:uid="{D15E376C-A0C7-4E9A-84CD-DC4384FB23CB}"/>
    <cellStyle name="常规 5 2 2 2 2 2 2 2" xfId="20222" xr:uid="{3A524C98-6E35-404C-B12D-873963B2E5B3}"/>
    <cellStyle name="常规 5 2 2 2 2 2 2 3" xfId="20223" xr:uid="{282FE9CB-A11C-4641-B84A-A72A3A6440D5}"/>
    <cellStyle name="常规 5 2 2 2 2 2 2 4" xfId="20224" xr:uid="{9BD91BF3-18B3-48C2-A065-421BB43F9374}"/>
    <cellStyle name="常规 5 2 2 2 2 2 2 5" xfId="20225" xr:uid="{B2A0C822-1E50-4F8A-8937-6968C663B507}"/>
    <cellStyle name="常规 5 2 2 2 2 2 2 6" xfId="20226" xr:uid="{10D98853-0031-42F5-B4CF-DE9C4A7C313C}"/>
    <cellStyle name="常规 5 2 2 2 2 2 3" xfId="20227" xr:uid="{CA2A8C99-1087-478E-8DD3-C93094ECFB43}"/>
    <cellStyle name="常规 5 2 2 2 2 2 4" xfId="20228" xr:uid="{E5A5C37E-A120-44F5-9FB7-C1FFCB10DEB2}"/>
    <cellStyle name="常规 5 2 2 2 2 2 5" xfId="20229" xr:uid="{BE01D415-405B-4DFB-BC38-BA24A42880E4}"/>
    <cellStyle name="常规 5 2 2 2 2 2 6" xfId="20230" xr:uid="{6EDADBD5-0BD8-4CE6-87BE-BB6F621EBCFA}"/>
    <cellStyle name="常规 5 2 2 2 2 2 7" xfId="20231" xr:uid="{B83FC964-2260-4D0C-8313-4CA2D061CF03}"/>
    <cellStyle name="常规 5 2 2 2 2 3" xfId="20232" xr:uid="{B93CD51A-5A92-4003-AB90-73D80AB6B031}"/>
    <cellStyle name="常规 5 2 2 2 2 3 2" xfId="20233" xr:uid="{D0AEC1F8-2027-4CF4-9A9D-29E957CBBCE1}"/>
    <cellStyle name="常规 5 2 2 2 2 3 3" xfId="20234" xr:uid="{BAC20B6B-9529-42FD-BB2E-2F3826B6AC81}"/>
    <cellStyle name="常规 5 2 2 2 2 3 4" xfId="20235" xr:uid="{D33D870D-F53C-42C3-A8B5-E9B48D92169A}"/>
    <cellStyle name="常规 5 2 2 2 2 3 5" xfId="20236" xr:uid="{395EA441-3098-4A47-B987-DF50910BF56F}"/>
    <cellStyle name="常规 5 2 2 2 2 3 6" xfId="20237" xr:uid="{EDD807F6-0D70-45F3-955C-DC6B3E5F410A}"/>
    <cellStyle name="常规 5 2 2 2 2 4" xfId="20238" xr:uid="{87DD6C0C-0848-4040-ABD7-5732090DAA51}"/>
    <cellStyle name="常规 5 2 2 2 2 5" xfId="20239" xr:uid="{742CDD66-89E7-4846-B292-857B312C7ADB}"/>
    <cellStyle name="常规 5 2 2 2 2 6" xfId="20240" xr:uid="{1ACCF8C3-89DB-4102-9AD3-99FE2167C064}"/>
    <cellStyle name="常规 5 2 2 2 2 7" xfId="20241" xr:uid="{94F53C84-0568-4C42-9131-EC5601C65262}"/>
    <cellStyle name="常规 5 2 2 2 2 8" xfId="20242" xr:uid="{24401CE5-2A09-4412-9BDA-B9B629256438}"/>
    <cellStyle name="常规 5 2 2 2 3" xfId="20243" xr:uid="{63751902-E75A-4C62-A6BF-50A66035C2B6}"/>
    <cellStyle name="常规 5 2 2 2 3 2" xfId="20244" xr:uid="{6C318B05-E71A-4552-9CF8-1AB90948C4BA}"/>
    <cellStyle name="常规 5 2 2 2 3 2 2" xfId="20245" xr:uid="{9762A00E-E315-4F22-B972-E7A2C664FCAE}"/>
    <cellStyle name="常规 5 2 2 2 3 2 2 2" xfId="20246" xr:uid="{9DE0C8E0-0E56-44E2-ABB9-13753E691DDA}"/>
    <cellStyle name="常规 5 2 2 2 3 2 2 3" xfId="20247" xr:uid="{FBCD0960-9C73-4FEF-892B-2F3889FA11BF}"/>
    <cellStyle name="常规 5 2 2 2 3 2 2 4" xfId="20248" xr:uid="{A32A0AB7-3D8D-4140-8239-5DBF465FCE49}"/>
    <cellStyle name="常规 5 2 2 2 3 2 2 5" xfId="20249" xr:uid="{952C11C8-D86C-4259-92B2-54C6CE5AD3D0}"/>
    <cellStyle name="常规 5 2 2 2 3 2 2 6" xfId="20250" xr:uid="{9671AB1A-D275-4D3E-BD98-9E5FEDB6FA30}"/>
    <cellStyle name="常规 5 2 2 2 3 2 3" xfId="20251" xr:uid="{568DAE9C-29C8-43FC-9471-F132B1D2CE6B}"/>
    <cellStyle name="常规 5 2 2 2 3 2 4" xfId="20252" xr:uid="{41FE88A5-65F5-47C9-9AB0-4025AFE942DD}"/>
    <cellStyle name="常规 5 2 2 2 3 2 5" xfId="20253" xr:uid="{C60EE6B2-8904-440E-86DD-998AF081A427}"/>
    <cellStyle name="常规 5 2 2 2 3 2 6" xfId="20254" xr:uid="{97EB1356-AFBD-4B4B-B2B0-8CF2E583AEFB}"/>
    <cellStyle name="常规 5 2 2 2 3 2 7" xfId="20255" xr:uid="{F448E33D-6328-42FA-A161-0E7BC5F49C55}"/>
    <cellStyle name="常规 5 2 2 2 3 3" xfId="20256" xr:uid="{FF3351DB-A3E5-495A-9ED0-266D440559BB}"/>
    <cellStyle name="常规 5 2 2 2 3 3 2" xfId="20257" xr:uid="{81AB3441-FEE0-4B69-9D79-6365BAAB8E08}"/>
    <cellStyle name="常规 5 2 2 2 3 3 3" xfId="20258" xr:uid="{D35B1BDE-1C95-48F9-9D70-C8716B2F381C}"/>
    <cellStyle name="常规 5 2 2 2 3 3 4" xfId="20259" xr:uid="{B14284F6-E9FB-4C3D-B3F3-5FC8753CE7BE}"/>
    <cellStyle name="常规 5 2 2 2 3 3 5" xfId="20260" xr:uid="{0E845E60-3474-4897-82AC-1AA404C9F09B}"/>
    <cellStyle name="常规 5 2 2 2 3 3 6" xfId="20261" xr:uid="{3BC2538E-AFDB-45AD-A3A7-EF824003CB46}"/>
    <cellStyle name="常规 5 2 2 2 3 4" xfId="20262" xr:uid="{BBC297E2-180E-4CCE-97B3-5EEA5F771C3F}"/>
    <cellStyle name="常规 5 2 2 2 3 5" xfId="20263" xr:uid="{7F914B36-CD5E-4715-B815-2F985775C479}"/>
    <cellStyle name="常规 5 2 2 2 3 6" xfId="20264" xr:uid="{D2E3AD51-A3D1-4F7A-9C72-A870F939FBF0}"/>
    <cellStyle name="常规 5 2 2 2 3 7" xfId="20265" xr:uid="{D05DCC1C-C589-4866-99E0-355249FEFBB8}"/>
    <cellStyle name="常规 5 2 2 2 3 8" xfId="20266" xr:uid="{4338FDBB-D70D-4B96-A2A4-B892E71D1259}"/>
    <cellStyle name="常规 5 2 2 2 4" xfId="20267" xr:uid="{DCB214C0-53EB-487A-9847-4E9784D995AA}"/>
    <cellStyle name="常规 5 2 2 2 4 2" xfId="20268" xr:uid="{C44A351D-B904-47CF-B1EE-6679DDDA3B7F}"/>
    <cellStyle name="常规 5 2 2 2 4 2 2" xfId="20269" xr:uid="{C29F22CF-97F1-4AC3-94D1-E2C3BBD890CB}"/>
    <cellStyle name="常规 5 2 2 2 4 2 3" xfId="20270" xr:uid="{5841482E-F0EA-4072-9AB2-104037A89FA4}"/>
    <cellStyle name="常规 5 2 2 2 4 2 4" xfId="20271" xr:uid="{F6525547-6182-4F2B-BB3A-9580F4C64EAC}"/>
    <cellStyle name="常规 5 2 2 2 4 2 5" xfId="20272" xr:uid="{F8A44A2A-9C88-4EA8-878D-281D918E1A7D}"/>
    <cellStyle name="常规 5 2 2 2 4 2 6" xfId="20273" xr:uid="{44079A27-A398-4063-821D-AB92C78FFEF6}"/>
    <cellStyle name="常规 5 2 2 2 4 3" xfId="20274" xr:uid="{B01DC6F7-B6A7-44EF-8135-B7E6940430AA}"/>
    <cellStyle name="常规 5 2 2 2 4 4" xfId="20275" xr:uid="{85908A36-2A25-49F4-87FD-C5B056F55276}"/>
    <cellStyle name="常规 5 2 2 2 4 5" xfId="20276" xr:uid="{73C6769B-FAB1-46B2-8AE4-7644F8664C5B}"/>
    <cellStyle name="常规 5 2 2 2 4 6" xfId="20277" xr:uid="{12D81499-C2D1-4C16-99BB-C7A73397EB10}"/>
    <cellStyle name="常规 5 2 2 2 4 7" xfId="20278" xr:uid="{7249078F-AFDD-42A2-AA15-6179F9456617}"/>
    <cellStyle name="常规 5 2 2 2 5" xfId="20279" xr:uid="{182B4382-AEB4-45AA-BFA8-6DD7AECD5B56}"/>
    <cellStyle name="常规 5 2 2 2 5 2" xfId="20280" xr:uid="{B8202702-16BD-40BD-A22C-BFF402E0CB93}"/>
    <cellStyle name="常规 5 2 2 2 5 2 2" xfId="20281" xr:uid="{89604C3C-E2B8-4BAC-B3DC-9D8CFB37276B}"/>
    <cellStyle name="常规 5 2 2 2 5 2 3" xfId="20282" xr:uid="{335C2268-FCAF-43A3-9ACF-8807AACF8C30}"/>
    <cellStyle name="常规 5 2 2 2 5 2 4" xfId="20283" xr:uid="{9BE3E665-1851-4654-9444-14A79B3C45FE}"/>
    <cellStyle name="常规 5 2 2 2 5 2 5" xfId="20284" xr:uid="{EAEDFFEF-046C-4359-A0E6-9D78C65A8CD2}"/>
    <cellStyle name="常规 5 2 2 2 5 2 6" xfId="20285" xr:uid="{B5EA17BF-4F79-4EF9-B07A-CFD3C3F68615}"/>
    <cellStyle name="常规 5 2 2 2 5 3" xfId="20286" xr:uid="{851520F4-29C8-4ABE-BFEE-F15946DA8BC7}"/>
    <cellStyle name="常规 5 2 2 2 5 4" xfId="20287" xr:uid="{C3FFCED7-A7E4-4FDD-9AE2-A229A7776862}"/>
    <cellStyle name="常规 5 2 2 2 5 5" xfId="20288" xr:uid="{169FC773-739D-4F26-B8D5-9D9F8E27194C}"/>
    <cellStyle name="常规 5 2 2 2 5 6" xfId="20289" xr:uid="{002B13C8-0B7E-42FC-BA90-79503C14BC40}"/>
    <cellStyle name="常规 5 2 2 2 5 7" xfId="20290" xr:uid="{0D703693-0667-4080-A521-8C18F32984F1}"/>
    <cellStyle name="常规 5 2 2 2 6" xfId="20291" xr:uid="{63AC6C8E-EAF8-41EB-B999-AD22EF38566D}"/>
    <cellStyle name="常规 5 2 2 2 7" xfId="20292" xr:uid="{DF556F68-39B3-47F1-BEDF-C29ADE71F427}"/>
    <cellStyle name="常规 5 2 2 2 8" xfId="20293" xr:uid="{46388775-9FE1-4AD6-B4AE-B9B9C29A10FE}"/>
    <cellStyle name="常规 5 2 2 2 9" xfId="20294" xr:uid="{C0E07802-1B9C-40C0-BDFF-0C3FAA99D64A}"/>
    <cellStyle name="常规 5 2 2 3" xfId="20295" xr:uid="{740AFE96-DE4B-4448-8D2A-E3509910AAB1}"/>
    <cellStyle name="常规 5 2 2 3 2" xfId="20296" xr:uid="{ED212C58-8807-474D-8C0E-C8A0DBB84FE7}"/>
    <cellStyle name="常规 5 2 2 3 2 2" xfId="20297" xr:uid="{9773199E-9205-44D3-8B37-338B83684228}"/>
    <cellStyle name="常规 5 2 2 3 2 2 2" xfId="20298" xr:uid="{2FC9F11F-11A7-41C7-A409-E39252D1CE7A}"/>
    <cellStyle name="常规 5 2 2 3 2 2 3" xfId="20299" xr:uid="{BE231E0D-5276-428F-8F82-A157F5E28FD8}"/>
    <cellStyle name="常规 5 2 2 3 2 2 4" xfId="20300" xr:uid="{AAF80345-507D-443A-B8B9-21CAC3CAA2ED}"/>
    <cellStyle name="常规 5 2 2 3 2 2 5" xfId="20301" xr:uid="{9DA0C634-3056-4E53-A38C-88066D74FB62}"/>
    <cellStyle name="常规 5 2 2 3 2 2 6" xfId="20302" xr:uid="{EA38244F-EEAD-42EC-A84C-70C801BE1EF8}"/>
    <cellStyle name="常规 5 2 2 3 2 3" xfId="20303" xr:uid="{F095D252-7A6C-412F-B8BD-92FBF61D17D8}"/>
    <cellStyle name="常规 5 2 2 3 2 4" xfId="20304" xr:uid="{777D5137-B131-449A-B7C2-7926DFE87489}"/>
    <cellStyle name="常规 5 2 2 3 2 5" xfId="20305" xr:uid="{8763AE7A-4F28-4701-A3FD-BD83062CE0EA}"/>
    <cellStyle name="常规 5 2 2 3 2 6" xfId="20306" xr:uid="{5F306508-A505-4636-B219-2C4734E28B29}"/>
    <cellStyle name="常规 5 2 2 3 2 7" xfId="20307" xr:uid="{EE3F99D7-6BF6-4F8A-8506-A694BF7F5F3D}"/>
    <cellStyle name="常规 5 2 2 3 3" xfId="20308" xr:uid="{132921AF-00F5-4CE9-9E35-CF2C30B9338B}"/>
    <cellStyle name="常规 5 2 2 3 3 2" xfId="20309" xr:uid="{D61D9308-25D1-45A0-B711-1BF1EA78D26A}"/>
    <cellStyle name="常规 5 2 2 3 3 3" xfId="20310" xr:uid="{8D6EA4E7-656A-441B-A527-5D7CDC04ACE0}"/>
    <cellStyle name="常规 5 2 2 3 3 4" xfId="20311" xr:uid="{2D1762B4-F720-4ABA-907A-B1912BD15639}"/>
    <cellStyle name="常规 5 2 2 3 3 5" xfId="20312" xr:uid="{4ECE2887-E554-4165-9DAC-8FD616EDEBEE}"/>
    <cellStyle name="常规 5 2 2 3 3 6" xfId="20313" xr:uid="{D83A66E5-99C8-4A15-8BCA-A0C6E8433482}"/>
    <cellStyle name="常规 5 2 2 3 4" xfId="20314" xr:uid="{A71D526D-A079-447D-A530-940E5105179C}"/>
    <cellStyle name="常规 5 2 2 3 5" xfId="20315" xr:uid="{2D8062F5-B54C-48EC-89B2-73FF3D72ED08}"/>
    <cellStyle name="常规 5 2 2 3 6" xfId="20316" xr:uid="{75F6A356-55BA-4A85-A6B0-AA7F93E6614E}"/>
    <cellStyle name="常规 5 2 2 3 7" xfId="20317" xr:uid="{4C430350-0CC0-4ED2-B202-7067CC86AEC0}"/>
    <cellStyle name="常规 5 2 2 3 8" xfId="20318" xr:uid="{BEB57092-D3D3-4B9F-87FC-8A8A9857144F}"/>
    <cellStyle name="常规 5 2 2 4" xfId="20319" xr:uid="{010949BB-2C6E-49E7-B81D-C951ABA462E3}"/>
    <cellStyle name="常规 5 2 2 4 2" xfId="20320" xr:uid="{9A9CD537-42C1-4DEA-A968-B38B5B006574}"/>
    <cellStyle name="常规 5 2 2 4 2 2" xfId="20321" xr:uid="{EC9D0F65-2B8B-4342-9B0B-6C50C8371CF8}"/>
    <cellStyle name="常规 5 2 2 4 2 2 2" xfId="20322" xr:uid="{0BF8DBC2-AA1A-4008-851F-0470146090A2}"/>
    <cellStyle name="常规 5 2 2 4 2 2 3" xfId="20323" xr:uid="{83024C0C-B041-4AF9-AB92-0F7183B7971B}"/>
    <cellStyle name="常规 5 2 2 4 2 2 4" xfId="20324" xr:uid="{3AE4641C-6DAB-4D95-9EEE-03C7257E2A3D}"/>
    <cellStyle name="常规 5 2 2 4 2 2 5" xfId="20325" xr:uid="{3895676E-6336-4AED-AAB5-FD9E942B7E15}"/>
    <cellStyle name="常规 5 2 2 4 2 2 6" xfId="20326" xr:uid="{6B64B713-0864-4FBC-9374-1B3A89753ED0}"/>
    <cellStyle name="常规 5 2 2 4 2 3" xfId="20327" xr:uid="{6445FBED-62A9-442E-9C10-C513AD510CE4}"/>
    <cellStyle name="常规 5 2 2 4 2 4" xfId="20328" xr:uid="{46287F1C-1416-4950-B96E-9A9668BCE16C}"/>
    <cellStyle name="常规 5 2 2 4 2 5" xfId="20329" xr:uid="{483B371E-478B-49BA-BA72-751307DC9996}"/>
    <cellStyle name="常规 5 2 2 4 2 6" xfId="20330" xr:uid="{374FE737-995D-4018-ACC2-54561C832E31}"/>
    <cellStyle name="常规 5 2 2 4 2 7" xfId="20331" xr:uid="{AED80D38-D219-4BC0-A9B0-CE6A951C860A}"/>
    <cellStyle name="常规 5 2 2 4 3" xfId="20332" xr:uid="{33259486-6867-47B4-8528-7DA0F4969424}"/>
    <cellStyle name="常规 5 2 2 4 3 2" xfId="20333" xr:uid="{3E0FC63B-6A4F-4E71-8534-0E71733FD349}"/>
    <cellStyle name="常规 5 2 2 4 3 3" xfId="20334" xr:uid="{FF4827AD-43FC-47BB-A25A-848CFE6E43E9}"/>
    <cellStyle name="常规 5 2 2 4 3 4" xfId="20335" xr:uid="{AA6105E6-BCC8-4710-A66B-70920BE6C7F2}"/>
    <cellStyle name="常规 5 2 2 4 3 5" xfId="20336" xr:uid="{D8F87492-CBC0-4F2A-9D77-45A8AD14F911}"/>
    <cellStyle name="常规 5 2 2 4 3 6" xfId="20337" xr:uid="{BCB89390-3E31-451A-B036-9EDD4CCCF8E9}"/>
    <cellStyle name="常规 5 2 2 4 4" xfId="20338" xr:uid="{8D61AB35-99AC-4F2A-80FD-BC78D1AC4365}"/>
    <cellStyle name="常规 5 2 2 4 5" xfId="20339" xr:uid="{6760E6FC-CE47-48D2-AE31-77D8AE0CE659}"/>
    <cellStyle name="常规 5 2 2 4 6" xfId="20340" xr:uid="{8AFDF931-955A-421D-974E-0BCE36F0D2FB}"/>
    <cellStyle name="常规 5 2 2 4 7" xfId="20341" xr:uid="{1ED55DDF-DDC6-4F37-8680-50BED5ED2B47}"/>
    <cellStyle name="常规 5 2 2 4 8" xfId="20342" xr:uid="{589DDE4B-1A53-4C09-BA08-21B571E25050}"/>
    <cellStyle name="常规 5 2 2 5" xfId="20343" xr:uid="{F9321CB6-B377-422E-9948-EF32E087692A}"/>
    <cellStyle name="常规 5 2 2 5 2" xfId="20344" xr:uid="{FBD9A08B-C2F0-4AD6-96E2-439FF2C888B8}"/>
    <cellStyle name="常规 5 2 2 5 2 2" xfId="20345" xr:uid="{B7C0116C-4A28-4156-B0A4-C9AC82DB833E}"/>
    <cellStyle name="常规 5 2 2 5 2 2 2" xfId="20346" xr:uid="{504190F5-8A1D-4E77-95E3-E7C2AFEA777F}"/>
    <cellStyle name="常规 5 2 2 5 2 2 3" xfId="20347" xr:uid="{6DAC2F06-5537-4047-8F67-9FC9F485A556}"/>
    <cellStyle name="常规 5 2 2 5 2 2 4" xfId="20348" xr:uid="{E4415DC3-DBC6-46BA-85D1-96F86FD5D5C8}"/>
    <cellStyle name="常规 5 2 2 5 2 2 5" xfId="20349" xr:uid="{EA11B8CC-0A79-49D4-B6E0-9125837157A1}"/>
    <cellStyle name="常规 5 2 2 5 2 2 6" xfId="20350" xr:uid="{7C2BA813-C7F8-4E3E-B1D3-881099F56FDC}"/>
    <cellStyle name="常规 5 2 2 5 2 3" xfId="20351" xr:uid="{E4F2B9B3-6AA2-429E-9CD7-C7CECE6D8CC5}"/>
    <cellStyle name="常规 5 2 2 5 2 4" xfId="20352" xr:uid="{1153483A-5B6F-4F7B-A7A1-9A1F6E5A6C51}"/>
    <cellStyle name="常规 5 2 2 5 2 5" xfId="20353" xr:uid="{04F0ADC0-8D3C-456F-B9FE-2E38BD0AA3CB}"/>
    <cellStyle name="常规 5 2 2 5 2 6" xfId="20354" xr:uid="{1EDA6413-F312-4E03-BD60-C962D544E72D}"/>
    <cellStyle name="常规 5 2 2 5 2 7" xfId="20355" xr:uid="{6D2AFDC3-7F0F-492D-B7EC-2A08F55A68D4}"/>
    <cellStyle name="常规 5 2 2 5 3" xfId="20356" xr:uid="{EE7B6B5D-A716-4995-B4E5-38AB659D5081}"/>
    <cellStyle name="常规 5 2 2 5 3 2" xfId="20357" xr:uid="{F1B464AD-D212-4578-B641-3392620F1487}"/>
    <cellStyle name="常规 5 2 2 5 3 3" xfId="20358" xr:uid="{2070D7BC-A412-4A67-9963-FD7437BB82D9}"/>
    <cellStyle name="常规 5 2 2 5 3 4" xfId="20359" xr:uid="{A88B2263-A895-41E6-9D18-E50A83300506}"/>
    <cellStyle name="常规 5 2 2 5 3 5" xfId="20360" xr:uid="{13C03D11-D098-46AF-895C-1A8A75269DC2}"/>
    <cellStyle name="常规 5 2 2 5 3 6" xfId="20361" xr:uid="{A70CFC2B-0588-4930-BE1F-06882F19D7F3}"/>
    <cellStyle name="常规 5 2 2 5 4" xfId="20362" xr:uid="{B8CAE3C9-E998-4DA9-9BCD-D4048B773E25}"/>
    <cellStyle name="常规 5 2 2 5 5" xfId="20363" xr:uid="{F442A499-8418-4D32-A46A-72CA9A8D8210}"/>
    <cellStyle name="常规 5 2 2 5 6" xfId="20364" xr:uid="{F2FC29BE-B42F-4742-96F1-B6F2351DE13B}"/>
    <cellStyle name="常规 5 2 2 5 7" xfId="20365" xr:uid="{DC4DF5AE-7BDD-468B-A18C-59BA70D1D26F}"/>
    <cellStyle name="常规 5 2 2 5 8" xfId="20366" xr:uid="{209E74B2-8081-4F3D-B2D5-581FA88F1B6D}"/>
    <cellStyle name="常规 5 2 2 6" xfId="20367" xr:uid="{AD170CAA-FA7C-42D8-8463-69BA6D9763B5}"/>
    <cellStyle name="常规 5 2 2 7" xfId="20368" xr:uid="{6D9FAB2E-8A58-4DEB-8AB6-E044D094DAFD}"/>
    <cellStyle name="常规 5 2 2 8" xfId="20369" xr:uid="{51B94DC2-8BD6-405B-AF79-D323DB2D2A45}"/>
    <cellStyle name="常规 5 2 2 9" xfId="20370" xr:uid="{46EAD993-2690-43F3-95D1-41FE0EA8507B}"/>
    <cellStyle name="常规 5 2 3" xfId="20371" xr:uid="{CC4F3ED4-AF82-439C-BE24-43295727E31F}"/>
    <cellStyle name="常规 5 2 3 10" xfId="20372" xr:uid="{CD5C8740-6F76-4761-A611-1A5D1381C248}"/>
    <cellStyle name="常规 5 2 3 11" xfId="20373" xr:uid="{16E78C05-887E-4A46-8959-ED5EE79B3D63}"/>
    <cellStyle name="常规 5 2 3 12" xfId="20374" xr:uid="{D0D77B5C-1445-4D99-82C1-F741BFF1D13C}"/>
    <cellStyle name="常规 5 2 3 13" xfId="20375" xr:uid="{0B1EBF4D-4C4A-40C0-A770-960D6A5F0D10}"/>
    <cellStyle name="常规 5 2 3 14" xfId="20376" xr:uid="{34E303CC-AB85-42E0-B654-F41FF55A52B3}"/>
    <cellStyle name="常规 5 2 3 15" xfId="20377" xr:uid="{3EAA82D5-A912-4C8A-93D2-61C2ACD82C93}"/>
    <cellStyle name="常规 5 2 3 2" xfId="20378" xr:uid="{9C06D703-BDA7-4E04-82BB-9AC1FB2C42B6}"/>
    <cellStyle name="常规 5 2 3 2 10" xfId="20379" xr:uid="{88237787-1DF3-4158-B077-84C12166D540}"/>
    <cellStyle name="常规 5 2 3 2 11" xfId="20380" xr:uid="{C5B73082-8A14-4979-ACFD-01766A1980D8}"/>
    <cellStyle name="常规 5 2 3 2 2" xfId="20381" xr:uid="{EECC7E73-6FA1-4AB6-B6DC-D678EC9D1F27}"/>
    <cellStyle name="常规 5 2 3 2 2 2" xfId="20382" xr:uid="{9C8DF9BF-AA98-49E1-8DC9-E108F6F9306B}"/>
    <cellStyle name="常规 5 2 3 2 2 2 2" xfId="20383" xr:uid="{DC513415-B3FD-4561-924F-809CBF3ABBAC}"/>
    <cellStyle name="常规 5 2 3 2 2 2 2 2" xfId="20384" xr:uid="{A81478EB-C204-40B8-B1D8-6CD5F23AE9EC}"/>
    <cellStyle name="常规 5 2 3 2 2 2 2 3" xfId="20385" xr:uid="{B3B41F76-4869-4341-9138-B3E9E160EEE0}"/>
    <cellStyle name="常规 5 2 3 2 2 2 2 4" xfId="20386" xr:uid="{AD38DAC3-2FF1-4768-BE24-B8B333C111A8}"/>
    <cellStyle name="常规 5 2 3 2 2 2 2 5" xfId="20387" xr:uid="{28CC6F78-75A5-4FAC-8613-3A37F66BC519}"/>
    <cellStyle name="常规 5 2 3 2 2 2 2 6" xfId="20388" xr:uid="{12F83AEC-28CD-4353-9443-24C9E218115F}"/>
    <cellStyle name="常规 5 2 3 2 2 2 3" xfId="20389" xr:uid="{0A71D6A7-96D9-4FA0-A055-E2DA4AA13542}"/>
    <cellStyle name="常规 5 2 3 2 2 2 4" xfId="20390" xr:uid="{433E2ADD-0847-4813-86D7-8DEFAFFBF993}"/>
    <cellStyle name="常规 5 2 3 2 2 2 5" xfId="20391" xr:uid="{25C2FAD1-DB8A-42AD-8F2A-C5AF5F4423AE}"/>
    <cellStyle name="常规 5 2 3 2 2 2 6" xfId="20392" xr:uid="{0A892915-C50E-44D1-9404-FFE9750EEFBE}"/>
    <cellStyle name="常规 5 2 3 2 2 2 7" xfId="20393" xr:uid="{E4AC4036-2587-4AEF-87D6-EE408B141D75}"/>
    <cellStyle name="常规 5 2 3 2 2 3" xfId="20394" xr:uid="{6F54ACF9-6F83-4198-9A4B-403399C877A7}"/>
    <cellStyle name="常规 5 2 3 2 2 3 2" xfId="20395" xr:uid="{7A10ECEA-A9EF-4E0F-9C44-70E7ECD0F9FF}"/>
    <cellStyle name="常规 5 2 3 2 2 3 3" xfId="20396" xr:uid="{AA66F3D6-2331-494D-8023-0427AAE3A9CF}"/>
    <cellStyle name="常规 5 2 3 2 2 3 4" xfId="20397" xr:uid="{92C9D537-3110-4389-9B19-67709BD4E1A4}"/>
    <cellStyle name="常规 5 2 3 2 2 3 5" xfId="20398" xr:uid="{EE1B6554-DFC1-48A6-B3D3-DD52D17C3673}"/>
    <cellStyle name="常规 5 2 3 2 2 3 6" xfId="20399" xr:uid="{7C137613-4B0C-41BF-B714-223133D2FEFE}"/>
    <cellStyle name="常规 5 2 3 2 2 4" xfId="20400" xr:uid="{135F77A9-0F23-441B-994D-D11A3644D94A}"/>
    <cellStyle name="常规 5 2 3 2 2 5" xfId="20401" xr:uid="{5668E8E7-560F-4218-BA1C-7C7D3815A749}"/>
    <cellStyle name="常规 5 2 3 2 2 6" xfId="20402" xr:uid="{4C2CF373-D395-42CE-8E20-4FDE6F667A7E}"/>
    <cellStyle name="常规 5 2 3 2 2 7" xfId="20403" xr:uid="{B53B4F0F-92B5-4D1B-8795-A20AFEE2B5DA}"/>
    <cellStyle name="常规 5 2 3 2 2 8" xfId="20404" xr:uid="{9493E91D-D51B-4AF2-BFF2-18704ECDDA98}"/>
    <cellStyle name="常规 5 2 3 2 3" xfId="20405" xr:uid="{58CEE4B0-2927-4022-97AF-44D98340F62B}"/>
    <cellStyle name="常规 5 2 3 2 3 2" xfId="20406" xr:uid="{B491905B-1142-4289-960C-32FB6CAB6AA7}"/>
    <cellStyle name="常规 5 2 3 2 3 2 2" xfId="20407" xr:uid="{345C710F-722D-4B8C-9328-6A0C1F8D1EB2}"/>
    <cellStyle name="常规 5 2 3 2 3 2 2 2" xfId="20408" xr:uid="{6A5E6BB5-E8A9-4A6F-90A4-DBCA9BD45EA9}"/>
    <cellStyle name="常规 5 2 3 2 3 2 2 3" xfId="20409" xr:uid="{3764F09C-C801-4F43-9F98-17CD4866090D}"/>
    <cellStyle name="常规 5 2 3 2 3 2 2 4" xfId="20410" xr:uid="{25B4D848-138F-43F4-9D34-D381B7F4A58A}"/>
    <cellStyle name="常规 5 2 3 2 3 2 2 5" xfId="20411" xr:uid="{8964743C-41F7-4497-97AE-E01C7A451525}"/>
    <cellStyle name="常规 5 2 3 2 3 2 2 6" xfId="20412" xr:uid="{1D3C1CE6-5C76-4F4B-88F2-4B7D971763E2}"/>
    <cellStyle name="常规 5 2 3 2 3 2 3" xfId="20413" xr:uid="{540EE0A6-525C-4346-9C8D-60C955034C95}"/>
    <cellStyle name="常规 5 2 3 2 3 2 4" xfId="20414" xr:uid="{171411A1-B3B5-4BF7-9038-F2FBC7189835}"/>
    <cellStyle name="常规 5 2 3 2 3 2 5" xfId="20415" xr:uid="{FE1AB9C6-7EE8-47B0-85AA-635DF3280CDF}"/>
    <cellStyle name="常规 5 2 3 2 3 2 6" xfId="20416" xr:uid="{EFFB8E65-614E-4AA4-84DD-17D670889DC7}"/>
    <cellStyle name="常规 5 2 3 2 3 2 7" xfId="20417" xr:uid="{C3595129-9E9F-4E6F-A872-3B60D6E30ED2}"/>
    <cellStyle name="常规 5 2 3 2 3 3" xfId="20418" xr:uid="{0300294F-8E93-46DF-AF87-60AB754D768B}"/>
    <cellStyle name="常规 5 2 3 2 3 3 2" xfId="20419" xr:uid="{75069379-E990-410B-8AD3-347CDB1B6032}"/>
    <cellStyle name="常规 5 2 3 2 3 3 3" xfId="20420" xr:uid="{3E54CF4D-6724-4057-92CA-66A2143C6D86}"/>
    <cellStyle name="常规 5 2 3 2 3 3 4" xfId="20421" xr:uid="{5FF0D8A9-5BD8-4481-A35E-21A5F8300195}"/>
    <cellStyle name="常规 5 2 3 2 3 3 5" xfId="20422" xr:uid="{88E4315A-3FCF-4382-AB9F-21FB3636DC62}"/>
    <cellStyle name="常规 5 2 3 2 3 3 6" xfId="20423" xr:uid="{B7C99C77-9BE2-4D31-AB69-D54C0C127B01}"/>
    <cellStyle name="常规 5 2 3 2 3 4" xfId="20424" xr:uid="{C5B31641-02D9-4F88-B711-FA7F7AD2339A}"/>
    <cellStyle name="常规 5 2 3 2 3 5" xfId="20425" xr:uid="{352820E2-73D8-43E7-847D-2AB8E247A36C}"/>
    <cellStyle name="常规 5 2 3 2 3 6" xfId="20426" xr:uid="{B533B59C-8760-4F38-A461-0F3F8B3E91F4}"/>
    <cellStyle name="常规 5 2 3 2 3 7" xfId="20427" xr:uid="{CF33B81E-7863-4E52-9E97-5E91462A6C61}"/>
    <cellStyle name="常规 5 2 3 2 3 8" xfId="20428" xr:uid="{41410BDF-6E00-49A4-A188-A3FB47B29AC6}"/>
    <cellStyle name="常规 5 2 3 2 4" xfId="20429" xr:uid="{0B6A748D-0FD6-4DA4-8372-7A5306BD1611}"/>
    <cellStyle name="常规 5 2 3 2 4 2" xfId="20430" xr:uid="{CB67ECB5-9750-4321-A81A-847F530820D7}"/>
    <cellStyle name="常规 5 2 3 2 4 2 2" xfId="20431" xr:uid="{ACEEDCA9-3CA3-4D11-ABF9-32374D787885}"/>
    <cellStyle name="常规 5 2 3 2 4 2 3" xfId="20432" xr:uid="{6B565872-19F6-455E-AD96-CE4505241857}"/>
    <cellStyle name="常规 5 2 3 2 4 2 4" xfId="20433" xr:uid="{DC2098D1-6B33-4A1B-BE38-EEF10DAD8212}"/>
    <cellStyle name="常规 5 2 3 2 4 2 5" xfId="20434" xr:uid="{17C3FC7A-C6D2-4CC2-AFD3-71DEBF9C15E8}"/>
    <cellStyle name="常规 5 2 3 2 4 2 6" xfId="20435" xr:uid="{5C456BC5-3F47-41D6-B050-47D2B72C4876}"/>
    <cellStyle name="常规 5 2 3 2 4 3" xfId="20436" xr:uid="{17E8324E-682C-49E5-92E6-2402E8612600}"/>
    <cellStyle name="常规 5 2 3 2 4 4" xfId="20437" xr:uid="{B1DE1F90-A0E0-47C9-8D5F-A87F2416C860}"/>
    <cellStyle name="常规 5 2 3 2 4 5" xfId="20438" xr:uid="{2BB4C78B-E80E-44E1-BA46-0E5D8D12904E}"/>
    <cellStyle name="常规 5 2 3 2 4 6" xfId="20439" xr:uid="{2EF87E07-4D86-4855-A5F6-5D97A4B35267}"/>
    <cellStyle name="常规 5 2 3 2 4 7" xfId="20440" xr:uid="{FBDC1690-5D67-4D0C-8025-43727F444F90}"/>
    <cellStyle name="常规 5 2 3 2 5" xfId="20441" xr:uid="{766BB34D-E6CB-4CB8-9568-60AE62C89F80}"/>
    <cellStyle name="常规 5 2 3 2 5 2" xfId="20442" xr:uid="{FB458740-E14F-48A8-A99F-33220CF7CCEF}"/>
    <cellStyle name="常规 5 2 3 2 5 2 2" xfId="20443" xr:uid="{FC5A70EB-99E7-4A6C-A977-CECA4098A218}"/>
    <cellStyle name="常规 5 2 3 2 5 2 3" xfId="20444" xr:uid="{CC9BB903-E70E-4750-A9F7-C64ABA51C276}"/>
    <cellStyle name="常规 5 2 3 2 5 2 4" xfId="20445" xr:uid="{CF5F09E5-82B4-42F2-A925-51B518953D13}"/>
    <cellStyle name="常规 5 2 3 2 5 2 5" xfId="20446" xr:uid="{60B27D70-4597-4DB4-90F0-1D5793069B55}"/>
    <cellStyle name="常规 5 2 3 2 5 2 6" xfId="20447" xr:uid="{7AE5B552-BB4B-4251-A78F-EAE1B156FE36}"/>
    <cellStyle name="常规 5 2 3 2 5 3" xfId="20448" xr:uid="{B553E7CD-1583-4D50-ADF0-CC96220BA605}"/>
    <cellStyle name="常规 5 2 3 2 5 4" xfId="20449" xr:uid="{3793975E-BEF8-4710-8A37-8ABBB1C79CD5}"/>
    <cellStyle name="常规 5 2 3 2 5 5" xfId="20450" xr:uid="{9AC9EFAB-A800-4F3E-9988-8E139EACE393}"/>
    <cellStyle name="常规 5 2 3 2 5 6" xfId="20451" xr:uid="{F3F8B523-8CDD-4CDF-81BA-0A9AB5B461F9}"/>
    <cellStyle name="常规 5 2 3 2 5 7" xfId="20452" xr:uid="{E5D80CF6-E466-417C-9D13-F99E81BA45FA}"/>
    <cellStyle name="常规 5 2 3 2 6" xfId="20453" xr:uid="{8CC5EE75-2165-4203-B471-BB960E3A85DF}"/>
    <cellStyle name="常规 5 2 3 2 6 2" xfId="20454" xr:uid="{70419E2A-88F6-4448-BA1F-B55698E007A5}"/>
    <cellStyle name="常规 5 2 3 2 6 3" xfId="20455" xr:uid="{AE23D00A-C3A9-442E-822F-E1538AA4AB6A}"/>
    <cellStyle name="常规 5 2 3 2 6 4" xfId="20456" xr:uid="{78C4B1ED-C101-4402-A549-AE9B38847D61}"/>
    <cellStyle name="常规 5 2 3 2 6 5" xfId="20457" xr:uid="{126FB309-0388-42DB-B32D-CA6C2416FA3F}"/>
    <cellStyle name="常规 5 2 3 2 6 6" xfId="20458" xr:uid="{A8D29C81-27A7-4A42-8C69-AFB388684225}"/>
    <cellStyle name="常规 5 2 3 2 7" xfId="20459" xr:uid="{F6F52CB2-91AB-4B59-A693-1EDB62E933E3}"/>
    <cellStyle name="常规 5 2 3 2 8" xfId="20460" xr:uid="{B1683529-7B30-428D-B916-9A2EAD4099D6}"/>
    <cellStyle name="常规 5 2 3 2 9" xfId="20461" xr:uid="{4C0A2D54-7D96-46F0-A8A5-821D757D996D}"/>
    <cellStyle name="常规 5 2 3 3" xfId="20462" xr:uid="{379A4FD6-9140-442E-B790-03D7503DC379}"/>
    <cellStyle name="常规 5 2 3 3 2" xfId="20463" xr:uid="{7F41DDEC-A0EF-4FB6-B46D-9FA5913FF176}"/>
    <cellStyle name="常规 5 2 3 3 2 2" xfId="20464" xr:uid="{14998847-8776-4EBA-A36F-186BBF2F0186}"/>
    <cellStyle name="常规 5 2 3 3 2 2 2" xfId="20465" xr:uid="{129BA7A4-3C8D-4784-8846-11C24EDA13B2}"/>
    <cellStyle name="常规 5 2 3 3 2 2 3" xfId="20466" xr:uid="{EA7208AA-CCCE-4F6D-A8D2-55559EA7B8F1}"/>
    <cellStyle name="常规 5 2 3 3 2 2 4" xfId="20467" xr:uid="{DB1E8558-D193-47A9-9BD1-F4DCFAE48E1D}"/>
    <cellStyle name="常规 5 2 3 3 2 2 5" xfId="20468" xr:uid="{359A4DA9-9D39-42C0-8C04-F36DD8DD9D38}"/>
    <cellStyle name="常规 5 2 3 3 2 2 6" xfId="20469" xr:uid="{05C86C9B-71CE-46DA-881E-8DCEB344EABC}"/>
    <cellStyle name="常规 5 2 3 3 2 3" xfId="20470" xr:uid="{CC8575C3-E98D-49A8-97C5-6DF64B52D2AA}"/>
    <cellStyle name="常规 5 2 3 3 2 4" xfId="20471" xr:uid="{79BF4FA9-87E7-45AC-A480-93DD01943DC9}"/>
    <cellStyle name="常规 5 2 3 3 2 5" xfId="20472" xr:uid="{30E025B3-449F-4316-B2A2-0EDF2C3193A1}"/>
    <cellStyle name="常规 5 2 3 3 2 6" xfId="20473" xr:uid="{F08BE664-81B0-48A6-B911-168DFC19385C}"/>
    <cellStyle name="常规 5 2 3 3 2 7" xfId="20474" xr:uid="{E290B358-A9CA-4C0F-A530-A130A2EB2E40}"/>
    <cellStyle name="常规 5 2 3 3 3" xfId="20475" xr:uid="{31C5CBF3-5B02-4822-AAC3-76B8CAC3B877}"/>
    <cellStyle name="常规 5 2 3 3 3 2" xfId="20476" xr:uid="{2CDA7F7E-E1B5-42FD-B3F9-8783748D1146}"/>
    <cellStyle name="常规 5 2 3 3 3 3" xfId="20477" xr:uid="{196950CF-50FE-48B9-8CFD-4CFFF788C420}"/>
    <cellStyle name="常规 5 2 3 3 3 4" xfId="20478" xr:uid="{7909EEC0-A17B-4993-9442-C6E044DBD9DD}"/>
    <cellStyle name="常规 5 2 3 3 3 5" xfId="20479" xr:uid="{85CB1671-D3FD-469E-AC11-A69F0C86F14E}"/>
    <cellStyle name="常规 5 2 3 3 3 6" xfId="20480" xr:uid="{6BEB600B-764D-4E44-9210-44E395AB038F}"/>
    <cellStyle name="常规 5 2 3 3 4" xfId="20481" xr:uid="{10D695A2-040A-43D8-B0F2-C472BA8892E8}"/>
    <cellStyle name="常规 5 2 3 3 5" xfId="20482" xr:uid="{76C59ED1-2AD6-4A68-88CC-9511989EBABA}"/>
    <cellStyle name="常规 5 2 3 3 6" xfId="20483" xr:uid="{D849C33B-2BE7-40C9-9AD3-B559A2E1503E}"/>
    <cellStyle name="常规 5 2 3 3 7" xfId="20484" xr:uid="{E246F5A8-C698-46F4-B2A2-D933F7F7D947}"/>
    <cellStyle name="常规 5 2 3 3 8" xfId="20485" xr:uid="{9B9B0B74-2790-4D46-AE37-74F2C1F567E1}"/>
    <cellStyle name="常规 5 2 3 4" xfId="20486" xr:uid="{B6B8BEC6-26D2-4B00-999F-2B356830B32A}"/>
    <cellStyle name="常规 5 2 3 4 2" xfId="20487" xr:uid="{CBF82474-A2EC-4A4F-AE50-4161087F6BC3}"/>
    <cellStyle name="常规 5 2 3 4 2 2" xfId="20488" xr:uid="{D59BBCF5-E330-463A-B53E-FF9C597B1B04}"/>
    <cellStyle name="常规 5 2 3 4 2 2 2" xfId="20489" xr:uid="{68FF1150-85A7-40EF-B62B-98EBD2FB4FAF}"/>
    <cellStyle name="常规 5 2 3 4 2 2 3" xfId="20490" xr:uid="{0E4ED7C4-C123-43EB-9578-5733FC652F60}"/>
    <cellStyle name="常规 5 2 3 4 2 2 4" xfId="20491" xr:uid="{2C73EB99-3200-44CE-BFA4-789C2FC93D45}"/>
    <cellStyle name="常规 5 2 3 4 2 2 5" xfId="20492" xr:uid="{1F80019B-20F1-4A0D-AAF2-4C402DBAB3EF}"/>
    <cellStyle name="常规 5 2 3 4 2 2 6" xfId="20493" xr:uid="{699F0C4C-A819-4759-80C0-D314C4312518}"/>
    <cellStyle name="常规 5 2 3 4 2 3" xfId="20494" xr:uid="{D5730192-6BED-4199-B20D-43FF4D675A90}"/>
    <cellStyle name="常规 5 2 3 4 2 4" xfId="20495" xr:uid="{65FC391B-DCCE-42DD-A6A9-887A46881AB2}"/>
    <cellStyle name="常规 5 2 3 4 2 5" xfId="20496" xr:uid="{BC4656F9-580B-439D-91F6-7761AB90C83B}"/>
    <cellStyle name="常规 5 2 3 4 2 6" xfId="20497" xr:uid="{79072A73-FBDC-4432-AEE8-68E5A1C56582}"/>
    <cellStyle name="常规 5 2 3 4 2 7" xfId="20498" xr:uid="{104B229D-77F5-4270-941A-40076E99ED97}"/>
    <cellStyle name="常规 5 2 3 4 3" xfId="20499" xr:uid="{497BC761-4CAF-4233-9917-53C7791584AE}"/>
    <cellStyle name="常规 5 2 3 4 3 2" xfId="20500" xr:uid="{8E4A1EE0-67E8-472B-9587-98F8A6F8C3C9}"/>
    <cellStyle name="常规 5 2 3 4 3 3" xfId="20501" xr:uid="{ED2CF024-84EA-444C-8602-8AF59EEADAA9}"/>
    <cellStyle name="常规 5 2 3 4 3 4" xfId="20502" xr:uid="{BE6757E9-F28B-4515-A875-833829C5976E}"/>
    <cellStyle name="常规 5 2 3 4 3 5" xfId="20503" xr:uid="{3A821BE3-4A8F-47AA-B71D-FBD4DFA87703}"/>
    <cellStyle name="常规 5 2 3 4 3 6" xfId="20504" xr:uid="{62E17455-1715-493A-A43C-54459F5B6824}"/>
    <cellStyle name="常规 5 2 3 4 4" xfId="20505" xr:uid="{855F2BAD-A31E-489D-99FD-6DD6A2A02A42}"/>
    <cellStyle name="常规 5 2 3 4 5" xfId="20506" xr:uid="{3C372DEE-1D1D-4F06-BD91-F31016DE9CEB}"/>
    <cellStyle name="常规 5 2 3 4 6" xfId="20507" xr:uid="{7C46C497-3536-400C-A4BF-01BC8BFC160A}"/>
    <cellStyle name="常规 5 2 3 4 7" xfId="20508" xr:uid="{7756D6B0-50D5-419C-AF90-C5E3AD886B80}"/>
    <cellStyle name="常规 5 2 3 4 8" xfId="20509" xr:uid="{8DFD6D73-2483-4D50-BA82-48BF57729215}"/>
    <cellStyle name="常规 5 2 3 5" xfId="20510" xr:uid="{AAA971F3-3EFC-4773-8E05-01F60A038350}"/>
    <cellStyle name="常规 5 2 3 5 2" xfId="20511" xr:uid="{10A68B26-3BA0-47A5-866B-6100D4F41989}"/>
    <cellStyle name="常规 5 2 3 5 2 2" xfId="20512" xr:uid="{77FF20CA-95DF-4945-9655-D14A974A0257}"/>
    <cellStyle name="常规 5 2 3 5 2 3" xfId="20513" xr:uid="{4ECCCBC3-6440-4409-B6C5-0E2073CAF957}"/>
    <cellStyle name="常规 5 2 3 5 2 4" xfId="20514" xr:uid="{FEAF1847-76B5-46F2-88B6-B1E1828A91A0}"/>
    <cellStyle name="常规 5 2 3 5 2 5" xfId="20515" xr:uid="{12AFA342-A930-4BB2-889B-C3689B6B5D69}"/>
    <cellStyle name="常规 5 2 3 5 2 6" xfId="20516" xr:uid="{99ABEFB8-F28E-4336-AF50-57810938AAF7}"/>
    <cellStyle name="常规 5 2 3 5 3" xfId="20517" xr:uid="{A756FA51-6A8A-4B7D-A8F0-615BCA96F3C4}"/>
    <cellStyle name="常规 5 2 3 5 4" xfId="20518" xr:uid="{07EBCE2A-2268-45C9-A510-BFCB8EA06B9A}"/>
    <cellStyle name="常规 5 2 3 5 5" xfId="20519" xr:uid="{34760B99-4D5B-4F80-8834-B906A8318ADC}"/>
    <cellStyle name="常规 5 2 3 5 6" xfId="20520" xr:uid="{1BB25221-F5A7-4001-9B29-952A15B36EB4}"/>
    <cellStyle name="常规 5 2 3 5 7" xfId="20521" xr:uid="{72244FAA-0609-4037-BC64-A85CC0D4E648}"/>
    <cellStyle name="常规 5 2 3 6" xfId="20522" xr:uid="{826761C3-DDD1-4850-A3C6-C13671B9064A}"/>
    <cellStyle name="常规 5 2 3 6 2" xfId="20523" xr:uid="{296F99C5-45AF-4573-AADB-5621226AB9CB}"/>
    <cellStyle name="常规 5 2 3 6 2 2" xfId="20524" xr:uid="{8E234909-3939-48EA-A5FC-B0A3C32D4EE9}"/>
    <cellStyle name="常规 5 2 3 6 2 3" xfId="20525" xr:uid="{DBD9EDE2-221B-4308-8062-4F652E5F3C8B}"/>
    <cellStyle name="常规 5 2 3 6 2 4" xfId="20526" xr:uid="{0E8E8D0C-DF71-4E21-BB18-BC24054E3A87}"/>
    <cellStyle name="常规 5 2 3 6 2 5" xfId="20527" xr:uid="{054C7DDA-3FFB-454F-99BD-2A5FE1A6EF26}"/>
    <cellStyle name="常规 5 2 3 6 2 6" xfId="20528" xr:uid="{DA922B9A-5E67-4250-8A15-F6D5C4751828}"/>
    <cellStyle name="常规 5 2 3 6 3" xfId="20529" xr:uid="{6650C24E-FC30-469B-B1D6-5757EE5A237C}"/>
    <cellStyle name="常规 5 2 3 6 4" xfId="20530" xr:uid="{EAFFC04D-6255-4AA6-B612-15D42B3DC85E}"/>
    <cellStyle name="常规 5 2 3 6 5" xfId="20531" xr:uid="{B349F7DF-CF2F-421D-82DC-4E2B03EABF05}"/>
    <cellStyle name="常规 5 2 3 6 6" xfId="20532" xr:uid="{DC427963-A439-4442-A2DF-10A1BC4F0910}"/>
    <cellStyle name="常规 5 2 3 6 7" xfId="20533" xr:uid="{9D11CAB3-E17C-48BD-A4F5-57DAEA717C81}"/>
    <cellStyle name="常规 5 2 3 7" xfId="20534" xr:uid="{B3DDF0B7-CD7B-474A-A596-0AFA8EDA5B58}"/>
    <cellStyle name="常规 5 2 3 7 2" xfId="20535" xr:uid="{E0076355-676C-4D32-A11F-6E47464E8E7B}"/>
    <cellStyle name="常规 5 2 3 7 2 2" xfId="20536" xr:uid="{FC32DEC1-996D-4F7D-A330-4F3D8B69514B}"/>
    <cellStyle name="常规 5 2 3 7 2 3" xfId="20537" xr:uid="{9B0EFE1F-A571-4260-A6FD-7118A60E5905}"/>
    <cellStyle name="常规 5 2 3 7 2 4" xfId="20538" xr:uid="{26DFDFA0-CA73-461E-88A7-285F0445AB67}"/>
    <cellStyle name="常规 5 2 3 7 2 5" xfId="20539" xr:uid="{40DFD5F2-4F88-49AC-8100-E17540BB01C3}"/>
    <cellStyle name="常规 5 2 3 7 2 6" xfId="20540" xr:uid="{FC1F18B7-98BC-4C4F-97DB-0FF4559ECE21}"/>
    <cellStyle name="常规 5 2 3 7 3" xfId="20541" xr:uid="{B4AF57A8-C6D9-441D-B939-B0FE52BE96D4}"/>
    <cellStyle name="常规 5 2 3 7 4" xfId="20542" xr:uid="{87070DC6-3663-464F-A762-1C879E0226BF}"/>
    <cellStyle name="常规 5 2 3 7 5" xfId="20543" xr:uid="{FC8CDF97-9EDC-4D19-BF88-71AAF5A1E706}"/>
    <cellStyle name="常规 5 2 3 7 6" xfId="20544" xr:uid="{1A0D2491-E26D-4C20-B920-98E06C49F9BA}"/>
    <cellStyle name="常规 5 2 3 7 7" xfId="20545" xr:uid="{4908B775-1292-4EE1-8C7A-8682EB82677E}"/>
    <cellStyle name="常规 5 2 3 8" xfId="20546" xr:uid="{2BFA46C2-58A1-4176-B20A-692E4E7A517E}"/>
    <cellStyle name="常规 5 2 3 8 2" xfId="20547" xr:uid="{1542050B-28F0-4197-955E-BD756C6F4B4F}"/>
    <cellStyle name="常规 5 2 3 8 3" xfId="20548" xr:uid="{37DC3A1C-350F-415A-B3D9-2C6CFF5C0CD8}"/>
    <cellStyle name="常规 5 2 3 8 4" xfId="20549" xr:uid="{87D204E0-79DA-4F51-AB99-F502274385FF}"/>
    <cellStyle name="常规 5 2 3 8 5" xfId="20550" xr:uid="{890A9149-E8EF-4301-8FA1-3B8AE3E6BF40}"/>
    <cellStyle name="常规 5 2 3 8 6" xfId="20551" xr:uid="{55DF7AA1-01C3-4AD6-BD8D-BAA650C2EB60}"/>
    <cellStyle name="常规 5 2 3 9" xfId="20552" xr:uid="{3030C57C-5304-46EF-87D5-F8C74FC0A494}"/>
    <cellStyle name="常规 5 2 3 9 2" xfId="20553" xr:uid="{074C53C3-A273-4F70-9E06-4CE2825F1AE3}"/>
    <cellStyle name="常规 5 2 3 9 3" xfId="20554" xr:uid="{963D6E34-CF0E-4BC9-9857-86F0527E2430}"/>
    <cellStyle name="常规 5 2 3 9 4" xfId="20555" xr:uid="{36E6FD7C-3B66-4029-96E7-E67F696EA38D}"/>
    <cellStyle name="常规 5 2 3 9 5" xfId="20556" xr:uid="{5F7F1958-0CA8-4070-83C5-307CBB115770}"/>
    <cellStyle name="常规 5 2 3 9 6" xfId="20557" xr:uid="{C0305FC4-EC38-45E3-9963-534952A3056B}"/>
    <cellStyle name="常规 5 2 4" xfId="20558" xr:uid="{752B9759-288B-46F1-B480-92EA0842D8E4}"/>
    <cellStyle name="常规 5 2 4 10" xfId="20559" xr:uid="{3A9657EC-9CAA-4ED8-9797-C29ABA351316}"/>
    <cellStyle name="常规 5 2 4 11" xfId="20560" xr:uid="{5C160A02-A3EF-483F-B822-5B1C88CF060B}"/>
    <cellStyle name="常规 5 2 4 2" xfId="20561" xr:uid="{51A0D69F-EBC7-4F01-BDF9-8674DA56CE63}"/>
    <cellStyle name="常规 5 2 4 2 2" xfId="20562" xr:uid="{6663FEA8-6F58-4BF3-9A90-DDA7CAF2DC89}"/>
    <cellStyle name="常规 5 2 4 2 2 2" xfId="20563" xr:uid="{D8ABFEE8-C628-4205-A584-6BAF99FCB1E1}"/>
    <cellStyle name="常规 5 2 4 2 2 2 2" xfId="20564" xr:uid="{A5ACAD49-4893-4006-957B-CC4ABBCEFFA9}"/>
    <cellStyle name="常规 5 2 4 2 2 2 3" xfId="20565" xr:uid="{41DAEF65-5966-4BE7-A492-68C331542B13}"/>
    <cellStyle name="常规 5 2 4 2 2 2 4" xfId="20566" xr:uid="{E8AEB820-BCEF-455A-92B3-CA07C9A54FF4}"/>
    <cellStyle name="常规 5 2 4 2 2 2 5" xfId="20567" xr:uid="{AF8CA2FE-6CE5-4018-8E92-EF910038B2FC}"/>
    <cellStyle name="常规 5 2 4 2 2 2 6" xfId="20568" xr:uid="{FD857FD6-0E16-4A78-95FA-BEF6568F3D2D}"/>
    <cellStyle name="常规 5 2 4 2 2 3" xfId="20569" xr:uid="{E3A3B937-8689-474B-B0CC-EBB86E62FBC6}"/>
    <cellStyle name="常规 5 2 4 2 2 4" xfId="20570" xr:uid="{14EDF6AD-EFE9-4AD8-818B-8FB06E5D8E59}"/>
    <cellStyle name="常规 5 2 4 2 2 5" xfId="20571" xr:uid="{EB30D72B-A882-4490-9AA1-8F8D08393A3B}"/>
    <cellStyle name="常规 5 2 4 2 2 6" xfId="20572" xr:uid="{C284757F-7AC2-4E2B-A639-765E2C2FC4C3}"/>
    <cellStyle name="常规 5 2 4 2 2 7" xfId="20573" xr:uid="{55619FFE-A450-4D06-B286-8D0055D89E40}"/>
    <cellStyle name="常规 5 2 4 2 3" xfId="20574" xr:uid="{3C0D0121-C236-472C-A83A-5B3303AA7312}"/>
    <cellStyle name="常规 5 2 4 2 3 2" xfId="20575" xr:uid="{166EFE12-730C-4D72-A1A3-67A0918DCFF9}"/>
    <cellStyle name="常规 5 2 4 2 3 3" xfId="20576" xr:uid="{2D1F82D7-2885-4312-A814-D041EE9FD356}"/>
    <cellStyle name="常规 5 2 4 2 3 4" xfId="20577" xr:uid="{D5D7A176-B338-46C5-8E76-D509C117778A}"/>
    <cellStyle name="常规 5 2 4 2 3 5" xfId="20578" xr:uid="{1F975CD4-F665-4AA7-8AAD-D38A2C6BC922}"/>
    <cellStyle name="常规 5 2 4 2 3 6" xfId="20579" xr:uid="{5FDA56D1-D8CF-4A30-9CDC-A7FDBA74A9D9}"/>
    <cellStyle name="常规 5 2 4 2 4" xfId="20580" xr:uid="{DD1E7F6D-044A-431D-8A70-4D41522FF9F4}"/>
    <cellStyle name="常规 5 2 4 2 5" xfId="20581" xr:uid="{DF81E916-B98D-4A21-9D79-F1A3C8B08B0B}"/>
    <cellStyle name="常规 5 2 4 2 6" xfId="20582" xr:uid="{758CE668-5F8E-4FD3-B2DE-A751DF9FAB8D}"/>
    <cellStyle name="常规 5 2 4 2 7" xfId="20583" xr:uid="{DA02D984-02EB-4D01-89FE-B5F2407D7CA6}"/>
    <cellStyle name="常规 5 2 4 2 8" xfId="20584" xr:uid="{E00A578A-3D8A-4469-BD88-998BE13C6018}"/>
    <cellStyle name="常规 5 2 4 2 9" xfId="20585" xr:uid="{514B2B85-B8ED-44E6-8D89-4D12E0BF9D23}"/>
    <cellStyle name="常规 5 2 4 3" xfId="20586" xr:uid="{4D0FD5BD-8E40-4FD5-9084-979D564DC10F}"/>
    <cellStyle name="常规 5 2 4 3 2" xfId="20587" xr:uid="{E2E83020-6B49-4DB3-ABD4-B87642558D11}"/>
    <cellStyle name="常规 5 2 4 3 2 2" xfId="20588" xr:uid="{162335FC-7B29-40C2-AA10-B101020C1483}"/>
    <cellStyle name="常规 5 2 4 3 2 2 2" xfId="20589" xr:uid="{99289B8F-FCE8-4EEB-B5B1-51B314E66231}"/>
    <cellStyle name="常规 5 2 4 3 2 2 3" xfId="20590" xr:uid="{0239E447-69E9-4AFA-9F80-B1ED827AF678}"/>
    <cellStyle name="常规 5 2 4 3 2 2 4" xfId="20591" xr:uid="{D9BA1C84-B81F-40D7-97A3-EB76BEE64A80}"/>
    <cellStyle name="常规 5 2 4 3 2 2 5" xfId="20592" xr:uid="{0B0BA004-2C52-4CE7-8C9F-2CDD35AD38D0}"/>
    <cellStyle name="常规 5 2 4 3 2 2 6" xfId="20593" xr:uid="{09D5E233-C0D2-45E1-8CF9-DB1475E4EDDB}"/>
    <cellStyle name="常规 5 2 4 3 2 3" xfId="20594" xr:uid="{018D3A18-0E88-438C-B38F-95441B9B636E}"/>
    <cellStyle name="常规 5 2 4 3 2 4" xfId="20595" xr:uid="{FB5AD095-08DB-4585-A0FC-4A04F2E7108B}"/>
    <cellStyle name="常规 5 2 4 3 2 5" xfId="20596" xr:uid="{FCC38519-7827-4B6C-B947-6A216C2B8A53}"/>
    <cellStyle name="常规 5 2 4 3 2 6" xfId="20597" xr:uid="{DBA7C46C-3F63-4073-8FC2-3FCC439629AF}"/>
    <cellStyle name="常规 5 2 4 3 2 7" xfId="20598" xr:uid="{9A5966C6-DBC1-4B96-8076-AFBCD9B7F989}"/>
    <cellStyle name="常规 5 2 4 3 3" xfId="20599" xr:uid="{BECE9065-BE98-4F8B-90AC-62FAFD8CA76E}"/>
    <cellStyle name="常规 5 2 4 3 3 2" xfId="20600" xr:uid="{6129057B-EF6C-4643-93BB-99CD5B42AD06}"/>
    <cellStyle name="常规 5 2 4 3 3 3" xfId="20601" xr:uid="{766DD6EB-4478-462B-957C-1788CF5E5227}"/>
    <cellStyle name="常规 5 2 4 3 3 4" xfId="20602" xr:uid="{C1F618DC-36B3-4D20-9BEC-AA437348DD3D}"/>
    <cellStyle name="常规 5 2 4 3 3 5" xfId="20603" xr:uid="{4E7AAE94-3E9C-430C-A7BA-D0D430A74627}"/>
    <cellStyle name="常规 5 2 4 3 3 6" xfId="20604" xr:uid="{8AE32F54-2068-4812-903B-0346D7AE9D52}"/>
    <cellStyle name="常规 5 2 4 3 4" xfId="20605" xr:uid="{B7BD8E90-3C71-4F04-A29A-DC6476A3A5DF}"/>
    <cellStyle name="常规 5 2 4 3 5" xfId="20606" xr:uid="{D4927C3E-87D7-42CC-B6FC-2FFD3062B779}"/>
    <cellStyle name="常规 5 2 4 3 6" xfId="20607" xr:uid="{3F8737E3-EE89-45E1-B323-4AC0E56D50C2}"/>
    <cellStyle name="常规 5 2 4 3 7" xfId="20608" xr:uid="{F956ED46-87A2-4D47-8B85-C209D94857DB}"/>
    <cellStyle name="常规 5 2 4 3 8" xfId="20609" xr:uid="{44A4B780-FFA5-49FD-9B59-035937EBEF09}"/>
    <cellStyle name="常规 5 2 4 4" xfId="20610" xr:uid="{B965A11C-CAF3-47DA-BCF2-0BD1E92D8C36}"/>
    <cellStyle name="常规 5 2 4 4 2" xfId="20611" xr:uid="{EC3764C1-9D04-469A-B2EA-51458F119E5B}"/>
    <cellStyle name="常规 5 2 4 4 2 2" xfId="20612" xr:uid="{77104B82-E86A-4254-8492-52F29122A712}"/>
    <cellStyle name="常规 5 2 4 4 2 3" xfId="20613" xr:uid="{3C663164-4D20-4733-A1BA-A2CD1E89CBF6}"/>
    <cellStyle name="常规 5 2 4 4 2 4" xfId="20614" xr:uid="{BBD10C15-8CE6-45E0-8119-880A6E2EC6B9}"/>
    <cellStyle name="常规 5 2 4 4 2 5" xfId="20615" xr:uid="{E8D473B9-4720-4A35-A0D5-B435A8FE8E7A}"/>
    <cellStyle name="常规 5 2 4 4 2 6" xfId="20616" xr:uid="{CF9B0BE3-CAE8-4E65-8C96-78F14DAD66A9}"/>
    <cellStyle name="常规 5 2 4 4 3" xfId="20617" xr:uid="{CC13B395-226A-4A0A-82C3-A70CA2E0E9E0}"/>
    <cellStyle name="常规 5 2 4 4 4" xfId="20618" xr:uid="{4CD7ED31-3709-4FB2-B19A-FA8E5A43E54C}"/>
    <cellStyle name="常规 5 2 4 4 5" xfId="20619" xr:uid="{260AEBA3-F240-45C1-B52C-C536C2FE88A2}"/>
    <cellStyle name="常规 5 2 4 4 6" xfId="20620" xr:uid="{866FA2C0-A1E4-4AB6-8162-1679226F09A4}"/>
    <cellStyle name="常规 5 2 4 4 7" xfId="20621" xr:uid="{E1F13B84-9658-42A8-BB2A-9A004737441E}"/>
    <cellStyle name="常规 5 2 4 5" xfId="20622" xr:uid="{5C6F1CC7-41B2-4633-83E6-C74FD54CDD60}"/>
    <cellStyle name="常规 5 2 4 5 2" xfId="20623" xr:uid="{312D667A-978D-41D2-956E-4D8CB1941360}"/>
    <cellStyle name="常规 5 2 4 5 3" xfId="20624" xr:uid="{83FF42DE-E29D-4B7D-A318-3E40E15F5028}"/>
    <cellStyle name="常规 5 2 4 5 4" xfId="20625" xr:uid="{A79B2E83-4245-43E3-9A6D-30DA686AFFCD}"/>
    <cellStyle name="常规 5 2 4 5 5" xfId="20626" xr:uid="{71119987-4AA0-4C00-AD07-9CBB62A3B5F3}"/>
    <cellStyle name="常规 5 2 4 5 6" xfId="20627" xr:uid="{98A92457-FFE8-43E4-A94C-8D2EEDE1F582}"/>
    <cellStyle name="常规 5 2 4 6" xfId="20628" xr:uid="{986A7E5E-4015-473B-9E3F-5D57AA7889B2}"/>
    <cellStyle name="常规 5 2 4 7" xfId="20629" xr:uid="{FFA47C88-C1FB-42FE-AC81-22E342EE576C}"/>
    <cellStyle name="常规 5 2 4 8" xfId="20630" xr:uid="{4907E3A2-DC98-499F-AC1A-7D0C25ED3F87}"/>
    <cellStyle name="常规 5 2 4 9" xfId="20631" xr:uid="{D62335EC-48A1-4818-82D6-51EC4A50BBD1}"/>
    <cellStyle name="常规 5 2 5" xfId="20632" xr:uid="{85BCA46A-A661-4811-81FB-80604C049879}"/>
    <cellStyle name="常规 5 2 5 10" xfId="20633" xr:uid="{DBA01219-4E0F-448F-9513-06C9FEF0D439}"/>
    <cellStyle name="常规 5 2 5 11" xfId="20634" xr:uid="{15672944-13D9-40B4-829E-905103E5BF86}"/>
    <cellStyle name="常规 5 2 5 2" xfId="20635" xr:uid="{9981C93E-0D3E-4A22-A734-91F174C5397E}"/>
    <cellStyle name="常规 5 2 5 2 2" xfId="20636" xr:uid="{1567A2AC-DF85-4142-A876-212BD9C7CCC9}"/>
    <cellStyle name="常规 5 2 5 3" xfId="20637" xr:uid="{0E9BF6CA-D3FA-43A3-BE3D-50AC9EF985D7}"/>
    <cellStyle name="常规 5 2 5 3 2" xfId="20638" xr:uid="{8DEBA991-3BE1-4C97-B16B-250A6D8B9519}"/>
    <cellStyle name="常规 5 2 5 3 2 2" xfId="20639" xr:uid="{574660F5-182A-4228-8984-0765A83C504D}"/>
    <cellStyle name="常规 5 2 5 3 2 2 2" xfId="20640" xr:uid="{01EEE2D5-2E73-470E-AA8E-5AA368587B75}"/>
    <cellStyle name="常规 5 2 5 3 2 2 3" xfId="20641" xr:uid="{64DB0FF7-C874-4D63-9B34-23CC024DC9C7}"/>
    <cellStyle name="常规 5 2 5 3 2 2 4" xfId="20642" xr:uid="{6A6D0F5A-F63B-4D6E-9D06-505E48CF5F0A}"/>
    <cellStyle name="常规 5 2 5 3 2 2 5" xfId="20643" xr:uid="{B1C1B8CE-BADC-4D27-AC32-D8FFF848EF32}"/>
    <cellStyle name="常规 5 2 5 3 2 2 6" xfId="20644" xr:uid="{DC8EFB10-1AE9-4FB1-958B-52AE6B1E8A8B}"/>
    <cellStyle name="常规 5 2 5 3 2 3" xfId="20645" xr:uid="{253F5143-EC19-43CA-81AF-957A8B1C780D}"/>
    <cellStyle name="常规 5 2 5 3 2 4" xfId="20646" xr:uid="{5C383341-9EB7-40A5-81D8-1F87C8E46C32}"/>
    <cellStyle name="常规 5 2 5 3 2 5" xfId="20647" xr:uid="{64535FCA-AD1A-41C6-B94B-0CBD4487FFD6}"/>
    <cellStyle name="常规 5 2 5 3 2 6" xfId="20648" xr:uid="{07EC6321-3DE2-40D6-BD83-AEB4440AC17C}"/>
    <cellStyle name="常规 5 2 5 3 2 7" xfId="20649" xr:uid="{C6792566-6224-43C2-860A-2530EE7B0A08}"/>
    <cellStyle name="常规 5 2 5 3 3" xfId="20650" xr:uid="{00963474-E1F7-4D7C-B93F-CD0BCDF63967}"/>
    <cellStyle name="常规 5 2 5 3 3 2" xfId="20651" xr:uid="{A1F5C8E6-62A3-4613-AAA9-018DC7E035DD}"/>
    <cellStyle name="常规 5 2 5 3 3 3" xfId="20652" xr:uid="{3A986C8B-1F96-487B-974A-A26632A1ACDD}"/>
    <cellStyle name="常规 5 2 5 3 3 4" xfId="20653" xr:uid="{A4D84C3F-8340-48EF-9E55-376C3AE4CC4D}"/>
    <cellStyle name="常规 5 2 5 3 3 5" xfId="20654" xr:uid="{A0C75734-8E6E-4AD4-B6A3-2BE51BA8FF89}"/>
    <cellStyle name="常规 5 2 5 3 3 6" xfId="20655" xr:uid="{270F7758-F9B1-48A5-BAB9-9C3E9E589CD3}"/>
    <cellStyle name="常规 5 2 5 3 4" xfId="20656" xr:uid="{0C401301-07E1-4450-8587-E37271C768EC}"/>
    <cellStyle name="常规 5 2 5 3 5" xfId="20657" xr:uid="{2FBCCE8C-66C8-4215-A417-B549E0AFB232}"/>
    <cellStyle name="常规 5 2 5 3 6" xfId="20658" xr:uid="{478BA982-3FFD-46D3-BF6B-161BEC3E2CE9}"/>
    <cellStyle name="常规 5 2 5 3 7" xfId="20659" xr:uid="{A1C21B98-1073-43DB-9B8E-60646098603A}"/>
    <cellStyle name="常规 5 2 5 3 8" xfId="20660" xr:uid="{0D8315DB-2223-420C-B9A7-AD292E3FEB0A}"/>
    <cellStyle name="常规 5 2 5 4" xfId="20661" xr:uid="{2DE3F6CA-D796-4421-B9D6-AB82BB2BDCBF}"/>
    <cellStyle name="常规 5 2 5 4 2" xfId="20662" xr:uid="{644EBFD0-5D9C-4281-B193-BE866F082895}"/>
    <cellStyle name="常规 5 2 5 4 2 2" xfId="20663" xr:uid="{AC98E23E-A1E5-41FD-8556-6BBF2A14881E}"/>
    <cellStyle name="常规 5 2 5 4 2 3" xfId="20664" xr:uid="{A34F1249-BBBA-41E4-81FA-0586323E7E70}"/>
    <cellStyle name="常规 5 2 5 4 2 4" xfId="20665" xr:uid="{A51F11D4-A861-45D2-BECB-1EB9FF66B761}"/>
    <cellStyle name="常规 5 2 5 4 2 5" xfId="20666" xr:uid="{123EF9D6-ECA7-4EAB-BEBB-10E6092281FC}"/>
    <cellStyle name="常规 5 2 5 4 2 6" xfId="20667" xr:uid="{EDF7A0DE-DF44-4883-9F81-25A4A9B08A2D}"/>
    <cellStyle name="常规 5 2 5 4 3" xfId="20668" xr:uid="{102AF131-7491-4DBF-BDF8-745C43B5073C}"/>
    <cellStyle name="常规 5 2 5 4 4" xfId="20669" xr:uid="{9D1BC83D-7965-492C-8E24-3795D56A5B65}"/>
    <cellStyle name="常规 5 2 5 4 5" xfId="20670" xr:uid="{3892CAE8-B337-4C2D-A1F1-9684CDD492AE}"/>
    <cellStyle name="常规 5 2 5 4 6" xfId="20671" xr:uid="{56B00FCA-5C2C-46B3-8CC6-1C6D67AB69EC}"/>
    <cellStyle name="常规 5 2 5 4 7" xfId="20672" xr:uid="{A906BE96-4B4C-4192-9031-5707876A298A}"/>
    <cellStyle name="常规 5 2 5 5" xfId="20673" xr:uid="{EAF84DD3-0F6D-4AA5-9EB6-E80A37F9773B}"/>
    <cellStyle name="常规 5 2 5 5 2" xfId="20674" xr:uid="{0A11CC06-BF84-4DD7-BE39-1EF9E1B9A768}"/>
    <cellStyle name="常规 5 2 5 5 3" xfId="20675" xr:uid="{8BA654BC-49A9-4D1F-A371-4BC0AE9BCCCB}"/>
    <cellStyle name="常规 5 2 5 5 4" xfId="20676" xr:uid="{08CBC165-C930-4FF9-991E-D13502227918}"/>
    <cellStyle name="常规 5 2 5 5 5" xfId="20677" xr:uid="{2903D733-77B4-4948-8978-09AB36A4AF36}"/>
    <cellStyle name="常规 5 2 5 5 6" xfId="20678" xr:uid="{937C8265-A522-47AA-A541-8E25B6E38E39}"/>
    <cellStyle name="常规 5 2 5 6" xfId="20679" xr:uid="{866C5158-DF20-4188-917B-095C7ED3C4A6}"/>
    <cellStyle name="常规 5 2 5 7" xfId="20680" xr:uid="{26329948-B622-498E-8EE1-8981D1FE0602}"/>
    <cellStyle name="常规 5 2 5 8" xfId="20681" xr:uid="{4F918B56-37EA-4610-993D-6880CFC5494D}"/>
    <cellStyle name="常规 5 2 5 9" xfId="20682" xr:uid="{B4E33F4B-54C4-47F0-8EB2-0278D2A1899C}"/>
    <cellStyle name="常规 5 2 6" xfId="20683" xr:uid="{97C4B628-B1CA-4CBC-9411-BDE3707B480D}"/>
    <cellStyle name="常规 5 2 6 2" xfId="20684" xr:uid="{CE0BB9F1-1A6F-469E-8BD4-D81559179A61}"/>
    <cellStyle name="常规 5 2 6 2 2" xfId="20685" xr:uid="{DE497426-E764-4FB8-9F47-B6330BC5A849}"/>
    <cellStyle name="常规 5 2 6 2 2 2" xfId="20686" xr:uid="{08D6D338-3B56-450C-A6E4-9EBFDDF2B93A}"/>
    <cellStyle name="常规 5 2 6 2 2 3" xfId="20687" xr:uid="{9FA39D2D-B879-4EF8-8C40-66C079B572B7}"/>
    <cellStyle name="常规 5 2 6 2 2 4" xfId="20688" xr:uid="{66701432-63F9-4E67-B421-5934FFB8D56C}"/>
    <cellStyle name="常规 5 2 6 2 2 5" xfId="20689" xr:uid="{A504D426-F6AF-4412-8A90-059CF43C926B}"/>
    <cellStyle name="常规 5 2 6 2 2 6" xfId="20690" xr:uid="{43E8258E-BAEF-46C9-B882-663936DE1427}"/>
    <cellStyle name="常规 5 2 6 2 3" xfId="20691" xr:uid="{E58851AD-5B82-458B-807F-93C8C33BEC89}"/>
    <cellStyle name="常规 5 2 6 2 4" xfId="20692" xr:uid="{A0B1ECD3-A8A5-4403-96CF-B6029603BFC6}"/>
    <cellStyle name="常规 5 2 6 2 5" xfId="20693" xr:uid="{EE6EF375-7908-4D30-AF38-CB02087B61AF}"/>
    <cellStyle name="常规 5 2 6 2 6" xfId="20694" xr:uid="{E66E0F29-96FF-40C1-AE74-1BF62E44A02E}"/>
    <cellStyle name="常规 5 2 6 2 7" xfId="20695" xr:uid="{183F2894-91D5-4F5E-B1C7-E5BC827BB439}"/>
    <cellStyle name="常规 5 2 6 2 8" xfId="20696" xr:uid="{7FDDEE2F-9D5B-4E78-AA01-26E16D8DA9C5}"/>
    <cellStyle name="常规 5 2 6 3" xfId="20697" xr:uid="{C7266872-E683-4388-BEAB-4B81B23FA2D3}"/>
    <cellStyle name="常规 5 2 6 3 2" xfId="20698" xr:uid="{BABD28F5-7D0C-4954-8070-0BD07DD97068}"/>
    <cellStyle name="常规 5 2 6 3 3" xfId="20699" xr:uid="{24DA2914-3368-4F14-A404-3A7426A2813E}"/>
    <cellStyle name="常规 5 2 6 3 4" xfId="20700" xr:uid="{707A86F0-C630-4B6D-A27A-94F39223B0E7}"/>
    <cellStyle name="常规 5 2 6 3 5" xfId="20701" xr:uid="{4B440C8A-3CE2-420A-886D-F8089EEB863B}"/>
    <cellStyle name="常规 5 2 6 3 6" xfId="20702" xr:uid="{47AA3A7A-A823-4D53-9BCB-68288D5534E9}"/>
    <cellStyle name="常规 5 2 6 4" xfId="20703" xr:uid="{24FDBE4F-FBA6-4FE8-B4D9-1548D1DD4B02}"/>
    <cellStyle name="常规 5 2 6 5" xfId="20704" xr:uid="{AB0230FB-4BFA-4457-A2D0-C5F515874CF3}"/>
    <cellStyle name="常规 5 2 6 6" xfId="20705" xr:uid="{BDCDA901-12A3-44C6-BDBE-F4808046FB12}"/>
    <cellStyle name="常规 5 2 6 7" xfId="20706" xr:uid="{ED2B5742-F6BD-48D3-9944-76328463F74B}"/>
    <cellStyle name="常规 5 2 6 8" xfId="20707" xr:uid="{D9DCDAE3-EB4C-4E78-98D9-FC8F7409AD17}"/>
    <cellStyle name="常规 5 2 6 9" xfId="20708" xr:uid="{66977FB7-B31A-4305-8CF7-94E0E63D8ACF}"/>
    <cellStyle name="常规 5 2 7" xfId="20709" xr:uid="{B5AC8E8F-7236-4585-8582-7086BC40140D}"/>
    <cellStyle name="常规 5 2 7 2" xfId="20710" xr:uid="{2D9C8178-9402-44D5-9FD9-1475E279CFB9}"/>
    <cellStyle name="常规 5 2 7 3" xfId="20711" xr:uid="{5A06A061-9FA3-425B-8ACC-13F90CD63566}"/>
    <cellStyle name="常规 5 2 8" xfId="20712" xr:uid="{04291A76-AB81-4FDF-9EC5-6759261E5F84}"/>
    <cellStyle name="常规 5 2 8 2" xfId="20713" xr:uid="{A48A137D-8573-4A25-8958-B7D8F6F957A2}"/>
    <cellStyle name="常规 5 2 8 3" xfId="20714" xr:uid="{2A1030DF-DAFE-4E71-83A7-342CF26AEB30}"/>
    <cellStyle name="常规 5 2 9" xfId="20715" xr:uid="{F196C907-5563-404E-990B-2FC1D1837B07}"/>
    <cellStyle name="常规 5 2 9 2" xfId="20716" xr:uid="{33236E0D-2801-4C5B-B391-E428D06267AA}"/>
    <cellStyle name="常规 5 3" xfId="20717" xr:uid="{0ECAA0EC-06DB-4DC9-8777-8FC2FF38AE1B}"/>
    <cellStyle name="常规 5 3 10" xfId="20718" xr:uid="{B5576FEC-C282-4A97-9393-2107CF5ED4D7}"/>
    <cellStyle name="常规 5 3 2" xfId="20719" xr:uid="{6C2C6DB8-3276-4B9F-844D-C35A1E5090CD}"/>
    <cellStyle name="常规 5 3 2 2" xfId="20720" xr:uid="{248A9A8B-92EE-4923-9B85-BB244B19593A}"/>
    <cellStyle name="常规 5 3 2 2 2" xfId="20721" xr:uid="{852A5B51-AE02-4736-8F0F-6941B370B703}"/>
    <cellStyle name="常规 5 3 2 2 3" xfId="20722" xr:uid="{43EF6F7A-2D16-4CC6-B2F8-3CED19121237}"/>
    <cellStyle name="常规 5 3 2 2 4" xfId="20723" xr:uid="{47422437-4BC3-42E2-89A3-95AC14232257}"/>
    <cellStyle name="常规 5 3 2 2 5" xfId="20724" xr:uid="{BDB55C9D-A1A8-4ED7-A62B-FB983CE6C27A}"/>
    <cellStyle name="常规 5 3 2 2 6" xfId="20725" xr:uid="{DF037D27-FE1C-42A0-A2A8-C685277A664A}"/>
    <cellStyle name="常规 5 3 2 3" xfId="20726" xr:uid="{14919778-E60D-4E3D-A321-B6182856B214}"/>
    <cellStyle name="常规 5 3 2 4" xfId="20727" xr:uid="{E1E3BE5E-4116-4E6C-B567-823F698790A8}"/>
    <cellStyle name="常规 5 3 2 5" xfId="20728" xr:uid="{04E80E4F-09A9-4EE2-BBE4-F3852BCAA2E8}"/>
    <cellStyle name="常规 5 3 2 6" xfId="20729" xr:uid="{3734056E-2EEA-4B6E-8703-C42213EF0FAC}"/>
    <cellStyle name="常规 5 3 2 7" xfId="20730" xr:uid="{F7DB9DDD-A955-4A0D-BFCE-8F6D6452B69A}"/>
    <cellStyle name="常规 5 3 2 8" xfId="20731" xr:uid="{76020298-5C2E-42DC-AECA-6DA6AE4CDFE4}"/>
    <cellStyle name="常规 5 3 2 9" xfId="20732" xr:uid="{CF6BBF63-5C55-4F26-B15B-977EBAA97F31}"/>
    <cellStyle name="常规 5 3 3" xfId="20733" xr:uid="{891171CE-F450-4077-9D62-8270502FF13D}"/>
    <cellStyle name="常规 5 3 3 2" xfId="20734" xr:uid="{6334C629-62FD-4D90-A4B6-700471E6D672}"/>
    <cellStyle name="常规 5 3 3 3" xfId="20735" xr:uid="{FA80CB45-6DF3-42C5-8DFB-F545E2CE08B2}"/>
    <cellStyle name="常规 5 3 3 4" xfId="20736" xr:uid="{41F2D8D8-E06B-42F9-BA4A-04E2FDC4BDB1}"/>
    <cellStyle name="常规 5 3 3 5" xfId="20737" xr:uid="{DB5CA4AE-5678-41FC-91B9-4CD3AD9D4367}"/>
    <cellStyle name="常规 5 3 3 6" xfId="20738" xr:uid="{B789EBA3-57CB-44F2-8309-97732D407709}"/>
    <cellStyle name="常规 5 3 3 7" xfId="20739" xr:uid="{CE868359-2624-4B44-9590-59CE55362047}"/>
    <cellStyle name="常规 5 3 4" xfId="20740" xr:uid="{2B6160C6-99FC-4E81-87FC-586590647598}"/>
    <cellStyle name="常规 5 3 5" xfId="20741" xr:uid="{62B738ED-5732-40D6-B060-EA6B203F7BD2}"/>
    <cellStyle name="常规 5 3 6" xfId="20742" xr:uid="{7FA61815-B8B0-4EAE-AF46-3A226F6961E1}"/>
    <cellStyle name="常规 5 3 7" xfId="20743" xr:uid="{1B4C26A5-9B6F-4D71-8AB3-3673BE5F2C9B}"/>
    <cellStyle name="常规 5 3 8" xfId="20744" xr:uid="{B2C12BDE-47D3-48C9-B635-9FAE4A6B7A52}"/>
    <cellStyle name="常规 5 3 9" xfId="20745" xr:uid="{1D29B2F1-45BA-4731-8F5F-DD1ABCCE3F24}"/>
    <cellStyle name="常规 5 4" xfId="20746" xr:uid="{4A4A7690-C8AD-4095-AC79-D792D97BCDA8}"/>
    <cellStyle name="常规 5 4 10" xfId="20747" xr:uid="{7517FA2B-E77C-4238-81FD-5F6EE485A090}"/>
    <cellStyle name="常规 5 4 11" xfId="20748" xr:uid="{2C9DD4D4-DB87-4A02-A0DB-CFD9F8FF1C75}"/>
    <cellStyle name="常规 5 4 2" xfId="20749" xr:uid="{D275D2DC-48B0-4ECA-9DAE-EED1F8054C07}"/>
    <cellStyle name="常规 5 4 2 2" xfId="20750" xr:uid="{6FCD8F6D-A74E-4971-9E6F-538C0CA00D03}"/>
    <cellStyle name="常规 5 4 2 2 2" xfId="20751" xr:uid="{F7AF2742-0055-42E3-B048-E84F5561F54F}"/>
    <cellStyle name="常规 5 4 2 3" xfId="20752" xr:uid="{FDCF5AC3-0651-4DDA-8AD1-D0A785091C2D}"/>
    <cellStyle name="常规 5 4 2 4" xfId="20753" xr:uid="{F6A17515-57EE-4975-A77A-36CE412F3F22}"/>
    <cellStyle name="常规 5 4 2 5" xfId="20754" xr:uid="{52497EC2-0B54-4023-82FC-894EBC1A0806}"/>
    <cellStyle name="常规 5 4 2 6" xfId="20755" xr:uid="{6A5D8A76-8B12-4789-A544-4736264790C3}"/>
    <cellStyle name="常规 5 4 2 7" xfId="20756" xr:uid="{2667F67B-1F19-4067-94E8-3EF1FB2E5D0F}"/>
    <cellStyle name="常规 5 4 2 8" xfId="20757" xr:uid="{574573F5-B47A-4158-8F36-53B82829D477}"/>
    <cellStyle name="常规 5 4 3" xfId="20758" xr:uid="{21C51B03-2476-44E0-8F0A-8F28B4236CEE}"/>
    <cellStyle name="常规 5 4 3 2" xfId="20759" xr:uid="{6BECC3A1-CBB0-4451-BD48-11222125EB35}"/>
    <cellStyle name="常规 5 4 4" xfId="20760" xr:uid="{2BC2C7D4-B62F-49D6-AFDC-960F4903D619}"/>
    <cellStyle name="常规 5 4 4 2" xfId="20761" xr:uid="{415977DD-47AC-4788-83A0-65A8E1B46A57}"/>
    <cellStyle name="常规 5 4 5" xfId="20762" xr:uid="{16265778-F01D-46F4-AB65-49FDF76B5C02}"/>
    <cellStyle name="常规 5 4 6" xfId="20763" xr:uid="{D9D0C09A-0EEB-41FF-8D1C-67CA6046B769}"/>
    <cellStyle name="常规 5 4 7" xfId="20764" xr:uid="{AD0C6518-9B1C-480C-B153-21546C2030E4}"/>
    <cellStyle name="常规 5 4 8" xfId="20765" xr:uid="{E2A3E920-1D33-4915-AC73-C5D8ADC21645}"/>
    <cellStyle name="常规 5 4 9" xfId="20766" xr:uid="{AFCA1C53-AEA4-43D5-B395-B8C4818EECA7}"/>
    <cellStyle name="常规 5 5" xfId="20767" xr:uid="{B951DB39-5FE5-421E-8DAD-7EA276838333}"/>
    <cellStyle name="常规 5 5 10" xfId="20768" xr:uid="{78209890-6455-43B2-AA68-E38B1CFFF44D}"/>
    <cellStyle name="常规 5 5 11" xfId="20769" xr:uid="{4B3CAF8C-A9AD-4750-A875-B2C56B65C796}"/>
    <cellStyle name="常规 5 5 2" xfId="20770" xr:uid="{765321E0-1191-4972-BBC2-C94C34043FD9}"/>
    <cellStyle name="常规 5 5 2 2" xfId="20771" xr:uid="{90F639EE-2D27-49A8-A35B-FA71295C7BAD}"/>
    <cellStyle name="常规 5 5 2 3" xfId="20772" xr:uid="{5097C1E8-F90A-429A-A19F-5878A5C6B68C}"/>
    <cellStyle name="常规 5 5 2 3 2" xfId="20773" xr:uid="{366F5E08-870D-4897-8B83-BED48E0059E7}"/>
    <cellStyle name="常规 5 5 2 3 3" xfId="20774" xr:uid="{D8485034-C920-4F20-8828-9C8BB60E7E76}"/>
    <cellStyle name="常规 5 5 2 3 4" xfId="20775" xr:uid="{9F4FC60C-C50D-4D19-AEA0-E8DDCB8FCD03}"/>
    <cellStyle name="常规 5 5 2 3 5" xfId="20776" xr:uid="{A354B310-217C-44DE-9B1C-679D17F1FCDD}"/>
    <cellStyle name="常规 5 5 2 3 6" xfId="20777" xr:uid="{60F601C5-816F-4C93-8F4D-7662F9ACC84F}"/>
    <cellStyle name="常规 5 5 2 4" xfId="20778" xr:uid="{26DCE946-B4B6-447B-BFCF-9F152C6DF9F4}"/>
    <cellStyle name="常规 5 5 2 5" xfId="20779" xr:uid="{02CE9D3D-3363-4D35-B08D-58FF4A65202B}"/>
    <cellStyle name="常规 5 5 2 6" xfId="20780" xr:uid="{28591A5D-9C5F-4417-9106-0215F83E260D}"/>
    <cellStyle name="常规 5 5 2 7" xfId="20781" xr:uid="{28AC5F7E-A269-4701-9592-E3D09D74C604}"/>
    <cellStyle name="常规 5 5 2 8" xfId="20782" xr:uid="{AF81F13F-CE5B-4ADA-9C84-8BD2368F599B}"/>
    <cellStyle name="常规 5 5 2 9" xfId="20783" xr:uid="{FD362DF4-1115-415A-8AAE-518FBD882927}"/>
    <cellStyle name="常规 5 5 3" xfId="20784" xr:uid="{FC1436A4-7160-4788-9122-FD4058A91D5F}"/>
    <cellStyle name="常规 5 5 3 2" xfId="20785" xr:uid="{386FFAC4-1A03-419A-A136-71FECD36B57F}"/>
    <cellStyle name="常规 5 5 3 2 2" xfId="20786" xr:uid="{7728CB61-FC0E-417F-A86D-CE6DB0A4AB7C}"/>
    <cellStyle name="常规 5 5 3 2 3" xfId="20787" xr:uid="{E427C187-6F85-415B-9D72-DBBAC6A25497}"/>
    <cellStyle name="常规 5 5 3 2 4" xfId="20788" xr:uid="{C858C6BF-FC77-400C-A265-BE838CB09AFB}"/>
    <cellStyle name="常规 5 5 3 2 5" xfId="20789" xr:uid="{25C7063E-A66E-4F3D-ABBC-19959DD1DEFD}"/>
    <cellStyle name="常规 5 5 3 2 6" xfId="20790" xr:uid="{27A219E3-69B1-46DF-864C-DF163BD3A8AE}"/>
    <cellStyle name="常规 5 5 3 3" xfId="20791" xr:uid="{D1978DD9-4E3D-43D9-BBAF-E6AA5EBA4D41}"/>
    <cellStyle name="常规 5 5 3 4" xfId="20792" xr:uid="{B175A3C9-5F04-497D-8C4B-5D4497AAFCFC}"/>
    <cellStyle name="常规 5 5 3 5" xfId="20793" xr:uid="{1616E2A0-CDE3-4C4E-A4B5-46232D576718}"/>
    <cellStyle name="常规 5 5 3 6" xfId="20794" xr:uid="{59FB5AA8-AE57-4CBF-83FE-EE3728FFA5A7}"/>
    <cellStyle name="常规 5 5 3 7" xfId="20795" xr:uid="{A50069E8-4AF3-439D-916E-77273141A5CF}"/>
    <cellStyle name="常规 5 5 4" xfId="20796" xr:uid="{CBD842BE-3690-4100-A118-C99A1B32CBBC}"/>
    <cellStyle name="常规 5 5 4 2" xfId="20797" xr:uid="{CA88E567-47EC-43CA-8A1D-0ED42F992FFB}"/>
    <cellStyle name="常规 5 5 4 3" xfId="20798" xr:uid="{1AD1403A-10DF-483B-AD44-DB2A08A39BC1}"/>
    <cellStyle name="常规 5 5 4 4" xfId="20799" xr:uid="{F7DB92AB-8A26-450C-B11A-8F556193925E}"/>
    <cellStyle name="常规 5 5 4 5" xfId="20800" xr:uid="{176DD4B5-94B1-4054-B509-4A75941D5AA9}"/>
    <cellStyle name="常规 5 5 4 6" xfId="20801" xr:uid="{C9273F2A-7556-47A9-89EA-D5364E2767AC}"/>
    <cellStyle name="常规 5 5 5" xfId="20802" xr:uid="{A3C6565E-BA8F-4EEE-93F0-D1CD55E2CA27}"/>
    <cellStyle name="常规 5 5 5 2" xfId="20803" xr:uid="{005EA75F-0152-4768-90EF-8FF041489B2E}"/>
    <cellStyle name="常规 5 5 5 3" xfId="20804" xr:uid="{D2FE6A84-3A97-492F-B712-2DE06DBB937C}"/>
    <cellStyle name="常规 5 5 5 4" xfId="20805" xr:uid="{7B2392AD-10CB-400E-B776-28171268D221}"/>
    <cellStyle name="常规 5 5 5 5" xfId="20806" xr:uid="{96323A65-E60C-4E6B-B285-665EACF98AA6}"/>
    <cellStyle name="常规 5 5 5 6" xfId="20807" xr:uid="{9A779EAB-9E76-4095-ACDE-C19C225A22C8}"/>
    <cellStyle name="常规 5 5 6" xfId="20808" xr:uid="{E3E1FF79-DB29-4842-AA25-855293D0B8AC}"/>
    <cellStyle name="常规 5 5 7" xfId="20809" xr:uid="{2BB9D208-BA13-418B-966F-FD5180057ED0}"/>
    <cellStyle name="常规 5 5 8" xfId="20810" xr:uid="{325B4C1C-EE91-4D62-85B3-75CA9DC58768}"/>
    <cellStyle name="常规 5 5 9" xfId="20811" xr:uid="{EBE06C69-2690-4874-BA87-2C191F8EB78C}"/>
    <cellStyle name="常规 5 6" xfId="20812" xr:uid="{2F018FE4-817B-466E-A5DC-C696DBF81B49}"/>
    <cellStyle name="常规 5 6 2" xfId="20813" xr:uid="{0DAADB4F-9270-4A12-A569-4A07371D2FF9}"/>
    <cellStyle name="常规 5 6 2 2" xfId="20814" xr:uid="{1C9C4176-5CA7-4CA9-BC18-3500AD532B91}"/>
    <cellStyle name="常规 5 6 3" xfId="20815" xr:uid="{5C528831-2DE7-45E1-BFA3-1A7919858BF5}"/>
    <cellStyle name="常规 5 6 3 2" xfId="20816" xr:uid="{E422AEE7-CE80-4E0A-B79F-3ACDBD053FE7}"/>
    <cellStyle name="常规 5 6 4" xfId="20817" xr:uid="{5DF7F531-6497-444C-8B90-ECB50493C6B7}"/>
    <cellStyle name="常规 5 6 5" xfId="20818" xr:uid="{77840B78-B3FA-4E0F-8F8E-79799CA5FFB5}"/>
    <cellStyle name="常规 5 6 6" xfId="20819" xr:uid="{462E622F-4FA9-41CC-9FC4-F5E9A7821A88}"/>
    <cellStyle name="常规 5 7" xfId="20820" xr:uid="{E424192A-D09B-4837-B004-69ECDC537FD2}"/>
    <cellStyle name="常规 5 7 2" xfId="20821" xr:uid="{5DC3B5CE-8CB5-4119-A14D-BA94D52B4293}"/>
    <cellStyle name="常规 5 7 3" xfId="20822" xr:uid="{FA861C46-899F-4AF8-92C4-95A157C2ED3D}"/>
    <cellStyle name="常规 5 7 3 2" xfId="20823" xr:uid="{5BBF8F1C-5BB4-427E-899C-448C6F4C9F4C}"/>
    <cellStyle name="常规 5 7 4" xfId="20824" xr:uid="{6A0768D3-446E-451E-B7F7-57163AEE5D59}"/>
    <cellStyle name="常规 5 8" xfId="20825" xr:uid="{662C3716-8A2F-4785-A40E-978BFC465889}"/>
    <cellStyle name="常规 5 8 2" xfId="20826" xr:uid="{CDCDB7D4-BC3B-4940-AF58-DFD2A2565EDA}"/>
    <cellStyle name="常规 5 8 3" xfId="20827" xr:uid="{963C430C-463B-41C3-BA2E-4ACC1F674942}"/>
    <cellStyle name="常规 5 8 4" xfId="20828" xr:uid="{6B5510B2-DAFF-466D-85FC-DC55B3ACDAEF}"/>
    <cellStyle name="常规 5 9" xfId="20829" xr:uid="{E22C1745-9024-4F92-A9C5-61BE8086C57D}"/>
    <cellStyle name="常规 5 9 2" xfId="20830" xr:uid="{2202ACDF-8F1C-472F-A479-A38DB033DB66}"/>
    <cellStyle name="常规 5 9 2 2" xfId="20831" xr:uid="{D6632AD4-58D7-4CE9-A155-C6DAE3C3ADD1}"/>
    <cellStyle name="常规 5 9 3" xfId="20832" xr:uid="{4DAC808B-1C3C-4AD2-B69C-A9A6CCA3E892}"/>
    <cellStyle name="常规 50" xfId="20833" xr:uid="{6410AAE3-07EE-4B3A-97D5-7B76FEE84B82}"/>
    <cellStyle name="常规 50 2" xfId="20834" xr:uid="{70CD78FA-F5C4-4BA7-A186-60F98D62C622}"/>
    <cellStyle name="常规 50 2 2" xfId="20835" xr:uid="{F7E06FCF-6287-423A-8E7E-0F7DA31EC285}"/>
    <cellStyle name="常规 50 3" xfId="20836" xr:uid="{68065A90-F31A-4532-89FB-0AEAD88CBB71}"/>
    <cellStyle name="常规 50 4" xfId="20837" xr:uid="{003E77F8-FDDF-4269-9949-2875E3F2A7EB}"/>
    <cellStyle name="常规 50 4 2" xfId="34493" xr:uid="{9B931A2E-ED50-41F9-A733-358C19F50E18}"/>
    <cellStyle name="常规 51" xfId="20838" xr:uid="{AB414163-1E6C-45CF-A459-A7696143DD89}"/>
    <cellStyle name="常规 51 2" xfId="20839" xr:uid="{62F69952-694E-4DE4-A8B7-6C775D874F33}"/>
    <cellStyle name="常规 51 2 2" xfId="20840" xr:uid="{F83609D0-2E54-43A4-B7AD-7B4346D9E857}"/>
    <cellStyle name="常规 51 3" xfId="20841" xr:uid="{C0A5AAFE-3BBD-4D90-A341-8F9D74262E73}"/>
    <cellStyle name="常规 51 4" xfId="20842" xr:uid="{9B0FDC06-8CFE-46C3-AF98-4FDB1BAAA61A}"/>
    <cellStyle name="常规 51 4 2" xfId="34494" xr:uid="{1EA62C45-A758-4840-B36B-0BE198427FBF}"/>
    <cellStyle name="常规 52" xfId="20843" xr:uid="{F5B2B529-EDF9-46FD-B823-A784BA53F765}"/>
    <cellStyle name="常规 52 2" xfId="20844" xr:uid="{5D38AB0E-F397-4A45-83A7-5EA8FF8B1111}"/>
    <cellStyle name="常规 52 2 2" xfId="20845" xr:uid="{4B0151BD-77DD-4626-8A05-B7EE28263D2A}"/>
    <cellStyle name="常规 52 3" xfId="20846" xr:uid="{B0E1AA0F-0591-4597-896A-E484B1D8EC0E}"/>
    <cellStyle name="常规 52 4" xfId="20847" xr:uid="{B9974FDD-232F-4CE3-9688-FD10FBF8D32A}"/>
    <cellStyle name="常规 52 4 2" xfId="34495" xr:uid="{9648933E-85EE-46C2-937A-66B14339D41B}"/>
    <cellStyle name="常规 53" xfId="20848" xr:uid="{3C59BEEE-BC67-4CD8-B443-751C52892D83}"/>
    <cellStyle name="常规 53 2" xfId="20849" xr:uid="{071DA6DD-D845-41ED-BDB6-F282223698A4}"/>
    <cellStyle name="常规 53 2 2" xfId="20850" xr:uid="{BC60BAF5-F445-47CF-8932-AE7B8F8D74C3}"/>
    <cellStyle name="常规 53 3" xfId="20851" xr:uid="{3F4097C4-AC1B-4C26-9986-B3481BC4980B}"/>
    <cellStyle name="常规 53 4" xfId="20852" xr:uid="{A97E088E-D996-442C-82E1-82C13AF3B452}"/>
    <cellStyle name="常规 53 4 2" xfId="34496" xr:uid="{676864CD-B087-4116-AFF5-10FBA8811736}"/>
    <cellStyle name="常规 54" xfId="20853" xr:uid="{B8EA7753-EB20-4061-855D-8890933457E1}"/>
    <cellStyle name="常规 54 2" xfId="20854" xr:uid="{02882BF1-55E1-4E99-93F4-83329EFE00D0}"/>
    <cellStyle name="常规 54 2 2" xfId="20855" xr:uid="{AF14E5D2-9629-4368-891B-55A6CDBA4F21}"/>
    <cellStyle name="常规 54 3" xfId="20856" xr:uid="{87BF84AB-409D-47E8-930C-BDE4A52E2F7F}"/>
    <cellStyle name="常规 54 4" xfId="20857" xr:uid="{2FE72A09-66FA-4386-A4B4-E5E9EF75754D}"/>
    <cellStyle name="常规 54 4 2" xfId="34497" xr:uid="{594F1E61-3831-414F-9C46-2B1262196240}"/>
    <cellStyle name="常规 55" xfId="20858" xr:uid="{772FCC90-F28D-47A0-9C07-6E1C379A9C42}"/>
    <cellStyle name="常规 55 2" xfId="20859" xr:uid="{6C942EFE-EE97-438A-889A-6A398CAEA6F3}"/>
    <cellStyle name="常规 55 2 2" xfId="20860" xr:uid="{7E3F75B1-E6EF-4E7B-976B-AEE2DEF5898D}"/>
    <cellStyle name="常规 55 3" xfId="20861" xr:uid="{A574A04B-B06B-43A6-87CA-12DA2F92C817}"/>
    <cellStyle name="常规 55 4" xfId="20862" xr:uid="{254B3339-4733-47C1-B71B-AA96ECE563E1}"/>
    <cellStyle name="常规 55 4 2" xfId="34498" xr:uid="{498F0D2B-5C16-4E1C-A23A-18F6C4C77BAE}"/>
    <cellStyle name="常规 56" xfId="20863" xr:uid="{9BF62078-6400-4F20-B85A-83D582B8C362}"/>
    <cellStyle name="常规 56 2" xfId="20864" xr:uid="{9AAF3634-D2C5-4154-9C14-A3FD4B800122}"/>
    <cellStyle name="常规 56 2 2" xfId="20865" xr:uid="{F9FB02AD-767C-495B-8F0D-63BFC2D69176}"/>
    <cellStyle name="常规 56 3" xfId="20866" xr:uid="{D08AA4CA-E82E-4212-9088-0891107DC634}"/>
    <cellStyle name="常规 56 4" xfId="20867" xr:uid="{453E32E8-53F3-460C-9E4F-659CBF252BA9}"/>
    <cellStyle name="常规 56 4 2" xfId="34499" xr:uid="{B389F8A8-431B-4E76-A89B-E0DB2287520D}"/>
    <cellStyle name="常规 57" xfId="20868" xr:uid="{7DD50832-F406-4B86-AEDA-7292B00A351C}"/>
    <cellStyle name="常规 57 2" xfId="20869" xr:uid="{229BF980-E1A5-4938-B314-4AE8EBD33913}"/>
    <cellStyle name="常规 58" xfId="20870" xr:uid="{84E65C6B-EC13-433B-B32A-1AC78956E0C1}"/>
    <cellStyle name="常规 58 2" xfId="20871" xr:uid="{340F4621-C168-4130-82C3-DB856D93A971}"/>
    <cellStyle name="常规 59" xfId="20872" xr:uid="{68BAE247-B506-454C-A411-6605AC9CD215}"/>
    <cellStyle name="常规 6" xfId="20873" xr:uid="{FAFB86C5-C13D-45E8-971D-C2492D73AEC8}"/>
    <cellStyle name="常规 6 10" xfId="20874" xr:uid="{5378AACE-0EC1-4D5C-9266-D07DEA38B2E1}"/>
    <cellStyle name="常规 6 10 10" xfId="20875" xr:uid="{B328E7D5-A481-48B1-9813-FB7663EEAC57}"/>
    <cellStyle name="常规 6 10 11" xfId="20876" xr:uid="{646CCC0B-B2E3-4CCD-A39B-764C5B0E4731}"/>
    <cellStyle name="常规 6 10 12" xfId="20877" xr:uid="{F30AF4EF-DF76-4291-9334-8EF18561D12A}"/>
    <cellStyle name="常规 6 10 13" xfId="20878" xr:uid="{87DA7106-1C07-41AC-BA15-3D39E2F382FD}"/>
    <cellStyle name="常规 6 10 2" xfId="20879" xr:uid="{44B9D458-3BA1-465E-9227-21935D1B732B}"/>
    <cellStyle name="常规 6 10 2 2" xfId="20880" xr:uid="{05B9B085-87F9-48CC-96D4-F541302DA927}"/>
    <cellStyle name="常规 6 10 2 2 2" xfId="20881" xr:uid="{4ACFC3C2-CB0A-420C-920E-7EDBB5BD8EA5}"/>
    <cellStyle name="常规 6 10 2 2 3" xfId="20882" xr:uid="{27E45D0D-DC20-493A-931F-700420B04425}"/>
    <cellStyle name="常规 6 10 2 2 4" xfId="20883" xr:uid="{143CB4A5-4656-4699-B2CD-324D35713B51}"/>
    <cellStyle name="常规 6 10 2 2 5" xfId="20884" xr:uid="{A9AC1655-2155-44EE-A1D6-B6BC3E92BC96}"/>
    <cellStyle name="常规 6 10 2 2 6" xfId="20885" xr:uid="{F456FA61-1A64-4D1A-B9AE-93D6F92D26EB}"/>
    <cellStyle name="常规 6 10 2 3" xfId="20886" xr:uid="{B89A2259-80FF-4A38-BD07-7BC07236BD3C}"/>
    <cellStyle name="常规 6 10 2 4" xfId="20887" xr:uid="{7B293CB9-E371-4986-8323-8C00FC2B4A82}"/>
    <cellStyle name="常规 6 10 2 5" xfId="20888" xr:uid="{36CCD23B-9948-4683-81C9-EA9834FC0325}"/>
    <cellStyle name="常规 6 10 2 6" xfId="20889" xr:uid="{9540FB6D-AF97-4A80-81B8-8DA6B267F436}"/>
    <cellStyle name="常规 6 10 2 7" xfId="20890" xr:uid="{8EBF0B9B-1767-49B4-AB89-8721C64C1AFD}"/>
    <cellStyle name="常规 6 10 2 8" xfId="20891" xr:uid="{14F9EFEA-EB23-471F-B2A4-2831DB37F558}"/>
    <cellStyle name="常规 6 10 2 9" xfId="20892" xr:uid="{2C111E0A-24EB-4D60-9B35-B22C8E06355D}"/>
    <cellStyle name="常规 6 10 3" xfId="20893" xr:uid="{2B9CBE80-6DF2-4F6A-BF00-440B9F803D59}"/>
    <cellStyle name="常规 6 10 3 2" xfId="20894" xr:uid="{17573F70-2137-4EC9-A043-F727E984E3A0}"/>
    <cellStyle name="常规 6 10 3 2 2" xfId="20895" xr:uid="{255F1ABD-C8ED-4C28-9E4C-E7E89A413C47}"/>
    <cellStyle name="常规 6 10 3 2 3" xfId="20896" xr:uid="{085F8ADA-A4FD-4F7E-AAD2-E5BD76276D3A}"/>
    <cellStyle name="常规 6 10 3 2 4" xfId="20897" xr:uid="{6A2178A0-C2AB-4F45-AEA8-19C132D1844B}"/>
    <cellStyle name="常规 6 10 3 2 5" xfId="20898" xr:uid="{A33C1F93-3542-4B04-B6BA-E4E8D8640E62}"/>
    <cellStyle name="常规 6 10 3 2 6" xfId="20899" xr:uid="{EC819DDA-6590-444C-8EAE-CE93BD324048}"/>
    <cellStyle name="常规 6 10 3 3" xfId="20900" xr:uid="{06AB916D-CE33-424D-8233-D552ADE27D26}"/>
    <cellStyle name="常规 6 10 3 4" xfId="20901" xr:uid="{FDE184BF-8862-477A-82AB-EABABE42BE47}"/>
    <cellStyle name="常规 6 10 3 5" xfId="20902" xr:uid="{1D61B0BB-9FAF-4ED5-8F4A-25028EFB19FD}"/>
    <cellStyle name="常规 6 10 3 6" xfId="20903" xr:uid="{AD197DDB-F37A-4007-9944-818DB27A0FC1}"/>
    <cellStyle name="常规 6 10 3 7" xfId="20904" xr:uid="{ADCA6323-37C0-4CA1-8E48-96D060547392}"/>
    <cellStyle name="常规 6 10 3 8" xfId="20905" xr:uid="{11C8ABD7-CB07-4E02-A1C0-83F31D5C32D2}"/>
    <cellStyle name="常规 6 10 4" xfId="20906" xr:uid="{4CB7EB38-5EDC-478D-881C-60DB67708735}"/>
    <cellStyle name="常规 6 10 4 2" xfId="20907" xr:uid="{687DEEA2-0BE7-4631-A488-5E7E22574140}"/>
    <cellStyle name="常规 6 10 4 2 2" xfId="20908" xr:uid="{897E6FF9-E276-49DA-A672-561981B7724C}"/>
    <cellStyle name="常规 6 10 4 2 3" xfId="20909" xr:uid="{CFBBDD99-0B2B-4110-B702-24E73FB2F96D}"/>
    <cellStyle name="常规 6 10 4 2 4" xfId="20910" xr:uid="{110837C0-7CE9-4581-8789-380177C890BE}"/>
    <cellStyle name="常规 6 10 4 2 5" xfId="20911" xr:uid="{15B81D4A-7BE2-4E56-ABF9-693EFD831D2B}"/>
    <cellStyle name="常规 6 10 4 2 6" xfId="20912" xr:uid="{D0188019-210C-4F05-8C8E-E7E6F27B79A2}"/>
    <cellStyle name="常规 6 10 4 3" xfId="20913" xr:uid="{4B7C169D-91F2-41E2-B2A9-24CDFEB9DE78}"/>
    <cellStyle name="常规 6 10 4 4" xfId="20914" xr:uid="{5C9DC969-584F-473A-A5DB-BED4CA852B51}"/>
    <cellStyle name="常规 6 10 4 5" xfId="20915" xr:uid="{BA43CC1E-9446-4D14-8B95-71F8178A0025}"/>
    <cellStyle name="常规 6 10 4 6" xfId="20916" xr:uid="{D50620A7-B97F-4456-9D5E-224E1D8B1D95}"/>
    <cellStyle name="常规 6 10 4 7" xfId="20917" xr:uid="{91C43ACD-54F9-4842-9259-6093822A708B}"/>
    <cellStyle name="常规 6 10 4 8" xfId="20918" xr:uid="{2CC5A9A2-AF32-4C58-BC3D-27C7717941F3}"/>
    <cellStyle name="常规 6 10 4 9" xfId="34500" xr:uid="{152C042B-80E4-463F-9E52-0DC9296EA239}"/>
    <cellStyle name="常规 6 10 5" xfId="20919" xr:uid="{3A44BB14-F43B-49E7-AC41-4E249F604040}"/>
    <cellStyle name="常规 6 10 5 2" xfId="20920" xr:uid="{A405556D-9107-4443-9AAB-EB437DCE0ABC}"/>
    <cellStyle name="常规 6 10 5 2 2" xfId="20921" xr:uid="{C75C8244-EC38-4837-B083-13A11B1DDEFF}"/>
    <cellStyle name="常规 6 10 5 2 3" xfId="20922" xr:uid="{4B478F5B-B0A8-40AD-A928-D7B9F821FD68}"/>
    <cellStyle name="常规 6 10 5 2 4" xfId="20923" xr:uid="{993F025E-C7BF-4AFF-8278-A2DC96208D6E}"/>
    <cellStyle name="常规 6 10 5 2 5" xfId="20924" xr:uid="{80C5DA36-779A-483D-B6A4-3971816A48C0}"/>
    <cellStyle name="常规 6 10 5 2 6" xfId="20925" xr:uid="{DFCAE2B5-62F7-4654-8C51-0F55138FA276}"/>
    <cellStyle name="常规 6 10 5 3" xfId="20926" xr:uid="{3C818375-26C6-4767-B2BD-ADA0DF2E064D}"/>
    <cellStyle name="常规 6 10 5 4" xfId="20927" xr:uid="{7A23AD31-EE46-41CF-BC5A-AC570FF3E144}"/>
    <cellStyle name="常规 6 10 5 5" xfId="20928" xr:uid="{C6372992-8F26-4306-A069-391FD1DAA82D}"/>
    <cellStyle name="常规 6 10 5 6" xfId="20929" xr:uid="{C4336F99-E325-4EB7-9961-F25E0C131FC3}"/>
    <cellStyle name="常规 6 10 5 7" xfId="20930" xr:uid="{A5819208-6422-440D-9808-F4E223AA8CE0}"/>
    <cellStyle name="常规 6 10 6" xfId="20931" xr:uid="{F6A403AA-D374-4CBC-BE3D-0F44282C12F7}"/>
    <cellStyle name="常规 6 10 6 2" xfId="20932" xr:uid="{22211401-8849-40B5-8E81-13965C94D71D}"/>
    <cellStyle name="常规 6 10 6 2 2" xfId="20933" xr:uid="{F51B394D-5894-449D-95E2-4B820C7325CC}"/>
    <cellStyle name="常规 6 10 6 2 3" xfId="20934" xr:uid="{D4EA8CFE-CF18-4DC0-A332-3552FAC2A6BB}"/>
    <cellStyle name="常规 6 10 6 2 4" xfId="20935" xr:uid="{E53BC4F0-BBFF-4D88-A5C5-5E123235009F}"/>
    <cellStyle name="常规 6 10 6 2 5" xfId="20936" xr:uid="{06000509-BB14-4BAF-8AD3-1D415C88F65D}"/>
    <cellStyle name="常规 6 10 6 2 6" xfId="20937" xr:uid="{FE397F92-75D3-4523-A71C-6CE6E5019BD0}"/>
    <cellStyle name="常规 6 10 6 3" xfId="20938" xr:uid="{68B41E69-D12C-4DEB-AA3C-0BC60BFC5D5D}"/>
    <cellStyle name="常规 6 10 6 4" xfId="20939" xr:uid="{8A9865A8-2AE9-4FCA-8D13-2590956DD8DE}"/>
    <cellStyle name="常规 6 10 6 5" xfId="20940" xr:uid="{41253637-D341-49BF-A273-75A60D60E24B}"/>
    <cellStyle name="常规 6 10 6 6" xfId="20941" xr:uid="{347A9C72-6691-4D9E-A7BF-6FDA2CB51F02}"/>
    <cellStyle name="常规 6 10 6 7" xfId="20942" xr:uid="{7634D288-8B6E-4F30-878E-566FD4957E39}"/>
    <cellStyle name="常规 6 10 7" xfId="20943" xr:uid="{742EF196-C96E-46C2-8FE0-22A88092DE48}"/>
    <cellStyle name="常规 6 10 7 2" xfId="20944" xr:uid="{C5505B75-20FB-46DA-BC15-5F71D75016D8}"/>
    <cellStyle name="常规 6 10 7 3" xfId="20945" xr:uid="{C857B153-6094-439E-8825-158B67D7E11A}"/>
    <cellStyle name="常规 6 10 7 4" xfId="20946" xr:uid="{63FB0485-C564-4AA1-AFCD-AC39D18C4803}"/>
    <cellStyle name="常规 6 10 7 5" xfId="20947" xr:uid="{1BE28019-BB4D-44F2-87C9-1386F3D5BD50}"/>
    <cellStyle name="常规 6 10 7 6" xfId="20948" xr:uid="{FD68B88C-7F73-4112-B81F-6A604A24706B}"/>
    <cellStyle name="常规 6 10 8" xfId="20949" xr:uid="{E2B45292-ECC3-41E1-BEA7-32480FFBB57F}"/>
    <cellStyle name="常规 6 10 9" xfId="20950" xr:uid="{F77DB186-0ECC-4B2E-BDC1-3966B447BA0E}"/>
    <cellStyle name="常规 6 11" xfId="20951" xr:uid="{26B782BF-6081-4604-9FD1-F5CDEA627783}"/>
    <cellStyle name="常规 6 11 10" xfId="20952" xr:uid="{DA4CD15D-EA80-44B9-9030-ACD8D167CF63}"/>
    <cellStyle name="常规 6 11 11" xfId="20953" xr:uid="{A1D6F7C8-93D8-432A-930B-524403093754}"/>
    <cellStyle name="常规 6 11 12" xfId="20954" xr:uid="{4555B008-A9DE-42A6-99B6-AFDA9B61C7A8}"/>
    <cellStyle name="常规 6 11 2" xfId="20955" xr:uid="{E2FC927F-B385-481C-8B98-99D14441C185}"/>
    <cellStyle name="常规 6 11 2 2" xfId="20956" xr:uid="{84D117A8-C2D0-4949-B92E-B68363C2635D}"/>
    <cellStyle name="常规 6 11 2 2 2" xfId="20957" xr:uid="{79CC7DB4-F80B-4969-9109-2E6839C4670E}"/>
    <cellStyle name="常规 6 11 2 2 3" xfId="20958" xr:uid="{484483EA-415D-486B-82A0-FEA57D54173D}"/>
    <cellStyle name="常规 6 11 2 2 4" xfId="20959" xr:uid="{332B9F1E-126A-4C39-A51B-A9D5D47A8E43}"/>
    <cellStyle name="常规 6 11 2 2 5" xfId="20960" xr:uid="{C61ED7F7-6CDC-4CA9-A8E4-F910D18DFAC7}"/>
    <cellStyle name="常规 6 11 2 2 6" xfId="20961" xr:uid="{35A626C8-99F8-4C00-ABFB-9E2A96E28197}"/>
    <cellStyle name="常规 6 11 2 3" xfId="20962" xr:uid="{43D8CC70-5A62-4055-B7D7-DCC0DEA0E978}"/>
    <cellStyle name="常规 6 11 2 4" xfId="20963" xr:uid="{B378899B-248B-4770-BBB1-A354A43CE9A5}"/>
    <cellStyle name="常规 6 11 2 5" xfId="20964" xr:uid="{2C091485-352E-4FC7-AEBA-57F8018E6217}"/>
    <cellStyle name="常规 6 11 2 6" xfId="20965" xr:uid="{8E5DF982-878A-4C97-B116-0CBB2AACF7A7}"/>
    <cellStyle name="常规 6 11 2 7" xfId="20966" xr:uid="{12A796A7-5188-490B-A6ED-505A87706BCA}"/>
    <cellStyle name="常规 6 11 3" xfId="20967" xr:uid="{843E7A91-548B-4DBC-B5DA-0511457B2D6C}"/>
    <cellStyle name="常规 6 11 3 2" xfId="20968" xr:uid="{4730F986-8110-49BF-84A1-A6279A01D05F}"/>
    <cellStyle name="常规 6 11 3 2 2" xfId="20969" xr:uid="{0D51313E-2754-41EA-A9C9-302778FFE6B8}"/>
    <cellStyle name="常规 6 11 3 2 3" xfId="20970" xr:uid="{F93686B7-16F8-4988-9021-2E717DF95685}"/>
    <cellStyle name="常规 6 11 3 2 4" xfId="20971" xr:uid="{39C80C30-BDD5-4BA2-A36D-51EBC3B2786A}"/>
    <cellStyle name="常规 6 11 3 2 5" xfId="20972" xr:uid="{06CFFDE4-6E1A-4744-8F8A-B1E56ACEE98E}"/>
    <cellStyle name="常规 6 11 3 2 6" xfId="20973" xr:uid="{400B577F-1905-4246-9898-07E037CCE9DE}"/>
    <cellStyle name="常规 6 11 3 3" xfId="20974" xr:uid="{573A80B8-9F8B-4D8E-B7FD-D88734F3B485}"/>
    <cellStyle name="常规 6 11 3 4" xfId="20975" xr:uid="{0691C889-1CE5-4570-A784-77D6A58F4EAB}"/>
    <cellStyle name="常规 6 11 3 5" xfId="20976" xr:uid="{B2078FEE-F4D5-4C9D-9D48-FE781D695DA4}"/>
    <cellStyle name="常规 6 11 3 6" xfId="20977" xr:uid="{D5AF4935-05D7-4E06-BBBC-C62845A01E71}"/>
    <cellStyle name="常规 6 11 3 7" xfId="20978" xr:uid="{DF8FF3B3-C9A2-4875-88BC-905A62885E41}"/>
    <cellStyle name="常规 6 11 4" xfId="20979" xr:uid="{6DD941F1-1393-4C6E-9F08-036084F76086}"/>
    <cellStyle name="常规 6 11 4 2" xfId="20980" xr:uid="{A4AF3970-8824-465B-BE55-C9C64667D2DB}"/>
    <cellStyle name="常规 6 11 4 2 2" xfId="20981" xr:uid="{79441A7C-7ABC-4686-B3CA-FDFD797D77F8}"/>
    <cellStyle name="常规 6 11 4 2 3" xfId="20982" xr:uid="{1A57778B-0E6F-4468-8AEA-078FC6B154BB}"/>
    <cellStyle name="常规 6 11 4 2 4" xfId="20983" xr:uid="{B327DA98-B88F-49A4-A589-05774CAEC39A}"/>
    <cellStyle name="常规 6 11 4 2 5" xfId="20984" xr:uid="{03438580-DEEE-4A84-A0C1-EF7AE6F37B7D}"/>
    <cellStyle name="常规 6 11 4 2 6" xfId="20985" xr:uid="{3A674F4F-4144-4FD4-9B93-03F0ADB3770F}"/>
    <cellStyle name="常规 6 11 4 3" xfId="20986" xr:uid="{7D2424DE-7CF3-43F6-B6A7-20975CFE4F80}"/>
    <cellStyle name="常规 6 11 4 4" xfId="20987" xr:uid="{29B2FE86-ACA3-4E73-8649-781C97CC8CD2}"/>
    <cellStyle name="常规 6 11 4 5" xfId="20988" xr:uid="{8FB5E61E-63EE-4816-89AF-9B05282D407F}"/>
    <cellStyle name="常规 6 11 4 6" xfId="20989" xr:uid="{F47B8BAC-6DB2-4386-849B-917E10A8D74F}"/>
    <cellStyle name="常规 6 11 4 7" xfId="20990" xr:uid="{517A9681-09DB-4218-A9F4-B05F2C634509}"/>
    <cellStyle name="常规 6 11 5" xfId="20991" xr:uid="{CA3689AE-9CA4-4E32-B277-0ADE19DB23D9}"/>
    <cellStyle name="常规 6 11 5 2" xfId="20992" xr:uid="{96F20A89-E8AF-4A70-BD22-CDFC7BA988FC}"/>
    <cellStyle name="常规 6 11 5 2 2" xfId="20993" xr:uid="{B1E01AC1-C903-4A38-B0DC-1F3E4B58CAAF}"/>
    <cellStyle name="常规 6 11 5 2 3" xfId="20994" xr:uid="{61A0FB7A-358F-4618-9A63-EE13AF22413D}"/>
    <cellStyle name="常规 6 11 5 2 4" xfId="20995" xr:uid="{D499516B-D843-4BE8-B61F-AB30CE751D64}"/>
    <cellStyle name="常规 6 11 5 2 5" xfId="20996" xr:uid="{36718E76-3A4C-433D-8749-97CAC306EE80}"/>
    <cellStyle name="常规 6 11 5 2 6" xfId="20997" xr:uid="{2B9E2BA6-CB58-47FA-88CD-207EE3260CE3}"/>
    <cellStyle name="常规 6 11 5 3" xfId="20998" xr:uid="{6101178B-1632-4872-B2D2-94CD8EDEBFF6}"/>
    <cellStyle name="常规 6 11 5 4" xfId="20999" xr:uid="{40042645-53D6-47E0-8FDE-1E3C62CD9B41}"/>
    <cellStyle name="常规 6 11 5 5" xfId="21000" xr:uid="{A385A334-610B-4824-A42C-45C6F12254DE}"/>
    <cellStyle name="常规 6 11 5 6" xfId="21001" xr:uid="{F2D85F90-C70B-4F12-8485-84E788B3023E}"/>
    <cellStyle name="常规 6 11 5 7" xfId="21002" xr:uid="{40EE60D3-3A32-47AC-A5EA-36A8680B9B13}"/>
    <cellStyle name="常规 6 11 6" xfId="21003" xr:uid="{48881722-D9FD-4BAB-A947-2B303A3F5DEE}"/>
    <cellStyle name="常规 6 11 6 2" xfId="21004" xr:uid="{4D0E6C0D-BE94-4A2E-8BCC-5D10179D42CE}"/>
    <cellStyle name="常规 6 11 6 3" xfId="21005" xr:uid="{379766FD-5A69-4790-9387-8542C95EEF89}"/>
    <cellStyle name="常规 6 11 6 4" xfId="21006" xr:uid="{F069153C-E02C-4DB0-875D-D120F5399594}"/>
    <cellStyle name="常规 6 11 6 5" xfId="21007" xr:uid="{7AD6A482-A9BB-4225-A61A-2DCB759822D5}"/>
    <cellStyle name="常规 6 11 6 6" xfId="21008" xr:uid="{30976987-F53F-403C-92AF-9CC3BA575BC7}"/>
    <cellStyle name="常规 6 11 7" xfId="21009" xr:uid="{F5298721-2CC3-4EB1-A8C4-5C183E86259E}"/>
    <cellStyle name="常规 6 11 8" xfId="21010" xr:uid="{FC0A1524-6EDF-4D41-AC3E-0A65DADECA3D}"/>
    <cellStyle name="常规 6 11 9" xfId="21011" xr:uid="{A0ACA361-B778-435E-9B39-86CD110D3AEA}"/>
    <cellStyle name="常规 6 12" xfId="21012" xr:uid="{CFB5D149-163C-4386-B172-EF4D4B4C5C2C}"/>
    <cellStyle name="常规 6 12 10" xfId="21013" xr:uid="{549E9C92-6F8C-4148-8AEE-3410B873D498}"/>
    <cellStyle name="常规 6 12 11" xfId="21014" xr:uid="{8A123D18-C1EB-48CA-9E65-D09E52C17815}"/>
    <cellStyle name="常规 6 12 2" xfId="21015" xr:uid="{885AE288-72B2-47FE-9C2C-29C6F588FAE7}"/>
    <cellStyle name="常规 6 12 2 2" xfId="21016" xr:uid="{3EB9888B-B806-45B0-BE81-1A8D71689F1B}"/>
    <cellStyle name="常规 6 12 2 2 2" xfId="21017" xr:uid="{0B804396-CCBC-44F7-9AD2-2B4F5B964C3B}"/>
    <cellStyle name="常规 6 12 2 2 3" xfId="21018" xr:uid="{03ADA06A-8D76-4A95-95DD-0AB3BE2A5C1A}"/>
    <cellStyle name="常规 6 12 2 2 4" xfId="21019" xr:uid="{8B641CF7-FBCB-45E0-8E31-BE69B5D5B86C}"/>
    <cellStyle name="常规 6 12 2 2 5" xfId="21020" xr:uid="{F2511DD1-DB90-4B86-9529-FE76B46B3C43}"/>
    <cellStyle name="常规 6 12 2 2 6" xfId="21021" xr:uid="{5999B656-E533-44AD-84B7-B13A4BE000AD}"/>
    <cellStyle name="常规 6 12 2 3" xfId="21022" xr:uid="{D1680D14-94FF-455B-880B-9956D23946AA}"/>
    <cellStyle name="常规 6 12 2 4" xfId="21023" xr:uid="{4328ACF7-A1B4-431A-B62F-34FF32A91D61}"/>
    <cellStyle name="常规 6 12 2 5" xfId="21024" xr:uid="{60FB3B7E-E1A7-4383-89BD-812F5DB6EFFE}"/>
    <cellStyle name="常规 6 12 2 6" xfId="21025" xr:uid="{2503A533-64B4-4DDC-9E36-34572EE3714D}"/>
    <cellStyle name="常规 6 12 2 7" xfId="21026" xr:uid="{199F8BBD-1A8E-446B-AC52-19BDAC84BCF4}"/>
    <cellStyle name="常规 6 12 3" xfId="21027" xr:uid="{EA6AF0A2-A823-4A7A-A880-D2A5B9E33D20}"/>
    <cellStyle name="常规 6 12 3 2" xfId="21028" xr:uid="{D5B502FF-0A06-4E22-BDCD-FA9825346454}"/>
    <cellStyle name="常规 6 12 3 2 2" xfId="21029" xr:uid="{D32D19B4-BBB5-485C-A2E2-115798053CF8}"/>
    <cellStyle name="常规 6 12 3 2 3" xfId="21030" xr:uid="{C1DFF464-6111-427B-BA00-B20ED29081D2}"/>
    <cellStyle name="常规 6 12 3 2 4" xfId="21031" xr:uid="{BC9C6207-851F-4215-B9E4-D0A924BB2660}"/>
    <cellStyle name="常规 6 12 3 2 5" xfId="21032" xr:uid="{CC09E74C-F173-4747-907A-5F8375CF9166}"/>
    <cellStyle name="常规 6 12 3 2 6" xfId="21033" xr:uid="{0F1C86F3-2193-46C8-B11C-99328F426501}"/>
    <cellStyle name="常规 6 12 3 3" xfId="21034" xr:uid="{FA51E13B-3D62-4418-9CD9-1557D07F2CD1}"/>
    <cellStyle name="常规 6 12 3 4" xfId="21035" xr:uid="{1C621DCB-8830-44DB-8B5F-747C21C2D0D7}"/>
    <cellStyle name="常规 6 12 3 5" xfId="21036" xr:uid="{CFF8FBBC-DE79-4A35-BB86-85AF981526DA}"/>
    <cellStyle name="常规 6 12 3 6" xfId="21037" xr:uid="{9FE863C4-8DCD-4DEC-B659-27BEC0F9F3B8}"/>
    <cellStyle name="常规 6 12 3 7" xfId="21038" xr:uid="{1724BAB4-A5C4-4DEA-8329-CC716119A891}"/>
    <cellStyle name="常规 6 12 4" xfId="21039" xr:uid="{F903D237-A9E2-447D-BF1C-84B1B46A6AA1}"/>
    <cellStyle name="常规 6 12 4 2" xfId="21040" xr:uid="{5BDEE309-28A6-459E-B3F5-0D2AE187859E}"/>
    <cellStyle name="常规 6 12 4 2 2" xfId="21041" xr:uid="{BF9792B1-845A-4C97-9B0E-457132287C1F}"/>
    <cellStyle name="常规 6 12 4 2 3" xfId="21042" xr:uid="{04BBE3C8-3D01-49C2-BF25-32DC88DDCED0}"/>
    <cellStyle name="常规 6 12 4 2 4" xfId="21043" xr:uid="{39423AA9-3E40-42B4-85C1-38286FFE8D72}"/>
    <cellStyle name="常规 6 12 4 2 5" xfId="21044" xr:uid="{7EC0AFAF-2F20-42BB-8815-30D5329B8ABA}"/>
    <cellStyle name="常规 6 12 4 2 6" xfId="21045" xr:uid="{E489185B-BC2A-45B6-AC04-18FCF04748FE}"/>
    <cellStyle name="常规 6 12 4 3" xfId="21046" xr:uid="{D74956CB-F668-45D6-81D4-A3F3AA0EE475}"/>
    <cellStyle name="常规 6 12 4 4" xfId="21047" xr:uid="{3245DD98-B1E6-4966-B263-EBBB9CD8A716}"/>
    <cellStyle name="常规 6 12 4 5" xfId="21048" xr:uid="{55E9028D-380D-49FE-8764-6EB3375A3FA1}"/>
    <cellStyle name="常规 6 12 4 6" xfId="21049" xr:uid="{35B8C0BC-BB47-4F1C-8100-E05B2AE934D5}"/>
    <cellStyle name="常规 6 12 4 7" xfId="21050" xr:uid="{B107CDF6-C313-4E0B-A4A8-06CB2B8B23EE}"/>
    <cellStyle name="常规 6 12 5" xfId="21051" xr:uid="{D124F463-3EC1-4E2E-B7D7-277C0E02C7AB}"/>
    <cellStyle name="常规 6 12 5 2" xfId="21052" xr:uid="{F96D7597-103B-464E-8EA3-843C64468518}"/>
    <cellStyle name="常规 6 12 5 3" xfId="21053" xr:uid="{D371DA87-0301-42BF-9E1C-C7FAA0735663}"/>
    <cellStyle name="常规 6 12 5 4" xfId="21054" xr:uid="{A8D11BA9-A692-4ED7-8690-A10A3C5E1B6C}"/>
    <cellStyle name="常规 6 12 5 5" xfId="21055" xr:uid="{A29F25CD-2E28-4520-BD3D-954AA68CD514}"/>
    <cellStyle name="常规 6 12 5 6" xfId="21056" xr:uid="{68C96C9A-4025-4DB6-B8F7-F20B0D385D8A}"/>
    <cellStyle name="常规 6 12 6" xfId="21057" xr:uid="{732B061D-37B7-4D94-8715-425458653D4D}"/>
    <cellStyle name="常规 6 12 7" xfId="21058" xr:uid="{A72BC699-5616-4DA7-81A5-CA1B9E3B886D}"/>
    <cellStyle name="常规 6 12 8" xfId="21059" xr:uid="{C16C9176-65BB-478C-B333-BEBE963F0FF7}"/>
    <cellStyle name="常规 6 12 9" xfId="21060" xr:uid="{EADF18CC-1F7C-4D59-97CE-F14B24D47983}"/>
    <cellStyle name="常规 6 13" xfId="21061" xr:uid="{C68EB83D-D8E2-4DDB-8F5E-31E2E41B0CE0}"/>
    <cellStyle name="常规 6 13 10" xfId="21062" xr:uid="{E9EB1EA3-4DB4-46BB-A940-42B5D0A5F166}"/>
    <cellStyle name="常规 6 13 2" xfId="21063" xr:uid="{72D03632-248D-4950-B14B-78E4741C75B4}"/>
    <cellStyle name="常规 6 13 2 2" xfId="21064" xr:uid="{D18C27F5-D09D-4871-B06C-D434E15C3829}"/>
    <cellStyle name="常规 6 13 2 2 2" xfId="21065" xr:uid="{F662E610-BD78-4B17-885D-0E633AD79844}"/>
    <cellStyle name="常规 6 13 2 2 3" xfId="21066" xr:uid="{C0CB9935-3DB5-4810-855E-5712F0E22AF8}"/>
    <cellStyle name="常规 6 13 2 2 4" xfId="21067" xr:uid="{6EA7DB8C-C667-4CF7-A888-FF3830D99FF6}"/>
    <cellStyle name="常规 6 13 2 2 5" xfId="21068" xr:uid="{89BB70BF-8B4F-48A0-ADE4-A7C4E8964144}"/>
    <cellStyle name="常规 6 13 2 2 6" xfId="21069" xr:uid="{1E3AFE68-46B2-4958-B0F6-0347AF71748E}"/>
    <cellStyle name="常规 6 13 2 3" xfId="21070" xr:uid="{2A6A93BB-D9FA-4055-B9F3-483EA2D76235}"/>
    <cellStyle name="常规 6 13 2 4" xfId="21071" xr:uid="{0CA918F9-5460-4A59-9AC7-738F5CEB5B3E}"/>
    <cellStyle name="常规 6 13 2 5" xfId="21072" xr:uid="{D9B0E604-1F3E-4D44-A1A5-AEDAAD0DA977}"/>
    <cellStyle name="常规 6 13 2 6" xfId="21073" xr:uid="{3AC67E6D-F436-42FD-9EEB-1F229A5FD405}"/>
    <cellStyle name="常规 6 13 2 7" xfId="21074" xr:uid="{29F621DC-EC41-4764-BD38-9BF892A73802}"/>
    <cellStyle name="常规 6 13 3" xfId="21075" xr:uid="{25E13EC8-7CFD-43F5-A082-CD1BAFC44F5F}"/>
    <cellStyle name="常规 6 13 3 2" xfId="21076" xr:uid="{C493FB52-EE5F-4834-8EF3-0012FDA1A830}"/>
    <cellStyle name="常规 6 13 3 2 2" xfId="21077" xr:uid="{3F32288E-F347-4719-8497-BD52A9E8D37C}"/>
    <cellStyle name="常规 6 13 3 2 3" xfId="21078" xr:uid="{D8CAD615-8FB9-4C93-8147-E212EDD9A6C1}"/>
    <cellStyle name="常规 6 13 3 2 4" xfId="21079" xr:uid="{1D2A3B9F-ABA6-4D75-BC5C-E302AA968DB5}"/>
    <cellStyle name="常规 6 13 3 2 5" xfId="21080" xr:uid="{43199953-DD70-470A-B24F-5694583C1387}"/>
    <cellStyle name="常规 6 13 3 2 6" xfId="21081" xr:uid="{76DEBEFD-091F-453A-BABC-95B99A807763}"/>
    <cellStyle name="常规 6 13 3 3" xfId="21082" xr:uid="{FBA53434-FF01-4121-894C-8B53C8AD9007}"/>
    <cellStyle name="常规 6 13 3 4" xfId="21083" xr:uid="{59FA8F8D-831C-4BA9-BD47-001896C6C211}"/>
    <cellStyle name="常规 6 13 3 5" xfId="21084" xr:uid="{891A3BAB-87CF-4958-B4B7-D57A1CAEE41F}"/>
    <cellStyle name="常规 6 13 3 6" xfId="21085" xr:uid="{292EBA9A-A2C8-4EC0-9FB0-76961BCAB6FF}"/>
    <cellStyle name="常规 6 13 3 7" xfId="21086" xr:uid="{3A0A2A67-A42E-4B89-8F11-7CC3C3B6D0D2}"/>
    <cellStyle name="常规 6 13 4" xfId="21087" xr:uid="{BFAE3173-A1E2-4BE3-A872-9CC02CE945CA}"/>
    <cellStyle name="常规 6 13 4 2" xfId="21088" xr:uid="{5E5D0E2E-B878-41A2-A659-EB47CF8F7462}"/>
    <cellStyle name="常规 6 13 4 3" xfId="21089" xr:uid="{2BEBC301-43FD-48F4-BA3A-97288AA4B896}"/>
    <cellStyle name="常规 6 13 4 4" xfId="21090" xr:uid="{E905D970-62B8-41D5-8EBA-D03532BF54F7}"/>
    <cellStyle name="常规 6 13 4 5" xfId="21091" xr:uid="{38F2F9EA-CAEF-441E-B37B-BF9B2536B4A9}"/>
    <cellStyle name="常规 6 13 4 6" xfId="21092" xr:uid="{D4D4F07A-6C18-4486-ABFD-9D4C8865F3F4}"/>
    <cellStyle name="常规 6 13 5" xfId="21093" xr:uid="{DAB336E0-035A-4811-AC63-68556E35FA3D}"/>
    <cellStyle name="常规 6 13 6" xfId="21094" xr:uid="{0C753C16-9623-4EAD-8441-0769AEBA9509}"/>
    <cellStyle name="常规 6 13 7" xfId="21095" xr:uid="{88AFCD8B-9587-4B98-A6F6-78472C68F746}"/>
    <cellStyle name="常规 6 13 8" xfId="21096" xr:uid="{89DD0ED8-7EBC-4C86-9F08-D3ED59C6D0C5}"/>
    <cellStyle name="常规 6 13 9" xfId="21097" xr:uid="{3EB4667D-A5FE-4C2C-B3B2-9BF50732DDB5}"/>
    <cellStyle name="常规 6 14" xfId="21098" xr:uid="{D23E37DB-7D33-4059-820F-D70307E7E97B}"/>
    <cellStyle name="常规 6 14 2" xfId="21099" xr:uid="{812E96BE-8E2C-4E9F-8443-2F95560BB176}"/>
    <cellStyle name="常规 6 14 2 2" xfId="21100" xr:uid="{CBF1896E-0484-44FC-8361-A6DB5B1C586A}"/>
    <cellStyle name="常规 6 14 2 2 2" xfId="21101" xr:uid="{AF22A67E-8042-4AB8-A76B-3D15DD9ED4A5}"/>
    <cellStyle name="常规 6 14 2 2 3" xfId="21102" xr:uid="{33EF066D-8EE0-4942-AA0E-E110B54532CE}"/>
    <cellStyle name="常规 6 14 2 2 4" xfId="21103" xr:uid="{B0580731-A09D-45FE-AD4C-482DD8D1ED50}"/>
    <cellStyle name="常规 6 14 2 2 5" xfId="21104" xr:uid="{6209D2DD-3519-4CA3-BE17-8629A987E652}"/>
    <cellStyle name="常规 6 14 2 2 6" xfId="21105" xr:uid="{F0FB8B86-1924-4472-BC17-09C2E44912B9}"/>
    <cellStyle name="常规 6 14 2 3" xfId="21106" xr:uid="{5F1781F1-762C-4A4D-85A0-90BC2DF96004}"/>
    <cellStyle name="常规 6 14 2 4" xfId="21107" xr:uid="{AB60877F-1DA9-407D-958E-42735D447E0F}"/>
    <cellStyle name="常规 6 14 2 5" xfId="21108" xr:uid="{6417F500-5DE0-41F1-A808-A34D3A452FB2}"/>
    <cellStyle name="常规 6 14 2 6" xfId="21109" xr:uid="{EED61884-6386-4B6A-8693-F858C56F1621}"/>
    <cellStyle name="常规 6 14 2 7" xfId="21110" xr:uid="{4CDA6FDC-87A0-4C6E-9AF0-95A9C908EFA9}"/>
    <cellStyle name="常规 6 14 3" xfId="21111" xr:uid="{690169F7-B5E9-4122-AC62-08A57BDCF0F9}"/>
    <cellStyle name="常规 6 14 3 2" xfId="21112" xr:uid="{17CC59E7-7B3F-463A-86F5-773C28A28F6B}"/>
    <cellStyle name="常规 6 14 3 3" xfId="21113" xr:uid="{3199E00D-ACE5-4C24-8064-AE0557C069C5}"/>
    <cellStyle name="常规 6 14 3 4" xfId="21114" xr:uid="{BB0A6259-431C-45A3-9C3F-DADC1941A9BF}"/>
    <cellStyle name="常规 6 14 3 5" xfId="21115" xr:uid="{77FC511A-ABAA-474A-9E93-6E083CBE1F3E}"/>
    <cellStyle name="常规 6 14 3 6" xfId="21116" xr:uid="{1E82CE0C-C72A-407A-94B5-F5938F396742}"/>
    <cellStyle name="常规 6 14 4" xfId="21117" xr:uid="{6F9C0683-7006-45AF-B48F-901E7BC3BBC8}"/>
    <cellStyle name="常规 6 14 5" xfId="21118" xr:uid="{8E1B80CA-7580-42FE-8DF6-E896845F6106}"/>
    <cellStyle name="常规 6 14 6" xfId="21119" xr:uid="{3F08A8F0-C48A-4811-9467-D6296B8D52E9}"/>
    <cellStyle name="常规 6 14 7" xfId="21120" xr:uid="{109F8C75-07B5-4090-B8D8-B81F1325DCE7}"/>
    <cellStyle name="常规 6 14 8" xfId="21121" xr:uid="{88D3061B-7D83-4542-BC4F-4D561057767C}"/>
    <cellStyle name="常规 6 14 9" xfId="21122" xr:uid="{5366444D-DA8E-40BE-8627-FF51BC75A472}"/>
    <cellStyle name="常规 6 15" xfId="21123" xr:uid="{B2CE491C-D63B-400E-BCB1-60EEA0117E15}"/>
    <cellStyle name="常规 6 15 2" xfId="21124" xr:uid="{E6BBE8BB-0CEF-453D-80D1-766E84A792F2}"/>
    <cellStyle name="常规 6 15 2 2" xfId="21125" xr:uid="{BE21FA76-3719-4B5B-ABB4-2A10FDDF40D8}"/>
    <cellStyle name="常规 6 15 2 2 2" xfId="21126" xr:uid="{892CB174-15B8-489B-A1CF-BE8273AE8233}"/>
    <cellStyle name="常规 6 15 2 2 3" xfId="21127" xr:uid="{A7389767-66B6-4434-A48A-30297DCEBA57}"/>
    <cellStyle name="常规 6 15 2 2 4" xfId="21128" xr:uid="{4775BEBA-07E7-45D1-9498-D91ECFC38D50}"/>
    <cellStyle name="常规 6 15 2 2 5" xfId="21129" xr:uid="{2BDA59C7-1DC2-4F8A-A2B7-96062DE01D9B}"/>
    <cellStyle name="常规 6 15 2 2 6" xfId="21130" xr:uid="{415D662C-9D00-494B-BFBE-DD7268E5E9DA}"/>
    <cellStyle name="常规 6 15 2 3" xfId="21131" xr:uid="{A8237E4C-E927-4631-A905-D67CA54C0CFF}"/>
    <cellStyle name="常规 6 15 2 4" xfId="21132" xr:uid="{A1EC320E-73DC-4FE5-9CF8-69A4BF09D7BD}"/>
    <cellStyle name="常规 6 15 2 5" xfId="21133" xr:uid="{4E324EC8-2083-4ED9-8E2D-82D70EBA80E4}"/>
    <cellStyle name="常规 6 15 2 6" xfId="21134" xr:uid="{4F2F0B4D-F318-4F2A-B415-FCFFDE7B011C}"/>
    <cellStyle name="常规 6 15 2 7" xfId="21135" xr:uid="{1E688D53-E0E1-4A5D-8DF7-125C7740A2F3}"/>
    <cellStyle name="常规 6 15 3" xfId="21136" xr:uid="{98C224F6-10A2-47F1-8647-9A082FEB2173}"/>
    <cellStyle name="常规 6 15 3 2" xfId="21137" xr:uid="{C5D98DF6-16B0-4874-8EC2-5385FAF9454F}"/>
    <cellStyle name="常规 6 15 3 3" xfId="21138" xr:uid="{92B6FF55-A0B3-4B1B-8A81-FD4750D16DE5}"/>
    <cellStyle name="常规 6 15 3 4" xfId="21139" xr:uid="{00CF4EB3-A6C1-4361-A5CE-A6921EAD793D}"/>
    <cellStyle name="常规 6 15 3 5" xfId="21140" xr:uid="{6D34F0AB-E176-4FA1-A2D4-2648ECA75688}"/>
    <cellStyle name="常规 6 15 3 6" xfId="21141" xr:uid="{49880705-86D0-4573-B3FF-13FA961B0B9F}"/>
    <cellStyle name="常规 6 15 4" xfId="21142" xr:uid="{D92A3056-DBE8-4399-90D7-48EA88EC52EE}"/>
    <cellStyle name="常规 6 15 5" xfId="21143" xr:uid="{E3674AEC-691E-4FA7-ACFC-7E66E61940BC}"/>
    <cellStyle name="常规 6 15 6" xfId="21144" xr:uid="{151FD304-5FB6-46C0-8128-E951843AD39C}"/>
    <cellStyle name="常规 6 15 7" xfId="21145" xr:uid="{61C08285-3E91-4B68-94AD-AE3B72E5F050}"/>
    <cellStyle name="常规 6 15 8" xfId="21146" xr:uid="{988B31F4-ED42-4D74-A072-3982D1D1CEF2}"/>
    <cellStyle name="常规 6 16" xfId="21147" xr:uid="{61912485-210A-44DB-B130-E431FEB2F1B1}"/>
    <cellStyle name="常规 6 16 2" xfId="21148" xr:uid="{245F040B-8144-4CF0-85C2-1A9E31D3A5F7}"/>
    <cellStyle name="常规 6 16 2 2" xfId="21149" xr:uid="{D805DDB2-454E-4755-A6D1-A37A6D49E869}"/>
    <cellStyle name="常规 6 16 2 2 2" xfId="21150" xr:uid="{05494F88-4099-40F4-82A4-0C645816F93A}"/>
    <cellStyle name="常规 6 16 2 2 3" xfId="21151" xr:uid="{0BB2F3C9-062D-444A-A7CA-554E5BB01CD8}"/>
    <cellStyle name="常规 6 16 2 2 4" xfId="21152" xr:uid="{4D776425-A4DB-4B0B-A6BA-81A09B624DD0}"/>
    <cellStyle name="常规 6 16 2 2 5" xfId="21153" xr:uid="{E374FA7D-D48E-493F-86D7-75D5F74F5252}"/>
    <cellStyle name="常规 6 16 2 2 6" xfId="21154" xr:uid="{3171F080-23BF-4A17-9676-C92F41AD9635}"/>
    <cellStyle name="常规 6 16 2 3" xfId="21155" xr:uid="{D5044F7D-191B-46ED-BFA9-BDE52C08E1DD}"/>
    <cellStyle name="常规 6 16 2 4" xfId="21156" xr:uid="{3D1B4DE0-BAA9-41EB-A76B-CAAC2205A24D}"/>
    <cellStyle name="常规 6 16 2 5" xfId="21157" xr:uid="{67BE0A7A-ADD4-4CB9-8942-9C6874DB9BBB}"/>
    <cellStyle name="常规 6 16 2 6" xfId="21158" xr:uid="{2194EEEC-E25A-4002-A8C9-D9FF746C8ED7}"/>
    <cellStyle name="常规 6 16 2 7" xfId="21159" xr:uid="{B2B6C04C-67E5-4625-AEBB-EF300103B98E}"/>
    <cellStyle name="常规 6 16 3" xfId="21160" xr:uid="{2AB8EE16-DF09-4B66-AD11-7A2D8AA52A45}"/>
    <cellStyle name="常规 6 16 3 2" xfId="21161" xr:uid="{5F13A287-2D5E-4BD9-958B-1C5DD86C4198}"/>
    <cellStyle name="常规 6 16 3 3" xfId="21162" xr:uid="{450966DD-BD1B-45F4-8895-4EB72530D480}"/>
    <cellStyle name="常规 6 16 3 4" xfId="21163" xr:uid="{4CD5B723-FDC4-4651-808B-4441A21CD164}"/>
    <cellStyle name="常规 6 16 3 5" xfId="21164" xr:uid="{5A59F16B-2E51-4D15-8ADE-28DD00943A1D}"/>
    <cellStyle name="常规 6 16 3 6" xfId="21165" xr:uid="{816C45CF-EB6F-44A1-89BB-747ED3EFD0CA}"/>
    <cellStyle name="常规 6 16 4" xfId="21166" xr:uid="{00B39198-C6FA-4552-B80E-A1DE5363AD10}"/>
    <cellStyle name="常规 6 16 5" xfId="21167" xr:uid="{DB1B360B-D38C-4BBA-B1AA-F67322D3AC68}"/>
    <cellStyle name="常规 6 16 6" xfId="21168" xr:uid="{823A77B1-561A-4A28-8B08-6F02AF091A9D}"/>
    <cellStyle name="常规 6 16 7" xfId="21169" xr:uid="{9D17EED3-2D62-44FF-B26A-4E3BDA056313}"/>
    <cellStyle name="常规 6 16 8" xfId="21170" xr:uid="{5FA9F8E8-634A-444E-BBA9-9BCF826CA3BE}"/>
    <cellStyle name="常规 6 17" xfId="21171" xr:uid="{F7FFB18D-3421-4BBE-89AF-056B7F8655AA}"/>
    <cellStyle name="常规 6 17 2" xfId="21172" xr:uid="{A045E62B-7386-4416-B8CA-616F60113413}"/>
    <cellStyle name="常规 6 17 2 2" xfId="21173" xr:uid="{8B2C61F8-1ED6-4D47-B520-DA08911BC391}"/>
    <cellStyle name="常规 6 17 2 2 2" xfId="21174" xr:uid="{31848318-C05E-44C4-9DA4-CBC352B829DE}"/>
    <cellStyle name="常规 6 17 2 2 3" xfId="21175" xr:uid="{268268A5-52A1-405F-82E4-9D02C49F4DF7}"/>
    <cellStyle name="常规 6 17 2 2 4" xfId="21176" xr:uid="{F7C3CB50-1BDD-407C-8866-D1DBCF952D70}"/>
    <cellStyle name="常规 6 17 2 2 5" xfId="21177" xr:uid="{0F5D0079-9D90-46E8-A055-03B896CF26D4}"/>
    <cellStyle name="常规 6 17 2 2 6" xfId="21178" xr:uid="{6910D1BA-6721-410D-8014-197F8416037E}"/>
    <cellStyle name="常规 6 17 2 3" xfId="21179" xr:uid="{B0B7BD17-FAD7-4493-8BB2-597D2CFA771D}"/>
    <cellStyle name="常规 6 17 2 4" xfId="21180" xr:uid="{3C77A9C3-4FC2-4047-87B3-C6CDC49C904E}"/>
    <cellStyle name="常规 6 17 2 5" xfId="21181" xr:uid="{3601A13B-6FEC-4239-9EB3-B1B96B62B8F0}"/>
    <cellStyle name="常规 6 17 2 6" xfId="21182" xr:uid="{FA383B45-88A4-45D2-A92F-7FEC58351CBB}"/>
    <cellStyle name="常规 6 17 2 7" xfId="21183" xr:uid="{C0BF0201-ED77-4BF3-8B2C-95EBC7FCCF21}"/>
    <cellStyle name="常规 6 17 3" xfId="21184" xr:uid="{B30221DD-015D-494F-9559-109AF8035327}"/>
    <cellStyle name="常规 6 17 3 2" xfId="21185" xr:uid="{1681C397-D317-48FA-8946-EC7DBD5DF6EF}"/>
    <cellStyle name="常规 6 17 3 3" xfId="21186" xr:uid="{F6529515-74D5-4829-AEC7-15662D0E2965}"/>
    <cellStyle name="常规 6 17 3 4" xfId="21187" xr:uid="{4C3B68CD-9E1B-4ECB-B975-3F72E4823CDB}"/>
    <cellStyle name="常规 6 17 3 5" xfId="21188" xr:uid="{624006D5-4E15-4408-A03F-5856D6B357F3}"/>
    <cellStyle name="常规 6 17 3 6" xfId="21189" xr:uid="{9CEE79E9-EBB2-4A6F-8C19-9D5824EDDF28}"/>
    <cellStyle name="常规 6 17 4" xfId="21190" xr:uid="{DE7E5B5E-7C54-46E3-8B8D-E14BD34CF933}"/>
    <cellStyle name="常规 6 17 5" xfId="21191" xr:uid="{2BD39619-31DB-4A56-94C7-9497E5EAC68E}"/>
    <cellStyle name="常规 6 17 6" xfId="21192" xr:uid="{82926C07-5C19-44B9-BAD0-F7A4FC00460A}"/>
    <cellStyle name="常规 6 17 7" xfId="21193" xr:uid="{7402DF7A-C2EB-43CF-BB2A-1FBFFA7D9523}"/>
    <cellStyle name="常规 6 17 8" xfId="21194" xr:uid="{7F5F95F0-9C2C-483E-9EEE-6A2E99BD96DB}"/>
    <cellStyle name="常规 6 18" xfId="21195" xr:uid="{E6DF86A3-BF20-4982-8665-D0CE252FE8DD}"/>
    <cellStyle name="常规 6 18 2" xfId="21196" xr:uid="{8841DD40-7B8B-4801-B787-6FE708FAD052}"/>
    <cellStyle name="常规 6 18 2 2" xfId="21197" xr:uid="{EA0B5252-8119-4F61-963C-652AB1A2BBE6}"/>
    <cellStyle name="常规 6 18 2 3" xfId="21198" xr:uid="{0234FE67-B4F6-4173-BADE-FC01167FE0FC}"/>
    <cellStyle name="常规 6 18 2 4" xfId="21199" xr:uid="{293822C7-4E66-4D27-9C05-F84B1FB03581}"/>
    <cellStyle name="常规 6 18 2 5" xfId="21200" xr:uid="{20773A52-B1B1-4000-8450-A49FE1B8C2CE}"/>
    <cellStyle name="常规 6 18 2 6" xfId="21201" xr:uid="{A1F96B14-5FFA-44FD-8252-D102E3E7689A}"/>
    <cellStyle name="常规 6 18 3" xfId="21202" xr:uid="{1C06DDD5-9A63-4F03-A16D-83BEFC7AAFF4}"/>
    <cellStyle name="常规 6 18 4" xfId="21203" xr:uid="{B8942FA8-9F03-4422-B1A8-EDB202480B41}"/>
    <cellStyle name="常规 6 18 5" xfId="21204" xr:uid="{10E0031B-9F7E-419F-B385-A1226DB818EB}"/>
    <cellStyle name="常规 6 18 6" xfId="21205" xr:uid="{D35346CB-02BF-470E-967B-A537754CF423}"/>
    <cellStyle name="常规 6 18 7" xfId="21206" xr:uid="{D7893CB7-70D4-4965-95C5-D1A8744D5D88}"/>
    <cellStyle name="常规 6 19" xfId="21207" xr:uid="{8DE139B8-5C4F-41F2-B19C-341B2FA0C2AB}"/>
    <cellStyle name="常规 6 19 2" xfId="21208" xr:uid="{05DA482F-4C1A-478A-920E-7655E502AADE}"/>
    <cellStyle name="常规 6 19 2 2" xfId="21209" xr:uid="{ABB651E0-989E-4BE4-9E79-319320AC2090}"/>
    <cellStyle name="常规 6 19 2 3" xfId="21210" xr:uid="{533306A0-8F8D-4302-8DDE-8EADDA604AAE}"/>
    <cellStyle name="常规 6 19 2 4" xfId="21211" xr:uid="{0C6179F2-FF0C-4994-BA1C-B81C46D80D56}"/>
    <cellStyle name="常规 6 19 2 5" xfId="21212" xr:uid="{F1EB7E3C-4EDC-41AE-AF81-B71CF6E4CD48}"/>
    <cellStyle name="常规 6 19 2 6" xfId="21213" xr:uid="{4C6B8A09-D03B-4560-B88C-5AAFCF431533}"/>
    <cellStyle name="常规 6 19 3" xfId="21214" xr:uid="{EB599E36-604C-4733-9441-E13251E2EDA5}"/>
    <cellStyle name="常规 6 19 4" xfId="21215" xr:uid="{88453035-3C3C-400C-AFB8-4FD5332CB4AD}"/>
    <cellStyle name="常规 6 19 5" xfId="21216" xr:uid="{DB11D1D6-A7BF-4B4D-BC32-3C2B80E3D60A}"/>
    <cellStyle name="常规 6 19 6" xfId="21217" xr:uid="{A268AF43-3AF1-4E50-B31E-EB41DAEBF3B7}"/>
    <cellStyle name="常规 6 19 7" xfId="21218" xr:uid="{9B45F6E1-7A99-4CFE-99B6-569F6F5119C9}"/>
    <cellStyle name="常规 6 2" xfId="21219" xr:uid="{6DD70CAD-D47E-44C6-900E-6E83C4AABF2F}"/>
    <cellStyle name="常规 6 2 10" xfId="21220" xr:uid="{2B1210C6-10EF-4DC2-9173-D889D2DCA130}"/>
    <cellStyle name="常规 6 2 10 10" xfId="21221" xr:uid="{F708874E-161A-4982-AFBD-97E20846F38F}"/>
    <cellStyle name="常规 6 2 10 2" xfId="21222" xr:uid="{2F9BC8B4-92C3-4C9B-83F6-009BD32122FE}"/>
    <cellStyle name="常规 6 2 10 2 2" xfId="21223" xr:uid="{3E4DF363-0699-4CB7-9B4D-6EE97A1E469E}"/>
    <cellStyle name="常规 6 2 10 2 2 2" xfId="21224" xr:uid="{8941E886-BF60-41D5-9662-CEC41CE5C0EF}"/>
    <cellStyle name="常规 6 2 10 2 2 3" xfId="21225" xr:uid="{EA1F10AF-E2BE-4A72-AFB6-C743A6AC6980}"/>
    <cellStyle name="常规 6 2 10 2 2 4" xfId="21226" xr:uid="{4E66EDA6-6FEE-4F7A-A0AF-B1B4011DB59A}"/>
    <cellStyle name="常规 6 2 10 2 2 5" xfId="21227" xr:uid="{8F9476DA-F4F7-43BC-9C07-2C6D5DA739DF}"/>
    <cellStyle name="常规 6 2 10 2 2 6" xfId="21228" xr:uid="{83FE2392-4B48-4DB5-84CE-0BAF9A1E9DDF}"/>
    <cellStyle name="常规 6 2 10 2 3" xfId="21229" xr:uid="{4D70221F-9361-49C0-A3C0-4660EC11FC58}"/>
    <cellStyle name="常规 6 2 10 2 4" xfId="21230" xr:uid="{5AFE135A-FF6D-4B17-95A8-084CE01398C7}"/>
    <cellStyle name="常规 6 2 10 2 5" xfId="21231" xr:uid="{A97CB1F1-39F9-463E-AD74-EAA19983CF33}"/>
    <cellStyle name="常规 6 2 10 2 6" xfId="21232" xr:uid="{49429C6A-A605-460E-9BC3-D9483C9DF2FB}"/>
    <cellStyle name="常规 6 2 10 2 7" xfId="21233" xr:uid="{94940A14-F96F-4883-BF22-DC27FD8B5101}"/>
    <cellStyle name="常规 6 2 10 3" xfId="21234" xr:uid="{D73A6FC9-FB1E-4A5F-99BC-1963301D45A9}"/>
    <cellStyle name="常规 6 2 10 3 2" xfId="21235" xr:uid="{3BEB91A6-172F-4691-A841-C87A1D289326}"/>
    <cellStyle name="常规 6 2 10 3 2 2" xfId="21236" xr:uid="{18B885A1-AF1C-4D84-BC50-404CC7C892E8}"/>
    <cellStyle name="常规 6 2 10 3 2 3" xfId="21237" xr:uid="{271075A0-2769-408A-BD42-81D63778B9F5}"/>
    <cellStyle name="常规 6 2 10 3 2 4" xfId="21238" xr:uid="{BA049855-3D65-4F9C-A7D1-EDAE35FFA36C}"/>
    <cellStyle name="常规 6 2 10 3 2 5" xfId="21239" xr:uid="{B9651509-588C-4BA6-8CF1-34DD4C3ABABE}"/>
    <cellStyle name="常规 6 2 10 3 2 6" xfId="21240" xr:uid="{4A403C4E-4BE1-42A5-A62A-37933E09899D}"/>
    <cellStyle name="常规 6 2 10 3 3" xfId="21241" xr:uid="{0AB0D84D-06DD-4B58-B26B-7E958157E3FE}"/>
    <cellStyle name="常规 6 2 10 3 4" xfId="21242" xr:uid="{1C444A57-9476-4F6D-B061-ED41BB314422}"/>
    <cellStyle name="常规 6 2 10 3 5" xfId="21243" xr:uid="{1C0CFFD2-9B73-482B-A860-AEDB768086BC}"/>
    <cellStyle name="常规 6 2 10 3 6" xfId="21244" xr:uid="{BA676B33-2F6B-418C-B552-7E05BF2BB56D}"/>
    <cellStyle name="常规 6 2 10 3 7" xfId="21245" xr:uid="{261866CF-7576-42E3-B6CA-AA7144840989}"/>
    <cellStyle name="常规 6 2 10 4" xfId="21246" xr:uid="{FD57B28E-A127-4453-8071-E0B1081E18B2}"/>
    <cellStyle name="常规 6 2 10 4 2" xfId="21247" xr:uid="{4420321C-9F56-4118-9077-1ED3314DE393}"/>
    <cellStyle name="常规 6 2 10 4 2 2" xfId="21248" xr:uid="{39DB426E-DF0D-4288-BB44-C2DE1DF7A08C}"/>
    <cellStyle name="常规 6 2 10 4 2 3" xfId="21249" xr:uid="{BD9B7D6B-594F-4E2C-968C-EE343C223802}"/>
    <cellStyle name="常规 6 2 10 4 2 4" xfId="21250" xr:uid="{29D93E01-F7AF-4BD1-9A6F-62F8E61E8CCA}"/>
    <cellStyle name="常规 6 2 10 4 2 5" xfId="21251" xr:uid="{8E2307A0-9FBD-4342-843B-A30167868B8E}"/>
    <cellStyle name="常规 6 2 10 4 2 6" xfId="21252" xr:uid="{0F3C2EC5-7B17-43EC-BE49-ED73A31471BD}"/>
    <cellStyle name="常规 6 2 10 4 3" xfId="21253" xr:uid="{F77CE85B-E75D-49E1-B740-1FBF5E7F3556}"/>
    <cellStyle name="常规 6 2 10 4 4" xfId="21254" xr:uid="{1B7DB1B6-7CA7-4CEA-A22B-BA036E8A6BD4}"/>
    <cellStyle name="常规 6 2 10 4 5" xfId="21255" xr:uid="{D17AD81A-494C-4B90-88D0-56B8C03A35E9}"/>
    <cellStyle name="常规 6 2 10 4 6" xfId="21256" xr:uid="{F6939046-3A0E-4896-9E71-F395CE37F30F}"/>
    <cellStyle name="常规 6 2 10 4 7" xfId="21257" xr:uid="{FD86F844-BABF-4FF6-916C-0CFFEA591D8F}"/>
    <cellStyle name="常规 6 2 10 5" xfId="21258" xr:uid="{274E2F86-13BC-4D3B-A6A0-E3528A20E8F2}"/>
    <cellStyle name="常规 6 2 10 5 2" xfId="21259" xr:uid="{D6F00C5C-7968-4F47-99A7-789787421572}"/>
    <cellStyle name="常规 6 2 10 5 3" xfId="21260" xr:uid="{B6ED7B66-64B4-4D17-BD0C-9CF0E0DF2647}"/>
    <cellStyle name="常规 6 2 10 5 4" xfId="21261" xr:uid="{80C2D9AE-502D-4C82-81AC-7C010D386BDD}"/>
    <cellStyle name="常规 6 2 10 5 5" xfId="21262" xr:uid="{71B4B248-F5F0-412B-9CA7-2A01BFB5604C}"/>
    <cellStyle name="常规 6 2 10 5 6" xfId="21263" xr:uid="{9BD24B1E-0E15-405C-9450-1C7A8DD5AE46}"/>
    <cellStyle name="常规 6 2 10 6" xfId="21264" xr:uid="{151C63B7-B445-491E-9884-B0A3CCF60757}"/>
    <cellStyle name="常规 6 2 10 7" xfId="21265" xr:uid="{93402D17-83E9-4262-8745-B43CA2D9FA65}"/>
    <cellStyle name="常规 6 2 10 8" xfId="21266" xr:uid="{2ECECD80-D53C-4519-B456-DDFA5672D760}"/>
    <cellStyle name="常规 6 2 10 9" xfId="21267" xr:uid="{6177BA06-B4EC-4B59-9BE7-06DB4E613476}"/>
    <cellStyle name="常规 6 2 11" xfId="21268" xr:uid="{E05FC23B-7284-454D-93ED-1896B952E1FC}"/>
    <cellStyle name="常规 6 2 11 2" xfId="21269" xr:uid="{A017CA2D-1BEC-4597-9611-87E0CAD85877}"/>
    <cellStyle name="常规 6 2 11 2 2" xfId="21270" xr:uid="{D18A6D24-3162-4735-8268-CF90B244C9AB}"/>
    <cellStyle name="常规 6 2 11 2 2 2" xfId="21271" xr:uid="{E66EDB75-F1CA-411C-89E1-B8F57C0BBE91}"/>
    <cellStyle name="常规 6 2 11 2 2 3" xfId="21272" xr:uid="{6D7A1F92-0ECB-47A3-8FE2-B4338B53C1E7}"/>
    <cellStyle name="常规 6 2 11 2 2 4" xfId="21273" xr:uid="{0223E942-1784-4F45-8DB6-62E8030E576A}"/>
    <cellStyle name="常规 6 2 11 2 2 5" xfId="21274" xr:uid="{543CBE1A-CC50-4495-BE8D-E184909457C8}"/>
    <cellStyle name="常规 6 2 11 2 2 6" xfId="21275" xr:uid="{4B0D9A7E-1073-4A0F-AD8C-BBC98BC97E35}"/>
    <cellStyle name="常规 6 2 11 2 3" xfId="21276" xr:uid="{EB0774A0-8560-4FED-8DC3-8A8B05A403A1}"/>
    <cellStyle name="常规 6 2 11 2 4" xfId="21277" xr:uid="{A507E146-153C-4569-8817-AEB30E471D69}"/>
    <cellStyle name="常规 6 2 11 2 5" xfId="21278" xr:uid="{DD7F2678-94D2-49B1-A54D-9D871219B225}"/>
    <cellStyle name="常规 6 2 11 2 6" xfId="21279" xr:uid="{CD81DE92-E462-4E94-993F-47E02406F19F}"/>
    <cellStyle name="常规 6 2 11 2 7" xfId="21280" xr:uid="{AAEF0D99-2CBC-4B30-A17D-E2B095B32173}"/>
    <cellStyle name="常规 6 2 11 3" xfId="21281" xr:uid="{1028F451-3E4F-4240-9A60-E694E545C55A}"/>
    <cellStyle name="常规 6 2 11 3 2" xfId="21282" xr:uid="{8B2FD541-C2C2-47BF-88F1-0D639AA98EAC}"/>
    <cellStyle name="常规 6 2 11 3 2 2" xfId="21283" xr:uid="{B715F083-40C7-4ECA-BF30-C9D9FD4C0D51}"/>
    <cellStyle name="常规 6 2 11 3 2 3" xfId="21284" xr:uid="{86431A7B-6DEC-4CF8-B500-60395C53A9EF}"/>
    <cellStyle name="常规 6 2 11 3 2 4" xfId="21285" xr:uid="{02788DEC-3C39-442E-9DE5-18B39A912BD1}"/>
    <cellStyle name="常规 6 2 11 3 2 5" xfId="21286" xr:uid="{EAEB638C-1876-4D68-A0B9-20DAE2419AD4}"/>
    <cellStyle name="常规 6 2 11 3 2 6" xfId="21287" xr:uid="{17DE16DE-70A7-48F1-AF1A-1D126A009C04}"/>
    <cellStyle name="常规 6 2 11 3 3" xfId="21288" xr:uid="{55FD7783-1E78-4235-A95C-F7DE2C0EA0FE}"/>
    <cellStyle name="常规 6 2 11 3 4" xfId="21289" xr:uid="{2FD736D7-5F0E-4E5F-BED2-BFD80F445B4C}"/>
    <cellStyle name="常规 6 2 11 3 5" xfId="21290" xr:uid="{859971B7-A1EF-412B-9B42-F93801E4D67A}"/>
    <cellStyle name="常规 6 2 11 3 6" xfId="21291" xr:uid="{5FC6BF79-5BCB-4566-8718-1123D7B361BB}"/>
    <cellStyle name="常规 6 2 11 3 7" xfId="21292" xr:uid="{D21BDD3B-186B-4876-AA29-4E82B155E327}"/>
    <cellStyle name="常规 6 2 11 4" xfId="21293" xr:uid="{A07CBE40-2FDE-41F4-9B40-44AACCA157FF}"/>
    <cellStyle name="常规 6 2 11 4 2" xfId="21294" xr:uid="{66071C18-D1C9-4ED9-8B20-B801B321E925}"/>
    <cellStyle name="常规 6 2 11 4 3" xfId="21295" xr:uid="{337D2923-D666-4D8C-A62C-58A46C5F3D5F}"/>
    <cellStyle name="常规 6 2 11 4 4" xfId="21296" xr:uid="{B050AB52-653C-4274-BE4D-C9E27D15F930}"/>
    <cellStyle name="常规 6 2 11 4 5" xfId="21297" xr:uid="{04427B44-708A-4292-A39B-42F180B9A8F7}"/>
    <cellStyle name="常规 6 2 11 4 6" xfId="21298" xr:uid="{6579551B-3C5D-4960-A5E1-69F977E94993}"/>
    <cellStyle name="常规 6 2 11 5" xfId="21299" xr:uid="{EAC03883-E600-40BB-B1B4-3A0E13634857}"/>
    <cellStyle name="常规 6 2 11 6" xfId="21300" xr:uid="{D72F2B1F-457D-4BE1-9DBE-3577BD49FDB9}"/>
    <cellStyle name="常规 6 2 11 7" xfId="21301" xr:uid="{1592F5CA-DB6E-44EC-B796-3114DD241E0A}"/>
    <cellStyle name="常规 6 2 11 8" xfId="21302" xr:uid="{169D5751-6067-4A83-9F49-F586C843E532}"/>
    <cellStyle name="常规 6 2 11 9" xfId="21303" xr:uid="{6FFBF5C7-E906-4B95-9630-822EE384AC34}"/>
    <cellStyle name="常规 6 2 12" xfId="21304" xr:uid="{71603D2B-4C74-44D3-84AA-516D66F53EF4}"/>
    <cellStyle name="常规 6 2 12 2" xfId="21305" xr:uid="{FB08797D-543F-4DDF-AD75-9F47675CB217}"/>
    <cellStyle name="常规 6 2 12 2 2" xfId="21306" xr:uid="{59843B99-4AF5-4922-9958-36434A9EA622}"/>
    <cellStyle name="常规 6 2 12 2 2 2" xfId="21307" xr:uid="{DDB2C24E-46B6-4A26-B057-5B2B3B537BD7}"/>
    <cellStyle name="常规 6 2 12 2 2 3" xfId="21308" xr:uid="{64C03375-E231-4DCE-B6C2-B7A7ED8C64DC}"/>
    <cellStyle name="常规 6 2 12 2 2 4" xfId="21309" xr:uid="{E1C53532-9872-4DAE-A3A9-A92AC05CDC1E}"/>
    <cellStyle name="常规 6 2 12 2 2 5" xfId="21310" xr:uid="{A77AB975-BD5E-4AC1-89D8-178847959C72}"/>
    <cellStyle name="常规 6 2 12 2 2 6" xfId="21311" xr:uid="{EF311EC7-DFFA-4C7F-B246-7934E4428CB1}"/>
    <cellStyle name="常规 6 2 12 2 3" xfId="21312" xr:uid="{6E9FE236-08EF-44E8-B443-1E957B0A63F0}"/>
    <cellStyle name="常规 6 2 12 2 4" xfId="21313" xr:uid="{A501F376-3C60-46FA-8439-39634387F005}"/>
    <cellStyle name="常规 6 2 12 2 5" xfId="21314" xr:uid="{8F1279F5-153C-4D00-8FE3-3D35E514FB42}"/>
    <cellStyle name="常规 6 2 12 2 6" xfId="21315" xr:uid="{0B5DFDAB-B0B8-4539-A65E-BC1EE7A5C492}"/>
    <cellStyle name="常规 6 2 12 2 7" xfId="21316" xr:uid="{3A0189D5-96D6-448B-9CF4-0A012EA10DD8}"/>
    <cellStyle name="常规 6 2 12 3" xfId="21317" xr:uid="{4DDEF653-1CE9-4176-AB19-C80178DE9967}"/>
    <cellStyle name="常规 6 2 12 3 2" xfId="21318" xr:uid="{E198D4B2-F12A-4F4A-94BC-72EDB0EC99EE}"/>
    <cellStyle name="常规 6 2 12 3 3" xfId="21319" xr:uid="{087B951D-8C86-4AC7-84C1-DC5AE60FBD6C}"/>
    <cellStyle name="常规 6 2 12 3 4" xfId="21320" xr:uid="{EAE7C48B-31BC-4269-B29A-86EAA3DA70A4}"/>
    <cellStyle name="常规 6 2 12 3 5" xfId="21321" xr:uid="{15618C52-5D59-4703-8B64-D3B910CD9160}"/>
    <cellStyle name="常规 6 2 12 3 6" xfId="21322" xr:uid="{B50E0293-B4EA-42E4-B691-79C83C502B14}"/>
    <cellStyle name="常规 6 2 12 4" xfId="21323" xr:uid="{740BB318-4B1E-4699-A146-09081923B992}"/>
    <cellStyle name="常规 6 2 12 5" xfId="21324" xr:uid="{7CE2C046-DCC1-4E89-AB46-0BFCE398E0C6}"/>
    <cellStyle name="常规 6 2 12 6" xfId="21325" xr:uid="{2729FE1B-29E9-4E57-BA0D-DC2AE45491AE}"/>
    <cellStyle name="常规 6 2 12 7" xfId="21326" xr:uid="{E1720EA4-239E-4164-96E0-E5C56442FB69}"/>
    <cellStyle name="常规 6 2 12 8" xfId="21327" xr:uid="{63441948-E24B-4D79-A6F9-3643BA8B126A}"/>
    <cellStyle name="常规 6 2 13" xfId="21328" xr:uid="{1F838D0C-E6D0-4419-9843-635AE9FE564F}"/>
    <cellStyle name="常规 6 2 13 2" xfId="21329" xr:uid="{3B621E31-9761-4F8B-ABB7-DA4938A8C04F}"/>
    <cellStyle name="常规 6 2 13 2 2" xfId="21330" xr:uid="{806B0512-2194-420C-8ACE-43A6DBAC765B}"/>
    <cellStyle name="常规 6 2 13 2 2 2" xfId="21331" xr:uid="{2698C243-CFFC-4609-B010-C8344E428227}"/>
    <cellStyle name="常规 6 2 13 2 2 3" xfId="21332" xr:uid="{91AAA011-D813-47CC-9FE7-446FD7CC85D2}"/>
    <cellStyle name="常规 6 2 13 2 2 4" xfId="21333" xr:uid="{C3816A24-9F08-4BDF-815C-6F682ACADC4B}"/>
    <cellStyle name="常规 6 2 13 2 2 5" xfId="21334" xr:uid="{B476C73D-36CC-4190-A1D5-3C0A6FF70A79}"/>
    <cellStyle name="常规 6 2 13 2 2 6" xfId="21335" xr:uid="{57F630B5-9C14-4634-90C8-492ED4D12D45}"/>
    <cellStyle name="常规 6 2 13 2 3" xfId="21336" xr:uid="{289F225A-0DC9-4464-ABFA-B9242968DF61}"/>
    <cellStyle name="常规 6 2 13 2 4" xfId="21337" xr:uid="{3D2ABF60-DA39-4A9E-AB24-8B1DFA9FFBF1}"/>
    <cellStyle name="常规 6 2 13 2 5" xfId="21338" xr:uid="{9D1AE9D8-A417-4739-B98D-95A7B143247A}"/>
    <cellStyle name="常规 6 2 13 2 6" xfId="21339" xr:uid="{32490653-8D04-490F-BC7E-D4F90F0A1134}"/>
    <cellStyle name="常规 6 2 13 2 7" xfId="21340" xr:uid="{F7D45988-8086-49FE-8251-1F1DA462365D}"/>
    <cellStyle name="常规 6 2 13 3" xfId="21341" xr:uid="{F95B29AE-33EC-4C1E-9B0E-D019E4CD09FB}"/>
    <cellStyle name="常规 6 2 13 3 2" xfId="21342" xr:uid="{AB02ECBD-6EAA-49B1-85E7-79E9C8107592}"/>
    <cellStyle name="常规 6 2 13 3 3" xfId="21343" xr:uid="{C7E30A87-7846-416C-A017-1097AE84ACB8}"/>
    <cellStyle name="常规 6 2 13 3 4" xfId="21344" xr:uid="{20BF0375-40B2-4694-9BBA-CE4DC6CE8109}"/>
    <cellStyle name="常规 6 2 13 3 5" xfId="21345" xr:uid="{C3C02399-D1B1-4843-B71E-A563BC62D442}"/>
    <cellStyle name="常规 6 2 13 3 6" xfId="21346" xr:uid="{97042990-0069-45F8-8CD2-412B92AF0B12}"/>
    <cellStyle name="常规 6 2 13 4" xfId="21347" xr:uid="{D24A47D4-DFF7-44C5-83AE-07B1B48BBCFA}"/>
    <cellStyle name="常规 6 2 13 5" xfId="21348" xr:uid="{BBD0CF9D-CB20-4B70-85C8-052DCCB2C845}"/>
    <cellStyle name="常规 6 2 13 6" xfId="21349" xr:uid="{3DBDB62F-6F96-42D7-9065-78F4D61ED766}"/>
    <cellStyle name="常规 6 2 13 7" xfId="21350" xr:uid="{DBF0DBAC-30A3-4145-9A38-73793823598F}"/>
    <cellStyle name="常规 6 2 13 8" xfId="21351" xr:uid="{0005BDC4-80CC-4BD3-ADF9-8949B23B44D6}"/>
    <cellStyle name="常规 6 2 14" xfId="21352" xr:uid="{F456BA2F-A9E0-47B3-9136-2697758CA7AD}"/>
    <cellStyle name="常规 6 2 14 2" xfId="21353" xr:uid="{FB664C00-11A8-49B4-ABFA-92CF4D7CDBFF}"/>
    <cellStyle name="常规 6 2 14 2 2" xfId="21354" xr:uid="{9ECE4A13-D431-4ECE-A2A0-E12A2162BF8B}"/>
    <cellStyle name="常规 6 2 14 2 2 2" xfId="21355" xr:uid="{DB82CF72-1757-4915-990C-D5332CC2FC4C}"/>
    <cellStyle name="常规 6 2 14 2 2 3" xfId="21356" xr:uid="{391C5F6E-E157-4934-85B8-1A2A0BF0D3BB}"/>
    <cellStyle name="常规 6 2 14 2 2 4" xfId="21357" xr:uid="{8213CDEB-8A95-45EC-B92A-557638740DB7}"/>
    <cellStyle name="常规 6 2 14 2 2 5" xfId="21358" xr:uid="{9ED96C5C-699D-4519-B65E-FEE2EAF39D59}"/>
    <cellStyle name="常规 6 2 14 2 2 6" xfId="21359" xr:uid="{9E19029B-309F-4211-8FDE-5859B82E31C3}"/>
    <cellStyle name="常规 6 2 14 2 3" xfId="21360" xr:uid="{9CCEF5F4-D9A8-4926-89A5-D839763E3F0E}"/>
    <cellStyle name="常规 6 2 14 2 4" xfId="21361" xr:uid="{7EBED8AD-9370-4CCD-9B04-5B3DBEF7F873}"/>
    <cellStyle name="常规 6 2 14 2 5" xfId="21362" xr:uid="{3387C7E4-8353-42A8-BC8E-DF0C0C500B24}"/>
    <cellStyle name="常规 6 2 14 2 6" xfId="21363" xr:uid="{A6E7B1A7-3A71-467F-B6D1-B2EDEC5F45E8}"/>
    <cellStyle name="常规 6 2 14 2 7" xfId="21364" xr:uid="{0421DFC1-6E12-42C5-941C-4ACB04576F7E}"/>
    <cellStyle name="常规 6 2 14 3" xfId="21365" xr:uid="{22C3E331-759D-4F78-9B9B-39D3FEBC521F}"/>
    <cellStyle name="常规 6 2 14 3 2" xfId="21366" xr:uid="{CAAEB5F8-3051-40FF-BA17-CA7D37A36611}"/>
    <cellStyle name="常规 6 2 14 3 3" xfId="21367" xr:uid="{FC8F09B9-8949-4DFA-9D9F-F73854B8D14B}"/>
    <cellStyle name="常规 6 2 14 3 4" xfId="21368" xr:uid="{3045069D-58C9-4DAA-9535-93A2B1C51C16}"/>
    <cellStyle name="常规 6 2 14 3 5" xfId="21369" xr:uid="{AAD79014-49CB-4282-8F0D-2D66E0A1DF51}"/>
    <cellStyle name="常规 6 2 14 3 6" xfId="21370" xr:uid="{ABDFAD51-5F7E-43DD-B783-FDD84C67F47D}"/>
    <cellStyle name="常规 6 2 14 4" xfId="21371" xr:uid="{304A432E-018C-4883-A8D8-66713F56EC27}"/>
    <cellStyle name="常规 6 2 14 5" xfId="21372" xr:uid="{D409093E-4A59-4DD6-AAC2-3274BF6920EB}"/>
    <cellStyle name="常规 6 2 14 6" xfId="21373" xr:uid="{E29781AD-E26B-488F-A7C3-D5FD521D1417}"/>
    <cellStyle name="常规 6 2 14 7" xfId="21374" xr:uid="{C9DF33CC-8281-41E4-9E4D-F42AB92CEBDC}"/>
    <cellStyle name="常规 6 2 14 8" xfId="21375" xr:uid="{029A1F96-7F65-4A84-8E6A-264AFD161772}"/>
    <cellStyle name="常规 6 2 15" xfId="21376" xr:uid="{9619A53E-8B34-4503-A871-F598AF71E800}"/>
    <cellStyle name="常规 6 2 15 2" xfId="21377" xr:uid="{30119F19-3101-4E21-9E21-772BFA410E6F}"/>
    <cellStyle name="常规 6 2 15 2 2" xfId="21378" xr:uid="{2F2D0F92-0716-42F8-8E54-90484912AB39}"/>
    <cellStyle name="常规 6 2 15 2 2 2" xfId="21379" xr:uid="{11B33C91-F637-4950-B917-93D1DDD6A59A}"/>
    <cellStyle name="常规 6 2 15 2 2 3" xfId="21380" xr:uid="{40C77483-D6CD-4D30-A5C6-256DF2E44F31}"/>
    <cellStyle name="常规 6 2 15 2 2 4" xfId="21381" xr:uid="{1A158160-E867-4F82-9032-09926C344C93}"/>
    <cellStyle name="常规 6 2 15 2 2 5" xfId="21382" xr:uid="{618D363C-BC79-4D24-B696-807D9C68C4D6}"/>
    <cellStyle name="常规 6 2 15 2 2 6" xfId="21383" xr:uid="{7BA72405-E62F-4B91-91CE-6537BDF712F5}"/>
    <cellStyle name="常规 6 2 15 2 3" xfId="21384" xr:uid="{775DD2C2-A5B6-4D96-B038-93B13B2466B7}"/>
    <cellStyle name="常规 6 2 15 2 4" xfId="21385" xr:uid="{AA42C3ED-BA51-4DDE-BBE0-5743315CE02D}"/>
    <cellStyle name="常规 6 2 15 2 5" xfId="21386" xr:uid="{79DA4E20-9CF8-413D-BA12-F5053FBFC126}"/>
    <cellStyle name="常规 6 2 15 2 6" xfId="21387" xr:uid="{BF40B792-7BD3-423B-9B55-DEE4B5244B84}"/>
    <cellStyle name="常规 6 2 15 2 7" xfId="21388" xr:uid="{5164EFF5-9B2B-4CB7-AF60-F6653823B2A0}"/>
    <cellStyle name="常规 6 2 15 3" xfId="21389" xr:uid="{0DC6A77E-CBC9-44C1-AF1A-F1C3A1047E6C}"/>
    <cellStyle name="常规 6 2 15 3 2" xfId="21390" xr:uid="{7CE2808C-57C2-48B2-A0DD-253B2F651246}"/>
    <cellStyle name="常规 6 2 15 3 3" xfId="21391" xr:uid="{C3D461C8-3A5E-4E78-9897-BF235D5A8DEA}"/>
    <cellStyle name="常规 6 2 15 3 4" xfId="21392" xr:uid="{EDEBDA8D-255E-4A2B-B7D2-DDE50D15EF33}"/>
    <cellStyle name="常规 6 2 15 3 5" xfId="21393" xr:uid="{6377AF36-AEB5-4A97-89F7-57D54B3B871D}"/>
    <cellStyle name="常规 6 2 15 3 6" xfId="21394" xr:uid="{1E30F345-5D7D-44AD-B38B-9B2C0BD0D48A}"/>
    <cellStyle name="常规 6 2 15 4" xfId="21395" xr:uid="{00144E2B-C927-4E31-B8BD-E211B3C44831}"/>
    <cellStyle name="常规 6 2 15 5" xfId="21396" xr:uid="{9CE144D9-4A56-49E9-9EA9-306AA6C2B8BC}"/>
    <cellStyle name="常规 6 2 15 6" xfId="21397" xr:uid="{5CB790A5-B8B1-49D6-8B56-074E8A2145A3}"/>
    <cellStyle name="常规 6 2 15 7" xfId="21398" xr:uid="{89B7A567-7058-4A91-B63E-BB56EB90B855}"/>
    <cellStyle name="常规 6 2 15 8" xfId="21399" xr:uid="{C69FCA2B-EE19-4422-BF1F-39D0E02C964D}"/>
    <cellStyle name="常规 6 2 16" xfId="21400" xr:uid="{0CBD1D4A-4C9F-4C6E-9B49-04426D372CA3}"/>
    <cellStyle name="常规 6 2 16 2" xfId="21401" xr:uid="{A0B80D47-D1A1-4E16-A78F-9E96A9B79C95}"/>
    <cellStyle name="常规 6 2 16 2 2" xfId="21402" xr:uid="{67FFEF6F-F9B7-4BEE-B014-D2ED41B1355F}"/>
    <cellStyle name="常规 6 2 16 2 3" xfId="21403" xr:uid="{CDCD4472-F0A0-429B-BB46-913EC8FA4355}"/>
    <cellStyle name="常规 6 2 16 2 4" xfId="21404" xr:uid="{3A8A8B10-5BE7-4F83-A22F-C7AA8C4BDA2F}"/>
    <cellStyle name="常规 6 2 16 2 5" xfId="21405" xr:uid="{6A1CBB5B-F578-437A-893F-A37E290B4862}"/>
    <cellStyle name="常规 6 2 16 2 6" xfId="21406" xr:uid="{CE3A31CA-BD57-4972-9869-9977180B5979}"/>
    <cellStyle name="常规 6 2 16 3" xfId="21407" xr:uid="{3C2BF938-ED07-4025-9D4B-161F3BE8126D}"/>
    <cellStyle name="常规 6 2 16 4" xfId="21408" xr:uid="{685538C5-8011-476B-B2E5-B4F74DC73A6C}"/>
    <cellStyle name="常规 6 2 16 5" xfId="21409" xr:uid="{1F8B1AC1-F497-44EE-AADA-FA05A271E615}"/>
    <cellStyle name="常规 6 2 16 6" xfId="21410" xr:uid="{2025522B-5616-4D21-82D6-2EEA4555C7B6}"/>
    <cellStyle name="常规 6 2 16 7" xfId="21411" xr:uid="{14945B33-D9C9-4187-AC65-9C6AE4F8B3A8}"/>
    <cellStyle name="常规 6 2 17" xfId="21412" xr:uid="{6A8C79C2-1675-425A-A03F-890D2FFF7C47}"/>
    <cellStyle name="常规 6 2 17 2" xfId="21413" xr:uid="{80B36BDC-7455-40E6-B8A7-BED5543449BC}"/>
    <cellStyle name="常规 6 2 17 2 2" xfId="21414" xr:uid="{06DA25BC-2CF2-4B63-94DB-50E09B252C78}"/>
    <cellStyle name="常规 6 2 17 2 3" xfId="21415" xr:uid="{A1141A58-98BC-4DCD-B4BF-EFD07F5EAA38}"/>
    <cellStyle name="常规 6 2 17 2 4" xfId="21416" xr:uid="{EB025F14-7227-496A-98E5-4015FAE1B97C}"/>
    <cellStyle name="常规 6 2 17 2 5" xfId="21417" xr:uid="{508BF191-15CE-4D6C-9A54-E01EB4EECFA2}"/>
    <cellStyle name="常规 6 2 17 2 6" xfId="21418" xr:uid="{D7DBA656-B014-4E39-9D8D-0D7C8B6FB42B}"/>
    <cellStyle name="常规 6 2 17 3" xfId="21419" xr:uid="{FC716DF3-D2E8-472D-A981-52415627997F}"/>
    <cellStyle name="常规 6 2 17 4" xfId="21420" xr:uid="{8C515983-0BC1-4784-BF3A-E8D81D01D7F5}"/>
    <cellStyle name="常规 6 2 17 5" xfId="21421" xr:uid="{F5E4328B-3E0A-4C5B-AD4D-F10059F1A282}"/>
    <cellStyle name="常规 6 2 17 6" xfId="21422" xr:uid="{CC860CF0-7149-41E7-A5DD-44395479184A}"/>
    <cellStyle name="常规 6 2 17 7" xfId="21423" xr:uid="{BC8F5FF2-05E8-4C44-9B85-CCCD7BB205AC}"/>
    <cellStyle name="常规 6 2 18" xfId="21424" xr:uid="{43D074AE-DF7F-44C0-BBF3-5016D981BA21}"/>
    <cellStyle name="常规 6 2 18 2" xfId="21425" xr:uid="{ED9D6B5E-0B3A-4247-85E6-0A63D97B68BD}"/>
    <cellStyle name="常规 6 2 18 2 2" xfId="21426" xr:uid="{7C8BC9CE-8EA6-4344-8AF1-58689D31F92F}"/>
    <cellStyle name="常规 6 2 18 2 3" xfId="21427" xr:uid="{9105FF93-E716-4F5A-A759-2E7E02A8B890}"/>
    <cellStyle name="常规 6 2 18 2 4" xfId="21428" xr:uid="{6780A0B1-4A09-4AE5-88BD-16B67F6371D1}"/>
    <cellStyle name="常规 6 2 18 2 5" xfId="21429" xr:uid="{1CB84B2F-0948-4850-B7DA-0AC530787B12}"/>
    <cellStyle name="常规 6 2 18 2 6" xfId="21430" xr:uid="{B0887674-5AF7-44C9-8553-445303045D47}"/>
    <cellStyle name="常规 6 2 18 3" xfId="21431" xr:uid="{2DD14736-BA76-44DE-B8F6-865F606957A6}"/>
    <cellStyle name="常规 6 2 18 4" xfId="21432" xr:uid="{F3F61FC8-95CC-4853-8B17-EDA2FBD5BB03}"/>
    <cellStyle name="常规 6 2 18 5" xfId="21433" xr:uid="{8A08DEDC-3A3F-4D39-9812-025FC6BD4174}"/>
    <cellStyle name="常规 6 2 18 6" xfId="21434" xr:uid="{ADFF1F5F-9398-4006-B107-1DAF5AC4F35D}"/>
    <cellStyle name="常规 6 2 18 7" xfId="21435" xr:uid="{6C4AAAF0-33E6-4F43-BECA-D36446D3FE2D}"/>
    <cellStyle name="常规 6 2 19" xfId="21436" xr:uid="{76E8E6BE-2954-45DD-8D9E-BAAC6CA13469}"/>
    <cellStyle name="常规 6 2 19 2" xfId="21437" xr:uid="{B684BB5E-3A76-4F1C-8D09-056055B20F2D}"/>
    <cellStyle name="常规 6 2 19 2 2" xfId="21438" xr:uid="{95F64BC8-77F0-405A-B4E1-F8A44F32C080}"/>
    <cellStyle name="常规 6 2 19 2 3" xfId="21439" xr:uid="{252E6E6D-9A71-4A81-B5CB-D7A046C0B03C}"/>
    <cellStyle name="常规 6 2 19 2 4" xfId="21440" xr:uid="{6E4F29B4-F61C-4387-8197-8755E71F395C}"/>
    <cellStyle name="常规 6 2 19 2 5" xfId="21441" xr:uid="{33DAE64B-B9FE-4B0D-AF5C-6034113905CD}"/>
    <cellStyle name="常规 6 2 19 2 6" xfId="21442" xr:uid="{9EFA48F3-7475-4AD2-8FDD-5D16C3EB8E05}"/>
    <cellStyle name="常规 6 2 19 3" xfId="21443" xr:uid="{86FCE93C-945F-4C42-9F6A-86BDAF34ECE0}"/>
    <cellStyle name="常规 6 2 19 4" xfId="21444" xr:uid="{0DCCA2BE-CC14-44CB-9DC5-5DC4A7B571B8}"/>
    <cellStyle name="常规 6 2 19 5" xfId="21445" xr:uid="{3F45F90E-EBFD-4005-9157-F91C16E76A4C}"/>
    <cellStyle name="常规 6 2 19 6" xfId="21446" xr:uid="{6D1B91A9-5CE4-430C-B309-2B478235BD8A}"/>
    <cellStyle name="常规 6 2 19 7" xfId="21447" xr:uid="{3B065E27-B6E2-46DA-A80B-9BD9B2DD4FD1}"/>
    <cellStyle name="常规 6 2 2" xfId="21448" xr:uid="{4E16A76F-C3C2-4244-8862-9232AE2E40A8}"/>
    <cellStyle name="常规 6 2 2 10" xfId="21449" xr:uid="{94DF93D9-766A-4035-8798-ED26762F2EE0}"/>
    <cellStyle name="常规 6 2 2 10 2" xfId="21450" xr:uid="{320851BF-12A6-4430-8EEC-998C87B42EB4}"/>
    <cellStyle name="常规 6 2 2 10 2 2" xfId="21451" xr:uid="{7814C1F5-0073-4043-9B1A-2A84B032D40D}"/>
    <cellStyle name="常规 6 2 2 10 2 2 2" xfId="21452" xr:uid="{5F7418CE-82C8-4419-B806-F8B00DA5A0B7}"/>
    <cellStyle name="常规 6 2 2 10 2 2 3" xfId="21453" xr:uid="{D4AC948C-5116-458A-9849-00132F8964C8}"/>
    <cellStyle name="常规 6 2 2 10 2 2 4" xfId="21454" xr:uid="{4311893F-E60F-492B-A7C3-057FE073C3D5}"/>
    <cellStyle name="常规 6 2 2 10 2 2 5" xfId="21455" xr:uid="{266341E5-7276-48C0-AF89-199CA58355A0}"/>
    <cellStyle name="常规 6 2 2 10 2 2 6" xfId="21456" xr:uid="{8E378715-E2C6-47C8-AFD1-2365EEE770D2}"/>
    <cellStyle name="常规 6 2 2 10 2 3" xfId="21457" xr:uid="{14BB6E73-3A9A-4BC4-A158-09DDFA68B0DC}"/>
    <cellStyle name="常规 6 2 2 10 2 4" xfId="21458" xr:uid="{360F414D-387C-4EC3-8F97-2A72898EB6FB}"/>
    <cellStyle name="常规 6 2 2 10 2 5" xfId="21459" xr:uid="{048D1E18-99D0-4C6A-AF8F-8AE53CF18949}"/>
    <cellStyle name="常规 6 2 2 10 2 6" xfId="21460" xr:uid="{8D9BD3E2-0ECA-4D92-97CC-1E59CF91A2D3}"/>
    <cellStyle name="常规 6 2 2 10 2 7" xfId="21461" xr:uid="{271DF1C9-1CF3-481D-9912-A0BA87F9181C}"/>
    <cellStyle name="常规 6 2 2 10 3" xfId="21462" xr:uid="{BCA72338-1AB3-4B06-B4E8-02FF74845E2B}"/>
    <cellStyle name="常规 6 2 2 10 3 2" xfId="21463" xr:uid="{73567F5A-156E-47CF-A7AC-6A7E6ADDA1F9}"/>
    <cellStyle name="常规 6 2 2 10 3 2 2" xfId="21464" xr:uid="{CCE44051-B730-453E-9032-42430C90F7A6}"/>
    <cellStyle name="常规 6 2 2 10 3 2 3" xfId="21465" xr:uid="{ED5DEFAE-E962-4876-86A5-594E8C26DBB8}"/>
    <cellStyle name="常规 6 2 2 10 3 2 4" xfId="21466" xr:uid="{630CF278-4102-4F51-9867-EA75FB5D3D17}"/>
    <cellStyle name="常规 6 2 2 10 3 2 5" xfId="21467" xr:uid="{2196C888-D65B-42F9-A469-1AED3C76D079}"/>
    <cellStyle name="常规 6 2 2 10 3 2 6" xfId="21468" xr:uid="{98D37C2D-FC68-4B0E-9B18-8C6E7DE19698}"/>
    <cellStyle name="常规 6 2 2 10 3 3" xfId="21469" xr:uid="{C6BF9A0B-612C-4479-89EC-FD2B25A1D493}"/>
    <cellStyle name="常规 6 2 2 10 3 4" xfId="21470" xr:uid="{561CAF6E-997C-434E-A5C1-5DE4E26529AF}"/>
    <cellStyle name="常规 6 2 2 10 3 5" xfId="21471" xr:uid="{1013D4CC-5862-49C8-B710-E38A0A06906A}"/>
    <cellStyle name="常规 6 2 2 10 3 6" xfId="21472" xr:uid="{B1963166-6299-4863-854B-5B254EB5AC87}"/>
    <cellStyle name="常规 6 2 2 10 3 7" xfId="21473" xr:uid="{3D1487D7-6F7B-41FA-85AF-31CAB2715364}"/>
    <cellStyle name="常规 6 2 2 10 4" xfId="21474" xr:uid="{985F5D54-6BB0-441C-B69D-53CDEACBB8BD}"/>
    <cellStyle name="常规 6 2 2 10 4 2" xfId="21475" xr:uid="{E704D51E-FFB8-4FAD-8A44-7F12017AAE6A}"/>
    <cellStyle name="常规 6 2 2 10 4 3" xfId="21476" xr:uid="{700FBC3D-27E4-4189-8ACD-DBA2C5E56D72}"/>
    <cellStyle name="常规 6 2 2 10 4 4" xfId="21477" xr:uid="{0B25709D-A162-4E34-AD65-A5FAF386D755}"/>
    <cellStyle name="常规 6 2 2 10 4 5" xfId="21478" xr:uid="{01B5135E-BB80-4E38-944F-85BCB218388D}"/>
    <cellStyle name="常规 6 2 2 10 4 6" xfId="21479" xr:uid="{62E2DD4D-8D30-4E75-92E9-511DEFFADC77}"/>
    <cellStyle name="常规 6 2 2 10 5" xfId="21480" xr:uid="{F0EEF9CB-92DB-4C88-AD7D-5F541A36512F}"/>
    <cellStyle name="常规 6 2 2 10 6" xfId="21481" xr:uid="{14A79024-701A-4945-B29C-B37B281C7B1D}"/>
    <cellStyle name="常规 6 2 2 10 7" xfId="21482" xr:uid="{0830E23A-CDFD-497E-B884-8FB53ADE3343}"/>
    <cellStyle name="常规 6 2 2 10 8" xfId="21483" xr:uid="{7276DB25-9DF6-4070-A6CF-52611AD2732B}"/>
    <cellStyle name="常规 6 2 2 10 9" xfId="21484" xr:uid="{61C6E8F0-0098-46BF-B66C-E06A90F39FDE}"/>
    <cellStyle name="常规 6 2 2 11" xfId="21485" xr:uid="{D611CAA9-12EB-47B8-92B6-A0D4254D2B80}"/>
    <cellStyle name="常规 6 2 2 11 2" xfId="21486" xr:uid="{682301DF-107F-4E67-9591-35D70682FECB}"/>
    <cellStyle name="常规 6 2 2 11 2 2" xfId="21487" xr:uid="{8DA7976A-6FE2-43D5-BB02-F6F4F3F2B9D3}"/>
    <cellStyle name="常规 6 2 2 11 2 2 2" xfId="21488" xr:uid="{6CC9E5A3-6CD3-41FB-84E3-BB846612A913}"/>
    <cellStyle name="常规 6 2 2 11 2 2 3" xfId="21489" xr:uid="{E9A2523B-9E13-40CF-B814-151679A8B328}"/>
    <cellStyle name="常规 6 2 2 11 2 2 4" xfId="21490" xr:uid="{FE40FB92-BF8A-469C-9083-72F59E86819E}"/>
    <cellStyle name="常规 6 2 2 11 2 2 5" xfId="21491" xr:uid="{40B4862E-76C6-48B3-8BBE-75A708975C23}"/>
    <cellStyle name="常规 6 2 2 11 2 2 6" xfId="21492" xr:uid="{0237B2BE-3968-4AFB-86F6-6299E19207C5}"/>
    <cellStyle name="常规 6 2 2 11 2 3" xfId="21493" xr:uid="{BCC922BE-BF93-45F4-9472-341CC76F77C7}"/>
    <cellStyle name="常规 6 2 2 11 2 4" xfId="21494" xr:uid="{9F725433-8FC0-45C1-87EF-2DB0F912D86E}"/>
    <cellStyle name="常规 6 2 2 11 2 5" xfId="21495" xr:uid="{9BCD597F-E16D-4B8F-A250-68B0CF91F32D}"/>
    <cellStyle name="常规 6 2 2 11 2 6" xfId="21496" xr:uid="{6C6E5C50-5CFF-4FC7-889C-1A24D3B1CEB0}"/>
    <cellStyle name="常规 6 2 2 11 2 7" xfId="21497" xr:uid="{DD7DC891-9EE9-428A-B79C-AFACC71B687F}"/>
    <cellStyle name="常规 6 2 2 11 3" xfId="21498" xr:uid="{502926DA-3121-493B-975E-DC88B0AF22B7}"/>
    <cellStyle name="常规 6 2 2 11 3 2" xfId="21499" xr:uid="{EF9009E6-417B-4441-99FE-1309E854AEAC}"/>
    <cellStyle name="常规 6 2 2 11 3 3" xfId="21500" xr:uid="{E3FCDB07-4522-477A-9C03-63488693C7FF}"/>
    <cellStyle name="常规 6 2 2 11 3 4" xfId="21501" xr:uid="{AFC7D5E6-0820-43F3-9397-31232E548CA0}"/>
    <cellStyle name="常规 6 2 2 11 3 5" xfId="21502" xr:uid="{3063A41B-588B-408F-9E06-D68A0BB26748}"/>
    <cellStyle name="常规 6 2 2 11 3 6" xfId="21503" xr:uid="{2C4A79C5-C175-43AF-A2D8-D75D99FD02D5}"/>
    <cellStyle name="常规 6 2 2 11 4" xfId="21504" xr:uid="{CFD233A2-45CC-4807-A158-C0FBAE1F3C45}"/>
    <cellStyle name="常规 6 2 2 11 5" xfId="21505" xr:uid="{BF735DAF-EE08-407F-9080-55E2B2B52128}"/>
    <cellStyle name="常规 6 2 2 11 6" xfId="21506" xr:uid="{9637BEB6-66D3-451D-B6B1-E3F6E9E0C535}"/>
    <cellStyle name="常规 6 2 2 11 7" xfId="21507" xr:uid="{FE3BDD92-7AA4-405D-BCF8-C1600E5929E1}"/>
    <cellStyle name="常规 6 2 2 11 8" xfId="21508" xr:uid="{F26C4610-F1B4-4178-B3EA-C29F7FE9E43C}"/>
    <cellStyle name="常规 6 2 2 12" xfId="21509" xr:uid="{71114FDC-E4BA-4BD6-89C8-D83A12A03069}"/>
    <cellStyle name="常规 6 2 2 12 2" xfId="21510" xr:uid="{49F1F6BF-5D9D-48DA-8DCC-DB11ABDC5682}"/>
    <cellStyle name="常规 6 2 2 12 2 2" xfId="21511" xr:uid="{E81C8418-DE2C-4500-AF82-9559329DF34D}"/>
    <cellStyle name="常规 6 2 2 12 2 2 2" xfId="21512" xr:uid="{85125645-5ED0-4B44-8102-313FB248590D}"/>
    <cellStyle name="常规 6 2 2 12 2 2 3" xfId="21513" xr:uid="{B7222769-CEB6-4CBD-A433-B4E028DCEEAC}"/>
    <cellStyle name="常规 6 2 2 12 2 2 4" xfId="21514" xr:uid="{2682CA47-FC94-4E1D-A245-DA2A29C6C26F}"/>
    <cellStyle name="常规 6 2 2 12 2 2 5" xfId="21515" xr:uid="{4383924C-BE82-4195-B603-DAB92A02F71A}"/>
    <cellStyle name="常规 6 2 2 12 2 2 6" xfId="21516" xr:uid="{25F0BBE9-670C-405F-94D1-D4C94ECA13BA}"/>
    <cellStyle name="常规 6 2 2 12 2 3" xfId="21517" xr:uid="{AC1B42E6-A2F4-4BBB-9A5F-33181D8249C3}"/>
    <cellStyle name="常规 6 2 2 12 2 4" xfId="21518" xr:uid="{E8571C63-C28F-41D0-A9DB-8807DE7A2FB0}"/>
    <cellStyle name="常规 6 2 2 12 2 5" xfId="21519" xr:uid="{D5E54E12-890C-4210-9090-BDAEF07EB8A5}"/>
    <cellStyle name="常规 6 2 2 12 2 6" xfId="21520" xr:uid="{EB71F041-F4C4-48FA-B3B1-828D27CF131F}"/>
    <cellStyle name="常规 6 2 2 12 2 7" xfId="21521" xr:uid="{E53DE07F-6E74-4ADD-B9AC-7B72137A2F6C}"/>
    <cellStyle name="常规 6 2 2 12 3" xfId="21522" xr:uid="{42A1162E-6EB1-411D-B472-7279DEFFC3FD}"/>
    <cellStyle name="常规 6 2 2 12 3 2" xfId="21523" xr:uid="{111C1A41-106F-481B-8727-7AE71036259E}"/>
    <cellStyle name="常规 6 2 2 12 3 3" xfId="21524" xr:uid="{E785A9E6-7D5A-4E52-9492-D45EC3B1D232}"/>
    <cellStyle name="常规 6 2 2 12 3 4" xfId="21525" xr:uid="{2EE02131-B905-496A-83E4-5E5135924CF2}"/>
    <cellStyle name="常规 6 2 2 12 3 5" xfId="21526" xr:uid="{4D7EE690-51AC-4563-94EA-38DCC209B4AC}"/>
    <cellStyle name="常规 6 2 2 12 3 6" xfId="21527" xr:uid="{2495AA46-1007-48F5-8362-0A87A9157070}"/>
    <cellStyle name="常规 6 2 2 12 4" xfId="21528" xr:uid="{2C47E1EB-990E-40AC-AAB5-D02E25549329}"/>
    <cellStyle name="常规 6 2 2 12 5" xfId="21529" xr:uid="{D68708AE-EBA6-4869-82D4-239AB129E75F}"/>
    <cellStyle name="常规 6 2 2 12 6" xfId="21530" xr:uid="{C40BB267-8490-481F-B806-65DF4F0E814B}"/>
    <cellStyle name="常规 6 2 2 12 7" xfId="21531" xr:uid="{EE289492-DFF4-4841-A8FB-BB2682534481}"/>
    <cellStyle name="常规 6 2 2 12 8" xfId="21532" xr:uid="{964F37DE-5C39-4BAB-AB5C-6631645A10B3}"/>
    <cellStyle name="常规 6 2 2 13" xfId="21533" xr:uid="{03F58CB9-28FB-4F78-B351-5033BA592920}"/>
    <cellStyle name="常规 6 2 2 13 2" xfId="21534" xr:uid="{462126B2-8A34-46B7-8AD8-80FE4F0608B8}"/>
    <cellStyle name="常规 6 2 2 13 2 2" xfId="21535" xr:uid="{95A906DC-2067-4709-A175-9B3FC3D790C8}"/>
    <cellStyle name="常规 6 2 2 13 2 2 2" xfId="21536" xr:uid="{A61565E3-613B-49A3-AC4B-C1F69CBF85DA}"/>
    <cellStyle name="常规 6 2 2 13 2 2 3" xfId="21537" xr:uid="{BCCFC5CA-077C-4391-A09D-BEB5E8613E6E}"/>
    <cellStyle name="常规 6 2 2 13 2 2 4" xfId="21538" xr:uid="{3621A78A-4E1A-46D8-A232-784FDA118D1C}"/>
    <cellStyle name="常规 6 2 2 13 2 2 5" xfId="21539" xr:uid="{9F2F06F8-3E4F-48BF-9812-804A643ABD1B}"/>
    <cellStyle name="常规 6 2 2 13 2 2 6" xfId="21540" xr:uid="{1266D581-5428-4DA4-B781-4A074379BCAD}"/>
    <cellStyle name="常规 6 2 2 13 2 3" xfId="21541" xr:uid="{E449320E-73F0-430D-A5E6-D1AFFF052533}"/>
    <cellStyle name="常规 6 2 2 13 2 4" xfId="21542" xr:uid="{187ABD8F-937C-4B41-8509-9DB1D7E8C3E5}"/>
    <cellStyle name="常规 6 2 2 13 2 5" xfId="21543" xr:uid="{5355FC40-19D3-464E-922D-7CDECE483768}"/>
    <cellStyle name="常规 6 2 2 13 2 6" xfId="21544" xr:uid="{658CB8F4-73E2-4108-B6F4-0A9775D17D85}"/>
    <cellStyle name="常规 6 2 2 13 2 7" xfId="21545" xr:uid="{7DDEB46B-7326-4C7E-99D2-D18AB4ACC777}"/>
    <cellStyle name="常规 6 2 2 13 3" xfId="21546" xr:uid="{9D305615-5239-4F8E-9C7B-5F080361C8D9}"/>
    <cellStyle name="常规 6 2 2 13 3 2" xfId="21547" xr:uid="{5CA7EE34-672E-4940-8062-FE06F5433132}"/>
    <cellStyle name="常规 6 2 2 13 3 3" xfId="21548" xr:uid="{3903777D-32CD-4A3B-A931-1D83F8945051}"/>
    <cellStyle name="常规 6 2 2 13 3 4" xfId="21549" xr:uid="{02B7B757-B23D-4DDB-BA81-9C57929CE87E}"/>
    <cellStyle name="常规 6 2 2 13 3 5" xfId="21550" xr:uid="{4FD54638-6353-47AE-B190-D7043C2524F3}"/>
    <cellStyle name="常规 6 2 2 13 3 6" xfId="21551" xr:uid="{D15989CC-94CA-416A-BA55-9CF0F477AB03}"/>
    <cellStyle name="常规 6 2 2 13 4" xfId="21552" xr:uid="{683343C1-B281-4F2A-AE24-621BFA9592A5}"/>
    <cellStyle name="常规 6 2 2 13 5" xfId="21553" xr:uid="{008D5F6B-3094-4AFD-AA8D-A5878A08E991}"/>
    <cellStyle name="常规 6 2 2 13 6" xfId="21554" xr:uid="{B21F41A0-E62D-46E1-8759-353D1238DDD6}"/>
    <cellStyle name="常规 6 2 2 13 7" xfId="21555" xr:uid="{76DDA433-C9FC-427B-A09D-1A2105935035}"/>
    <cellStyle name="常规 6 2 2 13 8" xfId="21556" xr:uid="{0FA93AE8-601B-4EEF-8F3F-F94D774F5B96}"/>
    <cellStyle name="常规 6 2 2 14" xfId="21557" xr:uid="{93591637-075C-4C76-8933-D51818D641BB}"/>
    <cellStyle name="常规 6 2 2 14 2" xfId="21558" xr:uid="{AE607F62-3441-4658-8D90-B1ADD708F9E0}"/>
    <cellStyle name="常规 6 2 2 14 2 2" xfId="21559" xr:uid="{0D363825-0E40-4C99-8D65-8DBCB0581D13}"/>
    <cellStyle name="常规 6 2 2 14 2 2 2" xfId="21560" xr:uid="{E0EFE423-71E3-44EA-8068-0E8339BB1937}"/>
    <cellStyle name="常规 6 2 2 14 2 2 3" xfId="21561" xr:uid="{DD28C50D-D0A1-48CD-912F-998B1584A144}"/>
    <cellStyle name="常规 6 2 2 14 2 2 4" xfId="21562" xr:uid="{9FD25DD5-E411-4F74-99A5-171B6657BC15}"/>
    <cellStyle name="常规 6 2 2 14 2 2 5" xfId="21563" xr:uid="{48455E3A-5689-43BE-AEBE-6B2E5F7FB81A}"/>
    <cellStyle name="常规 6 2 2 14 2 2 6" xfId="21564" xr:uid="{6229CE01-2D3C-4ACD-9A59-D31FBC971264}"/>
    <cellStyle name="常规 6 2 2 14 2 3" xfId="21565" xr:uid="{3194EFDF-B145-4521-ABA4-FABDB9E8B337}"/>
    <cellStyle name="常规 6 2 2 14 2 4" xfId="21566" xr:uid="{7E09FDBC-413A-43EB-932E-B6FBF055B5AD}"/>
    <cellStyle name="常规 6 2 2 14 2 5" xfId="21567" xr:uid="{7A4203A1-D43E-46E2-B8F8-D5ACBCE35F21}"/>
    <cellStyle name="常规 6 2 2 14 2 6" xfId="21568" xr:uid="{566D3CCD-7E3F-4950-B386-CE60EB380140}"/>
    <cellStyle name="常规 6 2 2 14 2 7" xfId="21569" xr:uid="{174E026D-EC99-4643-9AD9-6EC5BEF63E71}"/>
    <cellStyle name="常规 6 2 2 14 3" xfId="21570" xr:uid="{FA3C8AA0-9199-48F4-9C2C-6F11B958C61B}"/>
    <cellStyle name="常规 6 2 2 14 3 2" xfId="21571" xr:uid="{497A989C-E44D-4E33-BFE5-61590CA6AF59}"/>
    <cellStyle name="常规 6 2 2 14 3 3" xfId="21572" xr:uid="{668F2C5E-F150-41DC-8DCB-083C31ED9B4B}"/>
    <cellStyle name="常规 6 2 2 14 3 4" xfId="21573" xr:uid="{FD591F18-B274-47D9-9436-D7FAFCD45060}"/>
    <cellStyle name="常规 6 2 2 14 3 5" xfId="21574" xr:uid="{8B9E805C-6EB4-4961-9664-3E99C4A4519F}"/>
    <cellStyle name="常规 6 2 2 14 3 6" xfId="21575" xr:uid="{366ABB00-7E72-42C4-A8EB-03AAF5DD9DAC}"/>
    <cellStyle name="常规 6 2 2 14 4" xfId="21576" xr:uid="{0E176CE5-1B38-4F62-931C-05B933980427}"/>
    <cellStyle name="常规 6 2 2 14 5" xfId="21577" xr:uid="{130BADA2-5836-4144-B900-70EF5D45E89F}"/>
    <cellStyle name="常规 6 2 2 14 6" xfId="21578" xr:uid="{C5133B97-E63F-41A2-81C0-20699AB81959}"/>
    <cellStyle name="常规 6 2 2 14 7" xfId="21579" xr:uid="{20A4CBE4-85EC-4EDD-AA5C-90265CAB3FBC}"/>
    <cellStyle name="常规 6 2 2 14 8" xfId="21580" xr:uid="{19CD89DA-7F2B-4486-B925-623F8287A37B}"/>
    <cellStyle name="常规 6 2 2 15" xfId="21581" xr:uid="{8AC0A53E-14AF-4336-BA38-BEFF2AA1BC22}"/>
    <cellStyle name="常规 6 2 2 15 2" xfId="21582" xr:uid="{01AA2C4B-252F-49E6-8A3B-829C9E76F7EC}"/>
    <cellStyle name="常规 6 2 2 15 2 2" xfId="21583" xr:uid="{9293EB72-CC2E-422E-BF17-9260B7C5171C}"/>
    <cellStyle name="常规 6 2 2 15 2 3" xfId="21584" xr:uid="{7EF88FEA-CF7C-4545-B484-2590B5B3C0B6}"/>
    <cellStyle name="常规 6 2 2 15 2 4" xfId="21585" xr:uid="{79774E63-603B-4F24-8DE3-D61C9DED2CB3}"/>
    <cellStyle name="常规 6 2 2 15 2 5" xfId="21586" xr:uid="{E62A778F-8749-40E1-94AB-4F36695D697E}"/>
    <cellStyle name="常规 6 2 2 15 2 6" xfId="21587" xr:uid="{7ABE83C6-5F30-41BF-8200-A80017C65CBA}"/>
    <cellStyle name="常规 6 2 2 15 3" xfId="21588" xr:uid="{9D21E683-45CE-4083-BA39-DDCFE9A8B027}"/>
    <cellStyle name="常规 6 2 2 15 4" xfId="21589" xr:uid="{1B476F03-4794-4C23-ABAB-150E18F2B997}"/>
    <cellStyle name="常规 6 2 2 15 5" xfId="21590" xr:uid="{9C687729-A378-4854-9055-59AD1157F521}"/>
    <cellStyle name="常规 6 2 2 15 6" xfId="21591" xr:uid="{4AFCDDAE-7B26-475F-A846-07E7CB8F2506}"/>
    <cellStyle name="常规 6 2 2 15 7" xfId="21592" xr:uid="{DD378C49-1259-48BC-9B89-C352CE015B2E}"/>
    <cellStyle name="常规 6 2 2 16" xfId="21593" xr:uid="{1FD8F47D-02D4-44A1-9D68-4077FE937A5A}"/>
    <cellStyle name="常规 6 2 2 16 2" xfId="21594" xr:uid="{E5941CC0-B31A-417A-9C2E-3D712DBE726B}"/>
    <cellStyle name="常规 6 2 2 16 2 2" xfId="21595" xr:uid="{6389E8C1-059D-462D-95E4-7E09BE94A4D4}"/>
    <cellStyle name="常规 6 2 2 16 2 3" xfId="21596" xr:uid="{CFD89014-B5CC-463C-92DC-C7CE3935DC01}"/>
    <cellStyle name="常规 6 2 2 16 2 4" xfId="21597" xr:uid="{78E73CDF-1480-40C1-ABCC-9F05C8A5B7A5}"/>
    <cellStyle name="常规 6 2 2 16 2 5" xfId="21598" xr:uid="{1F5756B9-D666-4300-BF9C-A022A59441C4}"/>
    <cellStyle name="常规 6 2 2 16 2 6" xfId="21599" xr:uid="{3B2CCAA6-F959-4436-8FE8-AA8FEA686C0D}"/>
    <cellStyle name="常规 6 2 2 16 3" xfId="21600" xr:uid="{2717DEC2-D36D-4AAE-94F9-1E390061F7A2}"/>
    <cellStyle name="常规 6 2 2 16 4" xfId="21601" xr:uid="{F26CD67B-847B-4D00-9403-68886EF43B5B}"/>
    <cellStyle name="常规 6 2 2 16 5" xfId="21602" xr:uid="{8C386888-84F9-4D7C-B421-84FABD65C47D}"/>
    <cellStyle name="常规 6 2 2 16 6" xfId="21603" xr:uid="{D6367EB7-DEA4-4B7B-AF71-924E8D269292}"/>
    <cellStyle name="常规 6 2 2 16 7" xfId="21604" xr:uid="{F8FD4FCB-DC29-4589-BAE2-BB8937A57A26}"/>
    <cellStyle name="常规 6 2 2 17" xfId="21605" xr:uid="{F856CB22-17C0-4A90-B0FA-E23D5C9BCC73}"/>
    <cellStyle name="常规 6 2 2 17 2" xfId="21606" xr:uid="{2FD25AA4-ADAE-4427-B710-4DD83F8984C2}"/>
    <cellStyle name="常规 6 2 2 17 2 2" xfId="21607" xr:uid="{FD11748E-FED8-4366-97CD-58FF3C1CAED2}"/>
    <cellStyle name="常规 6 2 2 17 2 3" xfId="21608" xr:uid="{96E39FE1-C74F-4F64-9055-14B14200DD5F}"/>
    <cellStyle name="常规 6 2 2 17 2 4" xfId="21609" xr:uid="{324A565F-DA17-4378-B55B-8CE405264807}"/>
    <cellStyle name="常规 6 2 2 17 2 5" xfId="21610" xr:uid="{9347652D-AC37-476D-9254-9CE11C75C0E4}"/>
    <cellStyle name="常规 6 2 2 17 2 6" xfId="21611" xr:uid="{E61C9127-B511-4A41-8A2F-82A2085504CD}"/>
    <cellStyle name="常规 6 2 2 17 3" xfId="21612" xr:uid="{DAEFF6C2-8437-4879-A1CF-824D94D7C127}"/>
    <cellStyle name="常规 6 2 2 17 4" xfId="21613" xr:uid="{E4B73ED8-A56A-476E-AAF0-48499059ED2F}"/>
    <cellStyle name="常规 6 2 2 17 5" xfId="21614" xr:uid="{F0A00372-243A-4188-A6C2-B02181CD1DB2}"/>
    <cellStyle name="常规 6 2 2 17 6" xfId="21615" xr:uid="{17D722A1-F522-4853-90FC-F1C7824B107C}"/>
    <cellStyle name="常规 6 2 2 17 7" xfId="21616" xr:uid="{E40A5C68-DED3-4673-B4D7-54AE99481337}"/>
    <cellStyle name="常规 6 2 2 18" xfId="21617" xr:uid="{93302605-C8F4-438E-9235-CE68FFC40320}"/>
    <cellStyle name="常规 6 2 2 18 2" xfId="21618" xr:uid="{16F6CC99-E9B2-4A44-BBDC-9C243613D26B}"/>
    <cellStyle name="常规 6 2 2 18 2 2" xfId="21619" xr:uid="{9ADE84CE-DDB9-42A7-9BC5-F5B46606867F}"/>
    <cellStyle name="常规 6 2 2 18 2 3" xfId="21620" xr:uid="{27834153-8604-4EA9-83A7-3CAC885FC1F9}"/>
    <cellStyle name="常规 6 2 2 18 2 4" xfId="21621" xr:uid="{39C3FF0C-AEE9-4CF9-A7C6-C2317B6BD6A9}"/>
    <cellStyle name="常规 6 2 2 18 2 5" xfId="21622" xr:uid="{6254800D-3686-4664-8644-891D5D6CABD9}"/>
    <cellStyle name="常规 6 2 2 18 2 6" xfId="21623" xr:uid="{E307B3A0-5F66-4134-912A-7A02014212A2}"/>
    <cellStyle name="常规 6 2 2 18 3" xfId="21624" xr:uid="{43FFB415-C785-4564-B773-8B0765387A2C}"/>
    <cellStyle name="常规 6 2 2 18 4" xfId="21625" xr:uid="{C7FA1AB9-B2CD-4910-8E48-C160D6CFCB2B}"/>
    <cellStyle name="常规 6 2 2 18 5" xfId="21626" xr:uid="{48B86269-A049-4E5E-9FCC-CC7F0E7BF0F6}"/>
    <cellStyle name="常规 6 2 2 18 6" xfId="21627" xr:uid="{0640B37A-AF5F-45BC-B32E-471D6245149E}"/>
    <cellStyle name="常规 6 2 2 18 7" xfId="21628" xr:uid="{5DBED903-9BF3-49F3-AB21-C234FBA4D72C}"/>
    <cellStyle name="常规 6 2 2 19" xfId="21629" xr:uid="{12645EC7-C305-4736-90AD-91C9D9F7A723}"/>
    <cellStyle name="常规 6 2 2 19 2" xfId="21630" xr:uid="{5EC532F1-140F-4FC5-85AD-489729F4C155}"/>
    <cellStyle name="常规 6 2 2 19 3" xfId="21631" xr:uid="{77ACD6FA-12E9-46E1-B880-BA451CBB8D3E}"/>
    <cellStyle name="常规 6 2 2 19 4" xfId="21632" xr:uid="{EC6A95B9-4AAF-4E72-95DA-D93AB6038561}"/>
    <cellStyle name="常规 6 2 2 19 5" xfId="21633" xr:uid="{326D5982-0153-4002-A063-D73327CFC536}"/>
    <cellStyle name="常规 6 2 2 19 6" xfId="21634" xr:uid="{3101AC09-55F9-4666-97C9-B1EB75977DC9}"/>
    <cellStyle name="常规 6 2 2 2" xfId="21635" xr:uid="{5C7C9AFE-CA7E-4908-B46E-DB2DD1FD36AF}"/>
    <cellStyle name="常规 6 2 2 2 10" xfId="21636" xr:uid="{19C41A1B-2577-4025-B341-1DE71D00ED5C}"/>
    <cellStyle name="常规 6 2 2 2 10 2" xfId="21637" xr:uid="{901C3A14-CED8-4FD8-9A10-150B8E4483DA}"/>
    <cellStyle name="常规 6 2 2 2 10 2 2" xfId="21638" xr:uid="{8DA99F99-5DE5-4474-84A9-197E7AB40216}"/>
    <cellStyle name="常规 6 2 2 2 10 2 3" xfId="21639" xr:uid="{CDA5733C-89E4-4A75-82C5-0AD78E5A5A0D}"/>
    <cellStyle name="常规 6 2 2 2 10 2 4" xfId="21640" xr:uid="{F9E372F7-9452-4898-B707-2681B513EB0A}"/>
    <cellStyle name="常规 6 2 2 2 10 2 5" xfId="21641" xr:uid="{BD4FEB6C-1019-44A7-9FCD-87F45C06A8B0}"/>
    <cellStyle name="常规 6 2 2 2 10 2 6" xfId="21642" xr:uid="{5D4C3F39-BFB8-4984-80D2-1758B0C21916}"/>
    <cellStyle name="常规 6 2 2 2 10 3" xfId="21643" xr:uid="{12367848-F8A3-4DED-BF89-D2AC01094FFC}"/>
    <cellStyle name="常规 6 2 2 2 10 4" xfId="21644" xr:uid="{6F00311B-23F2-496A-B487-7643D1312446}"/>
    <cellStyle name="常规 6 2 2 2 10 5" xfId="21645" xr:uid="{52C013B9-8DE5-428A-A9E6-4E2A77A2CB0B}"/>
    <cellStyle name="常规 6 2 2 2 10 6" xfId="21646" xr:uid="{3C3CC7D3-8A8F-4B7A-BFE7-A8F11650805F}"/>
    <cellStyle name="常规 6 2 2 2 10 7" xfId="21647" xr:uid="{A5E7D4B7-5CE6-46F8-9D8E-DF5D107231A5}"/>
    <cellStyle name="常规 6 2 2 2 11" xfId="21648" xr:uid="{4758A7EA-53BD-41B5-BE67-DEFD6E4AEF95}"/>
    <cellStyle name="常规 6 2 2 2 11 2" xfId="21649" xr:uid="{11DBA1E1-A137-4634-A23B-40DDC3F08908}"/>
    <cellStyle name="常规 6 2 2 2 11 2 2" xfId="21650" xr:uid="{A53C8D93-EF90-4213-BA29-7B750D7DCBBC}"/>
    <cellStyle name="常规 6 2 2 2 11 2 3" xfId="21651" xr:uid="{0A74C1B2-39A8-4A40-90FD-410B2CDB4FD9}"/>
    <cellStyle name="常规 6 2 2 2 11 2 4" xfId="21652" xr:uid="{DC1758D3-4026-4423-8890-D992A74E35FC}"/>
    <cellStyle name="常规 6 2 2 2 11 2 5" xfId="21653" xr:uid="{55936843-8139-4D97-B982-E3BC285998D2}"/>
    <cellStyle name="常规 6 2 2 2 11 2 6" xfId="21654" xr:uid="{E5E2E879-EF11-4E9E-98BE-324ED4D0063C}"/>
    <cellStyle name="常规 6 2 2 2 11 3" xfId="21655" xr:uid="{591EECBC-FC5E-4EEB-B456-2DCDE197DE62}"/>
    <cellStyle name="常规 6 2 2 2 11 4" xfId="21656" xr:uid="{81A14F5F-7AF9-42EF-A39B-08DD84424B63}"/>
    <cellStyle name="常规 6 2 2 2 11 5" xfId="21657" xr:uid="{DBBEC6AB-42AB-4722-ADF6-484B03FE1194}"/>
    <cellStyle name="常规 6 2 2 2 11 6" xfId="21658" xr:uid="{A8DBB4E4-9AE2-4A31-AF2D-D5B2131EC97D}"/>
    <cellStyle name="常规 6 2 2 2 11 7" xfId="21659" xr:uid="{7D80F6A6-3939-4593-8705-39E03DABD506}"/>
    <cellStyle name="常规 6 2 2 2 12" xfId="21660" xr:uid="{65AD6FF8-0EF1-4B91-970C-3A3A41987B38}"/>
    <cellStyle name="常规 6 2 2 2 12 2" xfId="21661" xr:uid="{AD99A7CE-774F-4454-9A71-1661A830182B}"/>
    <cellStyle name="常规 6 2 2 2 12 3" xfId="21662" xr:uid="{E1D6FD39-33AD-4762-AF5A-5D6D895312AC}"/>
    <cellStyle name="常规 6 2 2 2 12 4" xfId="21663" xr:uid="{4F845C48-BDCF-4E06-AC97-7B6B905A87B1}"/>
    <cellStyle name="常规 6 2 2 2 12 5" xfId="21664" xr:uid="{753EACEF-4D39-428A-A3B7-5089322B15AF}"/>
    <cellStyle name="常规 6 2 2 2 12 6" xfId="21665" xr:uid="{145C5206-ED53-4C6F-9E79-C13F6E1C8AAF}"/>
    <cellStyle name="常规 6 2 2 2 13" xfId="21666" xr:uid="{3E2DC3CD-AA2E-4766-BBB0-579A475BE6DB}"/>
    <cellStyle name="常规 6 2 2 2 14" xfId="21667" xr:uid="{085E7862-EAA4-49FC-91CF-288796ACB52A}"/>
    <cellStyle name="常规 6 2 2 2 15" xfId="21668" xr:uid="{35D5B4DC-C1A5-42F1-A841-A03543095924}"/>
    <cellStyle name="常规 6 2 2 2 16" xfId="21669" xr:uid="{B7FF2833-C1C1-45C6-8C92-DA0ED168BF9E}"/>
    <cellStyle name="常规 6 2 2 2 17" xfId="21670" xr:uid="{AC3C5DC0-3BE3-406B-A1E8-39675912E9B1}"/>
    <cellStyle name="常规 6 2 2 2 18" xfId="21671" xr:uid="{9A4C4596-8427-4F53-AB82-DA43F5E29497}"/>
    <cellStyle name="常规 6 2 2 2 19" xfId="21672" xr:uid="{B453319D-E554-45CD-81A5-37AE5662AAC9}"/>
    <cellStyle name="常规 6 2 2 2 2" xfId="21673" xr:uid="{BF15D931-5715-44E8-A728-B77FC06D2744}"/>
    <cellStyle name="常规 6 2 2 2 2 2" xfId="21674" xr:uid="{9ABFE72D-FDAC-46FC-9086-DA501F963FE8}"/>
    <cellStyle name="常规 6 2 2 2 2 2 2" xfId="21675" xr:uid="{3E2CD744-D008-435C-A2C8-95E08D76C1E8}"/>
    <cellStyle name="常规 6 2 2 2 2 3" xfId="21676" xr:uid="{B3945E7A-71E8-4235-B840-EC87750B461D}"/>
    <cellStyle name="常规 6 2 2 2 2 4" xfId="21677" xr:uid="{0E586358-C2A9-486B-A004-30B3C21A6E00}"/>
    <cellStyle name="常规 6 2 2 2 2 4 2" xfId="34501" xr:uid="{59687E2B-2895-4145-8FB4-93DF65CE48AD}"/>
    <cellStyle name="常规 6 2 2 2 2 5" xfId="21678" xr:uid="{B18A32A4-9290-45CA-AE03-D78973172816}"/>
    <cellStyle name="常规 6 2 2 2 2 6" xfId="34502" xr:uid="{6BCE9608-3977-40A1-BD37-AE05C413B56D}"/>
    <cellStyle name="常规 6 2 2 2 20" xfId="34503" xr:uid="{56A7344A-4FE3-4ED6-A653-51A5B94F6B4E}"/>
    <cellStyle name="常规 6 2 2 2 3" xfId="21679" xr:uid="{7FDD5B4E-1E62-4A3C-8C34-45D298A66348}"/>
    <cellStyle name="常规 6 2 2 2 3 2" xfId="21680" xr:uid="{CB08CFBA-5149-4558-9AD9-B3634CEB9F3D}"/>
    <cellStyle name="常规 6 2 2 2 3 2 2" xfId="21681" xr:uid="{C4B12EF4-174D-42D4-B6D8-93700CEF6DE4}"/>
    <cellStyle name="常规 6 2 2 2 3 2 3" xfId="21682" xr:uid="{2D3EEA1F-462D-4D12-BB93-500F28FAC233}"/>
    <cellStyle name="常规 6 2 2 2 3 2 4" xfId="21683" xr:uid="{15E13DE3-612D-4256-B3AF-34D0908AE22A}"/>
    <cellStyle name="常规 6 2 2 2 3 2 5" xfId="21684" xr:uid="{E8BF5D6B-29F6-4703-8A0B-EA4AA79131D0}"/>
    <cellStyle name="常规 6 2 2 2 3 2 6" xfId="21685" xr:uid="{762754D7-AF9A-49EC-AD8C-0A579C7DF29F}"/>
    <cellStyle name="常规 6 2 2 2 3 2 7" xfId="21686" xr:uid="{8FDF7B30-5E5B-4DF7-ACE5-0C92798D9FCE}"/>
    <cellStyle name="常规 6 2 2 2 3 2 8" xfId="21687" xr:uid="{489E6947-DAF0-4A63-8618-7F1CE72472E9}"/>
    <cellStyle name="常规 6 2 2 2 3 3" xfId="21688" xr:uid="{EE7ECDAA-43CC-4208-87B4-A5C7EADA962D}"/>
    <cellStyle name="常规 6 2 2 2 3 3 2" xfId="21689" xr:uid="{F7CF1E52-ECA4-40E4-A197-FAA22961A1CE}"/>
    <cellStyle name="常规 6 2 2 2 3 4" xfId="21690" xr:uid="{5136DF78-A4AB-4D0A-AF4E-970B99123C8E}"/>
    <cellStyle name="常规 6 2 2 2 3 4 2" xfId="21691" xr:uid="{C384F3E9-CC4A-47B8-A941-A4C7DBEF19B2}"/>
    <cellStyle name="常规 6 2 2 2 3 4 3" xfId="34504" xr:uid="{096C181D-3063-4358-B1FB-2B1AF71AC043}"/>
    <cellStyle name="常规 6 2 2 2 3 5" xfId="21692" xr:uid="{6BD76A7D-B0B4-4AB3-88B2-DB7679626D06}"/>
    <cellStyle name="常规 6 2 2 2 3 6" xfId="21693" xr:uid="{3DFAB0D3-A2A8-4176-8AC3-DB3DED917CF2}"/>
    <cellStyle name="常规 6 2 2 2 3 7" xfId="21694" xr:uid="{BA57742E-DD84-4E5E-A52E-F22B7A2FC83B}"/>
    <cellStyle name="常规 6 2 2 2 3 8" xfId="21695" xr:uid="{370AF041-EC79-4970-85C4-4DDB38877E70}"/>
    <cellStyle name="常规 6 2 2 2 4" xfId="21696" xr:uid="{2F84C57A-FA6B-4D89-B220-7D3AD45FC05A}"/>
    <cellStyle name="常规 6 2 2 2 4 2" xfId="21697" xr:uid="{AA08176F-3C6B-4243-A95B-649FBA07DD27}"/>
    <cellStyle name="常规 6 2 2 2 4 2 2" xfId="21698" xr:uid="{FDBC7140-E783-4780-8FA3-CFECC6546475}"/>
    <cellStyle name="常规 6 2 2 2 4 2 3" xfId="21699" xr:uid="{007C1108-D084-4317-A911-41113D355003}"/>
    <cellStyle name="常规 6 2 2 2 4 2 4" xfId="21700" xr:uid="{9A200668-159D-4A42-96CF-B5DE1748867E}"/>
    <cellStyle name="常规 6 2 2 2 4 2 5" xfId="21701" xr:uid="{EC07EFF9-CC6C-4BB8-B303-BCD793E8B43E}"/>
    <cellStyle name="常规 6 2 2 2 4 2 6" xfId="21702" xr:uid="{BEC65EA1-8138-4C4D-AD2A-4C1CD71B51DF}"/>
    <cellStyle name="常规 6 2 2 2 4 3" xfId="21703" xr:uid="{B40794A2-9AA4-45A2-9052-AE2FEC81B542}"/>
    <cellStyle name="常规 6 2 2 2 4 4" xfId="21704" xr:uid="{24241717-1F00-44B6-B804-E1F621EB00B8}"/>
    <cellStyle name="常规 6 2 2 2 4 5" xfId="21705" xr:uid="{8A8AB636-A7D5-443B-8ACE-045E473EFF2A}"/>
    <cellStyle name="常规 6 2 2 2 4 6" xfId="21706" xr:uid="{D51BEB12-B976-415F-A2B5-9A88F0AF83D1}"/>
    <cellStyle name="常规 6 2 2 2 4 7" xfId="21707" xr:uid="{A13E2B22-FA87-4625-8E8F-E72223AD1154}"/>
    <cellStyle name="常规 6 2 2 2 4 8" xfId="21708" xr:uid="{6A428B75-559D-4968-84F8-E0FA9C14D0C6}"/>
    <cellStyle name="常规 6 2 2 2 4 9" xfId="21709" xr:uid="{12773D9A-0D0B-4469-83CA-4E0A8947F515}"/>
    <cellStyle name="常规 6 2 2 2 5" xfId="21710" xr:uid="{D3467EAB-D400-4B92-9A6C-F3518824964C}"/>
    <cellStyle name="常规 6 2 2 2 5 2" xfId="21711" xr:uid="{33FA7D7D-F047-4326-8AF4-CE1C90DA976C}"/>
    <cellStyle name="常规 6 2 2 2 5 2 2" xfId="21712" xr:uid="{974631E8-A928-47BD-91E7-74D152F43AC4}"/>
    <cellStyle name="常规 6 2 2 2 5 2 3" xfId="21713" xr:uid="{9123B610-8ADD-4CB3-937F-18E1BB6FC12A}"/>
    <cellStyle name="常规 6 2 2 2 5 2 4" xfId="21714" xr:uid="{431375A1-716C-4933-9747-37C9E0E92599}"/>
    <cellStyle name="常规 6 2 2 2 5 2 5" xfId="21715" xr:uid="{3DA3FC87-708C-4567-965E-61BA3F11AF0D}"/>
    <cellStyle name="常规 6 2 2 2 5 2 6" xfId="21716" xr:uid="{DBC2837B-8813-407C-85D4-B3D5FF96AE8B}"/>
    <cellStyle name="常规 6 2 2 2 5 3" xfId="21717" xr:uid="{43195FD1-0375-4307-BAD9-1F7F13BE850C}"/>
    <cellStyle name="常规 6 2 2 2 5 4" xfId="21718" xr:uid="{48399EBF-F3FD-4BC8-943A-F7476E974D2B}"/>
    <cellStyle name="常规 6 2 2 2 5 5" xfId="21719" xr:uid="{F266920C-60FB-4D18-98FD-E309700C4E12}"/>
    <cellStyle name="常规 6 2 2 2 5 6" xfId="21720" xr:uid="{7CD5F5FB-BC50-4305-8776-A300238E1296}"/>
    <cellStyle name="常规 6 2 2 2 5 7" xfId="21721" xr:uid="{48A7A1BD-8E9C-40A5-86DF-91C6547BCE5A}"/>
    <cellStyle name="常规 6 2 2 2 5 8" xfId="21722" xr:uid="{10BD25A2-A85F-42E3-B79F-8133CD620D46}"/>
    <cellStyle name="常规 6 2 2 2 6" xfId="21723" xr:uid="{9721125A-13BE-45D9-A62E-BE049DE4AC75}"/>
    <cellStyle name="常规 6 2 2 2 6 2" xfId="21724" xr:uid="{AF49AB07-C2C8-4538-8FEC-DA955B656E0A}"/>
    <cellStyle name="常规 6 2 2 2 6 2 2" xfId="21725" xr:uid="{871D63AD-61E7-4A1A-AAF1-8FB5346C8D79}"/>
    <cellStyle name="常规 6 2 2 2 6 2 3" xfId="21726" xr:uid="{5B11EC28-6ED9-4C4D-A29A-FB9EA2F73B42}"/>
    <cellStyle name="常规 6 2 2 2 6 2 4" xfId="21727" xr:uid="{B489AEE7-0057-4C2A-99DE-A95C1DC4B681}"/>
    <cellStyle name="常规 6 2 2 2 6 2 5" xfId="21728" xr:uid="{F17EB6B7-809C-4E88-97CE-654D4253B3CF}"/>
    <cellStyle name="常规 6 2 2 2 6 2 6" xfId="21729" xr:uid="{528E52D1-44D0-4608-85CD-2E16495635F6}"/>
    <cellStyle name="常规 6 2 2 2 6 3" xfId="21730" xr:uid="{19873B8A-792D-460C-A245-B1FA36EBD0BE}"/>
    <cellStyle name="常规 6 2 2 2 6 4" xfId="21731" xr:uid="{7AF02B9B-C29C-4134-A7E7-85B375669B39}"/>
    <cellStyle name="常规 6 2 2 2 6 5" xfId="21732" xr:uid="{50EC128B-2F20-42D5-B656-82B94A92D2E8}"/>
    <cellStyle name="常规 6 2 2 2 6 6" xfId="21733" xr:uid="{EEC8F5CB-10E5-45D0-AEFE-06000C94D05F}"/>
    <cellStyle name="常规 6 2 2 2 6 7" xfId="21734" xr:uid="{44D1079E-8FFE-4F9D-9ADD-24A51EF8C2FF}"/>
    <cellStyle name="常规 6 2 2 2 6 8" xfId="21735" xr:uid="{039F5258-0605-4EA6-9745-54E85649E5C1}"/>
    <cellStyle name="常规 6 2 2 2 6 9" xfId="34505" xr:uid="{3E85D057-47E5-4564-A0F0-C7F23BE466CE}"/>
    <cellStyle name="常规 6 2 2 2 7" xfId="21736" xr:uid="{CB969384-BB25-4592-B654-0BE340EB6381}"/>
    <cellStyle name="常规 6 2 2 2 7 2" xfId="21737" xr:uid="{FD72EECD-4A72-4DC7-99BF-0DBE73E82B17}"/>
    <cellStyle name="常规 6 2 2 2 7 2 2" xfId="21738" xr:uid="{3A7E6778-AD1F-496A-AA15-9ECE4ACB0FA7}"/>
    <cellStyle name="常规 6 2 2 2 7 2 3" xfId="21739" xr:uid="{FE7E86DA-D46C-4470-A23F-3FDC8631E827}"/>
    <cellStyle name="常规 6 2 2 2 7 2 4" xfId="21740" xr:uid="{FA8BCDAC-C669-4554-939E-12A514480084}"/>
    <cellStyle name="常规 6 2 2 2 7 2 5" xfId="21741" xr:uid="{76063821-798B-4B19-B456-B904427D050D}"/>
    <cellStyle name="常规 6 2 2 2 7 2 6" xfId="21742" xr:uid="{9965E6AB-8513-41BB-9D47-521A49B894BE}"/>
    <cellStyle name="常规 6 2 2 2 7 3" xfId="21743" xr:uid="{51C8CF0B-0DF4-4E51-8AD8-59786C4184A2}"/>
    <cellStyle name="常规 6 2 2 2 7 4" xfId="21744" xr:uid="{5DE09AFC-4719-41C3-BA55-F0E21C657DC9}"/>
    <cellStyle name="常规 6 2 2 2 7 5" xfId="21745" xr:uid="{E886D484-E6B0-4383-A4A8-6D37F4DD5B07}"/>
    <cellStyle name="常规 6 2 2 2 7 6" xfId="21746" xr:uid="{2E370B95-0B5C-4638-AF18-C23D40701543}"/>
    <cellStyle name="常规 6 2 2 2 7 7" xfId="21747" xr:uid="{1B8E4C74-CDB7-4F8C-8836-EA2C7D7D76D8}"/>
    <cellStyle name="常规 6 2 2 2 7 8" xfId="21748" xr:uid="{C51266C6-503B-4E47-8CC8-39A50AB7628C}"/>
    <cellStyle name="常规 6 2 2 2 8" xfId="21749" xr:uid="{96CD9E40-4F17-494B-98B8-24CD74C90D4E}"/>
    <cellStyle name="常规 6 2 2 2 8 2" xfId="21750" xr:uid="{62C5FF0F-907F-42EB-B1D4-A90FDB1EAB7A}"/>
    <cellStyle name="常规 6 2 2 2 8 2 2" xfId="21751" xr:uid="{B2BDE9BA-BF25-4316-B0D2-426519644D55}"/>
    <cellStyle name="常规 6 2 2 2 8 2 3" xfId="21752" xr:uid="{3FF06B3D-A168-418C-9BAB-CFF6182A20C1}"/>
    <cellStyle name="常规 6 2 2 2 8 2 4" xfId="21753" xr:uid="{64671B4B-4CFC-4C69-8ED0-34943F7F77DC}"/>
    <cellStyle name="常规 6 2 2 2 8 2 5" xfId="21754" xr:uid="{CE00EC8C-CB75-48F3-B223-09BB50C7FFFB}"/>
    <cellStyle name="常规 6 2 2 2 8 2 6" xfId="21755" xr:uid="{9043BBD0-EE6A-4B18-BBBF-1C48E6C9AFFB}"/>
    <cellStyle name="常规 6 2 2 2 8 3" xfId="21756" xr:uid="{3AC6BF7E-6FBB-48ED-855E-C6E16DE821C2}"/>
    <cellStyle name="常规 6 2 2 2 8 4" xfId="21757" xr:uid="{9605EC52-A6DE-491C-B1D5-00B1F71D6263}"/>
    <cellStyle name="常规 6 2 2 2 8 5" xfId="21758" xr:uid="{AD1D07D8-5129-49B4-9522-84E8FE405D34}"/>
    <cellStyle name="常规 6 2 2 2 8 6" xfId="21759" xr:uid="{FED42954-67F6-4EF2-BE27-8161AC94BAB9}"/>
    <cellStyle name="常规 6 2 2 2 8 7" xfId="21760" xr:uid="{96C72BD5-F346-4873-AA1A-F3E19BDED316}"/>
    <cellStyle name="常规 6 2 2 2 9" xfId="21761" xr:uid="{1E44D5F2-67D1-4494-9044-35C420275901}"/>
    <cellStyle name="常规 6 2 2 2 9 2" xfId="21762" xr:uid="{D0CB7462-ACB7-4BA1-8626-0C90819177DB}"/>
    <cellStyle name="常规 6 2 2 2 9 2 2" xfId="21763" xr:uid="{4014F43D-4B55-4CF6-AACE-EDBBBC0F9280}"/>
    <cellStyle name="常规 6 2 2 2 9 2 3" xfId="21764" xr:uid="{38332154-DACC-459F-A69E-99B342C9981C}"/>
    <cellStyle name="常规 6 2 2 2 9 2 4" xfId="21765" xr:uid="{77922A16-7CD6-4CE1-9137-709779D9430C}"/>
    <cellStyle name="常规 6 2 2 2 9 2 5" xfId="21766" xr:uid="{AE626B35-E390-44C3-816A-3F0C85F418C8}"/>
    <cellStyle name="常规 6 2 2 2 9 2 6" xfId="21767" xr:uid="{B196171D-1853-459C-AD87-70F817549116}"/>
    <cellStyle name="常规 6 2 2 2 9 3" xfId="21768" xr:uid="{021C6A22-EF2A-40F8-A533-39DEDB54C6E3}"/>
    <cellStyle name="常规 6 2 2 2 9 4" xfId="21769" xr:uid="{68C20E1A-7DE5-4AE7-B21B-5452D9C32383}"/>
    <cellStyle name="常规 6 2 2 2 9 5" xfId="21770" xr:uid="{8563ED08-7EF6-4218-927E-46A18AD6DEDC}"/>
    <cellStyle name="常规 6 2 2 2 9 6" xfId="21771" xr:uid="{53019B56-88A8-41AA-9F1B-B1A7EF71B68C}"/>
    <cellStyle name="常规 6 2 2 2 9 7" xfId="21772" xr:uid="{3E41577C-59A3-41CC-9257-464E7BE8F0E0}"/>
    <cellStyle name="常规 6 2 2 20" xfId="21773" xr:uid="{A1E8B393-DE64-4C34-A120-2D8D85A71DCB}"/>
    <cellStyle name="常规 6 2 2 21" xfId="21774" xr:uid="{56C28E06-B9C2-4CB3-B01F-EF9FF6A19326}"/>
    <cellStyle name="常规 6 2 2 22" xfId="21775" xr:uid="{60B323A3-FBD3-410D-93DE-DA4D49279461}"/>
    <cellStyle name="常规 6 2 2 23" xfId="21776" xr:uid="{BE175F0B-F013-4EF2-9763-083EFDF9B289}"/>
    <cellStyle name="常规 6 2 2 24" xfId="21777" xr:uid="{D1753019-3100-41E5-85D5-4F335603C243}"/>
    <cellStyle name="常规 6 2 2 25" xfId="21778" xr:uid="{7CCF1F27-5D7C-41B3-8AA4-7CF268665AA8}"/>
    <cellStyle name="常规 6 2 2 26" xfId="21779" xr:uid="{1F397DFD-5CE6-4DA5-BB23-1A3F260C2C0B}"/>
    <cellStyle name="常规 6 2 2 27" xfId="34506" xr:uid="{7C08AB94-AE76-4596-8D5F-509E13AF780F}"/>
    <cellStyle name="常规 6 2 2 3" xfId="21780" xr:uid="{FEB9D4E3-00A7-48F1-B3DA-B0BEC4B01618}"/>
    <cellStyle name="常规 6 2 2 3 10" xfId="21781" xr:uid="{541F8756-48AC-483A-A3F9-B2733646F2FA}"/>
    <cellStyle name="常规 6 2 2 3 11" xfId="21782" xr:uid="{025319A8-52F6-4825-8633-CFC9DD12E500}"/>
    <cellStyle name="常规 6 2 2 3 12" xfId="34507" xr:uid="{1A8A6364-5DD6-4F74-B561-06071638D6D1}"/>
    <cellStyle name="常规 6 2 2 3 2" xfId="21783" xr:uid="{2492F57B-5E59-4A3D-A59F-BA631D76C757}"/>
    <cellStyle name="常规 6 2 2 3 2 2" xfId="21784" xr:uid="{D16ACC1A-CFA2-474B-AEB3-781764FF822B}"/>
    <cellStyle name="常规 6 2 2 3 2 2 2" xfId="21785" xr:uid="{7DC0EDAF-3BCF-4EAC-959B-FCBDE2877437}"/>
    <cellStyle name="常规 6 2 2 3 2 2 3" xfId="21786" xr:uid="{EC50FE3A-FFEA-4B28-8BC9-269CE924C6A4}"/>
    <cellStyle name="常规 6 2 2 3 2 2 4" xfId="21787" xr:uid="{56CF751F-DFFB-4263-B961-2EEC3BDC155D}"/>
    <cellStyle name="常规 6 2 2 3 2 2 5" xfId="21788" xr:uid="{A5BE4E9D-4CBD-428A-9A72-1477E653D5B7}"/>
    <cellStyle name="常规 6 2 2 3 2 2 6" xfId="21789" xr:uid="{FCED9EF9-98BE-41FC-A668-3173F0DA62C9}"/>
    <cellStyle name="常规 6 2 2 3 2 3" xfId="21790" xr:uid="{2B9DB257-41ED-4199-AAFE-720359BBDAD4}"/>
    <cellStyle name="常规 6 2 2 3 2 4" xfId="21791" xr:uid="{ACD6920A-84D8-41E1-BD39-307B5E79BBCE}"/>
    <cellStyle name="常规 6 2 2 3 2 5" xfId="21792" xr:uid="{D924CC8A-2837-4E67-99E9-6876CD4C20C2}"/>
    <cellStyle name="常规 6 2 2 3 2 6" xfId="21793" xr:uid="{7562A311-88A9-4911-A319-64EFFC63F310}"/>
    <cellStyle name="常规 6 2 2 3 2 7" xfId="21794" xr:uid="{60ABC0BB-836A-4777-BB97-A7602747785C}"/>
    <cellStyle name="常规 6 2 2 3 2 8" xfId="21795" xr:uid="{E4CB956C-87F5-481C-AC4A-1106E87AB4E4}"/>
    <cellStyle name="常规 6 2 2 3 2 9" xfId="21796" xr:uid="{28A7ADFE-949C-4EF7-81FD-06F269FE5472}"/>
    <cellStyle name="常规 6 2 2 3 3" xfId="21797" xr:uid="{D9597B25-BC64-4BD4-A5C6-170C5CA0D044}"/>
    <cellStyle name="常规 6 2 2 3 3 2" xfId="21798" xr:uid="{C18606FE-A605-443D-A24B-0C67A87D99BA}"/>
    <cellStyle name="常规 6 2 2 3 3 2 2" xfId="21799" xr:uid="{9947FAF2-5E05-4B81-A25D-14A4C34177D8}"/>
    <cellStyle name="常规 6 2 2 3 3 2 3" xfId="21800" xr:uid="{7F390181-C8A4-4FB0-A213-E212B6A3B4B5}"/>
    <cellStyle name="常规 6 2 2 3 3 2 4" xfId="21801" xr:uid="{0ADAAA18-6ED9-4F8C-8503-3E6DA875FD45}"/>
    <cellStyle name="常规 6 2 2 3 3 2 5" xfId="21802" xr:uid="{137BAE10-E183-4CAA-AE72-7A34E981C322}"/>
    <cellStyle name="常规 6 2 2 3 3 2 6" xfId="21803" xr:uid="{6004D8CA-1288-4A1A-BF72-42E715698D51}"/>
    <cellStyle name="常规 6 2 2 3 3 3" xfId="21804" xr:uid="{F863F6FF-6078-441A-A259-84931F0C5CF7}"/>
    <cellStyle name="常规 6 2 2 3 3 4" xfId="21805" xr:uid="{DFC390EE-D4B1-4B65-B429-693555808F14}"/>
    <cellStyle name="常规 6 2 2 3 3 5" xfId="21806" xr:uid="{2118B863-32D9-4F4F-810B-2AEB87B67686}"/>
    <cellStyle name="常规 6 2 2 3 3 6" xfId="21807" xr:uid="{1D1130DD-BFCA-4BE5-BAEC-31DC9FE99DDB}"/>
    <cellStyle name="常规 6 2 2 3 3 7" xfId="21808" xr:uid="{9D6DEECB-16B3-4411-9337-3E3BCBB5621F}"/>
    <cellStyle name="常规 6 2 2 3 3 8" xfId="21809" xr:uid="{187D6EDE-F2B7-433F-85DE-1F0472777662}"/>
    <cellStyle name="常规 6 2 2 3 4" xfId="21810" xr:uid="{89551EBB-6F75-469C-9C94-A604943AB9C2}"/>
    <cellStyle name="常规 6 2 2 3 4 2" xfId="21811" xr:uid="{96E4D52C-9E30-497B-B7E2-3B7F8C3308C1}"/>
    <cellStyle name="常规 6 2 2 3 4 2 2" xfId="21812" xr:uid="{9283E24C-DEDF-4E64-9672-90EBEA0066D7}"/>
    <cellStyle name="常规 6 2 2 3 4 2 3" xfId="21813" xr:uid="{4F23381C-55F0-4066-9E37-6D10881B6019}"/>
    <cellStyle name="常规 6 2 2 3 4 2 4" xfId="21814" xr:uid="{54C5D305-FD91-4CDC-8A52-05FA53FA8D47}"/>
    <cellStyle name="常规 6 2 2 3 4 2 5" xfId="21815" xr:uid="{F790A61C-FEB0-4662-A933-F75886201060}"/>
    <cellStyle name="常规 6 2 2 3 4 2 6" xfId="21816" xr:uid="{F67B9A02-5080-4D9C-96D5-FFE2A55F25E6}"/>
    <cellStyle name="常规 6 2 2 3 4 3" xfId="21817" xr:uid="{4AD5CE35-E2CC-4195-82AF-CD950770233C}"/>
    <cellStyle name="常规 6 2 2 3 4 4" xfId="21818" xr:uid="{26E1C226-7C8A-460F-850C-8E31B5C9F35A}"/>
    <cellStyle name="常规 6 2 2 3 4 5" xfId="21819" xr:uid="{86FDED2B-0AF5-4F18-9206-3916FEE81322}"/>
    <cellStyle name="常规 6 2 2 3 4 6" xfId="21820" xr:uid="{C854E74A-AD57-4E77-A851-4D96AD15F822}"/>
    <cellStyle name="常规 6 2 2 3 4 7" xfId="21821" xr:uid="{2107A6CC-F750-4DD0-A3C0-1373721C0186}"/>
    <cellStyle name="常规 6 2 2 3 4 8" xfId="21822" xr:uid="{3EA569DD-BAE4-4707-AE43-2E542590F05F}"/>
    <cellStyle name="常规 6 2 2 3 4 9" xfId="34508" xr:uid="{638F55B3-ACAA-4079-9611-86FA1EC55D92}"/>
    <cellStyle name="常规 6 2 2 3 5" xfId="21823" xr:uid="{9FEDF976-9576-4DB9-AE49-B4E2A76662BA}"/>
    <cellStyle name="常规 6 2 2 3 5 2" xfId="21824" xr:uid="{36DA6BD4-BFD4-4AED-904F-F64728C02266}"/>
    <cellStyle name="常规 6 2 2 3 5 2 2" xfId="21825" xr:uid="{95F03248-771D-4F06-81FF-A32BABB120C1}"/>
    <cellStyle name="常规 6 2 2 3 5 2 3" xfId="21826" xr:uid="{4FED9695-CB3A-41EA-8D83-D5F62EFD6B17}"/>
    <cellStyle name="常规 6 2 2 3 5 2 4" xfId="21827" xr:uid="{0EF15C7F-9EA7-48E5-BDE2-0F2CBD055051}"/>
    <cellStyle name="常规 6 2 2 3 5 2 5" xfId="21828" xr:uid="{E2011C2E-53D3-4B84-B530-E3D9B5E99C4B}"/>
    <cellStyle name="常规 6 2 2 3 5 2 6" xfId="21829" xr:uid="{65F2D3D4-38DC-4D52-9CA7-88D75073E62D}"/>
    <cellStyle name="常规 6 2 2 3 5 3" xfId="21830" xr:uid="{F01DCB1F-0108-4661-9DFC-F88EEBFDF36E}"/>
    <cellStyle name="常规 6 2 2 3 5 4" xfId="21831" xr:uid="{30C59D44-C07B-402E-A989-1E5D374287DC}"/>
    <cellStyle name="常规 6 2 2 3 5 5" xfId="21832" xr:uid="{1BA72BB8-4111-4826-A267-43F545C4F5DF}"/>
    <cellStyle name="常规 6 2 2 3 5 6" xfId="21833" xr:uid="{D094FBBA-2901-4D63-AFBA-2991D953AC09}"/>
    <cellStyle name="常规 6 2 2 3 5 7" xfId="21834" xr:uid="{12215A2D-F86D-48F0-B10C-C536FB5060D0}"/>
    <cellStyle name="常规 6 2 2 3 6" xfId="21835" xr:uid="{36B92830-56C4-4860-B26D-73F1D86AEAB0}"/>
    <cellStyle name="常规 6 2 2 3 6 2" xfId="21836" xr:uid="{1CE19DE3-2059-45BE-BB70-4591B676BF1E}"/>
    <cellStyle name="常规 6 2 2 3 6 2 2" xfId="21837" xr:uid="{C6068751-8214-4053-9D45-1863967B5157}"/>
    <cellStyle name="常规 6 2 2 3 6 2 3" xfId="21838" xr:uid="{09796836-96C9-4A6D-A86A-0FE09F2140ED}"/>
    <cellStyle name="常规 6 2 2 3 6 2 4" xfId="21839" xr:uid="{5E1F401B-EB8A-49E4-8AAA-56AF3C0CC006}"/>
    <cellStyle name="常规 6 2 2 3 6 2 5" xfId="21840" xr:uid="{F1C531CB-F083-45AB-9A8C-7067B3C0B89E}"/>
    <cellStyle name="常规 6 2 2 3 6 2 6" xfId="21841" xr:uid="{10D83355-0C30-4EF2-AFDD-13828D145096}"/>
    <cellStyle name="常规 6 2 2 3 6 3" xfId="21842" xr:uid="{1A522963-DB7D-4799-956D-657683B61EF9}"/>
    <cellStyle name="常规 6 2 2 3 6 4" xfId="21843" xr:uid="{8C571B51-3D7E-4CD8-915C-DF115FF8F6B4}"/>
    <cellStyle name="常规 6 2 2 3 6 5" xfId="21844" xr:uid="{C6296E64-819A-4B4F-BAD8-DD87F3EF1E07}"/>
    <cellStyle name="常规 6 2 2 3 6 6" xfId="21845" xr:uid="{0577FD14-24B0-459A-BCE2-0E30C3359250}"/>
    <cellStyle name="常规 6 2 2 3 6 7" xfId="21846" xr:uid="{3DFA1099-8675-4531-AD3C-8532E8602321}"/>
    <cellStyle name="常规 6 2 2 3 7" xfId="21847" xr:uid="{C4E49360-D8BE-48FF-9762-D10C7EEAB400}"/>
    <cellStyle name="常规 6 2 2 3 7 2" xfId="21848" xr:uid="{325256A0-D41D-40DC-BFD2-A4366B4F6CDC}"/>
    <cellStyle name="常规 6 2 2 3 7 2 2" xfId="21849" xr:uid="{E0760B1A-4DF9-40B7-9E61-E8E32AF793B8}"/>
    <cellStyle name="常规 6 2 2 3 7 2 3" xfId="21850" xr:uid="{0662FEDA-0BDB-40BC-B250-3AED4698DE42}"/>
    <cellStyle name="常规 6 2 2 3 7 2 4" xfId="21851" xr:uid="{A88AE37C-8215-4DC8-A11D-2CA7F107E120}"/>
    <cellStyle name="常规 6 2 2 3 7 2 5" xfId="21852" xr:uid="{ECD79B54-6844-49C5-A37A-D6F0BC46FA72}"/>
    <cellStyle name="常规 6 2 2 3 7 2 6" xfId="21853" xr:uid="{69D09FAD-F37D-48FA-AE38-FA37575398C5}"/>
    <cellStyle name="常规 6 2 2 3 7 3" xfId="21854" xr:uid="{348D7FB2-52CB-401B-8801-90FAF837DA4F}"/>
    <cellStyle name="常规 6 2 2 3 7 4" xfId="21855" xr:uid="{8AE51290-EC73-4EBF-A4CC-881E50A70BE7}"/>
    <cellStyle name="常规 6 2 2 3 7 5" xfId="21856" xr:uid="{26FF8036-DE6A-4D98-A157-6A94D1EA8746}"/>
    <cellStyle name="常规 6 2 2 3 7 6" xfId="21857" xr:uid="{F353718C-905B-4A6E-AB97-4A88C1592D7E}"/>
    <cellStyle name="常规 6 2 2 3 7 7" xfId="21858" xr:uid="{A4D35892-2379-4012-AFA6-FFBB4821CBBF}"/>
    <cellStyle name="常规 6 2 2 3 8" xfId="21859" xr:uid="{25C55105-6FB0-4BC6-834E-F074FD0B4BBD}"/>
    <cellStyle name="常规 6 2 2 3 8 2" xfId="21860" xr:uid="{F60CAFB1-D446-487C-93DE-F204FD58A22B}"/>
    <cellStyle name="常规 6 2 2 3 8 2 2" xfId="21861" xr:uid="{26D3B1EC-0CEF-40D4-A9BC-1263A9C0044E}"/>
    <cellStyle name="常规 6 2 2 3 8 2 3" xfId="21862" xr:uid="{C747B989-01B9-4E21-A9DD-578A49F63EF9}"/>
    <cellStyle name="常规 6 2 2 3 8 2 4" xfId="21863" xr:uid="{C9EECAFF-09E1-4EE5-8AB1-C2266DC0D217}"/>
    <cellStyle name="常规 6 2 2 3 8 2 5" xfId="21864" xr:uid="{6EFC144A-7114-4E09-AE2B-D98A9F9890D3}"/>
    <cellStyle name="常规 6 2 2 3 8 2 6" xfId="21865" xr:uid="{1346D48D-F1C8-45D4-8E07-3C212F77A739}"/>
    <cellStyle name="常规 6 2 2 3 8 3" xfId="21866" xr:uid="{FBF9C348-B847-4B94-B6FB-196CBB0A68BB}"/>
    <cellStyle name="常规 6 2 2 3 8 4" xfId="21867" xr:uid="{BFA8BD3D-AB2B-464E-BC1B-C6E2BA43658D}"/>
    <cellStyle name="常规 6 2 2 3 8 5" xfId="21868" xr:uid="{789B4A61-A066-46C9-BC8E-D10C4EBF4743}"/>
    <cellStyle name="常规 6 2 2 3 8 6" xfId="21869" xr:uid="{9688201C-CE6E-4358-B3F1-77DCC1EB706C}"/>
    <cellStyle name="常规 6 2 2 3 8 7" xfId="21870" xr:uid="{49F4A0E9-DA11-4EEE-9D52-F32C5F56930D}"/>
    <cellStyle name="常规 6 2 2 3 9" xfId="21871" xr:uid="{9DBD4083-F2F0-4EA1-85B0-50D87BE44641}"/>
    <cellStyle name="常规 6 2 2 3 9 2" xfId="21872" xr:uid="{1939E9CF-E217-451A-81DD-41A539D871C3}"/>
    <cellStyle name="常规 6 2 2 3 9 2 2" xfId="21873" xr:uid="{FE3048B9-919E-43C2-AC62-C1BECF4D73B2}"/>
    <cellStyle name="常规 6 2 2 3 9 2 3" xfId="21874" xr:uid="{6A9D264A-ABBC-4ACC-9A7C-A5204AC92E8F}"/>
    <cellStyle name="常规 6 2 2 3 9 2 4" xfId="21875" xr:uid="{F7C3F362-3F72-4E19-9D3D-798A87B9C917}"/>
    <cellStyle name="常规 6 2 2 3 9 2 5" xfId="21876" xr:uid="{54443246-B355-49F8-93FD-9A63B5771876}"/>
    <cellStyle name="常规 6 2 2 3 9 2 6" xfId="21877" xr:uid="{A34348B5-09E0-48A9-8F9E-24BED7A0DF27}"/>
    <cellStyle name="常规 6 2 2 3 9 3" xfId="21878" xr:uid="{9CF94EE1-63D7-417E-AB51-7FF4AFA3803B}"/>
    <cellStyle name="常规 6 2 2 3 9 4" xfId="21879" xr:uid="{26F4DEC1-BE28-4997-ACFD-F3C52FABDBD3}"/>
    <cellStyle name="常规 6 2 2 3 9 5" xfId="21880" xr:uid="{2396ACBB-54FE-42B6-B84A-031C7BB51DC5}"/>
    <cellStyle name="常规 6 2 2 3 9 6" xfId="21881" xr:uid="{78373E01-E26C-4B15-B8B4-3BA1EB62BA72}"/>
    <cellStyle name="常规 6 2 2 3 9 7" xfId="21882" xr:uid="{B41CC7D2-2BE2-4672-BD6E-EE32E45C3200}"/>
    <cellStyle name="常规 6 2 2 4" xfId="21883" xr:uid="{D944D7ED-B114-4ADF-AD3A-7A572D7B6638}"/>
    <cellStyle name="常规 6 2 2 4 10" xfId="21884" xr:uid="{772975C2-CADE-4072-A270-5078477BF32C}"/>
    <cellStyle name="常规 6 2 2 4 10 2" xfId="21885" xr:uid="{30BCB11F-0CE5-47FA-8501-DFF199DCAFA7}"/>
    <cellStyle name="常规 6 2 2 4 10 3" xfId="21886" xr:uid="{FA23DDB8-022B-44F8-803B-E934844CA167}"/>
    <cellStyle name="常规 6 2 2 4 10 4" xfId="21887" xr:uid="{6EE351E7-85DF-4E65-BAD3-EA7853C7F1CF}"/>
    <cellStyle name="常规 6 2 2 4 10 5" xfId="21888" xr:uid="{D8678E3F-464D-4D58-9162-37D35446240D}"/>
    <cellStyle name="常规 6 2 2 4 10 6" xfId="21889" xr:uid="{6CA947CD-386A-48B4-9C19-6B709208EA5A}"/>
    <cellStyle name="常规 6 2 2 4 11" xfId="21890" xr:uid="{D45BD0C8-8911-4FD7-8001-511B2DE2A7B9}"/>
    <cellStyle name="常规 6 2 2 4 12" xfId="21891" xr:uid="{E1C96F0A-42CA-4CC5-B518-E8FCD3742721}"/>
    <cellStyle name="常规 6 2 2 4 13" xfId="21892" xr:uid="{6EF7C68A-B1D7-44AC-AECE-CE2D6FFC76D6}"/>
    <cellStyle name="常规 6 2 2 4 14" xfId="21893" xr:uid="{46C732D5-7918-4BFD-B297-98C1FC10C881}"/>
    <cellStyle name="常规 6 2 2 4 15" xfId="21894" xr:uid="{6726ED0C-B0A4-4337-B041-0AD97AC89284}"/>
    <cellStyle name="常规 6 2 2 4 16" xfId="21895" xr:uid="{C263EFDC-DA6D-45A5-9CE9-7D4D9A5B5740}"/>
    <cellStyle name="常规 6 2 2 4 2" xfId="21896" xr:uid="{0E55F298-7679-42CF-816F-14B845104246}"/>
    <cellStyle name="常规 6 2 2 4 2 2" xfId="21897" xr:uid="{8EA8BF77-3D50-421A-8363-A92C3F1B841D}"/>
    <cellStyle name="常规 6 2 2 4 2 2 2" xfId="21898" xr:uid="{2DD8A09A-99C5-429E-9A9E-83485FA53DD9}"/>
    <cellStyle name="常规 6 2 2 4 2 2 3" xfId="21899" xr:uid="{F2E58CD4-67B8-41B3-AAD7-6A825EFD6A44}"/>
    <cellStyle name="常规 6 2 2 4 2 2 4" xfId="21900" xr:uid="{2C9CA1EC-B136-42D4-B5DE-FBD91B23D91E}"/>
    <cellStyle name="常规 6 2 2 4 2 2 5" xfId="21901" xr:uid="{9F946D73-ECD3-4DBC-9046-6486F8303A46}"/>
    <cellStyle name="常规 6 2 2 4 2 2 6" xfId="21902" xr:uid="{015C6D92-4EBC-47C4-85A1-4F54B96F2B56}"/>
    <cellStyle name="常规 6 2 2 4 2 3" xfId="21903" xr:uid="{D6912E7F-A3B8-469A-A16D-B910C2AA1711}"/>
    <cellStyle name="常规 6 2 2 4 2 4" xfId="21904" xr:uid="{EC0C6402-EC40-41D2-8545-EC019C7D0D2C}"/>
    <cellStyle name="常规 6 2 2 4 2 5" xfId="21905" xr:uid="{147B9B44-DE0C-4D66-B0B9-996E72111F7A}"/>
    <cellStyle name="常规 6 2 2 4 2 6" xfId="21906" xr:uid="{27A505BC-DC19-4A96-AE33-AD2660E7C043}"/>
    <cellStyle name="常规 6 2 2 4 2 7" xfId="21907" xr:uid="{19FDCFDE-42B5-4AA4-B708-86B0A4AFE821}"/>
    <cellStyle name="常规 6 2 2 4 2 8" xfId="21908" xr:uid="{7B85E86C-C89B-4212-9368-9CF37E265D1A}"/>
    <cellStyle name="常规 6 2 2 4 2 9" xfId="21909" xr:uid="{E4467528-5BAC-4A69-AD26-6CD6E53BA7E9}"/>
    <cellStyle name="常规 6 2 2 4 3" xfId="21910" xr:uid="{F022355B-67BD-4480-98DA-B60F94609952}"/>
    <cellStyle name="常规 6 2 2 4 3 2" xfId="21911" xr:uid="{99B7FB06-5437-4509-ACA3-50903F07C1E4}"/>
    <cellStyle name="常规 6 2 2 4 3 2 2" xfId="21912" xr:uid="{21FE607F-E98D-443A-BB7E-34AD506A4959}"/>
    <cellStyle name="常规 6 2 2 4 3 2 3" xfId="21913" xr:uid="{27BEFA9F-23CC-43C1-9A8A-51C3A4602700}"/>
    <cellStyle name="常规 6 2 2 4 3 2 4" xfId="21914" xr:uid="{C28EC1B4-1DF0-4DB1-939B-24D65590F4A2}"/>
    <cellStyle name="常规 6 2 2 4 3 2 5" xfId="21915" xr:uid="{B0C22C10-7D6F-4D8B-B9BB-7E2CCE3D0FDB}"/>
    <cellStyle name="常规 6 2 2 4 3 2 6" xfId="21916" xr:uid="{5AF32DB4-F2E1-4263-8FD1-FB1985C7C67F}"/>
    <cellStyle name="常规 6 2 2 4 3 3" xfId="21917" xr:uid="{939D205F-275D-4061-9B8C-FB69A5659BD1}"/>
    <cellStyle name="常规 6 2 2 4 3 4" xfId="21918" xr:uid="{4514143E-3C67-4389-8ACF-E8D85598D541}"/>
    <cellStyle name="常规 6 2 2 4 3 5" xfId="21919" xr:uid="{4F98E2E4-0DED-455E-AA3C-76A146469469}"/>
    <cellStyle name="常规 6 2 2 4 3 6" xfId="21920" xr:uid="{748A661C-ECEB-41BE-882D-7EDEDBFFCB2B}"/>
    <cellStyle name="常规 6 2 2 4 3 7" xfId="21921" xr:uid="{E0B7ED26-7CB3-4478-A4E9-7650E09DE3D5}"/>
    <cellStyle name="常规 6 2 2 4 3 8" xfId="21922" xr:uid="{C0D54970-57E9-4E1F-BF76-4C02DEEE2E3D}"/>
    <cellStyle name="常规 6 2 2 4 4" xfId="21923" xr:uid="{226A915D-CD05-4FC8-B54A-79EA21AB0DB8}"/>
    <cellStyle name="常规 6 2 2 4 4 2" xfId="21924" xr:uid="{9A6E2496-A77A-44DC-A6F4-C90E203965CD}"/>
    <cellStyle name="常规 6 2 2 4 4 2 2" xfId="21925" xr:uid="{73AF7928-2DFA-43B6-9D0F-FF7A9AD2A35C}"/>
    <cellStyle name="常规 6 2 2 4 4 2 3" xfId="21926" xr:uid="{20EBBE9F-5DBD-4C33-BD00-93FCD44B61B5}"/>
    <cellStyle name="常规 6 2 2 4 4 2 4" xfId="21927" xr:uid="{728B44B5-F8F2-4145-94C2-31265B592156}"/>
    <cellStyle name="常规 6 2 2 4 4 2 5" xfId="21928" xr:uid="{CBBB3DAD-2AC5-4852-885C-93CF72891590}"/>
    <cellStyle name="常规 6 2 2 4 4 2 6" xfId="21929" xr:uid="{21AF1176-DE1B-406C-88DE-AED27B95CBE5}"/>
    <cellStyle name="常规 6 2 2 4 4 3" xfId="21930" xr:uid="{F3331F52-6467-468C-ACAC-F7BC089B1645}"/>
    <cellStyle name="常规 6 2 2 4 4 4" xfId="21931" xr:uid="{1F44BB30-7368-4F3E-AB1A-D5BFDADBE5FC}"/>
    <cellStyle name="常规 6 2 2 4 4 5" xfId="21932" xr:uid="{C3C714F2-E7FB-42AC-AF3C-612E6EBBEC63}"/>
    <cellStyle name="常规 6 2 2 4 4 6" xfId="21933" xr:uid="{58D29285-7314-4E8A-BD0C-8A577ACE59B6}"/>
    <cellStyle name="常规 6 2 2 4 4 7" xfId="21934" xr:uid="{B01E076F-3145-4367-BEAC-F18E38C4C2CE}"/>
    <cellStyle name="常规 6 2 2 4 4 8" xfId="21935" xr:uid="{C50D7077-BCD5-41A4-B678-2016CB447A52}"/>
    <cellStyle name="常规 6 2 2 4 4 9" xfId="34509" xr:uid="{F2CDC796-9E92-4577-9903-87B79AF68DB1}"/>
    <cellStyle name="常规 6 2 2 4 5" xfId="21936" xr:uid="{A8703575-917F-46EE-959D-428CDC36F92A}"/>
    <cellStyle name="常规 6 2 2 4 5 2" xfId="21937" xr:uid="{230F2347-BEE5-4160-9FE2-B72C8C4B629C}"/>
    <cellStyle name="常规 6 2 2 4 5 2 2" xfId="21938" xr:uid="{ED520F2B-FAFF-4C79-8C5F-D439C2594730}"/>
    <cellStyle name="常规 6 2 2 4 5 2 3" xfId="21939" xr:uid="{FC237769-2516-4330-AEED-50420D0256EE}"/>
    <cellStyle name="常规 6 2 2 4 5 2 4" xfId="21940" xr:uid="{2DEFEBB1-1F23-44FA-A240-AFBF684D4ECA}"/>
    <cellStyle name="常规 6 2 2 4 5 2 5" xfId="21941" xr:uid="{EC8BAC43-65F8-4444-90E6-631CBAEF63DC}"/>
    <cellStyle name="常规 6 2 2 4 5 2 6" xfId="21942" xr:uid="{5BDCCA71-8F07-48CC-BB80-EFA3C8832F95}"/>
    <cellStyle name="常规 6 2 2 4 5 3" xfId="21943" xr:uid="{0CC20159-2863-48A8-88AF-04263C55F6E3}"/>
    <cellStyle name="常规 6 2 2 4 5 4" xfId="21944" xr:uid="{665401AD-D9DB-47BC-AA96-8F5ED2435825}"/>
    <cellStyle name="常规 6 2 2 4 5 5" xfId="21945" xr:uid="{8427A97F-80C0-4433-917E-1BC17D5A9717}"/>
    <cellStyle name="常规 6 2 2 4 5 6" xfId="21946" xr:uid="{B9152FE0-0EB9-44DB-9837-8D0E1E24C714}"/>
    <cellStyle name="常规 6 2 2 4 5 7" xfId="21947" xr:uid="{C377B8D7-FE35-45AB-9C38-2741F4044667}"/>
    <cellStyle name="常规 6 2 2 4 6" xfId="21948" xr:uid="{1E70EF1B-01FC-4162-9E28-B6541BB89A71}"/>
    <cellStyle name="常规 6 2 2 4 6 2" xfId="21949" xr:uid="{E1614638-F3CF-462A-9F41-5C0C39C90EA5}"/>
    <cellStyle name="常规 6 2 2 4 6 2 2" xfId="21950" xr:uid="{710D22EA-50B9-4207-8D87-1EB396201C04}"/>
    <cellStyle name="常规 6 2 2 4 6 2 3" xfId="21951" xr:uid="{24949ED4-4A1A-4DE0-899E-205EA76CBE25}"/>
    <cellStyle name="常规 6 2 2 4 6 2 4" xfId="21952" xr:uid="{2E78CACA-B93D-4A3F-8A1D-0EBD676F16B9}"/>
    <cellStyle name="常规 6 2 2 4 6 2 5" xfId="21953" xr:uid="{A950418F-AB2C-4FF1-8EBD-18525F238AFA}"/>
    <cellStyle name="常规 6 2 2 4 6 2 6" xfId="21954" xr:uid="{977F0389-91C6-4A6B-B971-8153A89F0E15}"/>
    <cellStyle name="常规 6 2 2 4 6 3" xfId="21955" xr:uid="{7237BB4A-F565-402D-A39A-CAB25C0E2CEA}"/>
    <cellStyle name="常规 6 2 2 4 6 4" xfId="21956" xr:uid="{EDBBB0C4-C2AA-4400-A13C-3A2621B5EF19}"/>
    <cellStyle name="常规 6 2 2 4 6 5" xfId="21957" xr:uid="{AC416C2E-F3E9-483A-AB55-9002A721BFD3}"/>
    <cellStyle name="常规 6 2 2 4 6 6" xfId="21958" xr:uid="{F8C73C5D-D24C-4098-98DF-57CC017D7D1D}"/>
    <cellStyle name="常规 6 2 2 4 6 7" xfId="21959" xr:uid="{0DFF97EF-02A6-4E18-B73B-FAAF2821F054}"/>
    <cellStyle name="常规 6 2 2 4 7" xfId="21960" xr:uid="{AD486385-BA7B-4E73-8069-FC02306D25F8}"/>
    <cellStyle name="常规 6 2 2 4 7 2" xfId="21961" xr:uid="{59FC6DD1-6D5F-487C-BD6A-1D250CF14D18}"/>
    <cellStyle name="常规 6 2 2 4 7 2 2" xfId="21962" xr:uid="{770A4069-AD49-4602-82F6-9912B24BB270}"/>
    <cellStyle name="常规 6 2 2 4 7 2 3" xfId="21963" xr:uid="{207AC03A-3A9E-41BE-B81D-231F3FAE3F64}"/>
    <cellStyle name="常规 6 2 2 4 7 2 4" xfId="21964" xr:uid="{5B646FBB-7005-4371-8C40-1088D0ACE5B0}"/>
    <cellStyle name="常规 6 2 2 4 7 2 5" xfId="21965" xr:uid="{34D57B3A-5ED2-438F-849E-CB06D31C2CB4}"/>
    <cellStyle name="常规 6 2 2 4 7 2 6" xfId="21966" xr:uid="{DD61B0F4-C29F-423C-B992-9546A138C0BA}"/>
    <cellStyle name="常规 6 2 2 4 7 3" xfId="21967" xr:uid="{1E0F02A3-E2E2-4B76-B9E8-647D73AFCF09}"/>
    <cellStyle name="常规 6 2 2 4 7 4" xfId="21968" xr:uid="{B795DB5D-29DB-4187-B851-E2499C688AC4}"/>
    <cellStyle name="常规 6 2 2 4 7 5" xfId="21969" xr:uid="{AEB34D5D-5AA3-40D2-A084-6B40F86E0B63}"/>
    <cellStyle name="常规 6 2 2 4 7 6" xfId="21970" xr:uid="{76D7EB2B-7FEA-4E1D-A392-AE1A691B5F7A}"/>
    <cellStyle name="常规 6 2 2 4 7 7" xfId="21971" xr:uid="{1336CA37-D350-468E-82EA-19F6EBB0D417}"/>
    <cellStyle name="常规 6 2 2 4 8" xfId="21972" xr:uid="{088F2D4F-2FE1-4896-9DCD-97D511C0DA8D}"/>
    <cellStyle name="常规 6 2 2 4 8 2" xfId="21973" xr:uid="{28D1CB05-C94D-44D4-82B9-F78107A11919}"/>
    <cellStyle name="常规 6 2 2 4 8 2 2" xfId="21974" xr:uid="{DA1D9867-00F4-48C8-B8B2-FFCE277E324C}"/>
    <cellStyle name="常规 6 2 2 4 8 2 3" xfId="21975" xr:uid="{2A5E154B-1AD1-4F0F-98F0-B8A9273992E2}"/>
    <cellStyle name="常规 6 2 2 4 8 2 4" xfId="21976" xr:uid="{4F7CFDEB-1A06-466E-9296-928198F60BD6}"/>
    <cellStyle name="常规 6 2 2 4 8 2 5" xfId="21977" xr:uid="{1F843FED-A2C8-43D3-9A01-BA1EC939E6B2}"/>
    <cellStyle name="常规 6 2 2 4 8 2 6" xfId="21978" xr:uid="{B7C7E37C-DE8E-4E65-9344-A8FFCAFC7ADE}"/>
    <cellStyle name="常规 6 2 2 4 8 3" xfId="21979" xr:uid="{1E979A88-BFB6-41AB-B087-CF1D9688F93B}"/>
    <cellStyle name="常规 6 2 2 4 8 4" xfId="21980" xr:uid="{6870A278-A4EF-4ABD-A172-1056F5A731FA}"/>
    <cellStyle name="常规 6 2 2 4 8 5" xfId="21981" xr:uid="{0F05989B-2E68-44F5-AC8C-7F06C46DB47E}"/>
    <cellStyle name="常规 6 2 2 4 8 6" xfId="21982" xr:uid="{FEB95429-688B-4E81-816D-0529EAEA8C52}"/>
    <cellStyle name="常规 6 2 2 4 8 7" xfId="21983" xr:uid="{CB4F8E68-0413-4E1D-863E-E360D9002CC7}"/>
    <cellStyle name="常规 6 2 2 4 9" xfId="21984" xr:uid="{8BC42EB3-6AB7-499A-9957-B95CDAD54B3D}"/>
    <cellStyle name="常规 6 2 2 4 9 2" xfId="21985" xr:uid="{06F668DD-B3CA-41C0-904A-4B6F7BCE1762}"/>
    <cellStyle name="常规 6 2 2 4 9 2 2" xfId="21986" xr:uid="{6BB0DDF1-156D-412C-9BDD-E5BE68311BD2}"/>
    <cellStyle name="常规 6 2 2 4 9 2 3" xfId="21987" xr:uid="{760267E0-CFD4-45B0-9314-8367B4B061DF}"/>
    <cellStyle name="常规 6 2 2 4 9 2 4" xfId="21988" xr:uid="{37C1F68B-D507-4AAF-A133-E16477F0BB9B}"/>
    <cellStyle name="常规 6 2 2 4 9 2 5" xfId="21989" xr:uid="{8E6A54A2-A851-43E5-BDB3-DA4DF28FFF49}"/>
    <cellStyle name="常规 6 2 2 4 9 2 6" xfId="21990" xr:uid="{F5F477F4-F48D-45BE-A7C0-1200051C33D3}"/>
    <cellStyle name="常规 6 2 2 4 9 3" xfId="21991" xr:uid="{987F17DA-09F6-4660-BB32-C971F70EE09A}"/>
    <cellStyle name="常规 6 2 2 4 9 4" xfId="21992" xr:uid="{F048F0E3-ADD0-41FB-9354-6DD728C8EA24}"/>
    <cellStyle name="常规 6 2 2 4 9 5" xfId="21993" xr:uid="{29E78852-3A43-4B51-86B6-4AD56E5AE6B5}"/>
    <cellStyle name="常规 6 2 2 4 9 6" xfId="21994" xr:uid="{D2A8BE97-880B-4C24-A99C-7A80A1E6F77B}"/>
    <cellStyle name="常规 6 2 2 4 9 7" xfId="21995" xr:uid="{4F917CCE-3237-4306-9701-0EEFCF1BC1A8}"/>
    <cellStyle name="常规 6 2 2 5" xfId="21996" xr:uid="{2E3E4576-A504-40C0-B2BC-25DFAA12A537}"/>
    <cellStyle name="常规 6 2 2 5 10" xfId="21997" xr:uid="{A641B2D3-EB58-40A2-AC4F-400848901282}"/>
    <cellStyle name="常规 6 2 2 5 11" xfId="21998" xr:uid="{A00401D0-536F-4847-9160-D27AC076DEB6}"/>
    <cellStyle name="常规 6 2 2 5 12" xfId="21999" xr:uid="{7A6F1408-5DCF-433C-A584-66D7F9AAB40B}"/>
    <cellStyle name="常规 6 2 2 5 13" xfId="22000" xr:uid="{809314A5-C4A0-449A-B29C-6D702911CD1C}"/>
    <cellStyle name="常规 6 2 2 5 14" xfId="22001" xr:uid="{918AA038-CA4E-4237-B5CD-FC9AE47754C6}"/>
    <cellStyle name="常规 6 2 2 5 15" xfId="22002" xr:uid="{4ECFEDD6-8BA3-4F39-B308-245F5CFDB6D1}"/>
    <cellStyle name="常规 6 2 2 5 16" xfId="22003" xr:uid="{13EC7691-A212-48C5-AEDE-C6F1B5B35E6C}"/>
    <cellStyle name="常规 6 2 2 5 2" xfId="22004" xr:uid="{DE249F14-90E3-4D91-83BD-3DEC841181BB}"/>
    <cellStyle name="常规 6 2 2 5 2 2" xfId="22005" xr:uid="{99CACC12-FB3E-457E-9D22-A433D913B342}"/>
    <cellStyle name="常规 6 2 2 5 2 2 2" xfId="22006" xr:uid="{043D2AC7-4D03-4928-921E-04E973EF5788}"/>
    <cellStyle name="常规 6 2 2 5 2 2 3" xfId="22007" xr:uid="{8C79C0E0-A3FB-4A03-9E2E-FFB818B56818}"/>
    <cellStyle name="常规 6 2 2 5 2 2 4" xfId="22008" xr:uid="{D13B6622-59AC-4D0E-AC21-187ECE0D4DF8}"/>
    <cellStyle name="常规 6 2 2 5 2 2 5" xfId="22009" xr:uid="{803953CE-D1C4-408E-8472-7370F41448D0}"/>
    <cellStyle name="常规 6 2 2 5 2 2 6" xfId="22010" xr:uid="{16694C07-1894-4616-8734-7E82A30D47E3}"/>
    <cellStyle name="常规 6 2 2 5 2 3" xfId="22011" xr:uid="{139D275E-F347-47BF-9A7E-EBAAE8677920}"/>
    <cellStyle name="常规 6 2 2 5 2 4" xfId="22012" xr:uid="{F9A20313-8D55-4129-B83B-84A04136D9E8}"/>
    <cellStyle name="常规 6 2 2 5 2 5" xfId="22013" xr:uid="{56FED396-49EF-4CAF-938C-05A7F8549484}"/>
    <cellStyle name="常规 6 2 2 5 2 6" xfId="22014" xr:uid="{DFA277CE-9D1C-44B3-9FB8-0D481EB80B6A}"/>
    <cellStyle name="常规 6 2 2 5 2 7" xfId="22015" xr:uid="{38AAF17A-D838-4495-9AF7-CB6AA54DCE7F}"/>
    <cellStyle name="常规 6 2 2 5 3" xfId="22016" xr:uid="{580BED4D-119F-407A-9DAE-B233F3F24AF2}"/>
    <cellStyle name="常规 6 2 2 5 3 2" xfId="22017" xr:uid="{04BDA0CF-68D9-4F80-883C-D9B45036BF82}"/>
    <cellStyle name="常规 6 2 2 5 3 2 2" xfId="22018" xr:uid="{5D3675F5-FD44-4F2F-9968-8647AAB32003}"/>
    <cellStyle name="常规 6 2 2 5 3 2 3" xfId="22019" xr:uid="{DC5731C0-C9EC-440C-8C45-C08EAB0BBA93}"/>
    <cellStyle name="常规 6 2 2 5 3 2 4" xfId="22020" xr:uid="{71782897-964A-4039-A3A1-70ECEE2191DB}"/>
    <cellStyle name="常规 6 2 2 5 3 2 5" xfId="22021" xr:uid="{4CC550D3-D649-467E-AA35-5D7A6736D9CF}"/>
    <cellStyle name="常规 6 2 2 5 3 2 6" xfId="22022" xr:uid="{EBE9258A-8748-49BC-8B11-15B08F9E04FF}"/>
    <cellStyle name="常规 6 2 2 5 3 3" xfId="22023" xr:uid="{63C8C9AF-0B7B-491A-830D-39F688C89FA1}"/>
    <cellStyle name="常规 6 2 2 5 3 4" xfId="22024" xr:uid="{0AC6B0C3-734E-4461-934E-02282E0E82C0}"/>
    <cellStyle name="常规 6 2 2 5 3 5" xfId="22025" xr:uid="{1EE16902-398E-48B8-83B6-F19E09162174}"/>
    <cellStyle name="常规 6 2 2 5 3 6" xfId="22026" xr:uid="{FAA419EB-13B4-412B-8834-327FE2F135D8}"/>
    <cellStyle name="常规 6 2 2 5 3 7" xfId="22027" xr:uid="{08193DCA-6D13-4E96-9246-2EAFAADF5118}"/>
    <cellStyle name="常规 6 2 2 5 4" xfId="22028" xr:uid="{30A7FAEA-BB1A-445E-8AF1-913AC9F8CF99}"/>
    <cellStyle name="常规 6 2 2 5 4 2" xfId="22029" xr:uid="{60AB5685-D6E2-46F7-9A9C-599CEF545AAE}"/>
    <cellStyle name="常规 6 2 2 5 4 2 2" xfId="22030" xr:uid="{E51EEE0F-C857-415D-B1CA-E0F464681750}"/>
    <cellStyle name="常规 6 2 2 5 4 2 3" xfId="22031" xr:uid="{5FAE6A79-F8A2-4E37-AB64-46F3FA011FC4}"/>
    <cellStyle name="常规 6 2 2 5 4 2 4" xfId="22032" xr:uid="{41738A5F-998F-4C3A-8A89-7A6AF0021702}"/>
    <cellStyle name="常规 6 2 2 5 4 2 5" xfId="22033" xr:uid="{D249FACC-1096-4BAB-8CB4-3E8264832948}"/>
    <cellStyle name="常规 6 2 2 5 4 2 6" xfId="22034" xr:uid="{D99F19E2-0EAA-4C80-8041-87603127E3DA}"/>
    <cellStyle name="常规 6 2 2 5 4 3" xfId="22035" xr:uid="{A6443B90-9075-40C3-8963-5BAA20F9B836}"/>
    <cellStyle name="常规 6 2 2 5 4 4" xfId="22036" xr:uid="{F3DA885A-CC1F-4C5C-B9C3-66BC950D160A}"/>
    <cellStyle name="常规 6 2 2 5 4 5" xfId="22037" xr:uid="{30C41446-2A33-47F0-B372-9C8F86CEC3F9}"/>
    <cellStyle name="常规 6 2 2 5 4 6" xfId="22038" xr:uid="{C90DADCD-44CA-4AE6-958B-54C7F86BF5AF}"/>
    <cellStyle name="常规 6 2 2 5 4 7" xfId="22039" xr:uid="{DC876B62-A220-47CC-ABA8-514DB45FC33F}"/>
    <cellStyle name="常规 6 2 2 5 5" xfId="22040" xr:uid="{D0EF511F-CBA1-4D50-B1D6-DC19FB9F02DF}"/>
    <cellStyle name="常规 6 2 2 5 5 2" xfId="22041" xr:uid="{EDD8880F-459B-472A-B3AC-ED6A34DBD214}"/>
    <cellStyle name="常规 6 2 2 5 5 2 2" xfId="22042" xr:uid="{60AC4773-891D-480C-A906-C01F39899981}"/>
    <cellStyle name="常规 6 2 2 5 5 2 3" xfId="22043" xr:uid="{AFF28F92-4368-49F6-82A6-F6C1D9137682}"/>
    <cellStyle name="常规 6 2 2 5 5 2 4" xfId="22044" xr:uid="{AD036E15-2D67-43B7-A0C7-F2EF16707129}"/>
    <cellStyle name="常规 6 2 2 5 5 2 5" xfId="22045" xr:uid="{215BD898-C84A-4F85-B36C-121019665204}"/>
    <cellStyle name="常规 6 2 2 5 5 2 6" xfId="22046" xr:uid="{AD6AE012-72D9-437B-B96C-2EA9FF08E768}"/>
    <cellStyle name="常规 6 2 2 5 5 3" xfId="22047" xr:uid="{15C287F8-FF56-4B7E-AF6D-C92CE7CE9A35}"/>
    <cellStyle name="常规 6 2 2 5 5 4" xfId="22048" xr:uid="{65CDBB7C-D8D5-4B86-95D8-39670C9847FB}"/>
    <cellStyle name="常规 6 2 2 5 5 5" xfId="22049" xr:uid="{C1661FFF-3C32-40B8-92A4-EBB332437ABB}"/>
    <cellStyle name="常规 6 2 2 5 5 6" xfId="22050" xr:uid="{C45CD254-19A1-448C-915F-8D0EE1F60836}"/>
    <cellStyle name="常规 6 2 2 5 5 7" xfId="22051" xr:uid="{8FA58230-799F-44CD-9B09-400FFD863C27}"/>
    <cellStyle name="常规 6 2 2 5 6" xfId="22052" xr:uid="{99F4D2DD-6DB4-42E8-B1FC-ECA68E148699}"/>
    <cellStyle name="常规 6 2 2 5 6 2" xfId="22053" xr:uid="{48535300-6997-4EED-B42E-AE51946355B7}"/>
    <cellStyle name="常规 6 2 2 5 6 2 2" xfId="22054" xr:uid="{B8681B35-28AE-4E0B-9B9C-A079F6BEF759}"/>
    <cellStyle name="常规 6 2 2 5 6 2 3" xfId="22055" xr:uid="{57C9F601-E592-4784-95EB-9C0DF7B9FF85}"/>
    <cellStyle name="常规 6 2 2 5 6 2 4" xfId="22056" xr:uid="{F736A59E-0149-4006-8600-588BB273D76A}"/>
    <cellStyle name="常规 6 2 2 5 6 2 5" xfId="22057" xr:uid="{8D8D7F41-3BB2-4C01-96A9-0893C3CE1379}"/>
    <cellStyle name="常规 6 2 2 5 6 2 6" xfId="22058" xr:uid="{3A8C0C5D-D3E8-43C7-BE6C-7747BB82F274}"/>
    <cellStyle name="常规 6 2 2 5 6 3" xfId="22059" xr:uid="{5C6E3D63-6281-4E11-A055-024162C9A578}"/>
    <cellStyle name="常规 6 2 2 5 6 4" xfId="22060" xr:uid="{63D254F4-2206-46E2-B4F7-6E1277C52908}"/>
    <cellStyle name="常规 6 2 2 5 6 5" xfId="22061" xr:uid="{98125BDB-37FA-4F30-99E9-998E37CB7A1E}"/>
    <cellStyle name="常规 6 2 2 5 6 6" xfId="22062" xr:uid="{261D9152-AC6C-4502-9343-89BA1300A7BC}"/>
    <cellStyle name="常规 6 2 2 5 6 7" xfId="22063" xr:uid="{52D1955F-595B-46D5-AE15-4B23520D3331}"/>
    <cellStyle name="常规 6 2 2 5 7" xfId="22064" xr:uid="{2D56302A-3CA0-45AE-8F5A-AAD6842C7846}"/>
    <cellStyle name="常规 6 2 2 5 7 2" xfId="22065" xr:uid="{65F25C70-321B-4E0B-A4C1-2809EC0EF4E3}"/>
    <cellStyle name="常规 6 2 2 5 7 2 2" xfId="22066" xr:uid="{F978E45F-9B36-4F5F-826E-76217FE4EF4B}"/>
    <cellStyle name="常规 6 2 2 5 7 2 3" xfId="22067" xr:uid="{25A7E24F-0C92-44EA-A211-5D2063CE613E}"/>
    <cellStyle name="常规 6 2 2 5 7 2 4" xfId="22068" xr:uid="{3E685F46-C26B-4809-AA36-9527BFA6EFDF}"/>
    <cellStyle name="常规 6 2 2 5 7 2 5" xfId="22069" xr:uid="{AF6273F3-928F-47E6-80CB-3FA882572976}"/>
    <cellStyle name="常规 6 2 2 5 7 2 6" xfId="22070" xr:uid="{607C512F-711F-4B2D-ACD0-6C0E0D5815DD}"/>
    <cellStyle name="常规 6 2 2 5 7 3" xfId="22071" xr:uid="{5D36A331-E24F-4196-8018-47FC3869C569}"/>
    <cellStyle name="常规 6 2 2 5 7 4" xfId="22072" xr:uid="{E225CB35-B3A2-4940-A0BE-31EA1511015C}"/>
    <cellStyle name="常规 6 2 2 5 7 5" xfId="22073" xr:uid="{BBEEB6E8-749D-46E1-AFE3-4FA027E58795}"/>
    <cellStyle name="常规 6 2 2 5 7 6" xfId="22074" xr:uid="{308E7A91-D7C7-4CE3-950F-8D41A784F2F7}"/>
    <cellStyle name="常规 6 2 2 5 7 7" xfId="22075" xr:uid="{F46BFECC-F823-4DC5-8B52-7F156101415C}"/>
    <cellStyle name="常规 6 2 2 5 8" xfId="22076" xr:uid="{D1F1A322-833C-4160-8C5E-20734B6137F3}"/>
    <cellStyle name="常规 6 2 2 5 8 2" xfId="22077" xr:uid="{D1A0572D-D58E-4A19-8955-6B604A04BBB1}"/>
    <cellStyle name="常规 6 2 2 5 8 2 2" xfId="22078" xr:uid="{A8AB973A-3077-43BA-AAD2-328B4EC18D84}"/>
    <cellStyle name="常规 6 2 2 5 8 2 3" xfId="22079" xr:uid="{C31B1226-C215-479A-91FF-7225A1F99CCB}"/>
    <cellStyle name="常规 6 2 2 5 8 2 4" xfId="22080" xr:uid="{9BF80A4A-678F-40F6-957A-A0CF681A3265}"/>
    <cellStyle name="常规 6 2 2 5 8 2 5" xfId="22081" xr:uid="{3970FC00-B78C-4A99-A528-199B127A45BB}"/>
    <cellStyle name="常规 6 2 2 5 8 2 6" xfId="22082" xr:uid="{BFC2BF72-32DA-45B9-BE09-C8A0D055E453}"/>
    <cellStyle name="常规 6 2 2 5 8 3" xfId="22083" xr:uid="{0B734619-EF8D-4F21-8C30-B2ED119C8AE4}"/>
    <cellStyle name="常规 6 2 2 5 8 4" xfId="22084" xr:uid="{499D23DB-6B2C-4770-9BFB-3EC31251121A}"/>
    <cellStyle name="常规 6 2 2 5 8 5" xfId="22085" xr:uid="{5B5731BD-0021-4053-8564-9888CC1CEF6D}"/>
    <cellStyle name="常规 6 2 2 5 8 6" xfId="22086" xr:uid="{BEB35A21-9D28-460B-9583-1A5D86772165}"/>
    <cellStyle name="常规 6 2 2 5 8 7" xfId="22087" xr:uid="{0E631940-0182-44D4-BB51-07ACA1E828CA}"/>
    <cellStyle name="常规 6 2 2 5 9" xfId="22088" xr:uid="{32B69787-F509-4188-A821-E16B111F6545}"/>
    <cellStyle name="常规 6 2 2 5 9 2" xfId="22089" xr:uid="{74EBEE67-00A3-469D-BB97-1E60BFF31A9F}"/>
    <cellStyle name="常规 6 2 2 5 9 3" xfId="22090" xr:uid="{AE40F747-ADE9-4B51-9814-65EC955FC9A1}"/>
    <cellStyle name="常规 6 2 2 5 9 4" xfId="22091" xr:uid="{5C5D4075-9CA2-489F-9B54-0F5DB1DA6442}"/>
    <cellStyle name="常规 6 2 2 5 9 5" xfId="22092" xr:uid="{9DBA5DBC-A53F-4A59-B7E2-7F41B7204A96}"/>
    <cellStyle name="常规 6 2 2 5 9 6" xfId="22093" xr:uid="{C4C9B101-F226-4FA3-B049-0B779B46CBA4}"/>
    <cellStyle name="常规 6 2 2 6" xfId="22094" xr:uid="{2C44CD85-9F7B-4DD9-8896-84C0A043F17B}"/>
    <cellStyle name="常规 6 2 2 6 10" xfId="22095" xr:uid="{06840466-18AF-4960-817D-B17261DEC1C8}"/>
    <cellStyle name="常规 6 2 2 6 11" xfId="22096" xr:uid="{8A66C486-A9AB-45FD-AAA2-038D961FF47E}"/>
    <cellStyle name="常规 6 2 2 6 12" xfId="22097" xr:uid="{45C171C4-6796-4808-BAB6-682F15C2D813}"/>
    <cellStyle name="常规 6 2 2 6 13" xfId="22098" xr:uid="{5481209F-C304-48E0-8C76-E44C57705985}"/>
    <cellStyle name="常规 6 2 2 6 14" xfId="22099" xr:uid="{DA3A55AC-4DB2-4B61-8279-229B0B4C536D}"/>
    <cellStyle name="常规 6 2 2 6 2" xfId="22100" xr:uid="{EFFD5BD5-175F-4E2D-8816-CA44608F6934}"/>
    <cellStyle name="常规 6 2 2 6 2 2" xfId="22101" xr:uid="{66A04746-D244-45A5-B05D-88A62ABB1A7B}"/>
    <cellStyle name="常规 6 2 2 6 2 2 2" xfId="22102" xr:uid="{BB0CCC79-1C87-4670-93C3-49DB5A0AFF1F}"/>
    <cellStyle name="常规 6 2 2 6 2 2 3" xfId="22103" xr:uid="{355C860E-FF51-420E-91FE-D259B9917FB0}"/>
    <cellStyle name="常规 6 2 2 6 2 2 4" xfId="22104" xr:uid="{C304804A-9833-4243-A5F4-0378F838C537}"/>
    <cellStyle name="常规 6 2 2 6 2 2 5" xfId="22105" xr:uid="{27B03DC9-9A4D-458A-8C6B-A44C90012DFC}"/>
    <cellStyle name="常规 6 2 2 6 2 2 6" xfId="22106" xr:uid="{E32750B3-A218-4649-8753-2E30D23E4361}"/>
    <cellStyle name="常规 6 2 2 6 2 3" xfId="22107" xr:uid="{305F512D-30C3-40A2-88E3-344F0CF0E0B4}"/>
    <cellStyle name="常规 6 2 2 6 2 4" xfId="22108" xr:uid="{E7E9ABA1-1091-429B-9A3F-815AE95128D0}"/>
    <cellStyle name="常规 6 2 2 6 2 5" xfId="22109" xr:uid="{89621BED-3077-4E8C-83E0-2A94EA43111C}"/>
    <cellStyle name="常规 6 2 2 6 2 6" xfId="22110" xr:uid="{80C44D52-3EA9-4766-8ABE-7CFD6041D640}"/>
    <cellStyle name="常规 6 2 2 6 2 7" xfId="22111" xr:uid="{E826FEFA-B858-4B76-9E53-84F72C6DB45A}"/>
    <cellStyle name="常规 6 2 2 6 3" xfId="22112" xr:uid="{76968EBA-73A5-4E57-B84F-6E03C1067991}"/>
    <cellStyle name="常规 6 2 2 6 3 2" xfId="22113" xr:uid="{6DA3018F-1BEB-4051-ACF1-5AFD44FE32FB}"/>
    <cellStyle name="常规 6 2 2 6 3 2 2" xfId="22114" xr:uid="{220CA1A6-713D-4F6B-B291-70CA1D040757}"/>
    <cellStyle name="常规 6 2 2 6 3 2 3" xfId="22115" xr:uid="{CAE16FBA-4667-4621-BB12-E2984D555110}"/>
    <cellStyle name="常规 6 2 2 6 3 2 4" xfId="22116" xr:uid="{1BDB54C3-37B7-4069-8C25-6B0D98CE4141}"/>
    <cellStyle name="常规 6 2 2 6 3 2 5" xfId="22117" xr:uid="{AFCC9079-2335-4573-80AC-0FAD32AA1D2D}"/>
    <cellStyle name="常规 6 2 2 6 3 2 6" xfId="22118" xr:uid="{930477AE-BBFD-4E31-8A30-DD0A95BA536E}"/>
    <cellStyle name="常规 6 2 2 6 3 3" xfId="22119" xr:uid="{7537F4B0-BDEB-4B4E-8AA7-E5CC46929E75}"/>
    <cellStyle name="常规 6 2 2 6 3 4" xfId="22120" xr:uid="{0FEECCBC-1459-4477-BA4A-04E7A6C65C8D}"/>
    <cellStyle name="常规 6 2 2 6 3 5" xfId="22121" xr:uid="{D0C8423C-8D0E-4B3D-B75E-386D9555D2A2}"/>
    <cellStyle name="常规 6 2 2 6 3 6" xfId="22122" xr:uid="{5746B0C5-9F49-4608-BF0A-BCCFBEA7D797}"/>
    <cellStyle name="常规 6 2 2 6 3 7" xfId="22123" xr:uid="{60BD55F0-23CE-49C2-8591-533E0E7CD819}"/>
    <cellStyle name="常规 6 2 2 6 4" xfId="22124" xr:uid="{02D2C5C7-61F7-4BE5-9D53-0CBFC14F9E39}"/>
    <cellStyle name="常规 6 2 2 6 4 2" xfId="22125" xr:uid="{C9E47787-BF87-47D4-8007-F42997017250}"/>
    <cellStyle name="常规 6 2 2 6 4 2 2" xfId="22126" xr:uid="{B3B54321-4E42-4E57-80D6-3626E8B1B105}"/>
    <cellStyle name="常规 6 2 2 6 4 2 3" xfId="22127" xr:uid="{2C25F860-DAF3-4EEB-92E6-D92475EBF2FF}"/>
    <cellStyle name="常规 6 2 2 6 4 2 4" xfId="22128" xr:uid="{C8EB3B8C-BF92-46A8-8650-8784D9E6D458}"/>
    <cellStyle name="常规 6 2 2 6 4 2 5" xfId="22129" xr:uid="{695E87D4-422B-4459-B16E-EE9F101DBBB1}"/>
    <cellStyle name="常规 6 2 2 6 4 2 6" xfId="22130" xr:uid="{B4C4D201-F21B-49F6-8001-870C04FB89FE}"/>
    <cellStyle name="常规 6 2 2 6 4 3" xfId="22131" xr:uid="{6A007563-0728-4A5E-B7DB-C3A968D58032}"/>
    <cellStyle name="常规 6 2 2 6 4 4" xfId="22132" xr:uid="{4479F207-5B42-4448-9AD5-22D93C31C040}"/>
    <cellStyle name="常规 6 2 2 6 4 5" xfId="22133" xr:uid="{DE5CC784-91E3-4011-B52E-ED5B383F0AC7}"/>
    <cellStyle name="常规 6 2 2 6 4 6" xfId="22134" xr:uid="{D088E261-6976-4C6A-B829-245EC4C446FE}"/>
    <cellStyle name="常规 6 2 2 6 4 7" xfId="22135" xr:uid="{6E9FA0E4-AD34-4D43-B0EB-48D72A3BD4F0}"/>
    <cellStyle name="常规 6 2 2 6 5" xfId="22136" xr:uid="{22D10830-6799-4218-9641-A185C0130852}"/>
    <cellStyle name="常规 6 2 2 6 5 2" xfId="22137" xr:uid="{F4900137-DE56-4E43-8497-D139ADCA5A06}"/>
    <cellStyle name="常规 6 2 2 6 5 2 2" xfId="22138" xr:uid="{6FCB4F65-9ACF-41FB-9A97-4DCB5A67C21C}"/>
    <cellStyle name="常规 6 2 2 6 5 2 3" xfId="22139" xr:uid="{BF06AD3B-00C1-4564-A176-DEA34F61F8DB}"/>
    <cellStyle name="常规 6 2 2 6 5 2 4" xfId="22140" xr:uid="{97C3D967-6022-4E90-B728-75BBBB65009D}"/>
    <cellStyle name="常规 6 2 2 6 5 2 5" xfId="22141" xr:uid="{7D37381B-C8BB-4B8D-9F25-228B8254EC63}"/>
    <cellStyle name="常规 6 2 2 6 5 2 6" xfId="22142" xr:uid="{5B974E33-C092-4F68-9EEF-AC5FA157264E}"/>
    <cellStyle name="常规 6 2 2 6 5 3" xfId="22143" xr:uid="{E5B9D9EB-1293-4BB7-918C-69D84AB37B86}"/>
    <cellStyle name="常规 6 2 2 6 5 4" xfId="22144" xr:uid="{5297CCE0-1D2A-4B89-B9D9-469E4ABF9ABE}"/>
    <cellStyle name="常规 6 2 2 6 5 5" xfId="22145" xr:uid="{89B226C1-EA0E-4A09-AE74-2DC6432D9FB1}"/>
    <cellStyle name="常规 6 2 2 6 5 6" xfId="22146" xr:uid="{3EB64E99-78DE-4568-97A9-8468F54FC233}"/>
    <cellStyle name="常规 6 2 2 6 5 7" xfId="22147" xr:uid="{81ABB35C-C81F-4279-979A-0D4B6FD462E5}"/>
    <cellStyle name="常规 6 2 2 6 6" xfId="22148" xr:uid="{9D468DF5-595E-4BA9-A155-CC13619C9055}"/>
    <cellStyle name="常规 6 2 2 6 6 2" xfId="22149" xr:uid="{20286243-5368-437D-A960-F278AAD97E53}"/>
    <cellStyle name="常规 6 2 2 6 6 2 2" xfId="22150" xr:uid="{BCA91F0E-538A-4AD1-9D69-89D95AD2EDF3}"/>
    <cellStyle name="常规 6 2 2 6 6 2 3" xfId="22151" xr:uid="{17FA774A-51C3-4FF1-9375-A7807875BD29}"/>
    <cellStyle name="常规 6 2 2 6 6 2 4" xfId="22152" xr:uid="{BC14F49F-8417-473F-83BB-0DD94A7FCD69}"/>
    <cellStyle name="常规 6 2 2 6 6 2 5" xfId="22153" xr:uid="{EB1A4991-5758-43D5-8432-60B5A328D4C8}"/>
    <cellStyle name="常规 6 2 2 6 6 2 6" xfId="22154" xr:uid="{A852B935-EBCE-4AC8-80E6-ECEE245C328F}"/>
    <cellStyle name="常规 6 2 2 6 6 3" xfId="22155" xr:uid="{FC9D4659-EAB4-4FCD-BE2C-F7F096B038AB}"/>
    <cellStyle name="常规 6 2 2 6 6 4" xfId="22156" xr:uid="{278BB35B-FFE8-4AEE-BF01-247C27E94FA0}"/>
    <cellStyle name="常规 6 2 2 6 6 5" xfId="22157" xr:uid="{7B9C980A-B0B4-47F1-9AFF-6A879A20E424}"/>
    <cellStyle name="常规 6 2 2 6 6 6" xfId="22158" xr:uid="{4C3BCC6A-86CA-4979-A415-C55A899AB1A2}"/>
    <cellStyle name="常规 6 2 2 6 6 7" xfId="22159" xr:uid="{518FC286-DA6D-479E-A9EF-87A18FF8E8BA}"/>
    <cellStyle name="常规 6 2 2 6 7" xfId="22160" xr:uid="{3A73D049-20ED-4CE4-A2B7-9DE3E3505E01}"/>
    <cellStyle name="常规 6 2 2 6 7 2" xfId="22161" xr:uid="{60355531-F088-4AB5-B66D-C78C7BD3FFEC}"/>
    <cellStyle name="常规 6 2 2 6 7 2 2" xfId="22162" xr:uid="{2EC841C9-D350-4656-B713-89F88CA81CC9}"/>
    <cellStyle name="常规 6 2 2 6 7 2 3" xfId="22163" xr:uid="{813259AC-488E-4E1C-84A3-34D40194ECCA}"/>
    <cellStyle name="常规 6 2 2 6 7 2 4" xfId="22164" xr:uid="{C4F0F717-EA8B-4CDA-9911-186E9FB10554}"/>
    <cellStyle name="常规 6 2 2 6 7 2 5" xfId="22165" xr:uid="{4B99B5EC-5BCA-49FD-99A1-9CCFD4C342A0}"/>
    <cellStyle name="常规 6 2 2 6 7 2 6" xfId="22166" xr:uid="{7E344023-24DC-4223-82B7-190DAD38DF65}"/>
    <cellStyle name="常规 6 2 2 6 7 3" xfId="22167" xr:uid="{BBD5F9AB-E8FE-4652-822F-D3599A778C2A}"/>
    <cellStyle name="常规 6 2 2 6 7 4" xfId="22168" xr:uid="{4FD43D85-2E51-453C-9849-8FABE9043377}"/>
    <cellStyle name="常规 6 2 2 6 7 5" xfId="22169" xr:uid="{7514FED4-8DA7-4709-AC1B-599313AABF15}"/>
    <cellStyle name="常规 6 2 2 6 7 6" xfId="22170" xr:uid="{4A6FFB55-55F8-42A5-9B94-0A733C172531}"/>
    <cellStyle name="常规 6 2 2 6 7 7" xfId="22171" xr:uid="{DE237CEB-512E-4B06-BE97-86245FFC7B26}"/>
    <cellStyle name="常规 6 2 2 6 8" xfId="22172" xr:uid="{D6CE434C-C10A-4248-8545-37AB0280FDAA}"/>
    <cellStyle name="常规 6 2 2 6 8 2" xfId="22173" xr:uid="{46BB958A-11CB-4D33-B796-087B39C8A7C6}"/>
    <cellStyle name="常规 6 2 2 6 8 3" xfId="22174" xr:uid="{6CF6934B-EFCE-4547-B1F3-97635D4DC7EE}"/>
    <cellStyle name="常规 6 2 2 6 8 4" xfId="22175" xr:uid="{245AC146-1A77-423A-A42D-00CB966A8795}"/>
    <cellStyle name="常规 6 2 2 6 8 5" xfId="22176" xr:uid="{3A00A042-952B-4199-95A6-C493F15D76E2}"/>
    <cellStyle name="常规 6 2 2 6 8 6" xfId="22177" xr:uid="{F68811DB-DE09-414A-94C3-F6FDC742A1DB}"/>
    <cellStyle name="常规 6 2 2 6 9" xfId="22178" xr:uid="{A5C680ED-2C8D-4B2D-BDA1-E9EB4696E143}"/>
    <cellStyle name="常规 6 2 2 7" xfId="22179" xr:uid="{F84172C0-262C-4785-80F7-47901BAB22BF}"/>
    <cellStyle name="常规 6 2 2 7 10" xfId="22180" xr:uid="{7BC4A776-7742-4443-AC5E-6C33897F9751}"/>
    <cellStyle name="常规 6 2 2 7 11" xfId="22181" xr:uid="{C3932C24-0E95-4ACE-BDAB-DEFF0208F3E4}"/>
    <cellStyle name="常规 6 2 2 7 12" xfId="22182" xr:uid="{2CB0F48F-0773-427E-9F0C-42D3E59D8FD2}"/>
    <cellStyle name="常规 6 2 2 7 13" xfId="22183" xr:uid="{3E050278-00DB-41F5-B8A8-8AD1D16ABBB2}"/>
    <cellStyle name="常规 6 2 2 7 14" xfId="34510" xr:uid="{857FCB84-CB61-41D1-9944-EF225F237670}"/>
    <cellStyle name="常规 6 2 2 7 2" xfId="22184" xr:uid="{CAD59EE2-E00E-42E9-9C0D-97DE0A0E829F}"/>
    <cellStyle name="常规 6 2 2 7 2 2" xfId="22185" xr:uid="{89D2BF99-EEF7-4641-9C86-5A7BD7829FBA}"/>
    <cellStyle name="常规 6 2 2 7 2 2 2" xfId="22186" xr:uid="{FB4E2E64-50F9-4BE1-AF84-8B646379E858}"/>
    <cellStyle name="常规 6 2 2 7 2 2 3" xfId="22187" xr:uid="{200FAEF8-EF2F-412D-8E86-7833C7ABE299}"/>
    <cellStyle name="常规 6 2 2 7 2 2 4" xfId="22188" xr:uid="{3993779C-4755-4E03-A52E-D061D7E9275A}"/>
    <cellStyle name="常规 6 2 2 7 2 2 5" xfId="22189" xr:uid="{2AF93D84-E437-48C4-ABFC-AA15F976636B}"/>
    <cellStyle name="常规 6 2 2 7 2 2 6" xfId="22190" xr:uid="{B3C8530F-0123-4200-A3FA-69730637AF79}"/>
    <cellStyle name="常规 6 2 2 7 2 3" xfId="22191" xr:uid="{BCD719D0-F95A-402C-BD16-323A0AD3AEC3}"/>
    <cellStyle name="常规 6 2 2 7 2 4" xfId="22192" xr:uid="{6878EAA1-098A-40F1-AE51-58EBB516B018}"/>
    <cellStyle name="常规 6 2 2 7 2 5" xfId="22193" xr:uid="{AD65F738-E224-4A12-BA91-18F6BF9375A2}"/>
    <cellStyle name="常规 6 2 2 7 2 6" xfId="22194" xr:uid="{8D170DD9-BD92-46F3-A9D8-492F33D8DF53}"/>
    <cellStyle name="常规 6 2 2 7 2 7" xfId="22195" xr:uid="{364A3D5F-9072-4694-931E-4270BD5024EC}"/>
    <cellStyle name="常规 6 2 2 7 3" xfId="22196" xr:uid="{2AD9735D-103B-47F7-8A4E-61F8318CD831}"/>
    <cellStyle name="常规 6 2 2 7 3 2" xfId="22197" xr:uid="{C29F8DD0-9A00-4885-BA9C-78532773B535}"/>
    <cellStyle name="常规 6 2 2 7 3 2 2" xfId="22198" xr:uid="{840F1445-A1E3-44AC-9CD0-1E8113894948}"/>
    <cellStyle name="常规 6 2 2 7 3 2 3" xfId="22199" xr:uid="{B2F5380B-422F-4260-80FE-3D394986639B}"/>
    <cellStyle name="常规 6 2 2 7 3 2 4" xfId="22200" xr:uid="{55847F77-F3E1-4B21-9A4F-D7A0B21CE85C}"/>
    <cellStyle name="常规 6 2 2 7 3 2 5" xfId="22201" xr:uid="{DC2B98E7-FB8A-4FA2-BDC3-2717F2E96716}"/>
    <cellStyle name="常规 6 2 2 7 3 2 6" xfId="22202" xr:uid="{44F5B551-047C-4D9C-87D5-0D7D41ECBF07}"/>
    <cellStyle name="常规 6 2 2 7 3 3" xfId="22203" xr:uid="{74B5666B-5934-4847-8A17-8DBCAA4313C4}"/>
    <cellStyle name="常规 6 2 2 7 3 4" xfId="22204" xr:uid="{E0CAEC2F-CD43-47A8-801F-6DF72E0001A1}"/>
    <cellStyle name="常规 6 2 2 7 3 5" xfId="22205" xr:uid="{FACF77F3-8704-44E3-BFCA-B2EF6BC8775B}"/>
    <cellStyle name="常规 6 2 2 7 3 6" xfId="22206" xr:uid="{C07A092D-560E-418D-998B-0917DE188D42}"/>
    <cellStyle name="常规 6 2 2 7 3 7" xfId="22207" xr:uid="{0F575765-EF17-4DD2-A904-E4D19DB82F75}"/>
    <cellStyle name="常规 6 2 2 7 4" xfId="22208" xr:uid="{C743D460-CB4D-4DF7-BB4B-6D687B54882E}"/>
    <cellStyle name="常规 6 2 2 7 4 2" xfId="22209" xr:uid="{4941774A-2553-46E8-B737-C4C911FE029D}"/>
    <cellStyle name="常规 6 2 2 7 4 2 2" xfId="22210" xr:uid="{316C94A7-2999-4B2D-9008-69F34F043FE4}"/>
    <cellStyle name="常规 6 2 2 7 4 2 3" xfId="22211" xr:uid="{05FCCB4D-1140-4834-BCD9-DEB14E3605F6}"/>
    <cellStyle name="常规 6 2 2 7 4 2 4" xfId="22212" xr:uid="{BFF9FADE-932D-439F-BC60-11028A47F2B8}"/>
    <cellStyle name="常规 6 2 2 7 4 2 5" xfId="22213" xr:uid="{29B3D7D7-5171-4F97-992E-25CAA769A8A3}"/>
    <cellStyle name="常规 6 2 2 7 4 2 6" xfId="22214" xr:uid="{87A52145-DA73-4D73-9212-9D5558FA5B70}"/>
    <cellStyle name="常规 6 2 2 7 4 3" xfId="22215" xr:uid="{99EF327B-E995-42AD-BDC2-DBE232F2A982}"/>
    <cellStyle name="常规 6 2 2 7 4 4" xfId="22216" xr:uid="{DA980963-9725-4B2E-983F-BC61A320FF3F}"/>
    <cellStyle name="常规 6 2 2 7 4 5" xfId="22217" xr:uid="{7CAAAD24-DD55-4CA6-868F-DA6E4DE0A34C}"/>
    <cellStyle name="常规 6 2 2 7 4 6" xfId="22218" xr:uid="{62375A71-1CF7-40AA-85F2-377EFA5C42D4}"/>
    <cellStyle name="常规 6 2 2 7 4 7" xfId="22219" xr:uid="{FD7B454E-07FC-4FF8-9F30-6C2197F61988}"/>
    <cellStyle name="常规 6 2 2 7 5" xfId="22220" xr:uid="{F60F563E-25BE-4C84-B4C9-F3C226BAFFC2}"/>
    <cellStyle name="常规 6 2 2 7 5 2" xfId="22221" xr:uid="{8728AAC2-4901-4250-9A0F-A30381A66CC5}"/>
    <cellStyle name="常规 6 2 2 7 5 2 2" xfId="22222" xr:uid="{1B0B2AF6-4F37-437D-BFB0-32D7544FCBD8}"/>
    <cellStyle name="常规 6 2 2 7 5 2 3" xfId="22223" xr:uid="{271D73E4-2721-436B-BEB0-C4E50DB29DAE}"/>
    <cellStyle name="常规 6 2 2 7 5 2 4" xfId="22224" xr:uid="{37F359AF-B567-4152-B687-3ED7D176E0AC}"/>
    <cellStyle name="常规 6 2 2 7 5 2 5" xfId="22225" xr:uid="{3B7D97A5-3A15-4CD8-80C9-15EDAF4B3E91}"/>
    <cellStyle name="常规 6 2 2 7 5 2 6" xfId="22226" xr:uid="{D1F7F66C-3782-4A55-B8A5-6A432828B200}"/>
    <cellStyle name="常规 6 2 2 7 5 3" xfId="22227" xr:uid="{11EA1362-D89C-46D5-9ED8-270F57034CC3}"/>
    <cellStyle name="常规 6 2 2 7 5 4" xfId="22228" xr:uid="{9EE85599-A1BC-4CF7-A30B-4B2CBEC86743}"/>
    <cellStyle name="常规 6 2 2 7 5 5" xfId="22229" xr:uid="{2C73FBE3-081D-432C-B117-0FDF6C99A496}"/>
    <cellStyle name="常规 6 2 2 7 5 6" xfId="22230" xr:uid="{F044045E-AF7C-4DA7-B640-54026AF34227}"/>
    <cellStyle name="常规 6 2 2 7 5 7" xfId="22231" xr:uid="{5B21F49F-7BBA-48FA-897B-37B499C88422}"/>
    <cellStyle name="常规 6 2 2 7 6" xfId="22232" xr:uid="{2391BE4C-798F-4A7F-AAA9-B8840C6CCB39}"/>
    <cellStyle name="常规 6 2 2 7 6 2" xfId="22233" xr:uid="{C5C8E58A-88BA-41AB-B10C-1ACF2C2B6DDD}"/>
    <cellStyle name="常规 6 2 2 7 6 2 2" xfId="22234" xr:uid="{40FF2434-48DC-44F3-BD7D-E49F4353CC49}"/>
    <cellStyle name="常规 6 2 2 7 6 2 3" xfId="22235" xr:uid="{B463BAA3-36ED-41F2-B286-0FE3782CAE1A}"/>
    <cellStyle name="常规 6 2 2 7 6 2 4" xfId="22236" xr:uid="{9F6EAA76-3366-4611-A7B2-23896ED89B92}"/>
    <cellStyle name="常规 6 2 2 7 6 2 5" xfId="22237" xr:uid="{D631F3E4-56DE-4033-AF8F-9D3065886B2F}"/>
    <cellStyle name="常规 6 2 2 7 6 2 6" xfId="22238" xr:uid="{512F70F7-A3BD-49FA-BE82-08ED36BC5D50}"/>
    <cellStyle name="常规 6 2 2 7 6 3" xfId="22239" xr:uid="{639847A3-8B31-4DAD-A8AC-3F33ACD267EE}"/>
    <cellStyle name="常规 6 2 2 7 6 4" xfId="22240" xr:uid="{524BD76D-F4CC-4378-84A1-AC1A7141B926}"/>
    <cellStyle name="常规 6 2 2 7 6 5" xfId="22241" xr:uid="{C80EAB94-7E34-4300-9BB6-D9D9CC3856A8}"/>
    <cellStyle name="常规 6 2 2 7 6 6" xfId="22242" xr:uid="{E0DDFAC8-2BD3-4FD4-9C26-AF4EED49ED5D}"/>
    <cellStyle name="常规 6 2 2 7 6 7" xfId="22243" xr:uid="{71C66327-F7A8-4EB1-BD3D-5E125772A03A}"/>
    <cellStyle name="常规 6 2 2 7 7" xfId="22244" xr:uid="{3FEC890A-4E3C-43CA-AF56-0F2A5945E4B9}"/>
    <cellStyle name="常规 6 2 2 7 7 2" xfId="22245" xr:uid="{5EC232E6-B503-4A07-BBBF-36B3DBD4095F}"/>
    <cellStyle name="常规 6 2 2 7 7 3" xfId="22246" xr:uid="{1D6E3A15-E06C-4455-AD61-6A7E1F4A0364}"/>
    <cellStyle name="常规 6 2 2 7 7 4" xfId="22247" xr:uid="{EE63F5C5-B2F9-4669-9ACC-21F7CA9B052D}"/>
    <cellStyle name="常规 6 2 2 7 7 5" xfId="22248" xr:uid="{396C76B9-F2DC-484F-AA7A-A98ADAE286E9}"/>
    <cellStyle name="常规 6 2 2 7 7 6" xfId="22249" xr:uid="{1A6AD030-0B6C-4A48-9ED6-EA1745DEAA34}"/>
    <cellStyle name="常规 6 2 2 7 8" xfId="22250" xr:uid="{727F59FA-2615-4D27-B517-FBAFB14A5427}"/>
    <cellStyle name="常规 6 2 2 7 9" xfId="22251" xr:uid="{ADC090F7-8854-42B8-8656-C5F10DD406EE}"/>
    <cellStyle name="常规 6 2 2 8" xfId="22252" xr:uid="{B9263FD4-75E1-4AF4-A536-F10B3BC33287}"/>
    <cellStyle name="常规 6 2 2 8 10" xfId="22253" xr:uid="{B518C6E6-301D-4C50-AAF2-E66B4492F925}"/>
    <cellStyle name="常规 6 2 2 8 11" xfId="22254" xr:uid="{9F02BC9E-09F5-467E-8A3D-C0EB6CE9E4C4}"/>
    <cellStyle name="常规 6 2 2 8 12" xfId="22255" xr:uid="{01ADF3FF-5989-4EE1-8959-288249C22ACF}"/>
    <cellStyle name="常规 6 2 2 8 2" xfId="22256" xr:uid="{3D4EAEE2-5ECC-44E7-9A3B-EC4D61BBA276}"/>
    <cellStyle name="常规 6 2 2 8 2 2" xfId="22257" xr:uid="{11CB7D3E-CB34-4605-83DC-44EA8E94832E}"/>
    <cellStyle name="常规 6 2 2 8 2 2 2" xfId="22258" xr:uid="{5B51F7FA-6063-4D13-80F0-60280961F342}"/>
    <cellStyle name="常规 6 2 2 8 2 2 3" xfId="22259" xr:uid="{D16D251E-632B-4302-9838-208D7BF00F2F}"/>
    <cellStyle name="常规 6 2 2 8 2 2 4" xfId="22260" xr:uid="{877A01C2-FC79-41E9-A4FD-D77ABFE803C4}"/>
    <cellStyle name="常规 6 2 2 8 2 2 5" xfId="22261" xr:uid="{DE75B322-7745-48EB-B790-65AF192B2AB3}"/>
    <cellStyle name="常规 6 2 2 8 2 2 6" xfId="22262" xr:uid="{FADDE975-8596-43EB-A594-AF0DED90FF88}"/>
    <cellStyle name="常规 6 2 2 8 2 3" xfId="22263" xr:uid="{C043D457-8C69-4E31-9550-6842D51C5311}"/>
    <cellStyle name="常规 6 2 2 8 2 4" xfId="22264" xr:uid="{8A39689D-907A-4583-B72C-0B07607E26EC}"/>
    <cellStyle name="常规 6 2 2 8 2 5" xfId="22265" xr:uid="{CCC59805-2AF3-4FCE-A866-577745DEC236}"/>
    <cellStyle name="常规 6 2 2 8 2 6" xfId="22266" xr:uid="{EDC18CB2-3BBC-4E4F-9C81-BD8EE601315E}"/>
    <cellStyle name="常规 6 2 2 8 2 7" xfId="22267" xr:uid="{0B55F7A2-23AC-4ECC-8D1D-225B3892ADCF}"/>
    <cellStyle name="常规 6 2 2 8 3" xfId="22268" xr:uid="{D794894A-0213-47CA-B69A-E87233BF4182}"/>
    <cellStyle name="常规 6 2 2 8 3 2" xfId="22269" xr:uid="{CAA628B6-C3BC-4067-B024-EB4FFDD8D1C5}"/>
    <cellStyle name="常规 6 2 2 8 3 2 2" xfId="22270" xr:uid="{E5054AD4-4B5A-4330-937A-33201EA6F865}"/>
    <cellStyle name="常规 6 2 2 8 3 2 3" xfId="22271" xr:uid="{1A8417BE-F594-40F5-A06E-5AF40C0E1599}"/>
    <cellStyle name="常规 6 2 2 8 3 2 4" xfId="22272" xr:uid="{5AA10B28-899C-4C38-8D00-C9BEC744211D}"/>
    <cellStyle name="常规 6 2 2 8 3 2 5" xfId="22273" xr:uid="{FDE45335-A8EE-47DA-AEFA-116AD8C9B9FF}"/>
    <cellStyle name="常规 6 2 2 8 3 2 6" xfId="22274" xr:uid="{B13125E4-A4CF-486B-AD77-C03818A254B3}"/>
    <cellStyle name="常规 6 2 2 8 3 3" xfId="22275" xr:uid="{C9223CFF-5611-4B67-AC6B-DADA76BB1A20}"/>
    <cellStyle name="常规 6 2 2 8 3 4" xfId="22276" xr:uid="{6F4A5506-3D81-4BF4-897D-AED4AE6E4BED}"/>
    <cellStyle name="常规 6 2 2 8 3 5" xfId="22277" xr:uid="{5CD71E52-2A48-4747-8E8F-32A09A1F32E0}"/>
    <cellStyle name="常规 6 2 2 8 3 6" xfId="22278" xr:uid="{95D91FD9-684E-40A1-8505-337083F11ABF}"/>
    <cellStyle name="常规 6 2 2 8 3 7" xfId="22279" xr:uid="{EF726D92-5A2B-420F-A16C-F04167553513}"/>
    <cellStyle name="常规 6 2 2 8 4" xfId="22280" xr:uid="{CAE4AFA6-CEDD-4A5E-987F-07051B0EDAC7}"/>
    <cellStyle name="常规 6 2 2 8 4 2" xfId="22281" xr:uid="{5A569303-B50A-429C-B319-6796B1A9EF34}"/>
    <cellStyle name="常规 6 2 2 8 4 2 2" xfId="22282" xr:uid="{9AC6C952-F9D6-4435-8CA7-A1FA13D1CE35}"/>
    <cellStyle name="常规 6 2 2 8 4 2 3" xfId="22283" xr:uid="{01665EB0-DA9E-40A4-967F-61CBB71D0C89}"/>
    <cellStyle name="常规 6 2 2 8 4 2 4" xfId="22284" xr:uid="{8F1B75D1-22A0-4388-8C58-6A3BA2C44D2B}"/>
    <cellStyle name="常规 6 2 2 8 4 2 5" xfId="22285" xr:uid="{3D156400-4E92-4715-B7CA-67A97458829D}"/>
    <cellStyle name="常规 6 2 2 8 4 2 6" xfId="22286" xr:uid="{A810B564-74FF-44ED-B580-026EB115A230}"/>
    <cellStyle name="常规 6 2 2 8 4 3" xfId="22287" xr:uid="{9C3B9425-99E7-43CB-9791-FCFAB10A02FC}"/>
    <cellStyle name="常规 6 2 2 8 4 4" xfId="22288" xr:uid="{0D8D9CDD-0DF4-4765-83E9-2511B7BF4FC2}"/>
    <cellStyle name="常规 6 2 2 8 4 5" xfId="22289" xr:uid="{E973C286-C78A-41C7-AC35-1B42F9049CFE}"/>
    <cellStyle name="常规 6 2 2 8 4 6" xfId="22290" xr:uid="{6254527B-B48A-4124-B6DE-9FB9C21A4FEA}"/>
    <cellStyle name="常规 6 2 2 8 4 7" xfId="22291" xr:uid="{0CF956C3-92F8-40CC-8655-98429F654083}"/>
    <cellStyle name="常规 6 2 2 8 5" xfId="22292" xr:uid="{15733496-1BF5-4E84-94C6-B35C9185E9F7}"/>
    <cellStyle name="常规 6 2 2 8 5 2" xfId="22293" xr:uid="{138BFE94-F820-4CBE-A9D0-0C73614B0ADF}"/>
    <cellStyle name="常规 6 2 2 8 5 2 2" xfId="22294" xr:uid="{0EDA547A-FF0D-453D-B2C0-2D2DAF7B1428}"/>
    <cellStyle name="常规 6 2 2 8 5 2 3" xfId="22295" xr:uid="{09878B73-A88C-49B9-BD02-54A5AA578BAD}"/>
    <cellStyle name="常规 6 2 2 8 5 2 4" xfId="22296" xr:uid="{A9436476-E46C-49E0-82AE-9C8CAC481EF0}"/>
    <cellStyle name="常规 6 2 2 8 5 2 5" xfId="22297" xr:uid="{DA904006-E799-4FA2-B071-E1BC3F27898C}"/>
    <cellStyle name="常规 6 2 2 8 5 2 6" xfId="22298" xr:uid="{9BD1F219-5B87-4A9E-B2DB-8C5E89B1AF70}"/>
    <cellStyle name="常规 6 2 2 8 5 3" xfId="22299" xr:uid="{7A7C8186-D399-451B-AF45-57DC9D129C1A}"/>
    <cellStyle name="常规 6 2 2 8 5 4" xfId="22300" xr:uid="{F8B67BA1-9E9D-43BF-8FD0-7975EE52F6BE}"/>
    <cellStyle name="常规 6 2 2 8 5 5" xfId="22301" xr:uid="{DBABC8C8-D152-446A-9AE8-AADC9150BCCA}"/>
    <cellStyle name="常规 6 2 2 8 5 6" xfId="22302" xr:uid="{A9A5EC41-8285-4783-ABFA-FF72768D406A}"/>
    <cellStyle name="常规 6 2 2 8 5 7" xfId="22303" xr:uid="{18380180-A7C1-4057-8C3B-A3988D71F104}"/>
    <cellStyle name="常规 6 2 2 8 6" xfId="22304" xr:uid="{30A71C19-72E1-48E8-BADA-D508DE7987A5}"/>
    <cellStyle name="常规 6 2 2 8 6 2" xfId="22305" xr:uid="{A5249C9A-4CCA-4128-993A-F1F39B017CAD}"/>
    <cellStyle name="常规 6 2 2 8 6 3" xfId="22306" xr:uid="{53FD4D74-3DA8-4EFD-A5B8-CA8B1945EDC9}"/>
    <cellStyle name="常规 6 2 2 8 6 4" xfId="22307" xr:uid="{0AF7C700-3A6C-4261-81E7-6A3EFEE62284}"/>
    <cellStyle name="常规 6 2 2 8 6 5" xfId="22308" xr:uid="{0E89B189-7CD4-43FD-80D6-A4BF365BCB78}"/>
    <cellStyle name="常规 6 2 2 8 6 6" xfId="22309" xr:uid="{E72BBBA7-A50F-472E-94B2-547E9B12CE6B}"/>
    <cellStyle name="常规 6 2 2 8 7" xfId="22310" xr:uid="{1791ACBA-C008-4C38-A3A6-9A653FD1EB96}"/>
    <cellStyle name="常规 6 2 2 8 8" xfId="22311" xr:uid="{1514FD48-6C4E-49EF-9FC2-F5815D2F9C38}"/>
    <cellStyle name="常规 6 2 2 8 9" xfId="22312" xr:uid="{B564CA12-E998-4799-A23D-27DD82D11A4E}"/>
    <cellStyle name="常规 6 2 2 9" xfId="22313" xr:uid="{01C8FEAB-EF4C-4209-BEAE-C7EA88F84B2B}"/>
    <cellStyle name="常规 6 2 2 9 10" xfId="22314" xr:uid="{4D78FBEC-E94B-4546-B705-E0327AE71EE7}"/>
    <cellStyle name="常规 6 2 2 9 2" xfId="22315" xr:uid="{DE2D46E4-0DA2-4EDC-83F7-BEBAC314B296}"/>
    <cellStyle name="常规 6 2 2 9 2 2" xfId="22316" xr:uid="{F24A3C49-CE4C-45D3-B2BA-9C51C765A854}"/>
    <cellStyle name="常规 6 2 2 9 2 2 2" xfId="22317" xr:uid="{3FA9F6B3-D9FC-4CA3-8580-DDB6F9412D9A}"/>
    <cellStyle name="常规 6 2 2 9 2 2 3" xfId="22318" xr:uid="{B7C38194-5E66-410D-A393-438A42FE41FE}"/>
    <cellStyle name="常规 6 2 2 9 2 2 4" xfId="22319" xr:uid="{03E9B20C-F763-4174-B264-BBAA7DD31CFB}"/>
    <cellStyle name="常规 6 2 2 9 2 2 5" xfId="22320" xr:uid="{4A21ED4A-031C-418B-89ED-3E4D52D72F77}"/>
    <cellStyle name="常规 6 2 2 9 2 2 6" xfId="22321" xr:uid="{91F92BF0-150A-4073-A40A-1EF250C893AB}"/>
    <cellStyle name="常规 6 2 2 9 2 3" xfId="22322" xr:uid="{663404F5-E125-49D9-A58B-AB0CFB129BCA}"/>
    <cellStyle name="常规 6 2 2 9 2 4" xfId="22323" xr:uid="{B53D1069-BCAF-45CD-A636-B7171A4F8D40}"/>
    <cellStyle name="常规 6 2 2 9 2 5" xfId="22324" xr:uid="{D3280EBB-370E-4977-9C1B-539151955562}"/>
    <cellStyle name="常规 6 2 2 9 2 6" xfId="22325" xr:uid="{55D5C02B-B8FB-468B-95C2-85B16C551E73}"/>
    <cellStyle name="常规 6 2 2 9 2 7" xfId="22326" xr:uid="{E0C7F073-64CF-473E-9A9A-2D8F4152C14B}"/>
    <cellStyle name="常规 6 2 2 9 3" xfId="22327" xr:uid="{F895E547-55C5-4CA3-8122-4A6AB39FCC26}"/>
    <cellStyle name="常规 6 2 2 9 3 2" xfId="22328" xr:uid="{3154830A-D0AA-4B7A-BF05-F754FB63F4D3}"/>
    <cellStyle name="常规 6 2 2 9 3 2 2" xfId="22329" xr:uid="{DCFBDBFD-6452-4F60-B875-E4C19D79F78D}"/>
    <cellStyle name="常规 6 2 2 9 3 2 3" xfId="22330" xr:uid="{FC767F88-57B4-48F4-9C24-04E84A0EE084}"/>
    <cellStyle name="常规 6 2 2 9 3 2 4" xfId="22331" xr:uid="{FEFF4582-37B0-4905-A7C9-DD660D43F7DB}"/>
    <cellStyle name="常规 6 2 2 9 3 2 5" xfId="22332" xr:uid="{FA7A38B6-5EC8-47D9-B176-4E7376E818D2}"/>
    <cellStyle name="常规 6 2 2 9 3 2 6" xfId="22333" xr:uid="{6B99E8F3-BEDB-4943-AAD0-1FF7FBF52B00}"/>
    <cellStyle name="常规 6 2 2 9 3 3" xfId="22334" xr:uid="{D60E6710-591B-4204-BC18-0EC67579342D}"/>
    <cellStyle name="常规 6 2 2 9 3 4" xfId="22335" xr:uid="{1F5B602C-60BA-49B9-83D1-724A7C8A961F}"/>
    <cellStyle name="常规 6 2 2 9 3 5" xfId="22336" xr:uid="{5683EC92-8FF5-47B9-9A7A-8568A4162266}"/>
    <cellStyle name="常规 6 2 2 9 3 6" xfId="22337" xr:uid="{123AAA88-4BBB-46CB-8F5D-61ED7D898BB6}"/>
    <cellStyle name="常规 6 2 2 9 3 7" xfId="22338" xr:uid="{8E4E46B5-177A-48A7-B066-DE142FD9EEBB}"/>
    <cellStyle name="常规 6 2 2 9 4" xfId="22339" xr:uid="{1AEA0D51-72C3-44D0-A2BD-5D8526A5A9A2}"/>
    <cellStyle name="常规 6 2 2 9 4 2" xfId="22340" xr:uid="{B6BE90D7-F702-48D7-B13A-1F1CE48B9CBD}"/>
    <cellStyle name="常规 6 2 2 9 4 2 2" xfId="22341" xr:uid="{E9376B3F-FCA3-460B-AD18-310DDDD96014}"/>
    <cellStyle name="常规 6 2 2 9 4 2 3" xfId="22342" xr:uid="{F46AEA51-70FB-4644-9B8A-3E7BE5B9DF90}"/>
    <cellStyle name="常规 6 2 2 9 4 2 4" xfId="22343" xr:uid="{4787C41B-6D67-4CC8-B24D-E05515941EA2}"/>
    <cellStyle name="常规 6 2 2 9 4 2 5" xfId="22344" xr:uid="{D0882D2A-210A-4A53-9688-8065B0C671A0}"/>
    <cellStyle name="常规 6 2 2 9 4 2 6" xfId="22345" xr:uid="{C960F5EF-237F-42F7-8633-9C767F2A5199}"/>
    <cellStyle name="常规 6 2 2 9 4 3" xfId="22346" xr:uid="{85C5307C-5907-43E4-881F-793A0C9C490D}"/>
    <cellStyle name="常规 6 2 2 9 4 4" xfId="22347" xr:uid="{77F8963B-4317-42F9-8862-6627A17F0B62}"/>
    <cellStyle name="常规 6 2 2 9 4 5" xfId="22348" xr:uid="{72613847-E45F-4E7C-B6C0-475D86FE6D1A}"/>
    <cellStyle name="常规 6 2 2 9 4 6" xfId="22349" xr:uid="{257B8673-9DBB-4307-B719-709459C21298}"/>
    <cellStyle name="常规 6 2 2 9 4 7" xfId="22350" xr:uid="{620854E7-8F05-4BDD-B807-B63D3BC75E7A}"/>
    <cellStyle name="常规 6 2 2 9 5" xfId="22351" xr:uid="{C2866FB2-04C3-48BB-BBC8-611CBC598B5E}"/>
    <cellStyle name="常规 6 2 2 9 5 2" xfId="22352" xr:uid="{5EA65137-3EFB-4C7B-99EE-F33BEE22FB6D}"/>
    <cellStyle name="常规 6 2 2 9 5 3" xfId="22353" xr:uid="{A2015FE1-155F-47A3-9BFE-2F65567F0E78}"/>
    <cellStyle name="常规 6 2 2 9 5 4" xfId="22354" xr:uid="{EC003B6E-4EF6-42AC-AE6E-CC09A8DF34F6}"/>
    <cellStyle name="常规 6 2 2 9 5 5" xfId="22355" xr:uid="{3B63DB28-2200-41ED-870D-DC986BA30BDB}"/>
    <cellStyle name="常规 6 2 2 9 5 6" xfId="22356" xr:uid="{72038B34-892D-4CD0-BBCC-F732FACA1A7C}"/>
    <cellStyle name="常规 6 2 2 9 6" xfId="22357" xr:uid="{1E9B5FEE-9C89-4E28-8892-B7C98A45EF0E}"/>
    <cellStyle name="常规 6 2 2 9 7" xfId="22358" xr:uid="{88FBC583-6805-4D52-8737-CF758466C24C}"/>
    <cellStyle name="常规 6 2 2 9 8" xfId="22359" xr:uid="{E465B5EB-1737-401E-A82F-82CD795C7332}"/>
    <cellStyle name="常规 6 2 2 9 9" xfId="22360" xr:uid="{39F863E3-5A09-43D1-9834-599C0BF191B9}"/>
    <cellStyle name="常规 6 2 20" xfId="22361" xr:uid="{FBBE6EDA-D838-490B-82D8-177B3A1C4B14}"/>
    <cellStyle name="常规 6 2 20 2" xfId="22362" xr:uid="{7936FFB8-BBB5-406F-9795-598A25622A0F}"/>
    <cellStyle name="常规 6 2 20 3" xfId="22363" xr:uid="{5246B3CB-F09C-43D3-B278-0EF65F6C9F6D}"/>
    <cellStyle name="常规 6 2 20 4" xfId="22364" xr:uid="{939C13A6-61BF-4501-A1AC-BDA51B2BA1FD}"/>
    <cellStyle name="常规 6 2 20 5" xfId="22365" xr:uid="{638CD251-81C9-450D-9927-EF3D2862487A}"/>
    <cellStyle name="常规 6 2 20 6" xfId="22366" xr:uid="{AF853781-37A1-4778-AE3C-8DDBA8B760DA}"/>
    <cellStyle name="常规 6 2 21" xfId="22367" xr:uid="{76F7C7F1-D44F-4A1C-928B-7F2A49FDD287}"/>
    <cellStyle name="常规 6 2 22" xfId="22368" xr:uid="{065DC052-8D0E-4B16-9ACE-40EA853FD2D3}"/>
    <cellStyle name="常规 6 2 23" xfId="22369" xr:uid="{4618795B-395F-4C4C-912A-377B459223A3}"/>
    <cellStyle name="常规 6 2 24" xfId="22370" xr:uid="{F3C53D32-7E9F-4A2A-BC77-BDD5E6806BEC}"/>
    <cellStyle name="常规 6 2 25" xfId="22371" xr:uid="{AC1AE77F-752D-4EC4-A27D-37EA630A0451}"/>
    <cellStyle name="常规 6 2 26" xfId="22372" xr:uid="{C13D60B7-43C1-413E-B48E-8BA22089F657}"/>
    <cellStyle name="常规 6 2 27" xfId="22373" xr:uid="{AD272920-CF9E-4D4D-983C-D56C50F4D867}"/>
    <cellStyle name="常规 6 2 28" xfId="34511" xr:uid="{D927963E-0719-4EEA-A283-63BD10BDECAE}"/>
    <cellStyle name="常规 6 2 3" xfId="22374" xr:uid="{AE987AF3-127A-43E3-A934-FD24AA549A89}"/>
    <cellStyle name="常规 6 2 3 10" xfId="22375" xr:uid="{FC798055-8D9A-476D-B79F-18332983F273}"/>
    <cellStyle name="常规 6 2 3 10 2" xfId="22376" xr:uid="{C9737104-7873-422F-8608-DAE415C45B0F}"/>
    <cellStyle name="常规 6 2 3 10 2 2" xfId="22377" xr:uid="{2150B617-9DEE-489F-B7EA-1BFD93D205C0}"/>
    <cellStyle name="常规 6 2 3 10 2 3" xfId="22378" xr:uid="{02074800-DAF5-459D-A392-B0711D1E0056}"/>
    <cellStyle name="常规 6 2 3 10 2 4" xfId="22379" xr:uid="{9E5EDEA4-0776-4E96-8BCA-695E06C97A15}"/>
    <cellStyle name="常规 6 2 3 10 2 5" xfId="22380" xr:uid="{E8114A63-C6A7-482A-8C40-7C5DEED89154}"/>
    <cellStyle name="常规 6 2 3 10 2 6" xfId="22381" xr:uid="{D9E76F6B-616E-4CB6-A281-DFF205A13E0D}"/>
    <cellStyle name="常规 6 2 3 10 3" xfId="22382" xr:uid="{3AC3A49B-657C-4DAC-A8F8-22BDE17A79E6}"/>
    <cellStyle name="常规 6 2 3 10 4" xfId="22383" xr:uid="{FF239F0F-37D1-4E00-BE1B-867E21729F0A}"/>
    <cellStyle name="常规 6 2 3 10 5" xfId="22384" xr:uid="{5BD9D481-177A-4267-8BF6-BE7AE391C66A}"/>
    <cellStyle name="常规 6 2 3 10 6" xfId="22385" xr:uid="{2B5EBE7F-A081-44C8-B0AA-297898576911}"/>
    <cellStyle name="常规 6 2 3 10 7" xfId="22386" xr:uid="{047E75DA-288D-4129-9464-FEDE4349FEE7}"/>
    <cellStyle name="常规 6 2 3 11" xfId="22387" xr:uid="{D2C0DE99-4763-48A2-9E7A-F2EA4EB6C72C}"/>
    <cellStyle name="常规 6 2 3 11 2" xfId="22388" xr:uid="{18333168-509A-4BCE-A9B0-0AA337F714F0}"/>
    <cellStyle name="常规 6 2 3 11 2 2" xfId="22389" xr:uid="{C4A06099-0D50-4C69-8126-1480B8E780F2}"/>
    <cellStyle name="常规 6 2 3 11 2 3" xfId="22390" xr:uid="{66629F8F-0019-4CA2-A7B5-ED481F8B407D}"/>
    <cellStyle name="常规 6 2 3 11 2 4" xfId="22391" xr:uid="{0A66A938-B309-45CF-BB76-D2AA4754C4FA}"/>
    <cellStyle name="常规 6 2 3 11 2 5" xfId="22392" xr:uid="{44E36C50-BA69-440F-97BC-BFEDEDE4D5E2}"/>
    <cellStyle name="常规 6 2 3 11 2 6" xfId="22393" xr:uid="{5A0A0249-7A1A-4BB5-9C21-32648BDF9C55}"/>
    <cellStyle name="常规 6 2 3 11 3" xfId="22394" xr:uid="{2ED9D51D-7432-4C55-AF1A-3A6A600A5F0A}"/>
    <cellStyle name="常规 6 2 3 11 4" xfId="22395" xr:uid="{352108AC-D0BB-4A76-A4BD-DD5CB5665CB0}"/>
    <cellStyle name="常规 6 2 3 11 5" xfId="22396" xr:uid="{CD59E742-CEDB-4C9D-B8C7-53E9E3423F8C}"/>
    <cellStyle name="常规 6 2 3 11 6" xfId="22397" xr:uid="{E2D14C0D-94C1-4A91-A6A2-45190E154AA7}"/>
    <cellStyle name="常规 6 2 3 11 7" xfId="22398" xr:uid="{5682D4A8-89A1-4636-92F8-7CDB10942C11}"/>
    <cellStyle name="常规 6 2 3 12" xfId="22399" xr:uid="{F1031616-F7C0-4D67-8B4E-7D710F96AC5E}"/>
    <cellStyle name="常规 6 2 3 12 2" xfId="22400" xr:uid="{D1DB3C87-BBBB-458A-9DB3-75EFEA20A611}"/>
    <cellStyle name="常规 6 2 3 12 3" xfId="22401" xr:uid="{2DF89382-3BFF-4228-9843-196914D7D9EE}"/>
    <cellStyle name="常规 6 2 3 12 4" xfId="22402" xr:uid="{354CB718-396E-48F7-ACEC-1A14A22EAE46}"/>
    <cellStyle name="常规 6 2 3 12 5" xfId="22403" xr:uid="{6175AA69-AB0E-4528-9DD1-8C940DBA2949}"/>
    <cellStyle name="常规 6 2 3 12 6" xfId="22404" xr:uid="{AC446C3E-E580-4233-BD48-983C39467E71}"/>
    <cellStyle name="常规 6 2 3 13" xfId="22405" xr:uid="{5838F2EE-B02B-40CA-A8CF-297589DDDB1C}"/>
    <cellStyle name="常规 6 2 3 14" xfId="22406" xr:uid="{F50B36D6-F8FD-4BB4-9010-329711C83801}"/>
    <cellStyle name="常规 6 2 3 15" xfId="22407" xr:uid="{C15F7A8B-C6BA-422F-85D1-F998FD78B587}"/>
    <cellStyle name="常规 6 2 3 16" xfId="22408" xr:uid="{528AE137-D5B9-474B-8319-1070E77601D1}"/>
    <cellStyle name="常规 6 2 3 17" xfId="22409" xr:uid="{5FBE2611-6416-4008-B759-DA8BBAB35900}"/>
    <cellStyle name="常规 6 2 3 18" xfId="22410" xr:uid="{E43258E1-88D9-4E40-9DE8-03E12FC2D34B}"/>
    <cellStyle name="常规 6 2 3 19" xfId="22411" xr:uid="{D5E0D8B2-D92B-494F-A55A-2081B1742B8A}"/>
    <cellStyle name="常规 6 2 3 2" xfId="22412" xr:uid="{BBF0C8C4-DF3C-459E-A28F-CF99ED23ED12}"/>
    <cellStyle name="常规 6 2 3 2 2" xfId="22413" xr:uid="{9577F802-4D4E-41A2-89C0-66EA1B13A3BC}"/>
    <cellStyle name="常规 6 2 3 2 2 2" xfId="22414" xr:uid="{0462B5A5-BB63-42B9-BE4C-EEDD5950A785}"/>
    <cellStyle name="常规 6 2 3 2 3" xfId="22415" xr:uid="{F5E7CE01-F5A1-4BD9-8502-3F187DC42671}"/>
    <cellStyle name="常规 6 2 3 2 4" xfId="22416" xr:uid="{E1468ECC-DC4E-4FDC-A150-F66E6F7FD7CC}"/>
    <cellStyle name="常规 6 2 3 2 4 2" xfId="34512" xr:uid="{F833C467-D23F-49F2-AC0B-8A86340CAA68}"/>
    <cellStyle name="常规 6 2 3 2 5" xfId="22417" xr:uid="{F0FC1294-60BD-4079-B947-CC069AD206A1}"/>
    <cellStyle name="常规 6 2 3 2 6" xfId="34513" xr:uid="{9F931B87-5CB9-46AB-8806-FF588259BCBA}"/>
    <cellStyle name="常规 6 2 3 20" xfId="34514" xr:uid="{87372A3B-D642-4E77-B3DF-44F641FFF9E3}"/>
    <cellStyle name="常规 6 2 3 3" xfId="22418" xr:uid="{17721EE7-01AB-4E5A-AF9B-79D89B44E69B}"/>
    <cellStyle name="常规 6 2 3 3 2" xfId="22419" xr:uid="{9E4319B2-4A6A-4739-96E4-040343A33874}"/>
    <cellStyle name="常规 6 2 3 3 2 2" xfId="22420" xr:uid="{CF9B1F57-677E-411B-BC01-46950EAA60F1}"/>
    <cellStyle name="常规 6 2 3 3 2 3" xfId="22421" xr:uid="{DC040EF5-9C1B-45A2-AC94-E98E7EE25653}"/>
    <cellStyle name="常规 6 2 3 3 2 4" xfId="22422" xr:uid="{0833A617-914E-4ABC-88CD-B52173D970DB}"/>
    <cellStyle name="常规 6 2 3 3 2 5" xfId="22423" xr:uid="{A886FA4A-279F-4207-9156-8392745A69CD}"/>
    <cellStyle name="常规 6 2 3 3 2 6" xfId="22424" xr:uid="{EE5C0A0E-89FD-4C21-9DAD-07E2F6616366}"/>
    <cellStyle name="常规 6 2 3 3 2 7" xfId="22425" xr:uid="{B4B8D4DB-97FE-4AB5-BE3E-9546EFE23ACD}"/>
    <cellStyle name="常规 6 2 3 3 2 8" xfId="22426" xr:uid="{4D7BA085-F748-4EC4-B261-CC48A0E6FE0D}"/>
    <cellStyle name="常规 6 2 3 3 3" xfId="22427" xr:uid="{0C10E935-9C9C-46CA-A91C-FA21A53A2B43}"/>
    <cellStyle name="常规 6 2 3 3 3 2" xfId="22428" xr:uid="{90F10335-BFB6-4BAA-8075-9BCD20D9B9ED}"/>
    <cellStyle name="常规 6 2 3 3 4" xfId="22429" xr:uid="{236E9B43-DB78-4C5F-AA80-E80352A8DB6E}"/>
    <cellStyle name="常规 6 2 3 3 4 2" xfId="22430" xr:uid="{7516B9ED-0922-434E-907B-BCE63B53EB21}"/>
    <cellStyle name="常规 6 2 3 3 4 3" xfId="34515" xr:uid="{F42E15F4-E8CD-4DE2-A0C9-4AB62CE019E3}"/>
    <cellStyle name="常规 6 2 3 3 5" xfId="22431" xr:uid="{50871517-C140-4184-A426-8819FC91636D}"/>
    <cellStyle name="常规 6 2 3 3 6" xfId="22432" xr:uid="{AC32E87D-157B-477A-B230-638A30F61F9A}"/>
    <cellStyle name="常规 6 2 3 3 7" xfId="22433" xr:uid="{263ED6B7-3903-41F1-B94C-AB19D20BCB21}"/>
    <cellStyle name="常规 6 2 3 3 8" xfId="22434" xr:uid="{AA156188-ABAE-49D9-9545-624241E44BA1}"/>
    <cellStyle name="常规 6 2 3 4" xfId="22435" xr:uid="{7699082E-9DCA-4BC2-9B65-C390C59D7135}"/>
    <cellStyle name="常规 6 2 3 4 2" xfId="22436" xr:uid="{3130D404-28E8-43C3-A410-308F71A0CE58}"/>
    <cellStyle name="常规 6 2 3 4 2 2" xfId="22437" xr:uid="{47E28900-4878-4AAF-BA31-93F77A5F16ED}"/>
    <cellStyle name="常规 6 2 3 4 2 3" xfId="22438" xr:uid="{64E4040A-FAC5-4863-91D1-DC03946A12A2}"/>
    <cellStyle name="常规 6 2 3 4 2 4" xfId="22439" xr:uid="{AB3F67B2-C611-4424-A6DB-521FE3DC9C2F}"/>
    <cellStyle name="常规 6 2 3 4 2 5" xfId="22440" xr:uid="{5AD65152-8EDB-4A60-A4A3-587A57C8C9FA}"/>
    <cellStyle name="常规 6 2 3 4 2 6" xfId="22441" xr:uid="{585805A8-AE3B-4FB0-A7A1-D4DDA82E10AF}"/>
    <cellStyle name="常规 6 2 3 4 3" xfId="22442" xr:uid="{47575B07-DE7F-4D03-9CEC-4D155EBB1C97}"/>
    <cellStyle name="常规 6 2 3 4 4" xfId="22443" xr:uid="{20539212-6717-4DCA-9CB0-1507104D04C6}"/>
    <cellStyle name="常规 6 2 3 4 5" xfId="22444" xr:uid="{90842DDF-19B0-4982-A13F-188DF8271871}"/>
    <cellStyle name="常规 6 2 3 4 6" xfId="22445" xr:uid="{6E638D40-3F40-4A94-9F6A-484CFB4269C8}"/>
    <cellStyle name="常规 6 2 3 4 7" xfId="22446" xr:uid="{7AC5A5F4-43C5-45EC-A54E-DF170C88D1E0}"/>
    <cellStyle name="常规 6 2 3 4 8" xfId="22447" xr:uid="{64814510-4558-4156-AC7B-DF814B427A5D}"/>
    <cellStyle name="常规 6 2 3 4 9" xfId="22448" xr:uid="{085C41B3-568E-4F15-B533-D6A887A31E17}"/>
    <cellStyle name="常规 6 2 3 5" xfId="22449" xr:uid="{30C4EFFE-04D0-42ED-B198-D758FAE28374}"/>
    <cellStyle name="常规 6 2 3 5 2" xfId="22450" xr:uid="{CF42AFDA-6450-4EB6-A5D7-566A97540C6B}"/>
    <cellStyle name="常规 6 2 3 5 2 2" xfId="22451" xr:uid="{86971B1C-F8AD-4C84-A442-E9F6B7D7C8F8}"/>
    <cellStyle name="常规 6 2 3 5 2 3" xfId="22452" xr:uid="{2FA31CF4-ABD1-4A0C-B6AD-7FB9D17279FC}"/>
    <cellStyle name="常规 6 2 3 5 2 4" xfId="22453" xr:uid="{2DC032EB-C200-4499-96F8-AC027FD402FC}"/>
    <cellStyle name="常规 6 2 3 5 2 5" xfId="22454" xr:uid="{A005D7E7-43FD-4315-A7C2-C37BAF174766}"/>
    <cellStyle name="常规 6 2 3 5 2 6" xfId="22455" xr:uid="{01E31108-FDE3-4F6A-A93E-67B07ADC6FAD}"/>
    <cellStyle name="常规 6 2 3 5 3" xfId="22456" xr:uid="{B47DA30A-D3E9-4D2B-9993-FD640AEA1BA8}"/>
    <cellStyle name="常规 6 2 3 5 4" xfId="22457" xr:uid="{7FD2B54F-9025-4E74-95FE-9DFF0FADFD9F}"/>
    <cellStyle name="常规 6 2 3 5 5" xfId="22458" xr:uid="{21198B32-0B71-4380-BB07-355DD769B7AB}"/>
    <cellStyle name="常规 6 2 3 5 6" xfId="22459" xr:uid="{1AB93E02-CE1F-4993-9B67-4930F82F5B47}"/>
    <cellStyle name="常规 6 2 3 5 7" xfId="22460" xr:uid="{91A5D4D4-421A-43BC-9A32-FFA46960A85E}"/>
    <cellStyle name="常规 6 2 3 5 8" xfId="22461" xr:uid="{B8FE8145-D822-4B81-B930-E9A895B2E55B}"/>
    <cellStyle name="常规 6 2 3 6" xfId="22462" xr:uid="{2B4EEE0A-03CF-43D1-8991-18458D066885}"/>
    <cellStyle name="常规 6 2 3 6 2" xfId="22463" xr:uid="{4DCB6CE7-8319-414E-B535-497BE2BA3816}"/>
    <cellStyle name="常规 6 2 3 6 2 2" xfId="22464" xr:uid="{CE65CB4D-C8A0-43E1-8F79-DFA45AEF832C}"/>
    <cellStyle name="常规 6 2 3 6 2 3" xfId="22465" xr:uid="{1BC064A7-E0BD-4EFE-B9F6-ECC39171C24B}"/>
    <cellStyle name="常规 6 2 3 6 2 4" xfId="22466" xr:uid="{E4D454C6-1732-4F0C-BBF4-420C287F968A}"/>
    <cellStyle name="常规 6 2 3 6 2 5" xfId="22467" xr:uid="{DEF3CA73-B1CB-4516-9833-68D86608EA25}"/>
    <cellStyle name="常规 6 2 3 6 2 6" xfId="22468" xr:uid="{9872F1D9-BF35-447F-9A60-E80C3E65437A}"/>
    <cellStyle name="常规 6 2 3 6 3" xfId="22469" xr:uid="{4C7EF9CF-0FE8-4052-A2A5-8FE216194FE6}"/>
    <cellStyle name="常规 6 2 3 6 4" xfId="22470" xr:uid="{08C72ED5-C7C3-4A31-8EAF-702FADF615F2}"/>
    <cellStyle name="常规 6 2 3 6 5" xfId="22471" xr:uid="{9974074E-B6A4-4254-9A06-AB33F0ADD231}"/>
    <cellStyle name="常规 6 2 3 6 6" xfId="22472" xr:uid="{9908D5F0-3BA1-40B3-B0C6-EC71E9D87618}"/>
    <cellStyle name="常规 6 2 3 6 7" xfId="22473" xr:uid="{C6671F7B-87DD-4AD9-8D21-A3E11C42C1D3}"/>
    <cellStyle name="常规 6 2 3 6 8" xfId="22474" xr:uid="{38525D10-81F7-4DC7-BE6E-33D7B542F68F}"/>
    <cellStyle name="常规 6 2 3 6 9" xfId="34516" xr:uid="{B8790CBE-1B52-423A-8D70-C2C954363A34}"/>
    <cellStyle name="常规 6 2 3 7" xfId="22475" xr:uid="{9ABC188F-4544-4F62-9335-CF0BF45DAB8C}"/>
    <cellStyle name="常规 6 2 3 7 2" xfId="22476" xr:uid="{85FA2477-3CA1-4DC6-A9E7-69B7599519F4}"/>
    <cellStyle name="常规 6 2 3 7 2 2" xfId="22477" xr:uid="{08B2F3E8-4836-43C2-8370-A79CFC6BDF18}"/>
    <cellStyle name="常规 6 2 3 7 2 3" xfId="22478" xr:uid="{04309378-9654-4B57-8B04-7CBE1406183E}"/>
    <cellStyle name="常规 6 2 3 7 2 4" xfId="22479" xr:uid="{EC5EDF25-22A9-4B70-8C08-FC919A67230F}"/>
    <cellStyle name="常规 6 2 3 7 2 5" xfId="22480" xr:uid="{C85EB2E1-03DD-46D1-AE2D-0E13DC53A7E0}"/>
    <cellStyle name="常规 6 2 3 7 2 6" xfId="22481" xr:uid="{D420F86D-B6B4-4253-BC8D-FFBD32037445}"/>
    <cellStyle name="常规 6 2 3 7 3" xfId="22482" xr:uid="{1A05DCC7-058E-469A-A547-A5D3CDA99D58}"/>
    <cellStyle name="常规 6 2 3 7 4" xfId="22483" xr:uid="{CC4807E0-578E-488A-9E5C-ADCC965E8C4B}"/>
    <cellStyle name="常规 6 2 3 7 5" xfId="22484" xr:uid="{1975946C-DA24-4B99-BB80-D4B564462D89}"/>
    <cellStyle name="常规 6 2 3 7 6" xfId="22485" xr:uid="{C01CDF09-B13E-4A2B-BBE3-621EB8BE00E6}"/>
    <cellStyle name="常规 6 2 3 7 7" xfId="22486" xr:uid="{ED4814ED-D880-4E1F-8A07-2B3475497DD9}"/>
    <cellStyle name="常规 6 2 3 7 8" xfId="22487" xr:uid="{6CB2A181-0A35-4631-8DF2-DDA0A0B89BCE}"/>
    <cellStyle name="常规 6 2 3 8" xfId="22488" xr:uid="{C1E9C2B9-033A-427B-B016-1C32717D0E56}"/>
    <cellStyle name="常规 6 2 3 8 2" xfId="22489" xr:uid="{0DE479EE-631F-4839-9930-F587AEDD1B01}"/>
    <cellStyle name="常规 6 2 3 8 2 2" xfId="22490" xr:uid="{E2BDF0A4-8841-4BC7-BBF6-041E544F2240}"/>
    <cellStyle name="常规 6 2 3 8 2 3" xfId="22491" xr:uid="{778C7C10-FFF2-47C2-A69A-0F4D7325F8BA}"/>
    <cellStyle name="常规 6 2 3 8 2 4" xfId="22492" xr:uid="{D23B1F3C-DCB9-40A8-943E-53DCA54BA39D}"/>
    <cellStyle name="常规 6 2 3 8 2 5" xfId="22493" xr:uid="{85426AC7-14EA-4F60-B811-2DBBA8D2E199}"/>
    <cellStyle name="常规 6 2 3 8 2 6" xfId="22494" xr:uid="{0681684C-7EC8-483F-AC78-E0C3AAFE6AC3}"/>
    <cellStyle name="常规 6 2 3 8 3" xfId="22495" xr:uid="{CB27EE2D-F6A9-40D5-B062-BB803D7A73D0}"/>
    <cellStyle name="常规 6 2 3 8 4" xfId="22496" xr:uid="{74D6F4EA-F2B9-43F3-A864-CD94C09221D2}"/>
    <cellStyle name="常规 6 2 3 8 5" xfId="22497" xr:uid="{7C7C71A9-1E7A-4749-980A-63FBC10E6B50}"/>
    <cellStyle name="常规 6 2 3 8 6" xfId="22498" xr:uid="{69A094F4-431C-44CB-BBB2-CE0BCDD8C5DA}"/>
    <cellStyle name="常规 6 2 3 8 7" xfId="22499" xr:uid="{1E6E63EC-6B1F-4F6A-A817-3C81C444368A}"/>
    <cellStyle name="常规 6 2 3 9" xfId="22500" xr:uid="{4C0ED6DA-3666-4CDA-B13D-AC12EA830FAA}"/>
    <cellStyle name="常规 6 2 3 9 2" xfId="22501" xr:uid="{DB879F3B-9CB9-4AB4-BCEE-52FE2890A39E}"/>
    <cellStyle name="常规 6 2 3 9 2 2" xfId="22502" xr:uid="{963FAFE2-E10B-4DFC-90BC-00FCB18180C1}"/>
    <cellStyle name="常规 6 2 3 9 2 3" xfId="22503" xr:uid="{9A2FCAC5-163F-43A5-9714-1FA97967DAC8}"/>
    <cellStyle name="常规 6 2 3 9 2 4" xfId="22504" xr:uid="{26D3B2E3-567F-4BF7-A599-85C565F389D6}"/>
    <cellStyle name="常规 6 2 3 9 2 5" xfId="22505" xr:uid="{51292BBD-BF68-4660-84BC-AB31A86EBF4B}"/>
    <cellStyle name="常规 6 2 3 9 2 6" xfId="22506" xr:uid="{2804DEE1-C1BA-4C9B-A448-1C1B463E566D}"/>
    <cellStyle name="常规 6 2 3 9 3" xfId="22507" xr:uid="{0F927663-8A63-46A8-A605-850DE767C1F0}"/>
    <cellStyle name="常规 6 2 3 9 4" xfId="22508" xr:uid="{619390AE-A632-4A5A-9BB0-2CF66660618B}"/>
    <cellStyle name="常规 6 2 3 9 5" xfId="22509" xr:uid="{A3F39C54-1E8F-463C-BF47-4D223DCA05E5}"/>
    <cellStyle name="常规 6 2 3 9 6" xfId="22510" xr:uid="{CE3DBEF2-C160-42B4-BF26-8C7BA6B1AF10}"/>
    <cellStyle name="常规 6 2 3 9 7" xfId="22511" xr:uid="{BE7B3C3C-BB17-403E-96AA-F733EB0C8E56}"/>
    <cellStyle name="常规 6 2 4" xfId="22512" xr:uid="{7C19A207-9602-4A35-B34D-685E407B95DF}"/>
    <cellStyle name="常规 6 2 4 10" xfId="22513" xr:uid="{0D6D0A14-324B-443C-9B26-DF9115AA5B68}"/>
    <cellStyle name="常规 6 2 4 11" xfId="22514" xr:uid="{6F3E5623-592E-434D-81A0-B89183CEAED0}"/>
    <cellStyle name="常规 6 2 4 12" xfId="34517" xr:uid="{BF214D25-4559-4881-8AEC-2EA4E64F3F17}"/>
    <cellStyle name="常规 6 2 4 2" xfId="22515" xr:uid="{D298E61D-95A0-40ED-AC19-702935FF3CE6}"/>
    <cellStyle name="常规 6 2 4 2 2" xfId="22516" xr:uid="{281E91E1-2FC4-4673-A4C2-2FBE431F3B06}"/>
    <cellStyle name="常规 6 2 4 2 2 2" xfId="22517" xr:uid="{07833116-6122-4B06-8491-43420BE6F82E}"/>
    <cellStyle name="常规 6 2 4 2 2 3" xfId="22518" xr:uid="{8F8239DD-4876-44F2-ACDA-8DECFA193AF3}"/>
    <cellStyle name="常规 6 2 4 2 2 4" xfId="22519" xr:uid="{F019F3F3-A97C-417A-A5EF-32E48AE07E42}"/>
    <cellStyle name="常规 6 2 4 2 2 5" xfId="22520" xr:uid="{3A636604-85BA-4481-815B-D18B8405CABA}"/>
    <cellStyle name="常规 6 2 4 2 2 6" xfId="22521" xr:uid="{6E470BB6-0816-4736-96C9-0AFEF42E43E9}"/>
    <cellStyle name="常规 6 2 4 2 3" xfId="22522" xr:uid="{242655DF-D946-46B7-9432-727268FF31E5}"/>
    <cellStyle name="常规 6 2 4 2 4" xfId="22523" xr:uid="{0FDAFF63-8C93-434C-B49C-89AFAD10C2B3}"/>
    <cellStyle name="常规 6 2 4 2 5" xfId="22524" xr:uid="{462180D9-1C35-4623-A481-BAC4BE72E0ED}"/>
    <cellStyle name="常规 6 2 4 2 6" xfId="22525" xr:uid="{B754DD50-6886-45B7-80ED-E8B4950EEDBB}"/>
    <cellStyle name="常规 6 2 4 2 7" xfId="22526" xr:uid="{6DF82D3A-14EE-482E-BDFE-18FA0B4E9903}"/>
    <cellStyle name="常规 6 2 4 2 8" xfId="22527" xr:uid="{7BE46B02-5764-41ED-BC90-D2D507B33975}"/>
    <cellStyle name="常规 6 2 4 2 9" xfId="22528" xr:uid="{42848028-8EB2-430C-B302-7F6A4EAB56AB}"/>
    <cellStyle name="常规 6 2 4 3" xfId="22529" xr:uid="{6E797CDA-2189-4F6B-9A2E-F1070AF2AD3E}"/>
    <cellStyle name="常规 6 2 4 3 2" xfId="22530" xr:uid="{696E2DA8-E930-40C3-AA00-6D14B8AFEDC9}"/>
    <cellStyle name="常规 6 2 4 3 2 2" xfId="22531" xr:uid="{D4B37509-1D37-4FC2-B66E-0FB1B6BAE14A}"/>
    <cellStyle name="常规 6 2 4 3 2 3" xfId="22532" xr:uid="{CF12F235-64FA-4790-B6EA-4FE0D8F32C1A}"/>
    <cellStyle name="常规 6 2 4 3 2 4" xfId="22533" xr:uid="{CCCDBB46-DD0B-43D8-A7E9-49DE439241F4}"/>
    <cellStyle name="常规 6 2 4 3 2 5" xfId="22534" xr:uid="{D3054AD0-D144-497D-ABD1-A91C65D81AB0}"/>
    <cellStyle name="常规 6 2 4 3 2 6" xfId="22535" xr:uid="{4D4653E2-F143-4FC0-BD12-FC14ACBF3268}"/>
    <cellStyle name="常规 6 2 4 3 3" xfId="22536" xr:uid="{EE005DC8-0711-4845-B1B8-3A74C31B2390}"/>
    <cellStyle name="常规 6 2 4 3 4" xfId="22537" xr:uid="{69DF5C04-264D-455D-A087-DC7CCCCFEFDE}"/>
    <cellStyle name="常规 6 2 4 3 5" xfId="22538" xr:uid="{6B9A471D-FA17-44D5-99CE-01799682D877}"/>
    <cellStyle name="常规 6 2 4 3 6" xfId="22539" xr:uid="{3B8D6F15-A91B-4C0F-8ECA-093CE5E9BDD6}"/>
    <cellStyle name="常规 6 2 4 3 7" xfId="22540" xr:uid="{BBDCEF38-E6B8-425B-96EC-DE1485E770B9}"/>
    <cellStyle name="常规 6 2 4 3 8" xfId="22541" xr:uid="{3C190075-393E-428F-BADF-503240A8482C}"/>
    <cellStyle name="常规 6 2 4 4" xfId="22542" xr:uid="{378A1A1C-54E7-45DF-9973-4DC4305631C7}"/>
    <cellStyle name="常规 6 2 4 4 2" xfId="22543" xr:uid="{7B3453CD-5FD4-47EE-B96C-73B6D9EE4072}"/>
    <cellStyle name="常规 6 2 4 4 2 2" xfId="22544" xr:uid="{CDD18558-18EA-4300-AF88-BC50E4F8BAF0}"/>
    <cellStyle name="常规 6 2 4 4 2 3" xfId="22545" xr:uid="{EC34A11D-1717-4ED3-BD71-FB762C0DCFE1}"/>
    <cellStyle name="常规 6 2 4 4 2 4" xfId="22546" xr:uid="{F20E38C9-F7E6-4DEE-A3E9-972DC12D0DA6}"/>
    <cellStyle name="常规 6 2 4 4 2 5" xfId="22547" xr:uid="{B4A64D4B-A744-4B6F-AE0D-4CBBD473549E}"/>
    <cellStyle name="常规 6 2 4 4 2 6" xfId="22548" xr:uid="{CE36C893-9B2B-414A-84AE-19CE36AB5BEE}"/>
    <cellStyle name="常规 6 2 4 4 3" xfId="22549" xr:uid="{1319D20B-9FE9-4592-86DE-43EC5BB090B2}"/>
    <cellStyle name="常规 6 2 4 4 4" xfId="22550" xr:uid="{681A5C8B-CF00-402D-AA4D-F62FD93A4FD7}"/>
    <cellStyle name="常规 6 2 4 4 5" xfId="22551" xr:uid="{2636039D-BAF4-4AB3-8BCB-2B2AA45BD35B}"/>
    <cellStyle name="常规 6 2 4 4 6" xfId="22552" xr:uid="{B9041CEA-D2B5-40B2-9BF3-2BD4C63A4C71}"/>
    <cellStyle name="常规 6 2 4 4 7" xfId="22553" xr:uid="{40EA2009-5939-4E92-84E8-1F7A4C20BA9F}"/>
    <cellStyle name="常规 6 2 4 4 8" xfId="22554" xr:uid="{C1A85701-D089-40CE-8864-C0D5F19D31D5}"/>
    <cellStyle name="常规 6 2 4 4 9" xfId="34518" xr:uid="{F8F1FDC5-B737-44A4-91E9-800003528782}"/>
    <cellStyle name="常规 6 2 4 5" xfId="22555" xr:uid="{0A60B82F-69ED-4FA7-AA1F-B3F51CF2B831}"/>
    <cellStyle name="常规 6 2 4 5 2" xfId="22556" xr:uid="{CD1DB8E6-33E9-4CFE-99DC-DEEF7E1C5F59}"/>
    <cellStyle name="常规 6 2 4 5 2 2" xfId="22557" xr:uid="{CBFB2AFD-278A-41E3-91AE-944479776E8F}"/>
    <cellStyle name="常规 6 2 4 5 2 3" xfId="22558" xr:uid="{FD2B371D-AFC5-4E3E-B061-29C01539AB31}"/>
    <cellStyle name="常规 6 2 4 5 2 4" xfId="22559" xr:uid="{65A1F804-39BE-4B74-AEFD-2C1D05280821}"/>
    <cellStyle name="常规 6 2 4 5 2 5" xfId="22560" xr:uid="{9D28D664-D78E-4A20-B318-AF1A33E742B9}"/>
    <cellStyle name="常规 6 2 4 5 2 6" xfId="22561" xr:uid="{7F315C5D-88D1-42BD-ABB5-CEBEA0096F15}"/>
    <cellStyle name="常规 6 2 4 5 3" xfId="22562" xr:uid="{ACB84256-63E0-4E9A-8CD7-2615AC06B30B}"/>
    <cellStyle name="常规 6 2 4 5 4" xfId="22563" xr:uid="{8A2C33C3-C233-4BB8-8682-4F621434B2B7}"/>
    <cellStyle name="常规 6 2 4 5 5" xfId="22564" xr:uid="{32A6B672-F573-4DDF-9110-4E8A7178C7C1}"/>
    <cellStyle name="常规 6 2 4 5 6" xfId="22565" xr:uid="{8164D8C5-6FF7-481A-869A-8B3590CDB582}"/>
    <cellStyle name="常规 6 2 4 5 7" xfId="22566" xr:uid="{919724BF-47C0-4D7F-B783-E1A2BA59BA64}"/>
    <cellStyle name="常规 6 2 4 5 8" xfId="22567" xr:uid="{92B14680-A62D-4E47-8B31-3E618CC481DB}"/>
    <cellStyle name="常规 6 2 4 6" xfId="22568" xr:uid="{7094BFDC-0295-409D-B122-1B7CB868AFC0}"/>
    <cellStyle name="常规 6 2 4 6 2" xfId="22569" xr:uid="{C966AF26-11AC-4B77-85F0-28F1AF6B1182}"/>
    <cellStyle name="常规 6 2 4 6 2 2" xfId="22570" xr:uid="{9F705341-27D2-4EFA-85A5-6655AD076FF4}"/>
    <cellStyle name="常规 6 2 4 6 2 3" xfId="22571" xr:uid="{3D113D2B-C4E2-4AF5-951D-3E02A2AE3464}"/>
    <cellStyle name="常规 6 2 4 6 2 4" xfId="22572" xr:uid="{E30AC0E8-F117-492B-8D21-32F563A44EED}"/>
    <cellStyle name="常规 6 2 4 6 2 5" xfId="22573" xr:uid="{3B412CD3-078E-41D1-AFF2-1845594A1BAA}"/>
    <cellStyle name="常规 6 2 4 6 2 6" xfId="22574" xr:uid="{E47911C8-E3D6-45B1-A6D5-C2031CE7D337}"/>
    <cellStyle name="常规 6 2 4 6 3" xfId="22575" xr:uid="{668AD90F-182F-4F79-AF28-0C37E7388478}"/>
    <cellStyle name="常规 6 2 4 6 4" xfId="22576" xr:uid="{440E965D-591E-4247-BA70-5F834CBC88E3}"/>
    <cellStyle name="常规 6 2 4 6 5" xfId="22577" xr:uid="{A6A34BA1-AC40-43C0-8D7D-FBDD30AC2477}"/>
    <cellStyle name="常规 6 2 4 6 6" xfId="22578" xr:uid="{C3324812-72E2-4F1A-988B-BA4B1BCF0285}"/>
    <cellStyle name="常规 6 2 4 6 7" xfId="22579" xr:uid="{7CE93F0C-87B0-49D7-84D3-C747D96A77B9}"/>
    <cellStyle name="常规 6 2 4 7" xfId="22580" xr:uid="{F5451803-B644-46D7-BC42-F9866FA6E0EE}"/>
    <cellStyle name="常规 6 2 4 7 2" xfId="22581" xr:uid="{DF71F8B6-AC6C-4C75-BAC2-FD1C3630A13F}"/>
    <cellStyle name="常规 6 2 4 7 2 2" xfId="22582" xr:uid="{9B05022E-72E4-4626-BF8C-A9EA98A50168}"/>
    <cellStyle name="常规 6 2 4 7 2 3" xfId="22583" xr:uid="{1C9F328D-56A0-40B2-87CB-18015894BA42}"/>
    <cellStyle name="常规 6 2 4 7 2 4" xfId="22584" xr:uid="{3BC40A3D-8457-4E26-94DE-38CF78EC7A82}"/>
    <cellStyle name="常规 6 2 4 7 2 5" xfId="22585" xr:uid="{8E4B2350-41E8-4256-8736-85810F795147}"/>
    <cellStyle name="常规 6 2 4 7 2 6" xfId="22586" xr:uid="{9701D979-FBE0-47EA-B242-B00628A88A52}"/>
    <cellStyle name="常规 6 2 4 7 3" xfId="22587" xr:uid="{8471664A-B77B-4BBF-8521-FE8CE5754A3F}"/>
    <cellStyle name="常规 6 2 4 7 4" xfId="22588" xr:uid="{EF8A6DC5-32F1-49C5-A8EA-51EF49154A85}"/>
    <cellStyle name="常规 6 2 4 7 5" xfId="22589" xr:uid="{6C4CBD0F-C48D-4B36-8214-675A390DA36F}"/>
    <cellStyle name="常规 6 2 4 7 6" xfId="22590" xr:uid="{5FE3FF05-8DA3-4067-B7FB-1B48E91FF514}"/>
    <cellStyle name="常规 6 2 4 7 7" xfId="22591" xr:uid="{35D15881-5C18-452E-98DF-F63DC855D84B}"/>
    <cellStyle name="常规 6 2 4 8" xfId="22592" xr:uid="{C7AE2035-7686-438E-B160-7F4BA44A6C1B}"/>
    <cellStyle name="常规 6 2 4 8 2" xfId="22593" xr:uid="{2BD33CC8-5D35-490B-AF00-DF3E57B0DFF6}"/>
    <cellStyle name="常规 6 2 4 8 2 2" xfId="22594" xr:uid="{2EAD69E7-564E-418B-B00F-99FA1309E28A}"/>
    <cellStyle name="常规 6 2 4 8 2 3" xfId="22595" xr:uid="{CC5C3627-BC47-4701-8CE5-1B5B6CC35CAF}"/>
    <cellStyle name="常规 6 2 4 8 2 4" xfId="22596" xr:uid="{21BC93EA-E10B-4000-AC37-7ABB92BC2C01}"/>
    <cellStyle name="常规 6 2 4 8 2 5" xfId="22597" xr:uid="{C4291F1A-1C4C-4C39-89E3-7AF0B7B3CE87}"/>
    <cellStyle name="常规 6 2 4 8 2 6" xfId="22598" xr:uid="{CF3C9F60-1F56-44DB-8C98-AE49E321533B}"/>
    <cellStyle name="常规 6 2 4 8 3" xfId="22599" xr:uid="{AD10645A-D99D-4677-B7B2-74F760DECC4E}"/>
    <cellStyle name="常规 6 2 4 8 4" xfId="22600" xr:uid="{E1B4DC0C-B0EB-4440-AD6C-9451EEF0070B}"/>
    <cellStyle name="常规 6 2 4 8 5" xfId="22601" xr:uid="{F465B229-98CC-4C73-B4A7-9E4689B37ED4}"/>
    <cellStyle name="常规 6 2 4 8 6" xfId="22602" xr:uid="{155066B4-69EC-4719-9E8D-93072F6A0460}"/>
    <cellStyle name="常规 6 2 4 8 7" xfId="22603" xr:uid="{7FE569A1-9459-4F4E-8331-E5C06280AAFD}"/>
    <cellStyle name="常规 6 2 4 9" xfId="22604" xr:uid="{72505D3D-D299-4667-8CFB-C535E2816636}"/>
    <cellStyle name="常规 6 2 4 9 2" xfId="22605" xr:uid="{46D1FBA1-436D-4090-8A31-E7336B0A39D9}"/>
    <cellStyle name="常规 6 2 4 9 2 2" xfId="22606" xr:uid="{DB93A0BF-2A79-49F8-A59C-6A6673F8061B}"/>
    <cellStyle name="常规 6 2 4 9 2 3" xfId="22607" xr:uid="{31B429B4-372B-4C54-B0A4-DDDDBBAC8086}"/>
    <cellStyle name="常规 6 2 4 9 2 4" xfId="22608" xr:uid="{158E58EE-EC1E-4D62-A546-8F2DAC27D055}"/>
    <cellStyle name="常规 6 2 4 9 2 5" xfId="22609" xr:uid="{EDA304E2-9704-49F6-8C49-9E022EC4C0AB}"/>
    <cellStyle name="常规 6 2 4 9 2 6" xfId="22610" xr:uid="{7E51DC89-6EA3-489F-8718-FBAE6D9B2F6E}"/>
    <cellStyle name="常规 6 2 4 9 3" xfId="22611" xr:uid="{68A7EE2A-EBD3-4C3A-80E3-378EF607135D}"/>
    <cellStyle name="常规 6 2 4 9 4" xfId="22612" xr:uid="{FE895407-CA3C-46EE-8F5A-F7C9874294A5}"/>
    <cellStyle name="常规 6 2 4 9 5" xfId="22613" xr:uid="{0DE6A8D0-F076-4B76-9362-62F51C88DEFF}"/>
    <cellStyle name="常规 6 2 4 9 6" xfId="22614" xr:uid="{DA33490C-6C74-460A-95DA-15569DDF80B3}"/>
    <cellStyle name="常规 6 2 4 9 7" xfId="22615" xr:uid="{56461664-09D4-4ADD-A666-7C44632A7A98}"/>
    <cellStyle name="常规 6 2 5" xfId="22616" xr:uid="{C45D62CF-4A5E-4EC2-AC0B-38EE93DC7792}"/>
    <cellStyle name="常规 6 2 5 10" xfId="22617" xr:uid="{49A5464D-9C3A-4E4C-9864-0F33CA11C35E}"/>
    <cellStyle name="常规 6 2 5 2" xfId="22618" xr:uid="{0B717FCC-5919-4613-A8B3-D846A3A0FCD9}"/>
    <cellStyle name="常规 6 2 5 2 2" xfId="22619" xr:uid="{B6912C50-515C-4F5C-9B47-E2ECD980D364}"/>
    <cellStyle name="常规 6 2 5 2 2 2" xfId="22620" xr:uid="{BF1A2E30-9EE9-4904-9A1E-1CA433731EE5}"/>
    <cellStyle name="常规 6 2 5 2 2 3" xfId="22621" xr:uid="{593A543A-EE25-43E3-880A-05854EE21C62}"/>
    <cellStyle name="常规 6 2 5 2 2 4" xfId="22622" xr:uid="{1A7070E3-EB4F-42BE-866C-D2B823AD60BC}"/>
    <cellStyle name="常规 6 2 5 2 2 5" xfId="22623" xr:uid="{3A38A65B-369B-49AD-A288-24AD2DAF09D7}"/>
    <cellStyle name="常规 6 2 5 2 2 6" xfId="22624" xr:uid="{CD784139-3FCC-45C9-8DDD-68B1E16AD1C5}"/>
    <cellStyle name="常规 6 2 5 2 3" xfId="22625" xr:uid="{D403B403-4901-4E2B-939C-921B8A62D23B}"/>
    <cellStyle name="常规 6 2 5 2 4" xfId="22626" xr:uid="{EA1FCB4D-455E-40FA-A179-A8581349EAC7}"/>
    <cellStyle name="常规 6 2 5 2 5" xfId="22627" xr:uid="{7A6C459D-1CCD-4E74-B04F-42E463F2C268}"/>
    <cellStyle name="常规 6 2 5 2 6" xfId="22628" xr:uid="{3E68AF81-9DEF-4CC6-8AA5-83D80ADB3420}"/>
    <cellStyle name="常规 6 2 5 2 7" xfId="22629" xr:uid="{437BE622-8996-42D4-8F12-81A29EFF503E}"/>
    <cellStyle name="常规 6 2 5 2 8" xfId="22630" xr:uid="{55E64856-4D48-4355-B676-FEEEA085371C}"/>
    <cellStyle name="常规 6 2 5 2 9" xfId="22631" xr:uid="{E5A85F80-2CCE-417B-8DC6-9FD7A0D56CDD}"/>
    <cellStyle name="常规 6 2 5 3" xfId="22632" xr:uid="{C5A70F64-9168-4DF2-9008-A226E7D1BF34}"/>
    <cellStyle name="常规 6 2 5 3 2" xfId="22633" xr:uid="{6609EAEB-F0C0-46B6-A0BE-CD26B2800B02}"/>
    <cellStyle name="常规 6 2 5 3 2 2" xfId="22634" xr:uid="{5FA3DAE5-EFA5-4CBF-A740-ECD70DF5026F}"/>
    <cellStyle name="常规 6 2 5 3 2 3" xfId="22635" xr:uid="{FF190872-BFF4-4AD7-BD93-C07D5A1BBA6A}"/>
    <cellStyle name="常规 6 2 5 3 2 4" xfId="22636" xr:uid="{4F2B5B95-2AF0-4D55-A02A-5CFB096F9B2E}"/>
    <cellStyle name="常规 6 2 5 3 2 5" xfId="22637" xr:uid="{40D0A108-4F5F-4439-BE9D-C2D1A15D293D}"/>
    <cellStyle name="常规 6 2 5 3 2 6" xfId="22638" xr:uid="{125BBE54-678B-4143-91B0-BFA8471F01BA}"/>
    <cellStyle name="常规 6 2 5 3 3" xfId="22639" xr:uid="{200AAA7F-9D15-4E84-ABAF-918D0549E45A}"/>
    <cellStyle name="常规 6 2 5 3 4" xfId="22640" xr:uid="{279E90F1-4E34-473C-A2BB-5FD116A04B6D}"/>
    <cellStyle name="常规 6 2 5 3 5" xfId="22641" xr:uid="{A5E591D4-D059-4A79-AA3F-F96CC8C72B99}"/>
    <cellStyle name="常规 6 2 5 3 6" xfId="22642" xr:uid="{59659475-E151-4389-B7F9-84FEFA39AEA2}"/>
    <cellStyle name="常规 6 2 5 3 7" xfId="22643" xr:uid="{1DBE4565-388F-49F7-8C8A-CE5256A58572}"/>
    <cellStyle name="常规 6 2 5 3 8" xfId="22644" xr:uid="{39165FDF-B0D4-4935-B692-4E0F86C10815}"/>
    <cellStyle name="常规 6 2 5 4" xfId="22645" xr:uid="{DE5D698A-B173-474C-A84D-BCF28075601B}"/>
    <cellStyle name="常规 6 2 5 4 2" xfId="22646" xr:uid="{F9D97D7A-31EC-42B4-9EE0-B53FC6344552}"/>
    <cellStyle name="常规 6 2 5 4 2 2" xfId="22647" xr:uid="{7B80AC18-4955-4346-9706-467102B240C1}"/>
    <cellStyle name="常规 6 2 5 4 2 3" xfId="22648" xr:uid="{23A528C5-0343-4F05-852C-17AACC4BAB51}"/>
    <cellStyle name="常规 6 2 5 4 2 4" xfId="22649" xr:uid="{7AE840C0-8DE3-47C5-8B54-EFF36C50848C}"/>
    <cellStyle name="常规 6 2 5 4 2 5" xfId="22650" xr:uid="{6339B9AF-BF05-4717-BACA-A4B32AB66525}"/>
    <cellStyle name="常规 6 2 5 4 2 6" xfId="22651" xr:uid="{64E21D9B-8498-4895-90CC-F16B57AD5114}"/>
    <cellStyle name="常规 6 2 5 4 3" xfId="22652" xr:uid="{8471F61A-9E8C-4236-9CF2-49AC2B6A9523}"/>
    <cellStyle name="常规 6 2 5 4 4" xfId="22653" xr:uid="{09BB1010-116F-4ADE-9019-BD27F1FB38D5}"/>
    <cellStyle name="常规 6 2 5 4 5" xfId="22654" xr:uid="{5A5FAB37-B3AC-48EC-93C5-4EBCF5BEE8C1}"/>
    <cellStyle name="常规 6 2 5 4 6" xfId="22655" xr:uid="{6F1D5C2B-1E94-47F9-9959-8D0CE2925617}"/>
    <cellStyle name="常规 6 2 5 4 7" xfId="22656" xr:uid="{5687820F-D213-4075-A9EB-7B7D04BFA7A2}"/>
    <cellStyle name="常规 6 2 5 4 8" xfId="22657" xr:uid="{5427212E-EBE7-4E57-A0B9-C5903820FC52}"/>
    <cellStyle name="常规 6 2 5 4 9" xfId="34519" xr:uid="{C5F6272B-0998-47F5-8390-B6A214729CA0}"/>
    <cellStyle name="常规 6 2 5 5" xfId="22658" xr:uid="{9D2B5E82-7814-4646-8705-DDE931ADAE79}"/>
    <cellStyle name="常规 6 2 5 5 2" xfId="22659" xr:uid="{69EA821A-9870-4F67-9C65-C00384FB1456}"/>
    <cellStyle name="常规 6 2 5 5 2 2" xfId="22660" xr:uid="{35C8A756-350B-47F5-8517-3B259A105F93}"/>
    <cellStyle name="常规 6 2 5 5 2 3" xfId="22661" xr:uid="{1AE60AEB-DCBA-4B8A-BD65-CCB39C42B5B9}"/>
    <cellStyle name="常规 6 2 5 5 2 4" xfId="22662" xr:uid="{CC5C488E-170C-4D4E-9CBE-526DE61AF2E1}"/>
    <cellStyle name="常规 6 2 5 5 2 5" xfId="22663" xr:uid="{E81F6DD7-8999-4172-BC6C-66852A919F44}"/>
    <cellStyle name="常规 6 2 5 5 2 6" xfId="22664" xr:uid="{805AA3E1-C41A-4788-A4E1-409E581BB58F}"/>
    <cellStyle name="常规 6 2 5 5 3" xfId="22665" xr:uid="{441D77BB-4E86-4A28-9E41-B2DB00C128C5}"/>
    <cellStyle name="常规 6 2 5 5 4" xfId="22666" xr:uid="{94020C53-F89E-4674-A9F2-C4588E84534B}"/>
    <cellStyle name="常规 6 2 5 5 5" xfId="22667" xr:uid="{53B17204-2B71-4523-BE91-A601A2026D40}"/>
    <cellStyle name="常规 6 2 5 5 6" xfId="22668" xr:uid="{F63C8181-D841-40E7-B97E-ADE9E65E24B2}"/>
    <cellStyle name="常规 6 2 5 5 7" xfId="22669" xr:uid="{C97FCCCA-B08E-41D2-9E2E-1BF34632B0B6}"/>
    <cellStyle name="常规 6 2 5 6" xfId="22670" xr:uid="{F96B24C3-211B-4DAC-AC24-04914F413CDD}"/>
    <cellStyle name="常规 6 2 5 6 2" xfId="22671" xr:uid="{DB568E8A-0D53-4004-AC4C-B4E234460498}"/>
    <cellStyle name="常规 6 2 5 6 2 2" xfId="22672" xr:uid="{33FB95BB-D0D9-49D3-90C0-450C4EA4D916}"/>
    <cellStyle name="常规 6 2 5 6 2 3" xfId="22673" xr:uid="{63E4ECC0-52A0-4EBE-BD79-290653F9FFC2}"/>
    <cellStyle name="常规 6 2 5 6 2 4" xfId="22674" xr:uid="{AB453B21-92FF-402D-BEF0-6870A9A8198D}"/>
    <cellStyle name="常规 6 2 5 6 2 5" xfId="22675" xr:uid="{0D62FEB8-7482-47AC-913C-75557533CBB8}"/>
    <cellStyle name="常规 6 2 5 6 2 6" xfId="22676" xr:uid="{A3B4FA83-C622-44D0-B5EA-23A444D4C497}"/>
    <cellStyle name="常规 6 2 5 6 3" xfId="22677" xr:uid="{9B8B1F23-0498-4B2D-A592-56A6CF22E034}"/>
    <cellStyle name="常规 6 2 5 6 4" xfId="22678" xr:uid="{EC99993A-4797-4DDE-BA03-572DDCF3C754}"/>
    <cellStyle name="常规 6 2 5 6 5" xfId="22679" xr:uid="{69A2E789-193A-40AA-9500-D9EAE2FC3580}"/>
    <cellStyle name="常规 6 2 5 6 6" xfId="22680" xr:uid="{10A2AF46-6C22-446F-B1C8-E841830360EC}"/>
    <cellStyle name="常规 6 2 5 6 7" xfId="22681" xr:uid="{7A920E4E-6F20-4F82-B2D4-D3A7259EE84E}"/>
    <cellStyle name="常规 6 2 5 7" xfId="22682" xr:uid="{A4FED16B-42AC-4632-AB87-303C835D8D9E}"/>
    <cellStyle name="常规 6 2 5 7 2" xfId="22683" xr:uid="{505E635F-57E0-4E49-9AE2-7E09B6C1E33B}"/>
    <cellStyle name="常规 6 2 5 7 2 2" xfId="22684" xr:uid="{C0BFDDCA-5B88-4956-9067-59129262C15A}"/>
    <cellStyle name="常规 6 2 5 7 2 3" xfId="22685" xr:uid="{345E7F3C-46DB-404E-AC91-B0640DB4B978}"/>
    <cellStyle name="常规 6 2 5 7 2 4" xfId="22686" xr:uid="{0FC245D7-2A1F-42A0-A816-E8D2F629AF27}"/>
    <cellStyle name="常规 6 2 5 7 2 5" xfId="22687" xr:uid="{591A34BB-BA1C-4519-AD7B-7FFB2B7FB7B0}"/>
    <cellStyle name="常规 6 2 5 7 2 6" xfId="22688" xr:uid="{E50819EF-FFA8-4FC9-A0B3-07617C83DD0A}"/>
    <cellStyle name="常规 6 2 5 7 3" xfId="22689" xr:uid="{64BCE60B-3795-4585-9DE7-023DFB918611}"/>
    <cellStyle name="常规 6 2 5 7 4" xfId="22690" xr:uid="{7B106BB7-8460-4B1F-A188-88EC67F7B2D6}"/>
    <cellStyle name="常规 6 2 5 7 5" xfId="22691" xr:uid="{5F21E909-95F3-488C-9DCB-5982DDF4A56B}"/>
    <cellStyle name="常规 6 2 5 7 6" xfId="22692" xr:uid="{B9C7365B-DC98-4BC6-9C5F-52EF2435289F}"/>
    <cellStyle name="常规 6 2 5 7 7" xfId="22693" xr:uid="{FD8EA203-7418-485E-A826-32CBB939E266}"/>
    <cellStyle name="常规 6 2 5 8" xfId="22694" xr:uid="{042EE278-70A3-48EE-8C68-59B2C7789E20}"/>
    <cellStyle name="常规 6 2 5 8 2" xfId="22695" xr:uid="{7A69F904-3E52-47F4-8542-06E52CB01231}"/>
    <cellStyle name="常规 6 2 5 8 2 2" xfId="22696" xr:uid="{ECED1075-B9BE-49AC-88E3-DD09D56E3207}"/>
    <cellStyle name="常规 6 2 5 8 2 3" xfId="22697" xr:uid="{C301A746-7033-4471-A6DD-0B6D3E1E4918}"/>
    <cellStyle name="常规 6 2 5 8 2 4" xfId="22698" xr:uid="{8577E754-C1B4-4666-9C65-75AB460EC71D}"/>
    <cellStyle name="常规 6 2 5 8 2 5" xfId="22699" xr:uid="{9B5C33ED-4A81-46EE-8899-E063CC3D0FA5}"/>
    <cellStyle name="常规 6 2 5 8 2 6" xfId="22700" xr:uid="{7F82B5DF-62FD-478B-9ECB-4705C522CFB3}"/>
    <cellStyle name="常规 6 2 5 8 3" xfId="22701" xr:uid="{F3178677-1480-4F67-B63E-CEBE989BD3FE}"/>
    <cellStyle name="常规 6 2 5 8 4" xfId="22702" xr:uid="{CF1D1CC1-3619-478B-B73F-7DD1A19771E9}"/>
    <cellStyle name="常规 6 2 5 8 5" xfId="22703" xr:uid="{20A511ED-7B61-46BF-AEDC-A6E255C63AB6}"/>
    <cellStyle name="常规 6 2 5 8 6" xfId="22704" xr:uid="{3A9D1A01-F2B5-4273-B299-3C5F13201236}"/>
    <cellStyle name="常规 6 2 5 8 7" xfId="22705" xr:uid="{4D66AD4F-940F-4FEC-A410-152FCCF4F379}"/>
    <cellStyle name="常规 6 2 5 9" xfId="22706" xr:uid="{FBB10C9E-A909-41DD-98E9-82B6B470C729}"/>
    <cellStyle name="常规 6 2 5 9 2" xfId="22707" xr:uid="{C7258DC7-FC58-46D7-BF58-0745C92DE130}"/>
    <cellStyle name="常规 6 2 5 9 2 2" xfId="22708" xr:uid="{F4157ED6-8271-4E78-9C19-C3B3D4DC2A85}"/>
    <cellStyle name="常规 6 2 5 9 2 3" xfId="22709" xr:uid="{AA049156-13B6-4B45-B289-1177BE2C72F6}"/>
    <cellStyle name="常规 6 2 5 9 2 4" xfId="22710" xr:uid="{D059147F-B44B-46A2-9062-F075A6AEF02C}"/>
    <cellStyle name="常规 6 2 5 9 2 5" xfId="22711" xr:uid="{B2628983-25E5-41A0-89E0-EBC789E751C7}"/>
    <cellStyle name="常规 6 2 5 9 2 6" xfId="22712" xr:uid="{3D0883E3-064C-4255-8030-A5A4032B181A}"/>
    <cellStyle name="常规 6 2 5 9 3" xfId="22713" xr:uid="{68AEF8E4-62FE-4321-B25E-AAA74E5FB856}"/>
    <cellStyle name="常规 6 2 5 9 4" xfId="22714" xr:uid="{382D38DA-50B5-47ED-B457-58C2301FB58E}"/>
    <cellStyle name="常规 6 2 5 9 5" xfId="22715" xr:uid="{95EAC81F-3140-42E9-B41D-EC86663D8D86}"/>
    <cellStyle name="常规 6 2 5 9 6" xfId="22716" xr:uid="{298B6605-2148-4FCB-942F-A376B4E99B12}"/>
    <cellStyle name="常规 6 2 5 9 7" xfId="22717" xr:uid="{4414FBA4-9241-4A52-AD8C-2486DE76084C}"/>
    <cellStyle name="常规 6 2 6" xfId="22718" xr:uid="{2E8306C7-A1CB-4953-BD44-F90D5DB814B2}"/>
    <cellStyle name="常规 6 2 6 10" xfId="22719" xr:uid="{0F2D0CEF-0C98-4D8E-A4E5-F8EAF9558855}"/>
    <cellStyle name="常规 6 2 6 11" xfId="22720" xr:uid="{1CBEB0B2-0A99-4B3D-96D4-0BE5B8D261AC}"/>
    <cellStyle name="常规 6 2 6 12" xfId="22721" xr:uid="{9302F45E-E778-4387-81BE-0F9BBC098F57}"/>
    <cellStyle name="常规 6 2 6 13" xfId="22722" xr:uid="{56E00E0B-B581-4F14-B472-A593EC275614}"/>
    <cellStyle name="常规 6 2 6 14" xfId="22723" xr:uid="{F73D2D10-544B-4068-8098-5FB2293D3A65}"/>
    <cellStyle name="常规 6 2 6 15" xfId="22724" xr:uid="{64FEC7FA-B7F2-4B9C-AC6B-DC5ABC53A389}"/>
    <cellStyle name="常规 6 2 6 16" xfId="22725" xr:uid="{63ADDE45-1FF6-42A4-AD04-2B08DF03620E}"/>
    <cellStyle name="常规 6 2 6 2" xfId="22726" xr:uid="{5B0EE15D-69B2-4276-89C0-537DE15A9B3D}"/>
    <cellStyle name="常规 6 2 6 2 2" xfId="22727" xr:uid="{0C989AB4-A931-4751-BA48-036DE93E2A14}"/>
    <cellStyle name="常规 6 2 6 2 2 2" xfId="22728" xr:uid="{11ECC231-4418-4202-9AD2-B03E9FBD2718}"/>
    <cellStyle name="常规 6 2 6 2 2 3" xfId="22729" xr:uid="{4DC45316-FE8D-4D81-98DD-B1DFCC76AD9C}"/>
    <cellStyle name="常规 6 2 6 2 2 4" xfId="22730" xr:uid="{22A1CFED-258F-4B86-8E63-3125513663D3}"/>
    <cellStyle name="常规 6 2 6 2 2 5" xfId="22731" xr:uid="{C011D35E-8998-4CE7-91E3-A002223BE663}"/>
    <cellStyle name="常规 6 2 6 2 2 6" xfId="22732" xr:uid="{9738C0F9-DDB8-4FCE-80BA-38035408A8B5}"/>
    <cellStyle name="常规 6 2 6 2 3" xfId="22733" xr:uid="{A9D131FA-FEBA-46F6-A267-1ECCBBAC6485}"/>
    <cellStyle name="常规 6 2 6 2 4" xfId="22734" xr:uid="{B5625E46-B380-44CD-B7F8-61C8A7C16AF6}"/>
    <cellStyle name="常规 6 2 6 2 5" xfId="22735" xr:uid="{7D0E418C-D2EE-438F-92F6-A35922E332F6}"/>
    <cellStyle name="常规 6 2 6 2 6" xfId="22736" xr:uid="{27E1515C-775D-482F-A195-5645024C76E6}"/>
    <cellStyle name="常规 6 2 6 2 7" xfId="22737" xr:uid="{6780EAA4-655A-468D-A898-9A746BF2B1F1}"/>
    <cellStyle name="常规 6 2 6 3" xfId="22738" xr:uid="{0361AB40-64D1-4310-BFFB-6F3FE3C38A03}"/>
    <cellStyle name="常规 6 2 6 3 2" xfId="22739" xr:uid="{7AE78D29-CA99-4174-B433-E1A4CD450C1E}"/>
    <cellStyle name="常规 6 2 6 3 2 2" xfId="22740" xr:uid="{5DE08AF5-8FB7-4982-A77E-9FA2DF36625A}"/>
    <cellStyle name="常规 6 2 6 3 2 3" xfId="22741" xr:uid="{8F3ECA22-2E39-4E49-A107-0FD5D3132D62}"/>
    <cellStyle name="常规 6 2 6 3 2 4" xfId="22742" xr:uid="{762A8BD6-FFC9-4D3D-A7D2-9E6D4929C693}"/>
    <cellStyle name="常规 6 2 6 3 2 5" xfId="22743" xr:uid="{BF67BEF9-2D3B-4582-B3FC-C94198A7DF2E}"/>
    <cellStyle name="常规 6 2 6 3 2 6" xfId="22744" xr:uid="{BF04FA86-7025-4608-B2CF-ECA4B7303EC3}"/>
    <cellStyle name="常规 6 2 6 3 3" xfId="22745" xr:uid="{4CE978FE-9892-4FA4-9F77-8E91E03CB8C5}"/>
    <cellStyle name="常规 6 2 6 3 4" xfId="22746" xr:uid="{97CF32EF-E376-48A7-8C58-41091239BD39}"/>
    <cellStyle name="常规 6 2 6 3 5" xfId="22747" xr:uid="{B11AA39B-A0F2-4DDD-A562-E79C0CD5117C}"/>
    <cellStyle name="常规 6 2 6 3 6" xfId="22748" xr:uid="{07E13A14-4CB4-44D5-AB0C-DB8B8A24C65B}"/>
    <cellStyle name="常规 6 2 6 3 7" xfId="22749" xr:uid="{576CFA62-9B1E-4B8A-B673-338F482EAA9B}"/>
    <cellStyle name="常规 6 2 6 4" xfId="22750" xr:uid="{A576A1A6-55A1-4B88-B103-CCDBCA5A7924}"/>
    <cellStyle name="常规 6 2 6 4 2" xfId="22751" xr:uid="{625A0234-537E-41DD-8565-5BE13CC9AE08}"/>
    <cellStyle name="常规 6 2 6 4 2 2" xfId="22752" xr:uid="{D662832C-929F-42B9-A237-683901C22029}"/>
    <cellStyle name="常规 6 2 6 4 2 3" xfId="22753" xr:uid="{7ED32515-8457-4415-AD6D-0743B8F65320}"/>
    <cellStyle name="常规 6 2 6 4 2 4" xfId="22754" xr:uid="{62C0A9FE-43A6-478C-A302-7ED40A31B9B9}"/>
    <cellStyle name="常规 6 2 6 4 2 5" xfId="22755" xr:uid="{B9A906DE-7CD9-4FC5-8884-750ED725F612}"/>
    <cellStyle name="常规 6 2 6 4 2 6" xfId="22756" xr:uid="{50F0791C-74D8-4103-8A3B-061B02D7CF4C}"/>
    <cellStyle name="常规 6 2 6 4 3" xfId="22757" xr:uid="{DD176EFB-122A-4C50-91D3-F09375648E11}"/>
    <cellStyle name="常规 6 2 6 4 4" xfId="22758" xr:uid="{977B2AB6-E8E2-4CEA-8CF4-A9E3EE694845}"/>
    <cellStyle name="常规 6 2 6 4 5" xfId="22759" xr:uid="{9D680993-DBBE-43C8-85B4-49F290B17A54}"/>
    <cellStyle name="常规 6 2 6 4 6" xfId="22760" xr:uid="{DA2ECB52-DE5E-48B9-B84D-6281E511E775}"/>
    <cellStyle name="常规 6 2 6 4 7" xfId="22761" xr:uid="{B31E6C88-2E49-438F-9733-CDD82AAB7659}"/>
    <cellStyle name="常规 6 2 6 5" xfId="22762" xr:uid="{E41FDA03-D722-4517-9D88-57930BBF565C}"/>
    <cellStyle name="常规 6 2 6 5 2" xfId="22763" xr:uid="{BBE81EBA-E7DB-4EF5-82CF-DB02F4F99DAC}"/>
    <cellStyle name="常规 6 2 6 5 2 2" xfId="22764" xr:uid="{12A5EC97-3668-425F-8D3F-841D44432E4B}"/>
    <cellStyle name="常规 6 2 6 5 2 3" xfId="22765" xr:uid="{5411628D-32A1-4095-AA42-6AB032415F45}"/>
    <cellStyle name="常规 6 2 6 5 2 4" xfId="22766" xr:uid="{DD62FC88-8E80-4508-8E15-19E7548EDAAB}"/>
    <cellStyle name="常规 6 2 6 5 2 5" xfId="22767" xr:uid="{8F85AF4D-6EE3-4130-B178-3CA567AF4BDB}"/>
    <cellStyle name="常规 6 2 6 5 2 6" xfId="22768" xr:uid="{001DADAF-9D2F-496E-9DCF-04CF271866AB}"/>
    <cellStyle name="常规 6 2 6 5 3" xfId="22769" xr:uid="{B3176195-3E07-4E1F-B3A8-01776588C08C}"/>
    <cellStyle name="常规 6 2 6 5 4" xfId="22770" xr:uid="{1B7CA077-BEB9-4A2C-AB75-1DD46EAD921D}"/>
    <cellStyle name="常规 6 2 6 5 5" xfId="22771" xr:uid="{5DF80A28-A8CA-4885-A12C-6318BF1D5579}"/>
    <cellStyle name="常规 6 2 6 5 6" xfId="22772" xr:uid="{83AB69DE-68A3-4812-A034-F4977CF21A58}"/>
    <cellStyle name="常规 6 2 6 5 7" xfId="22773" xr:uid="{869199FE-1685-405E-8EB5-7D18BCB92DA0}"/>
    <cellStyle name="常规 6 2 6 6" xfId="22774" xr:uid="{9AE40D32-1A0C-4683-81CC-11D5E4D41AC2}"/>
    <cellStyle name="常规 6 2 6 6 2" xfId="22775" xr:uid="{CC267AE6-B069-4A6D-841C-757401340B68}"/>
    <cellStyle name="常规 6 2 6 6 2 2" xfId="22776" xr:uid="{98E73983-0F9A-48A5-BA80-719C774CBCA2}"/>
    <cellStyle name="常规 6 2 6 6 2 3" xfId="22777" xr:uid="{6B303F92-0CCB-4A99-91F2-37611A2C3617}"/>
    <cellStyle name="常规 6 2 6 6 2 4" xfId="22778" xr:uid="{E9D5C9ED-1F15-4FA0-BDEB-B4C8E52687DC}"/>
    <cellStyle name="常规 6 2 6 6 2 5" xfId="22779" xr:uid="{C6F1E0AF-8D7B-4F1F-953D-DC3ED6E0E94E}"/>
    <cellStyle name="常规 6 2 6 6 2 6" xfId="22780" xr:uid="{929ABFFD-6837-4A87-A213-2E77764782C1}"/>
    <cellStyle name="常规 6 2 6 6 3" xfId="22781" xr:uid="{566435BA-3773-4B42-9F05-B127602213D2}"/>
    <cellStyle name="常规 6 2 6 6 4" xfId="22782" xr:uid="{0A9CDE75-E90E-4966-98FA-06097E5F198F}"/>
    <cellStyle name="常规 6 2 6 6 5" xfId="22783" xr:uid="{DA8B4855-4F6C-435F-9845-7E1D46606357}"/>
    <cellStyle name="常规 6 2 6 6 6" xfId="22784" xr:uid="{4E443F40-5492-4660-9342-39B081E28074}"/>
    <cellStyle name="常规 6 2 6 6 7" xfId="22785" xr:uid="{A0C49A0D-0EB2-47C0-B719-8824426F51CB}"/>
    <cellStyle name="常规 6 2 6 7" xfId="22786" xr:uid="{E4CB8A7B-C00F-4C27-9D98-CAB0563D8C13}"/>
    <cellStyle name="常规 6 2 6 7 2" xfId="22787" xr:uid="{08902CA6-CEBB-4D51-B97E-4C5BFCB0B92D}"/>
    <cellStyle name="常规 6 2 6 7 2 2" xfId="22788" xr:uid="{72B62EFB-02FD-41EE-BB83-68840F6A5D1C}"/>
    <cellStyle name="常规 6 2 6 7 2 3" xfId="22789" xr:uid="{23C63E84-198A-43B3-A33B-2C18C61B06F8}"/>
    <cellStyle name="常规 6 2 6 7 2 4" xfId="22790" xr:uid="{C1753176-7CB6-487A-90C3-FC54EF0A8D0C}"/>
    <cellStyle name="常规 6 2 6 7 2 5" xfId="22791" xr:uid="{221ED3AD-F401-45F7-ACDB-E4020774D5B0}"/>
    <cellStyle name="常规 6 2 6 7 2 6" xfId="22792" xr:uid="{DDB1ADD4-1EF2-4C1C-92D5-D368F823230E}"/>
    <cellStyle name="常规 6 2 6 7 3" xfId="22793" xr:uid="{36C93535-4C64-4999-B5A0-3629870BCA08}"/>
    <cellStyle name="常规 6 2 6 7 4" xfId="22794" xr:uid="{CDB870B6-257E-4366-9355-8B8C2FA9DFAE}"/>
    <cellStyle name="常规 6 2 6 7 5" xfId="22795" xr:uid="{9D2F830D-B048-43A2-9A5A-A706486C4C72}"/>
    <cellStyle name="常规 6 2 6 7 6" xfId="22796" xr:uid="{8FEBA128-A458-4673-AA36-AA7FA72CDA9C}"/>
    <cellStyle name="常规 6 2 6 7 7" xfId="22797" xr:uid="{D01B5A4A-1559-41CD-B868-CD3B592D6339}"/>
    <cellStyle name="常规 6 2 6 8" xfId="22798" xr:uid="{627CD215-EA32-4DC5-8AF7-4A693878F8E4}"/>
    <cellStyle name="常规 6 2 6 8 2" xfId="22799" xr:uid="{21758389-E012-4AE4-BFD8-06F54BC555B9}"/>
    <cellStyle name="常规 6 2 6 8 2 2" xfId="22800" xr:uid="{53BC5260-1BC8-444F-AF8C-5BDEC91DE061}"/>
    <cellStyle name="常规 6 2 6 8 2 3" xfId="22801" xr:uid="{FC355054-0B4E-4720-8C0B-5F18C60051B0}"/>
    <cellStyle name="常规 6 2 6 8 2 4" xfId="22802" xr:uid="{471EC364-41D4-4FC0-A855-919F249FA226}"/>
    <cellStyle name="常规 6 2 6 8 2 5" xfId="22803" xr:uid="{A1B7ED42-F1C9-4D94-97F1-F22CE2A7B13B}"/>
    <cellStyle name="常规 6 2 6 8 2 6" xfId="22804" xr:uid="{BE680D32-43D0-41DC-86AE-9AD643F6B222}"/>
    <cellStyle name="常规 6 2 6 8 3" xfId="22805" xr:uid="{BC366A77-8444-4B99-986B-F9033BB214D2}"/>
    <cellStyle name="常规 6 2 6 8 4" xfId="22806" xr:uid="{D129A8E9-4382-4E9A-AC07-237A45559C06}"/>
    <cellStyle name="常规 6 2 6 8 5" xfId="22807" xr:uid="{23A67517-E988-4F9E-9FC0-1CF1648CD804}"/>
    <cellStyle name="常规 6 2 6 8 6" xfId="22808" xr:uid="{AD88FFB3-2EC2-45F0-99C0-A2E169056C26}"/>
    <cellStyle name="常规 6 2 6 8 7" xfId="22809" xr:uid="{39C79B7F-E3E2-4795-8EDA-9DB908A961E8}"/>
    <cellStyle name="常规 6 2 6 9" xfId="22810" xr:uid="{9EDF64AF-D121-4378-BA93-C07CABD817A5}"/>
    <cellStyle name="常规 6 2 6 9 2" xfId="22811" xr:uid="{5710200F-505B-4B2A-A7D3-8F65CD657EBF}"/>
    <cellStyle name="常规 6 2 6 9 3" xfId="22812" xr:uid="{4CB77958-774F-474B-9ACD-7DA4CCB19681}"/>
    <cellStyle name="常规 6 2 6 9 4" xfId="22813" xr:uid="{D4D200A1-A866-4381-B21D-C1B04F3DD8C7}"/>
    <cellStyle name="常规 6 2 6 9 5" xfId="22814" xr:uid="{3B9F560A-BA29-4B8C-A99D-28BE1112E6D5}"/>
    <cellStyle name="常规 6 2 6 9 6" xfId="22815" xr:uid="{5B23B368-4FB9-4B81-8501-F3EAB16BF8E7}"/>
    <cellStyle name="常规 6 2 7" xfId="22816" xr:uid="{59248026-1E01-46CF-94C7-6FB59751B26A}"/>
    <cellStyle name="常规 6 2 7 10" xfId="22817" xr:uid="{C17629AF-F628-4976-9438-95DA9961EB9E}"/>
    <cellStyle name="常规 6 2 7 11" xfId="22818" xr:uid="{94FDC926-2E54-41C6-98D8-8D36DF847543}"/>
    <cellStyle name="常规 6 2 7 12" xfId="22819" xr:uid="{5C8DA239-9D8A-4086-BFA1-CAFA2DE66317}"/>
    <cellStyle name="常规 6 2 7 13" xfId="22820" xr:uid="{D73A7A7F-F904-44EC-8044-A4088E0620E1}"/>
    <cellStyle name="常规 6 2 7 14" xfId="22821" xr:uid="{6A1671FB-1753-42EB-82F7-5791C4DA1B5D}"/>
    <cellStyle name="常规 6 2 7 2" xfId="22822" xr:uid="{989DD2F4-BE72-43D6-828D-86C5790FCCD5}"/>
    <cellStyle name="常规 6 2 7 2 2" xfId="22823" xr:uid="{1D92AFEA-775A-4BB2-9C40-08DDA0D5104E}"/>
    <cellStyle name="常规 6 2 7 2 2 2" xfId="22824" xr:uid="{EC73E6AB-071C-4171-99BE-83F41CA45FAF}"/>
    <cellStyle name="常规 6 2 7 2 2 3" xfId="22825" xr:uid="{4EDDD35F-C878-4560-B634-CFCD0377644C}"/>
    <cellStyle name="常规 6 2 7 2 2 4" xfId="22826" xr:uid="{32079A36-9DD4-4359-96F5-7B09FA2F38A0}"/>
    <cellStyle name="常规 6 2 7 2 2 5" xfId="22827" xr:uid="{CB2B2949-2A0C-49F0-A8BF-11A3936519DB}"/>
    <cellStyle name="常规 6 2 7 2 2 6" xfId="22828" xr:uid="{5D89DB47-4B1E-45EE-86ED-64CF392FAC3E}"/>
    <cellStyle name="常规 6 2 7 2 3" xfId="22829" xr:uid="{C3E28742-E3C4-4CDA-B2F7-9CCE70A216DE}"/>
    <cellStyle name="常规 6 2 7 2 4" xfId="22830" xr:uid="{E45CF59C-051F-4700-9D31-E4A7F3373A1E}"/>
    <cellStyle name="常规 6 2 7 2 5" xfId="22831" xr:uid="{789CF122-D99A-4FD0-A600-9B57F0A3AEDB}"/>
    <cellStyle name="常规 6 2 7 2 6" xfId="22832" xr:uid="{A85C9188-8BB6-452D-AF50-BF26AD32EF48}"/>
    <cellStyle name="常规 6 2 7 2 7" xfId="22833" xr:uid="{9788F9E3-C7A8-4115-A81A-7430A4970765}"/>
    <cellStyle name="常规 6 2 7 3" xfId="22834" xr:uid="{AE8D8E63-C4F9-48A7-A98F-F6DC50E9FBD9}"/>
    <cellStyle name="常规 6 2 7 3 2" xfId="22835" xr:uid="{E9160100-CB66-464A-B126-3513E7931EDA}"/>
    <cellStyle name="常规 6 2 7 3 2 2" xfId="22836" xr:uid="{65673954-AB32-4C82-9417-B6B29B268775}"/>
    <cellStyle name="常规 6 2 7 3 2 3" xfId="22837" xr:uid="{B4725A21-B253-4C7A-9AA0-E7AFC43A045A}"/>
    <cellStyle name="常规 6 2 7 3 2 4" xfId="22838" xr:uid="{22CF6081-B474-4DD0-A110-C33BBE1299C2}"/>
    <cellStyle name="常规 6 2 7 3 2 5" xfId="22839" xr:uid="{75619B4C-529C-4226-BD03-97F7FE52DB5E}"/>
    <cellStyle name="常规 6 2 7 3 2 6" xfId="22840" xr:uid="{E68FBC09-A42A-4291-BE90-3F61B617B9B3}"/>
    <cellStyle name="常规 6 2 7 3 3" xfId="22841" xr:uid="{BD383790-6C75-46D7-87BF-EF1ED9CC5413}"/>
    <cellStyle name="常规 6 2 7 3 4" xfId="22842" xr:uid="{D32A2833-0510-4928-8A84-1A6CC5E94DDE}"/>
    <cellStyle name="常规 6 2 7 3 5" xfId="22843" xr:uid="{C739051F-87C6-4F20-AF31-D07CAEA0B9B3}"/>
    <cellStyle name="常规 6 2 7 3 6" xfId="22844" xr:uid="{728819F6-EA4B-487E-B840-D7AAC867AF4C}"/>
    <cellStyle name="常规 6 2 7 3 7" xfId="22845" xr:uid="{6A8DBD69-532C-4D87-93DB-57077069243B}"/>
    <cellStyle name="常规 6 2 7 4" xfId="22846" xr:uid="{7BAE11C1-61D2-4420-9CF4-3462F2B2DEBF}"/>
    <cellStyle name="常规 6 2 7 4 2" xfId="22847" xr:uid="{E93A770C-3C65-4037-994E-806B830F9975}"/>
    <cellStyle name="常规 6 2 7 4 2 2" xfId="22848" xr:uid="{42AD3DB0-3D4B-4C0A-8D48-02B3D0347CF0}"/>
    <cellStyle name="常规 6 2 7 4 2 3" xfId="22849" xr:uid="{9B1A3408-42FC-4C19-8E78-E1DD82964959}"/>
    <cellStyle name="常规 6 2 7 4 2 4" xfId="22850" xr:uid="{FBC557BC-19E4-4578-99A7-D3BADB85796A}"/>
    <cellStyle name="常规 6 2 7 4 2 5" xfId="22851" xr:uid="{F9134C31-086E-418C-AC93-2894088725D0}"/>
    <cellStyle name="常规 6 2 7 4 2 6" xfId="22852" xr:uid="{B9CBE51D-527C-4605-B2BD-60445EDB75DA}"/>
    <cellStyle name="常规 6 2 7 4 3" xfId="22853" xr:uid="{D74326D8-D671-4500-A29F-30EF30BF7361}"/>
    <cellStyle name="常规 6 2 7 4 4" xfId="22854" xr:uid="{08343604-3053-489E-AFFC-9BE5128BF43C}"/>
    <cellStyle name="常规 6 2 7 4 5" xfId="22855" xr:uid="{34826553-BD47-406C-B184-AC271F8F8A64}"/>
    <cellStyle name="常规 6 2 7 4 6" xfId="22856" xr:uid="{34812689-82CD-4350-88A8-B8836E364E66}"/>
    <cellStyle name="常规 6 2 7 4 7" xfId="22857" xr:uid="{4886FC8A-3DA4-4A48-9FE6-536BF62AABCA}"/>
    <cellStyle name="常规 6 2 7 5" xfId="22858" xr:uid="{F631AE31-F5CE-4F5D-AF20-6615EFEC5928}"/>
    <cellStyle name="常规 6 2 7 5 2" xfId="22859" xr:uid="{667940E9-7882-4875-8569-28D93AAA8E37}"/>
    <cellStyle name="常规 6 2 7 5 2 2" xfId="22860" xr:uid="{0D94D757-0843-4FD6-926D-E7960AAE2052}"/>
    <cellStyle name="常规 6 2 7 5 2 3" xfId="22861" xr:uid="{7FAA7F5C-FBEF-4EB2-81B9-F7DD173EFB5F}"/>
    <cellStyle name="常规 6 2 7 5 2 4" xfId="22862" xr:uid="{E11C0F48-FE26-49AE-8C2D-D21665B57356}"/>
    <cellStyle name="常规 6 2 7 5 2 5" xfId="22863" xr:uid="{DF5CBEF9-18EA-42CE-BEFC-FF2B6F1F08BF}"/>
    <cellStyle name="常规 6 2 7 5 2 6" xfId="22864" xr:uid="{B570853E-5FCB-4624-9DC8-ACC8C7FAD831}"/>
    <cellStyle name="常规 6 2 7 5 3" xfId="22865" xr:uid="{E358D2C1-14D3-4CF6-85DD-4CB6A0591D82}"/>
    <cellStyle name="常规 6 2 7 5 4" xfId="22866" xr:uid="{FCB03131-A690-4E8E-9E01-B05AD5755F9B}"/>
    <cellStyle name="常规 6 2 7 5 5" xfId="22867" xr:uid="{012707B2-95ED-4235-A9E4-08B1F229563D}"/>
    <cellStyle name="常规 6 2 7 5 6" xfId="22868" xr:uid="{5E49270A-E33E-470E-B3B3-CCDA36044B2A}"/>
    <cellStyle name="常规 6 2 7 5 7" xfId="22869" xr:uid="{0E8F88EB-A95F-4AE0-838E-F2C6372A5FA2}"/>
    <cellStyle name="常规 6 2 7 6" xfId="22870" xr:uid="{D8E7B619-B68C-4890-9EE9-B40E36CDF916}"/>
    <cellStyle name="常规 6 2 7 6 2" xfId="22871" xr:uid="{78707D83-C0EB-472C-903C-02392B03FAEB}"/>
    <cellStyle name="常规 6 2 7 6 2 2" xfId="22872" xr:uid="{ADD8E1DB-86E8-4650-A55D-D319D4185FA1}"/>
    <cellStyle name="常规 6 2 7 6 2 3" xfId="22873" xr:uid="{07840ADC-D08F-455D-BF3C-55FA70BBDEC9}"/>
    <cellStyle name="常规 6 2 7 6 2 4" xfId="22874" xr:uid="{EFC0ACB0-3990-47A1-A93B-7334CCCEEAFF}"/>
    <cellStyle name="常规 6 2 7 6 2 5" xfId="22875" xr:uid="{A9B69D6F-1A95-4D9B-B340-8BCB9CE8CD7D}"/>
    <cellStyle name="常规 6 2 7 6 2 6" xfId="22876" xr:uid="{C392E54A-2A9C-4081-AC41-DD53D14D6064}"/>
    <cellStyle name="常规 6 2 7 6 3" xfId="22877" xr:uid="{0DCE19C4-9EB3-4990-9A7A-BCD89F00C835}"/>
    <cellStyle name="常规 6 2 7 6 4" xfId="22878" xr:uid="{519AB5AB-2508-43A0-B466-D4A54E99E6A2}"/>
    <cellStyle name="常规 6 2 7 6 5" xfId="22879" xr:uid="{793F4416-01B6-4C95-ABC5-FBE2016E3196}"/>
    <cellStyle name="常规 6 2 7 6 6" xfId="22880" xr:uid="{88BE417F-5CEA-4EE4-AAFA-C94C41C2E8B4}"/>
    <cellStyle name="常规 6 2 7 6 7" xfId="22881" xr:uid="{FEC5380F-06F8-4C5E-9239-4C6CE7B8B125}"/>
    <cellStyle name="常规 6 2 7 7" xfId="22882" xr:uid="{08CB7FAD-AD31-4F77-A02E-55943F3043CD}"/>
    <cellStyle name="常规 6 2 7 7 2" xfId="22883" xr:uid="{C7E4048D-8932-48A4-B2A4-AB87BBFD6A1C}"/>
    <cellStyle name="常规 6 2 7 7 2 2" xfId="22884" xr:uid="{BE842688-9E01-4F90-B4A3-352E42A42E49}"/>
    <cellStyle name="常规 6 2 7 7 2 3" xfId="22885" xr:uid="{0697C909-6475-4D25-8E4F-267A1B6802B3}"/>
    <cellStyle name="常规 6 2 7 7 2 4" xfId="22886" xr:uid="{A1EF4882-00D5-44BA-9D19-F5444D001C69}"/>
    <cellStyle name="常规 6 2 7 7 2 5" xfId="22887" xr:uid="{AEDC1C3A-1954-46E3-98EA-3C6462718502}"/>
    <cellStyle name="常规 6 2 7 7 2 6" xfId="22888" xr:uid="{A8D7BB5A-7BD9-4983-8169-FDEC495027ED}"/>
    <cellStyle name="常规 6 2 7 7 3" xfId="22889" xr:uid="{10CFE065-53AA-43C6-93A0-B406F5544972}"/>
    <cellStyle name="常规 6 2 7 7 4" xfId="22890" xr:uid="{F6D7835F-00BE-4083-B71A-4F5139830FBC}"/>
    <cellStyle name="常规 6 2 7 7 5" xfId="22891" xr:uid="{6052A557-626A-4060-8707-306D33491CD1}"/>
    <cellStyle name="常规 6 2 7 7 6" xfId="22892" xr:uid="{3F1F2602-43A5-40A0-ADB8-EB8C62225621}"/>
    <cellStyle name="常规 6 2 7 7 7" xfId="22893" xr:uid="{39767060-4DAF-477E-B758-3E7F4789CE32}"/>
    <cellStyle name="常规 6 2 7 8" xfId="22894" xr:uid="{A5B12E80-B432-48DD-A4D8-9814EC1952AE}"/>
    <cellStyle name="常规 6 2 7 8 2" xfId="22895" xr:uid="{EF7E0427-4176-43E6-952D-576FF6DBF568}"/>
    <cellStyle name="常规 6 2 7 8 3" xfId="22896" xr:uid="{831F624A-3DB0-4045-BED3-2D9DE0D408B6}"/>
    <cellStyle name="常规 6 2 7 8 4" xfId="22897" xr:uid="{A4CD946D-6D92-4F9E-9327-EEF5988EF091}"/>
    <cellStyle name="常规 6 2 7 8 5" xfId="22898" xr:uid="{1D36F815-DDEC-4F71-8339-629D77ED3E64}"/>
    <cellStyle name="常规 6 2 7 8 6" xfId="22899" xr:uid="{A646217D-B73E-42CB-9F62-F09966418004}"/>
    <cellStyle name="常规 6 2 7 9" xfId="22900" xr:uid="{6FE00C37-C8F8-462D-95EE-F5C163A406F2}"/>
    <cellStyle name="常规 6 2 8" xfId="22901" xr:uid="{140D03BE-C65B-440F-9269-44EEDAA4FF2B}"/>
    <cellStyle name="常规 6 2 8 10" xfId="22902" xr:uid="{36FC31CF-356D-43B0-BCA1-4CFF0A907209}"/>
    <cellStyle name="常规 6 2 8 11" xfId="22903" xr:uid="{DD5C82A8-7B4C-4E0D-BD70-54719B7BB2C6}"/>
    <cellStyle name="常规 6 2 8 12" xfId="22904" xr:uid="{EEE3ED89-BACF-4732-BAB0-294903E38029}"/>
    <cellStyle name="常规 6 2 8 13" xfId="22905" xr:uid="{E140B317-C777-4FA9-9ED0-92533B3AC0B5}"/>
    <cellStyle name="常规 6 2 8 14" xfId="34520" xr:uid="{DF213918-72CA-47C6-AF53-B3B75E02C0CE}"/>
    <cellStyle name="常规 6 2 8 2" xfId="22906" xr:uid="{35CE3A36-DDCC-48D6-93E1-E6CADF983195}"/>
    <cellStyle name="常规 6 2 8 2 2" xfId="22907" xr:uid="{CB90B4F8-BF5E-43FD-931A-1C9EB45AED9A}"/>
    <cellStyle name="常规 6 2 8 2 2 2" xfId="22908" xr:uid="{67ECD5D8-BC69-489C-BE2A-9903A2ADAB6E}"/>
    <cellStyle name="常规 6 2 8 2 2 3" xfId="22909" xr:uid="{191B3FD7-9750-4612-AF13-3A52C165ED6A}"/>
    <cellStyle name="常规 6 2 8 2 2 4" xfId="22910" xr:uid="{268ADF0C-8B93-4397-AD80-1BE93ED7A457}"/>
    <cellStyle name="常规 6 2 8 2 2 5" xfId="22911" xr:uid="{2D3500B7-F198-4FFC-B893-DB19D79BE055}"/>
    <cellStyle name="常规 6 2 8 2 2 6" xfId="22912" xr:uid="{BE86DDC4-DAB5-4CBB-9A43-D48770AA038E}"/>
    <cellStyle name="常规 6 2 8 2 3" xfId="22913" xr:uid="{8C72C241-CCFF-465F-BF25-238D6152B5A3}"/>
    <cellStyle name="常规 6 2 8 2 4" xfId="22914" xr:uid="{932CF5E7-D61C-4D0F-8392-7F5ABE799FCA}"/>
    <cellStyle name="常规 6 2 8 2 5" xfId="22915" xr:uid="{058CFED5-938E-481F-AF37-B834ED099899}"/>
    <cellStyle name="常规 6 2 8 2 6" xfId="22916" xr:uid="{4629D365-0CF9-4FD6-9EBB-F0EA06DF55E3}"/>
    <cellStyle name="常规 6 2 8 2 7" xfId="22917" xr:uid="{C7ADF809-315A-499B-964E-92F55D9341A2}"/>
    <cellStyle name="常规 6 2 8 3" xfId="22918" xr:uid="{A7820293-8F57-496D-90C6-66604B5958A7}"/>
    <cellStyle name="常规 6 2 8 3 2" xfId="22919" xr:uid="{56E8DB93-FF12-4A9C-8BB0-0E26B85F3BC4}"/>
    <cellStyle name="常规 6 2 8 3 2 2" xfId="22920" xr:uid="{9A4989DE-A039-4685-8512-789337C51E23}"/>
    <cellStyle name="常规 6 2 8 3 2 3" xfId="22921" xr:uid="{02B0445D-808F-4B13-BE50-734BF1DE97D8}"/>
    <cellStyle name="常规 6 2 8 3 2 4" xfId="22922" xr:uid="{E292AE3C-F7F0-4A3A-ADE3-856E66417123}"/>
    <cellStyle name="常规 6 2 8 3 2 5" xfId="22923" xr:uid="{B333ED79-4C13-424A-850D-76C9E0845CA4}"/>
    <cellStyle name="常规 6 2 8 3 2 6" xfId="22924" xr:uid="{395324FC-EA92-4D49-BC72-C1BA56BA6568}"/>
    <cellStyle name="常规 6 2 8 3 3" xfId="22925" xr:uid="{5B31CA24-2C2F-4DE7-929E-BF40D7478A64}"/>
    <cellStyle name="常规 6 2 8 3 4" xfId="22926" xr:uid="{8F40AD5D-E4A1-4E57-85A3-2AC273B652C1}"/>
    <cellStyle name="常规 6 2 8 3 5" xfId="22927" xr:uid="{0378E61F-8927-42BB-9FB5-194604A39916}"/>
    <cellStyle name="常规 6 2 8 3 6" xfId="22928" xr:uid="{27DD20FB-795E-4952-A704-0E1C3D0A58A6}"/>
    <cellStyle name="常规 6 2 8 3 7" xfId="22929" xr:uid="{18C91B6F-EDB6-4F4F-B3EB-D45F2A632EAF}"/>
    <cellStyle name="常规 6 2 8 4" xfId="22930" xr:uid="{61D05817-3914-43A2-8CAF-52F66737434E}"/>
    <cellStyle name="常规 6 2 8 4 2" xfId="22931" xr:uid="{B0523328-AE2C-4752-8006-7B4CF87D0B4A}"/>
    <cellStyle name="常规 6 2 8 4 2 2" xfId="22932" xr:uid="{FD8B4D53-DECA-4517-B7DB-DCA28E09C29F}"/>
    <cellStyle name="常规 6 2 8 4 2 3" xfId="22933" xr:uid="{D406BAD6-8613-43B7-A9D8-B629226EE4DE}"/>
    <cellStyle name="常规 6 2 8 4 2 4" xfId="22934" xr:uid="{D36170D6-0A46-45F3-8B19-C2F6F9500C00}"/>
    <cellStyle name="常规 6 2 8 4 2 5" xfId="22935" xr:uid="{6D126585-C046-4496-A897-95391871EC42}"/>
    <cellStyle name="常规 6 2 8 4 2 6" xfId="22936" xr:uid="{84A587C0-20F3-4871-A521-77D04EC57FFB}"/>
    <cellStyle name="常规 6 2 8 4 3" xfId="22937" xr:uid="{C025F63F-28D6-417D-8007-A234B2601534}"/>
    <cellStyle name="常规 6 2 8 4 4" xfId="22938" xr:uid="{00546D40-9BCA-4B7D-9BE0-9A0CC3432644}"/>
    <cellStyle name="常规 6 2 8 4 5" xfId="22939" xr:uid="{E2450F59-53BF-4535-8BD6-44B73FDB93D9}"/>
    <cellStyle name="常规 6 2 8 4 6" xfId="22940" xr:uid="{50E0A99C-3B09-4868-B2D6-57F45521AF0B}"/>
    <cellStyle name="常规 6 2 8 4 7" xfId="22941" xr:uid="{6EFF0AD2-E29A-481B-A71C-7AD847310141}"/>
    <cellStyle name="常规 6 2 8 5" xfId="22942" xr:uid="{32542FFE-AE1D-4C6A-A513-9FF5BB00175A}"/>
    <cellStyle name="常规 6 2 8 5 2" xfId="22943" xr:uid="{832158F5-8FED-47EF-845F-1FA38FC89E63}"/>
    <cellStyle name="常规 6 2 8 5 2 2" xfId="22944" xr:uid="{EBD19F96-1517-4032-8778-2E9AFA47A873}"/>
    <cellStyle name="常规 6 2 8 5 2 3" xfId="22945" xr:uid="{EF5C194E-5879-444D-AAE9-18E213BCC22F}"/>
    <cellStyle name="常规 6 2 8 5 2 4" xfId="22946" xr:uid="{9E11ED3B-F5FB-4DD9-A61B-3916B80D186F}"/>
    <cellStyle name="常规 6 2 8 5 2 5" xfId="22947" xr:uid="{8CD41B0E-DA38-4087-86AB-0E25ACA630A9}"/>
    <cellStyle name="常规 6 2 8 5 2 6" xfId="22948" xr:uid="{D0DDE513-8F14-4037-AA2F-6CDB3695B6BF}"/>
    <cellStyle name="常规 6 2 8 5 3" xfId="22949" xr:uid="{D86AACA0-CC9E-434C-BC8B-641D72D1EED5}"/>
    <cellStyle name="常规 6 2 8 5 4" xfId="22950" xr:uid="{441E02FE-6BE3-47DB-95A7-BB621AF50BD4}"/>
    <cellStyle name="常规 6 2 8 5 5" xfId="22951" xr:uid="{C97A3BD9-80AD-46E2-8693-44B2ED9FEFA4}"/>
    <cellStyle name="常规 6 2 8 5 6" xfId="22952" xr:uid="{B631425F-705E-4E23-B7FA-EF0D41F74C59}"/>
    <cellStyle name="常规 6 2 8 5 7" xfId="22953" xr:uid="{B15304F1-DA48-424F-8194-5773C79F52A8}"/>
    <cellStyle name="常规 6 2 8 6" xfId="22954" xr:uid="{98AE7035-9A96-40FC-9488-F25A6E071840}"/>
    <cellStyle name="常规 6 2 8 6 2" xfId="22955" xr:uid="{69269BFB-78CC-46DC-B8E6-377FA72F9A84}"/>
    <cellStyle name="常规 6 2 8 6 2 2" xfId="22956" xr:uid="{2C5D65DB-8DDB-430E-9AA9-C8A26A7732C8}"/>
    <cellStyle name="常规 6 2 8 6 2 3" xfId="22957" xr:uid="{BA38996D-241D-4AF9-A531-DA73C266B5E4}"/>
    <cellStyle name="常规 6 2 8 6 2 4" xfId="22958" xr:uid="{91240F75-F71F-4E21-BEFC-CE48BDBA7EDF}"/>
    <cellStyle name="常规 6 2 8 6 2 5" xfId="22959" xr:uid="{34027824-C0CC-456B-9791-A84BA02DB5A4}"/>
    <cellStyle name="常规 6 2 8 6 2 6" xfId="22960" xr:uid="{A3AB0B9D-A349-47D7-89F3-BDB5528CAEB1}"/>
    <cellStyle name="常规 6 2 8 6 3" xfId="22961" xr:uid="{AEDCE90F-E73A-4DA4-BDBA-387532E9CE5E}"/>
    <cellStyle name="常规 6 2 8 6 4" xfId="22962" xr:uid="{30C1AA16-FFB8-4694-91D8-7DD47C3224F2}"/>
    <cellStyle name="常规 6 2 8 6 5" xfId="22963" xr:uid="{9580251D-FD16-4754-99E2-F4E1565E8A87}"/>
    <cellStyle name="常规 6 2 8 6 6" xfId="22964" xr:uid="{838D17E6-43B4-425C-940E-FAF5EAD31430}"/>
    <cellStyle name="常规 6 2 8 6 7" xfId="22965" xr:uid="{9AC130C6-BD5F-46BD-8931-4491785B7505}"/>
    <cellStyle name="常规 6 2 8 7" xfId="22966" xr:uid="{8BAE2A0F-E482-4806-AE33-7AF046E82DEA}"/>
    <cellStyle name="常规 6 2 8 7 2" xfId="22967" xr:uid="{3EACA3A7-1BC1-4BDB-B317-EF663510C057}"/>
    <cellStyle name="常规 6 2 8 7 3" xfId="22968" xr:uid="{F5450C96-CF1D-4AEE-8B75-F4E7E155DE84}"/>
    <cellStyle name="常规 6 2 8 7 4" xfId="22969" xr:uid="{03725E13-227D-48AF-B86E-0C911B6B8C0F}"/>
    <cellStyle name="常规 6 2 8 7 5" xfId="22970" xr:uid="{BB5D2607-20DE-4E27-A48E-2453F53B7E30}"/>
    <cellStyle name="常规 6 2 8 7 6" xfId="22971" xr:uid="{CEA182FA-B3F1-4661-82B5-99B05FAE4503}"/>
    <cellStyle name="常规 6 2 8 8" xfId="22972" xr:uid="{306BC4C7-143C-4F6D-BA9F-B442390192FB}"/>
    <cellStyle name="常规 6 2 8 9" xfId="22973" xr:uid="{63FB654D-C257-4B87-917C-58DDA5832601}"/>
    <cellStyle name="常规 6 2 9" xfId="22974" xr:uid="{39EB1D29-95CC-4CDF-9F83-6200C98C80E6}"/>
    <cellStyle name="常规 6 2 9 10" xfId="22975" xr:uid="{E7818EBD-B7B9-457B-9AE8-5E12FE85FA6E}"/>
    <cellStyle name="常规 6 2 9 11" xfId="22976" xr:uid="{D41907AB-A4C0-474E-ACD1-89AF656045D0}"/>
    <cellStyle name="常规 6 2 9 12" xfId="22977" xr:uid="{A0A43A68-F34B-41E8-8E85-D7CE5BC56945}"/>
    <cellStyle name="常规 6 2 9 2" xfId="22978" xr:uid="{3E8B1F91-88F9-4DB0-9895-3FC5478AC60A}"/>
    <cellStyle name="常规 6 2 9 2 2" xfId="22979" xr:uid="{D388F330-D101-4C50-9A39-8FC67CCFBA5D}"/>
    <cellStyle name="常规 6 2 9 2 2 2" xfId="22980" xr:uid="{1D819A74-4957-4482-AEA5-442F678B66F7}"/>
    <cellStyle name="常规 6 2 9 2 2 3" xfId="22981" xr:uid="{B753A52B-80A5-4619-8EF8-A4746B5D7374}"/>
    <cellStyle name="常规 6 2 9 2 2 4" xfId="22982" xr:uid="{37D70B93-5A8F-4107-8D03-3D9411E56D5E}"/>
    <cellStyle name="常规 6 2 9 2 2 5" xfId="22983" xr:uid="{5BDF142F-A615-4B51-A8E3-790E1101C850}"/>
    <cellStyle name="常规 6 2 9 2 2 6" xfId="22984" xr:uid="{CA4F5FD5-D32C-4E86-9145-7A7731E1D1E5}"/>
    <cellStyle name="常规 6 2 9 2 3" xfId="22985" xr:uid="{CFA89018-67C0-405E-AFEB-1CFF55D90E82}"/>
    <cellStyle name="常规 6 2 9 2 4" xfId="22986" xr:uid="{9DF93146-CC4C-4AB3-8739-82C20C6CFE43}"/>
    <cellStyle name="常规 6 2 9 2 5" xfId="22987" xr:uid="{4CD30DE6-D412-49C7-8589-8CC5BC9182D0}"/>
    <cellStyle name="常规 6 2 9 2 6" xfId="22988" xr:uid="{FCFE1E51-954A-4A91-B22E-8B54DD6D68BF}"/>
    <cellStyle name="常规 6 2 9 2 7" xfId="22989" xr:uid="{129F87CF-0BFB-4017-BE7A-8BC4FF4890F0}"/>
    <cellStyle name="常规 6 2 9 3" xfId="22990" xr:uid="{9E1CF1C5-1506-43CE-9FBB-259F4F5483A1}"/>
    <cellStyle name="常规 6 2 9 3 2" xfId="22991" xr:uid="{0C9A3707-B680-4A23-B6B1-868EDF6CF764}"/>
    <cellStyle name="常规 6 2 9 3 2 2" xfId="22992" xr:uid="{32D5904A-ECEF-4FB3-BEF9-41BBD23F78BE}"/>
    <cellStyle name="常规 6 2 9 3 2 3" xfId="22993" xr:uid="{3D7C4424-7A28-409E-9095-DE0F31A72EAD}"/>
    <cellStyle name="常规 6 2 9 3 2 4" xfId="22994" xr:uid="{6997D0FF-E802-4DC7-9703-150C71262208}"/>
    <cellStyle name="常规 6 2 9 3 2 5" xfId="22995" xr:uid="{8B254E4C-028C-4396-9526-93089E3E32B1}"/>
    <cellStyle name="常规 6 2 9 3 2 6" xfId="22996" xr:uid="{A4B65EF4-3648-464A-95B7-850DB4AC9F35}"/>
    <cellStyle name="常规 6 2 9 3 3" xfId="22997" xr:uid="{D22DC292-16FE-4DAA-9568-729377ACEAC0}"/>
    <cellStyle name="常规 6 2 9 3 4" xfId="22998" xr:uid="{58B805C3-D172-4AB0-B519-F653CC451127}"/>
    <cellStyle name="常规 6 2 9 3 5" xfId="22999" xr:uid="{0DA9694B-8D01-4A5F-882B-90F2645A9BDF}"/>
    <cellStyle name="常规 6 2 9 3 6" xfId="23000" xr:uid="{B43DA9B4-E5E9-4801-891D-22AB7FCE586F}"/>
    <cellStyle name="常规 6 2 9 3 7" xfId="23001" xr:uid="{7AD1735B-CCF4-4998-BDFB-7DC868660FB1}"/>
    <cellStyle name="常规 6 2 9 4" xfId="23002" xr:uid="{69218107-D624-4B25-804E-798E5BDB32B3}"/>
    <cellStyle name="常规 6 2 9 4 2" xfId="23003" xr:uid="{F762865F-F648-4F3B-84DD-4BBD60A4E9B1}"/>
    <cellStyle name="常规 6 2 9 4 2 2" xfId="23004" xr:uid="{3BF9E082-4ABF-454A-8343-BB86B1D4F7C7}"/>
    <cellStyle name="常规 6 2 9 4 2 3" xfId="23005" xr:uid="{874C0FE0-DE4A-4958-B266-64AC4EA7FC57}"/>
    <cellStyle name="常规 6 2 9 4 2 4" xfId="23006" xr:uid="{06A0C571-CC6D-4745-A2C3-B0CCD0480B9C}"/>
    <cellStyle name="常规 6 2 9 4 2 5" xfId="23007" xr:uid="{BA90DF24-890D-4478-981E-047B9ECD3B5C}"/>
    <cellStyle name="常规 6 2 9 4 2 6" xfId="23008" xr:uid="{9861254D-A117-4212-BE0A-5F8B61F62D1B}"/>
    <cellStyle name="常规 6 2 9 4 3" xfId="23009" xr:uid="{79270A70-218E-4900-BC85-ADE827A7BE86}"/>
    <cellStyle name="常规 6 2 9 4 4" xfId="23010" xr:uid="{898DDE50-5DC4-4CDF-A368-19549D393BA5}"/>
    <cellStyle name="常规 6 2 9 4 5" xfId="23011" xr:uid="{6BBAAF07-7996-4CD0-AF1F-9B102B5F132F}"/>
    <cellStyle name="常规 6 2 9 4 6" xfId="23012" xr:uid="{A121FB4D-8BB7-4B4E-AC25-8A0BE8F5DFF3}"/>
    <cellStyle name="常规 6 2 9 4 7" xfId="23013" xr:uid="{C9E67BE6-8771-4CFA-9C64-A5C9BCAC7D33}"/>
    <cellStyle name="常规 6 2 9 5" xfId="23014" xr:uid="{B6AA112C-1C34-44B5-8AE6-17AED9FADF34}"/>
    <cellStyle name="常规 6 2 9 5 2" xfId="23015" xr:uid="{9EB1E9DF-B4D0-47D5-B0EF-7212A8A80EFA}"/>
    <cellStyle name="常规 6 2 9 5 2 2" xfId="23016" xr:uid="{0E1C3FBC-B3D6-4BAE-9835-CEEBE3B898DA}"/>
    <cellStyle name="常规 6 2 9 5 2 3" xfId="23017" xr:uid="{EE8B64DA-5D4B-4440-9E4C-ABC8BCB9219A}"/>
    <cellStyle name="常规 6 2 9 5 2 4" xfId="23018" xr:uid="{45D4C70B-6308-4B99-AC9D-58DAB96D2D8E}"/>
    <cellStyle name="常规 6 2 9 5 2 5" xfId="23019" xr:uid="{AAE7F4F6-2D5F-4752-BE48-8909077F6275}"/>
    <cellStyle name="常规 6 2 9 5 2 6" xfId="23020" xr:uid="{EDCFDAF8-569C-46B4-95DB-DC88ACE80517}"/>
    <cellStyle name="常规 6 2 9 5 3" xfId="23021" xr:uid="{2C14ECCE-5EF1-484A-BF85-83E2D2FED4FE}"/>
    <cellStyle name="常规 6 2 9 5 4" xfId="23022" xr:uid="{38E7DB71-5A82-4B9B-B6BB-D8D327A97B6C}"/>
    <cellStyle name="常规 6 2 9 5 5" xfId="23023" xr:uid="{350C14CC-EA94-4002-B851-335A93A48BC9}"/>
    <cellStyle name="常规 6 2 9 5 6" xfId="23024" xr:uid="{DBBEC786-F6EB-4062-B53E-5CCA7580C88E}"/>
    <cellStyle name="常规 6 2 9 5 7" xfId="23025" xr:uid="{4434479C-8F9B-4BA7-A2E4-19B6BDA6BFDF}"/>
    <cellStyle name="常规 6 2 9 6" xfId="23026" xr:uid="{61837E40-ACFB-4C77-8E63-4D7E9FE0BEC0}"/>
    <cellStyle name="常规 6 2 9 6 2" xfId="23027" xr:uid="{F15DEE2F-6192-4487-A657-92A1B096686C}"/>
    <cellStyle name="常规 6 2 9 6 3" xfId="23028" xr:uid="{BC69CFF4-B780-416C-9780-D6236F4FA7B7}"/>
    <cellStyle name="常规 6 2 9 6 4" xfId="23029" xr:uid="{CB7BDF07-FA78-4BA3-B5DC-9EE80DBAE93F}"/>
    <cellStyle name="常规 6 2 9 6 5" xfId="23030" xr:uid="{5BCC13BA-7B2E-4071-8E7C-46D17BFC2B22}"/>
    <cellStyle name="常规 6 2 9 6 6" xfId="23031" xr:uid="{11C29BB3-3309-4491-850F-F855153AAF0B}"/>
    <cellStyle name="常规 6 2 9 7" xfId="23032" xr:uid="{8DBAB40C-730E-461C-B152-8FFDC5AA5C5A}"/>
    <cellStyle name="常规 6 2 9 8" xfId="23033" xr:uid="{7AC80FA1-4989-4D0D-A159-28EF7746BF4F}"/>
    <cellStyle name="常规 6 2 9 9" xfId="23034" xr:uid="{CE90CED6-71FC-46CE-B001-1E243E95A048}"/>
    <cellStyle name="常规 6 20" xfId="23035" xr:uid="{6D512297-7867-408A-BADB-5B2EF97DE688}"/>
    <cellStyle name="常规 6 20 2" xfId="23036" xr:uid="{A0E62FC4-FCA0-4ED6-ADD4-6A1839B3216A}"/>
    <cellStyle name="常规 6 20 2 2" xfId="23037" xr:uid="{B959DFE1-C4CF-4857-A394-70EBAB035E61}"/>
    <cellStyle name="常规 6 20 2 3" xfId="23038" xr:uid="{0B0643BF-D87B-417D-A90E-38DA816EE330}"/>
    <cellStyle name="常规 6 20 2 4" xfId="23039" xr:uid="{6F6A13D2-3599-4C22-9B44-EFD3BFE50978}"/>
    <cellStyle name="常规 6 20 2 5" xfId="23040" xr:uid="{E06DC1DA-307F-434B-9DB1-E757FB8AAFC3}"/>
    <cellStyle name="常规 6 20 2 6" xfId="23041" xr:uid="{0D56BE56-D16A-48A2-989B-1BD7538E002C}"/>
    <cellStyle name="常规 6 20 3" xfId="23042" xr:uid="{B7BBA2D5-D8C6-438F-82EB-4F84D7707350}"/>
    <cellStyle name="常规 6 20 4" xfId="23043" xr:uid="{F7FA3E56-3507-4C76-98A4-43D4A5AE6EBB}"/>
    <cellStyle name="常规 6 20 5" xfId="23044" xr:uid="{553D6071-24C7-451E-B3BB-4A018F7497F0}"/>
    <cellStyle name="常规 6 20 6" xfId="23045" xr:uid="{2426526C-7AB0-4A6B-95F3-607C75D8E4E9}"/>
    <cellStyle name="常规 6 20 7" xfId="23046" xr:uid="{DBC07F42-3988-4294-AD21-5B432CCB60B7}"/>
    <cellStyle name="常规 6 21" xfId="23047" xr:uid="{4826B8FA-F47C-4AB2-B8A3-4467111C8FA0}"/>
    <cellStyle name="常规 6 21 2" xfId="23048" xr:uid="{2C77B180-D87C-41F1-BDFF-1D79D164A93F}"/>
    <cellStyle name="常规 6 21 2 2" xfId="23049" xr:uid="{C03B2E81-8FE2-4A99-8662-2ABCC3B18B04}"/>
    <cellStyle name="常规 6 21 2 3" xfId="23050" xr:uid="{FAEA2A83-7F4B-4D3B-8E08-348C715D78AE}"/>
    <cellStyle name="常规 6 21 2 4" xfId="23051" xr:uid="{AB399FA1-7F12-4F06-A2AF-6D70C7E9F46F}"/>
    <cellStyle name="常规 6 21 2 5" xfId="23052" xr:uid="{4640FEBA-0208-4032-B350-59F89330D5A3}"/>
    <cellStyle name="常规 6 21 2 6" xfId="23053" xr:uid="{2FB59ED0-5B3F-4AFB-B236-FF18557FAE96}"/>
    <cellStyle name="常规 6 21 3" xfId="23054" xr:uid="{F220322B-4744-4515-9696-39A2EC5F0030}"/>
    <cellStyle name="常规 6 21 4" xfId="23055" xr:uid="{BB0E7CB5-48C2-4BD4-9935-EB48FFE8A3BF}"/>
    <cellStyle name="常规 6 21 5" xfId="23056" xr:uid="{18CEAC22-58AC-4483-9795-3D74AB1110B6}"/>
    <cellStyle name="常规 6 21 6" xfId="23057" xr:uid="{E3CBF0F1-2559-48E4-A473-D0C72794882A}"/>
    <cellStyle name="常规 6 21 7" xfId="23058" xr:uid="{0AD0E924-C3F7-41C8-9F6D-5C1A77762EAD}"/>
    <cellStyle name="常规 6 22" xfId="23059" xr:uid="{790328AD-3480-4567-98AC-3BCF8BA58606}"/>
    <cellStyle name="常规 6 23" xfId="23060" xr:uid="{4167592B-A14B-463D-B28C-3C226235ED6F}"/>
    <cellStyle name="常规 6 24" xfId="34521" xr:uid="{D7664ABC-CA83-45FF-AE6E-54447A8F1C7F}"/>
    <cellStyle name="常规 6 25" xfId="34522" xr:uid="{7A950200-4B49-4AE1-A839-B2CF08576FA3}"/>
    <cellStyle name="常规 6 3" xfId="23061" xr:uid="{4EBB89DA-B9AC-4461-8837-1CC3847D984E}"/>
    <cellStyle name="常规 6 3 10" xfId="23062" xr:uid="{B3767182-F994-4818-B73B-B4EC7C023B07}"/>
    <cellStyle name="常规 6 3 10 2" xfId="23063" xr:uid="{2DC314C4-CCD7-42B4-AEB4-BE0C6193D91D}"/>
    <cellStyle name="常规 6 3 10 2 2" xfId="23064" xr:uid="{BF2303D1-92CF-4A55-9D72-F40E3DE9D19B}"/>
    <cellStyle name="常规 6 3 10 2 2 2" xfId="23065" xr:uid="{8532C19C-6FD5-40AE-BF6D-47A97C173D58}"/>
    <cellStyle name="常规 6 3 10 2 2 3" xfId="23066" xr:uid="{00EDFA9B-6DE1-4959-B2F6-88F695A5BAEA}"/>
    <cellStyle name="常规 6 3 10 2 2 4" xfId="23067" xr:uid="{DFED65A4-5CD7-4E2B-842A-6D65B6793671}"/>
    <cellStyle name="常规 6 3 10 2 2 5" xfId="23068" xr:uid="{22F849C9-7EEC-4079-901C-6C8EB12A909E}"/>
    <cellStyle name="常规 6 3 10 2 2 6" xfId="23069" xr:uid="{98ABBFEA-FB87-4171-923A-0206BF7584DA}"/>
    <cellStyle name="常规 6 3 10 2 3" xfId="23070" xr:uid="{E1911B93-8BF3-42CF-A6F2-6F1A3B12EEA4}"/>
    <cellStyle name="常规 6 3 10 2 4" xfId="23071" xr:uid="{0E202914-A33E-4471-BC67-A0774C04D194}"/>
    <cellStyle name="常规 6 3 10 2 5" xfId="23072" xr:uid="{F352AB81-06FE-452B-9D93-008FA6CCC72F}"/>
    <cellStyle name="常规 6 3 10 2 6" xfId="23073" xr:uid="{D9825811-4EC3-4F3A-97DB-B9626C8E36C4}"/>
    <cellStyle name="常规 6 3 10 2 7" xfId="23074" xr:uid="{075228FC-2324-499C-8D48-EA45F07B97B1}"/>
    <cellStyle name="常规 6 3 10 3" xfId="23075" xr:uid="{A4EDAB39-4BD2-47ED-B4A3-0F2946DC6A5F}"/>
    <cellStyle name="常规 6 3 10 3 2" xfId="23076" xr:uid="{7C34FC37-401D-49DE-9976-206558B70B01}"/>
    <cellStyle name="常规 6 3 10 3 2 2" xfId="23077" xr:uid="{039C18A3-F38B-4052-8974-A22CB4381188}"/>
    <cellStyle name="常规 6 3 10 3 2 3" xfId="23078" xr:uid="{FD6C442A-D882-44A3-814C-89007E8B2E2F}"/>
    <cellStyle name="常规 6 3 10 3 2 4" xfId="23079" xr:uid="{F0F111A7-A60F-4EA9-BA8E-3F0EC94A1938}"/>
    <cellStyle name="常规 6 3 10 3 2 5" xfId="23080" xr:uid="{56B88E7F-A877-4007-90A5-52D008CA18C9}"/>
    <cellStyle name="常规 6 3 10 3 2 6" xfId="23081" xr:uid="{1C614321-755A-47C2-AE14-64E0B1F07662}"/>
    <cellStyle name="常规 6 3 10 3 3" xfId="23082" xr:uid="{8EDC0B86-8E51-4B7C-B79C-F500C16C1DE7}"/>
    <cellStyle name="常规 6 3 10 3 4" xfId="23083" xr:uid="{126F1713-3518-4352-9F36-E85889DB3D3C}"/>
    <cellStyle name="常规 6 3 10 3 5" xfId="23084" xr:uid="{EB6B193A-516E-4491-B0F4-B02AEADE2E28}"/>
    <cellStyle name="常规 6 3 10 3 6" xfId="23085" xr:uid="{3EB5ACF9-91B1-42C9-A284-E54EE0A57A5A}"/>
    <cellStyle name="常规 6 3 10 3 7" xfId="23086" xr:uid="{B3A73425-AF4A-4621-BD6F-257DD9C2B43B}"/>
    <cellStyle name="常规 6 3 10 4" xfId="23087" xr:uid="{5DE74C11-9AFB-46F8-94EB-DBC873667705}"/>
    <cellStyle name="常规 6 3 10 4 2" xfId="23088" xr:uid="{293D8149-178D-4294-9AA3-B4AE0885E8DD}"/>
    <cellStyle name="常规 6 3 10 4 3" xfId="23089" xr:uid="{35FF25A2-2AA2-4E67-B9E1-4F002B07063D}"/>
    <cellStyle name="常规 6 3 10 4 4" xfId="23090" xr:uid="{C7D1EC1B-2398-4F2F-BC6C-DB3F8D5FD867}"/>
    <cellStyle name="常规 6 3 10 4 5" xfId="23091" xr:uid="{F0D1250A-E0E1-42F5-BD84-7CDEA22BB283}"/>
    <cellStyle name="常规 6 3 10 4 6" xfId="23092" xr:uid="{F8399174-DE14-4152-8A4D-865321FE626C}"/>
    <cellStyle name="常规 6 3 10 5" xfId="23093" xr:uid="{6BDC239D-9662-41F8-8E2A-C8CC64C17AD3}"/>
    <cellStyle name="常规 6 3 10 6" xfId="23094" xr:uid="{1F6EEF13-D74B-4EC0-9DB4-CB59FEEA29F7}"/>
    <cellStyle name="常规 6 3 10 7" xfId="23095" xr:uid="{AE478E32-9AFA-43DD-B234-7D4E9DEE8F98}"/>
    <cellStyle name="常规 6 3 10 8" xfId="23096" xr:uid="{F3FE56EB-F489-4951-AD29-A1CD9F8B4E40}"/>
    <cellStyle name="常规 6 3 10 9" xfId="23097" xr:uid="{5874039A-5852-469D-853B-83F60DB959E7}"/>
    <cellStyle name="常规 6 3 11" xfId="23098" xr:uid="{0EBA5B2F-BDF4-43E7-B55A-91CF2D2E17FF}"/>
    <cellStyle name="常规 6 3 11 2" xfId="23099" xr:uid="{9CF103B1-784B-447B-AC5D-B0EF2E114CC6}"/>
    <cellStyle name="常规 6 3 11 2 2" xfId="23100" xr:uid="{401FA776-1EE1-452D-A274-5B7CCB8AE550}"/>
    <cellStyle name="常规 6 3 11 2 2 2" xfId="23101" xr:uid="{700A98DF-39BD-4F62-95B1-E88CDD16D4AA}"/>
    <cellStyle name="常规 6 3 11 2 2 3" xfId="23102" xr:uid="{55132EB4-F3FA-450D-A494-A71296E9D2A7}"/>
    <cellStyle name="常规 6 3 11 2 2 4" xfId="23103" xr:uid="{F6868DD7-B541-4BF0-B774-2A0E80B0424C}"/>
    <cellStyle name="常规 6 3 11 2 2 5" xfId="23104" xr:uid="{BC50AE44-3582-4188-B032-670A05B260DE}"/>
    <cellStyle name="常规 6 3 11 2 2 6" xfId="23105" xr:uid="{6381EA44-6D70-4E19-BC0E-FB6F6874D322}"/>
    <cellStyle name="常规 6 3 11 2 3" xfId="23106" xr:uid="{92FA1739-DD6E-43F3-B5F1-5DBBB2A88234}"/>
    <cellStyle name="常规 6 3 11 2 4" xfId="23107" xr:uid="{390044F4-EC2E-4BAF-90A2-D63BCC336AF6}"/>
    <cellStyle name="常规 6 3 11 2 5" xfId="23108" xr:uid="{58ED59CF-F6AE-4202-805A-2E884C3BB821}"/>
    <cellStyle name="常规 6 3 11 2 6" xfId="23109" xr:uid="{67C2735E-8616-4274-B8D2-570F4C0EACEE}"/>
    <cellStyle name="常规 6 3 11 2 7" xfId="23110" xr:uid="{09E5CABA-496A-42BA-9CF1-2F63242C6B91}"/>
    <cellStyle name="常规 6 3 11 3" xfId="23111" xr:uid="{F54CE828-A30B-4E34-BB74-0D34A222160B}"/>
    <cellStyle name="常规 6 3 11 3 2" xfId="23112" xr:uid="{588D0C09-CE25-4D47-A1DE-7060D1738BF5}"/>
    <cellStyle name="常规 6 3 11 3 3" xfId="23113" xr:uid="{7D6D3A7C-9B1A-4308-B056-CCC71A20563B}"/>
    <cellStyle name="常规 6 3 11 3 4" xfId="23114" xr:uid="{3126E690-3A25-4603-9F2C-DB784CC1BA34}"/>
    <cellStyle name="常规 6 3 11 3 5" xfId="23115" xr:uid="{3E4BD034-B66E-4D0B-AC32-C776DB450FA7}"/>
    <cellStyle name="常规 6 3 11 3 6" xfId="23116" xr:uid="{8C78D651-93A0-4D95-8329-03396704CC98}"/>
    <cellStyle name="常规 6 3 11 4" xfId="23117" xr:uid="{AA51E6F5-8C7B-422D-8F25-8C65C9B486AE}"/>
    <cellStyle name="常规 6 3 11 5" xfId="23118" xr:uid="{A946272A-093D-4AAB-A175-1AA91AEC0792}"/>
    <cellStyle name="常规 6 3 11 6" xfId="23119" xr:uid="{9A338133-C2F9-4C7E-99CC-E4E468C94E37}"/>
    <cellStyle name="常规 6 3 11 7" xfId="23120" xr:uid="{03492694-609E-45AB-A5A1-9A1D05936FB4}"/>
    <cellStyle name="常规 6 3 11 8" xfId="23121" xr:uid="{1B76D12D-1636-43B6-AD8D-58F668ED96D0}"/>
    <cellStyle name="常规 6 3 12" xfId="23122" xr:uid="{F3EE8ABF-61A7-4F9D-937F-EF2F37214A1A}"/>
    <cellStyle name="常规 6 3 12 2" xfId="23123" xr:uid="{2BE77E32-4867-40CA-A32F-43FB6D9A7366}"/>
    <cellStyle name="常规 6 3 12 2 2" xfId="23124" xr:uid="{5F4FE725-956F-4C89-8982-BDBE1CD8300F}"/>
    <cellStyle name="常规 6 3 12 2 2 2" xfId="23125" xr:uid="{D1772474-1E88-4C71-8DF9-504E63B9EBFB}"/>
    <cellStyle name="常规 6 3 12 2 2 3" xfId="23126" xr:uid="{74EB5157-5FA6-4352-B2BC-5242BE35D399}"/>
    <cellStyle name="常规 6 3 12 2 2 4" xfId="23127" xr:uid="{F348AE97-45BA-408E-8278-778A8A4AAD6A}"/>
    <cellStyle name="常规 6 3 12 2 2 5" xfId="23128" xr:uid="{62AB23E8-4194-4D5A-BCC2-8C19DE3B253D}"/>
    <cellStyle name="常规 6 3 12 2 2 6" xfId="23129" xr:uid="{D02DC6FC-EDDB-450B-B4F0-4D69DAE88E53}"/>
    <cellStyle name="常规 6 3 12 2 3" xfId="23130" xr:uid="{C40956F1-1143-43EF-AD3B-D6E16060B667}"/>
    <cellStyle name="常规 6 3 12 2 4" xfId="23131" xr:uid="{D940A507-0650-4DAD-85FD-6F8144AE4E75}"/>
    <cellStyle name="常规 6 3 12 2 5" xfId="23132" xr:uid="{1E690281-B90A-48CE-A835-FE018F346C4D}"/>
    <cellStyle name="常规 6 3 12 2 6" xfId="23133" xr:uid="{8B29C829-073D-4B2E-B815-72DBF6AC37FD}"/>
    <cellStyle name="常规 6 3 12 2 7" xfId="23134" xr:uid="{45E1EDCD-039C-400D-9A0E-5D0C6EC6CFA6}"/>
    <cellStyle name="常规 6 3 12 3" xfId="23135" xr:uid="{BE713236-6734-48D0-90C1-F968E2A5C77C}"/>
    <cellStyle name="常规 6 3 12 3 2" xfId="23136" xr:uid="{A17AD15D-BAB5-4B95-B81B-5436C4AB346D}"/>
    <cellStyle name="常规 6 3 12 3 3" xfId="23137" xr:uid="{F5514DD0-EB9E-4156-8215-DF3D77339643}"/>
    <cellStyle name="常规 6 3 12 3 4" xfId="23138" xr:uid="{33E43F90-48BD-490D-9715-B2708DBB5CF2}"/>
    <cellStyle name="常规 6 3 12 3 5" xfId="23139" xr:uid="{40204775-AA9C-4B5F-8C11-F7C8BF146044}"/>
    <cellStyle name="常规 6 3 12 3 6" xfId="23140" xr:uid="{DFED2EA3-07E3-43CF-9FA2-AD6612F609F9}"/>
    <cellStyle name="常规 6 3 12 4" xfId="23141" xr:uid="{21417B09-6FD7-42AA-834D-B5EF651C6236}"/>
    <cellStyle name="常规 6 3 12 5" xfId="23142" xr:uid="{2AD1B5F9-A960-453B-8B9A-42AF98339F4F}"/>
    <cellStyle name="常规 6 3 12 6" xfId="23143" xr:uid="{B68B3F33-8A14-4D2A-A494-5E1F4BF5D8FC}"/>
    <cellStyle name="常规 6 3 12 7" xfId="23144" xr:uid="{303EECF9-F7B1-4742-AC17-E46FF94D1C26}"/>
    <cellStyle name="常规 6 3 12 8" xfId="23145" xr:uid="{9A1DFED7-F01E-465B-9AB8-30CD2E1BC615}"/>
    <cellStyle name="常规 6 3 13" xfId="23146" xr:uid="{27FAF147-DC91-4AA7-8289-F702885562A1}"/>
    <cellStyle name="常规 6 3 13 2" xfId="23147" xr:uid="{4AE1C9E7-B91C-405D-B318-08279463686E}"/>
    <cellStyle name="常规 6 3 13 2 2" xfId="23148" xr:uid="{A37F0DCB-06D9-47DA-A5F4-8763BB44877F}"/>
    <cellStyle name="常规 6 3 13 2 2 2" xfId="23149" xr:uid="{69F4CB8B-3711-4AC4-8C7F-5DE2589995C6}"/>
    <cellStyle name="常规 6 3 13 2 2 3" xfId="23150" xr:uid="{67990120-70D5-4D3A-81F3-54559388072C}"/>
    <cellStyle name="常规 6 3 13 2 2 4" xfId="23151" xr:uid="{FD844C79-53B4-49E0-8848-4C7ED6483B4A}"/>
    <cellStyle name="常规 6 3 13 2 2 5" xfId="23152" xr:uid="{FC268FD0-292B-4F1E-89F6-613BA962CD75}"/>
    <cellStyle name="常规 6 3 13 2 2 6" xfId="23153" xr:uid="{1A9D222A-2239-4769-BCA2-285F58419F91}"/>
    <cellStyle name="常规 6 3 13 2 3" xfId="23154" xr:uid="{363EF4CF-C988-4C41-961C-DE54BD989D4E}"/>
    <cellStyle name="常规 6 3 13 2 4" xfId="23155" xr:uid="{F116F4B9-BEFC-40D0-9E0A-7D9882D55BD2}"/>
    <cellStyle name="常规 6 3 13 2 5" xfId="23156" xr:uid="{F963E2F1-FC30-4369-97A8-B5A51700340A}"/>
    <cellStyle name="常规 6 3 13 2 6" xfId="23157" xr:uid="{0FDDB5EE-6EF9-4131-87B9-003D1A492691}"/>
    <cellStyle name="常规 6 3 13 2 7" xfId="23158" xr:uid="{E5CC3692-1D54-49F1-8178-CF29FCE0D930}"/>
    <cellStyle name="常规 6 3 13 3" xfId="23159" xr:uid="{3B210635-20BE-481B-82FB-E9A1124636C7}"/>
    <cellStyle name="常规 6 3 13 3 2" xfId="23160" xr:uid="{9F8BD9CB-6656-4F56-9F82-06A7187B95C8}"/>
    <cellStyle name="常规 6 3 13 3 3" xfId="23161" xr:uid="{5A4A679E-F5C5-4EB2-B1C5-F80FEA91C6A1}"/>
    <cellStyle name="常规 6 3 13 3 4" xfId="23162" xr:uid="{3DB9BAD1-61A8-4E71-B6A2-B77A7B05D656}"/>
    <cellStyle name="常规 6 3 13 3 5" xfId="23163" xr:uid="{B239C9FE-FC26-496D-84B7-02B87EBFBC9F}"/>
    <cellStyle name="常规 6 3 13 3 6" xfId="23164" xr:uid="{6462D5AD-3D56-4687-B1C8-8D411A0B2766}"/>
    <cellStyle name="常规 6 3 13 4" xfId="23165" xr:uid="{E0602523-1612-44C1-8AE0-346D6019AA1F}"/>
    <cellStyle name="常规 6 3 13 5" xfId="23166" xr:uid="{3A56F98F-63E3-42CC-B6EB-A2A548F46FD9}"/>
    <cellStyle name="常规 6 3 13 6" xfId="23167" xr:uid="{DBB70229-5412-42DA-8CF0-9F6695B736D3}"/>
    <cellStyle name="常规 6 3 13 7" xfId="23168" xr:uid="{987CE401-6E48-48C6-B19D-10D5E4D7A880}"/>
    <cellStyle name="常规 6 3 13 8" xfId="23169" xr:uid="{5CB787A3-0793-4F3F-8569-05924F44DBF2}"/>
    <cellStyle name="常规 6 3 14" xfId="23170" xr:uid="{4E0E77B3-C582-4ABC-8B9B-5025CB067447}"/>
    <cellStyle name="常规 6 3 14 2" xfId="23171" xr:uid="{E742FDB9-4247-419C-98B2-BBDA8DAB64AB}"/>
    <cellStyle name="常规 6 3 14 2 2" xfId="23172" xr:uid="{0FDC44D5-0857-4DAE-B61B-19AC38B670F9}"/>
    <cellStyle name="常规 6 3 14 2 2 2" xfId="23173" xr:uid="{BC7BC91F-A1F9-4FFB-A68E-C4FFF74433DE}"/>
    <cellStyle name="常规 6 3 14 2 2 3" xfId="23174" xr:uid="{BDF32EA4-61E3-48E7-9AD5-9F168277225F}"/>
    <cellStyle name="常规 6 3 14 2 2 4" xfId="23175" xr:uid="{5F0D89C1-744F-4071-9B3A-8C928B3B1DCA}"/>
    <cellStyle name="常规 6 3 14 2 2 5" xfId="23176" xr:uid="{92EAD733-4B8A-4E61-8F50-A7E1FEAE2BF4}"/>
    <cellStyle name="常规 6 3 14 2 2 6" xfId="23177" xr:uid="{C911C636-BF0D-46E7-AAA7-EE2D7F51048D}"/>
    <cellStyle name="常规 6 3 14 2 3" xfId="23178" xr:uid="{EA781530-4B42-4C69-830C-B2A2D536E745}"/>
    <cellStyle name="常规 6 3 14 2 4" xfId="23179" xr:uid="{4EC3F520-0028-4A85-996B-B8877DD18B1B}"/>
    <cellStyle name="常规 6 3 14 2 5" xfId="23180" xr:uid="{6E60F8A5-4BB1-4C59-9101-FCD77CAB62F5}"/>
    <cellStyle name="常规 6 3 14 2 6" xfId="23181" xr:uid="{BA5DC1D5-BBE3-417A-8951-FEB15474EC97}"/>
    <cellStyle name="常规 6 3 14 2 7" xfId="23182" xr:uid="{BBA38D17-EE42-4471-B564-792179DCAD5A}"/>
    <cellStyle name="常规 6 3 14 3" xfId="23183" xr:uid="{554161B4-807E-48D0-9969-26F26970B6C6}"/>
    <cellStyle name="常规 6 3 14 3 2" xfId="23184" xr:uid="{55D81AA6-2E14-440A-8062-C2AFCCAA818E}"/>
    <cellStyle name="常规 6 3 14 3 3" xfId="23185" xr:uid="{B4DBC6D3-2D4E-4695-A000-AECCB7E53E4C}"/>
    <cellStyle name="常规 6 3 14 3 4" xfId="23186" xr:uid="{4D6BCEDD-A368-4112-ABFA-792C018BA3F2}"/>
    <cellStyle name="常规 6 3 14 3 5" xfId="23187" xr:uid="{466E0A54-B0CF-4DB1-B2C0-BA81F3B1EDAA}"/>
    <cellStyle name="常规 6 3 14 3 6" xfId="23188" xr:uid="{917ED39F-4B2C-4859-8F9C-869A2242D47B}"/>
    <cellStyle name="常规 6 3 14 4" xfId="23189" xr:uid="{149732C7-0895-4F8D-B35C-EC01C718DB8D}"/>
    <cellStyle name="常规 6 3 14 5" xfId="23190" xr:uid="{44C0148A-0EBB-4B35-ACA2-E752C535DCB6}"/>
    <cellStyle name="常规 6 3 14 6" xfId="23191" xr:uid="{D098BEA0-147E-425E-ABFD-67395FB5FC33}"/>
    <cellStyle name="常规 6 3 14 7" xfId="23192" xr:uid="{D3CBCC83-35EA-4789-A3F0-86229233F00A}"/>
    <cellStyle name="常规 6 3 14 8" xfId="23193" xr:uid="{800DA88D-8638-421D-B548-A08DCBC0147E}"/>
    <cellStyle name="常规 6 3 15" xfId="23194" xr:uid="{250DE30B-7BA4-4551-AC3D-2B2B6489767D}"/>
    <cellStyle name="常规 6 3 15 2" xfId="23195" xr:uid="{300516AF-F2D8-4A3B-9609-842A0B39DC65}"/>
    <cellStyle name="常规 6 3 15 2 2" xfId="23196" xr:uid="{90BDBF2D-515F-4757-936C-A89EC413A8FF}"/>
    <cellStyle name="常规 6 3 15 2 3" xfId="23197" xr:uid="{D148CDE8-BF95-4020-8310-C8B400411B11}"/>
    <cellStyle name="常规 6 3 15 2 4" xfId="23198" xr:uid="{BF1A7BF5-AB6E-4205-B150-51F5F050C49C}"/>
    <cellStyle name="常规 6 3 15 2 5" xfId="23199" xr:uid="{37688F56-95BE-4A7D-9812-E628088E9164}"/>
    <cellStyle name="常规 6 3 15 2 6" xfId="23200" xr:uid="{3A336A6B-1E3B-45A1-8444-2E94B1408798}"/>
    <cellStyle name="常规 6 3 15 3" xfId="23201" xr:uid="{CC4B0EBA-0592-4D6F-BD12-3AFD66C881AE}"/>
    <cellStyle name="常规 6 3 15 4" xfId="23202" xr:uid="{7F4F0F2B-1B4D-43AC-9A74-33E799F3BCEA}"/>
    <cellStyle name="常规 6 3 15 5" xfId="23203" xr:uid="{066A67D1-4758-469E-80DB-F43B55C9E2D7}"/>
    <cellStyle name="常规 6 3 15 6" xfId="23204" xr:uid="{29D7B173-F183-48CC-A2F0-FF773F5B3106}"/>
    <cellStyle name="常规 6 3 15 7" xfId="23205" xr:uid="{7B3039A4-9866-436E-BF1A-46C275244D53}"/>
    <cellStyle name="常规 6 3 16" xfId="23206" xr:uid="{D15B1215-EA23-439C-AC9B-0E0C32D65B44}"/>
    <cellStyle name="常规 6 3 16 2" xfId="23207" xr:uid="{7D9C554F-65B5-455B-A5D4-E1C529B9AED2}"/>
    <cellStyle name="常规 6 3 16 2 2" xfId="23208" xr:uid="{18C69F1C-12E5-4FCC-9F8D-357AA3CAE823}"/>
    <cellStyle name="常规 6 3 16 2 3" xfId="23209" xr:uid="{5E51908C-00B3-4E88-8DC0-6635DE41A1A1}"/>
    <cellStyle name="常规 6 3 16 2 4" xfId="23210" xr:uid="{109E3613-C3A9-4876-AB1C-EBA61C3604AB}"/>
    <cellStyle name="常规 6 3 16 2 5" xfId="23211" xr:uid="{9FF462B1-46E2-43E7-BCF4-8110F3D658BC}"/>
    <cellStyle name="常规 6 3 16 2 6" xfId="23212" xr:uid="{083E6472-2F3A-47C6-B561-01520BA4EAD3}"/>
    <cellStyle name="常规 6 3 16 3" xfId="23213" xr:uid="{1084CC67-F7DA-485D-8470-FEBBD40D619C}"/>
    <cellStyle name="常规 6 3 16 4" xfId="23214" xr:uid="{2E878891-5B7B-4753-A5D9-7AF3220247E5}"/>
    <cellStyle name="常规 6 3 16 5" xfId="23215" xr:uid="{E29944C3-F30B-40CB-8F62-24345C568DB8}"/>
    <cellStyle name="常规 6 3 16 6" xfId="23216" xr:uid="{7A04A3C3-36B0-4D3F-9564-D315AB022260}"/>
    <cellStyle name="常规 6 3 16 7" xfId="23217" xr:uid="{0074FAE9-7C04-4D78-94E0-A73B33714C27}"/>
    <cellStyle name="常规 6 3 17" xfId="23218" xr:uid="{243B0A25-23C6-4BFC-9E8D-B9F1D7E9C185}"/>
    <cellStyle name="常规 6 3 18" xfId="23219" xr:uid="{7306EB42-9424-4C16-88E5-668A77D4CE96}"/>
    <cellStyle name="常规 6 3 19" xfId="34523" xr:uid="{6DCCEAAC-4F6B-4065-9291-4B8E6233AE19}"/>
    <cellStyle name="常规 6 3 2" xfId="23220" xr:uid="{5724EF5E-1B66-42BD-B00C-39B04C6A8957}"/>
    <cellStyle name="常规 6 3 2 10" xfId="23221" xr:uid="{4F265DC1-D45C-4E2F-813B-99DF018425D8}"/>
    <cellStyle name="常规 6 3 2 10 2" xfId="23222" xr:uid="{CBC14DA6-16A3-4264-9F44-F8085118F27D}"/>
    <cellStyle name="常规 6 3 2 10 2 2" xfId="23223" xr:uid="{3EAD8B9D-6DC4-4073-A4E3-643ADA84247C}"/>
    <cellStyle name="常规 6 3 2 10 2 3" xfId="23224" xr:uid="{5F5903C4-B788-43F2-88F0-42A6AD2CA598}"/>
    <cellStyle name="常规 6 3 2 10 2 4" xfId="23225" xr:uid="{98A98546-9DF5-4ABB-8F04-2B75134598B9}"/>
    <cellStyle name="常规 6 3 2 10 2 5" xfId="23226" xr:uid="{8B768199-BBA6-4C33-9677-6C9C24F05C8C}"/>
    <cellStyle name="常规 6 3 2 10 2 6" xfId="23227" xr:uid="{6F458C64-FB01-4EFC-B3A9-A235DFB64AD0}"/>
    <cellStyle name="常规 6 3 2 10 3" xfId="23228" xr:uid="{F404E576-565E-4BA7-9636-19FC2D2E3919}"/>
    <cellStyle name="常规 6 3 2 10 4" xfId="23229" xr:uid="{5DFBBE02-4B69-4C6F-92F4-DDC22465566D}"/>
    <cellStyle name="常规 6 3 2 10 5" xfId="23230" xr:uid="{34B39949-EA5E-4127-A565-2C626CC87AD0}"/>
    <cellStyle name="常规 6 3 2 10 6" xfId="23231" xr:uid="{935AE41F-6DD1-4522-9C03-889E80F0A7AD}"/>
    <cellStyle name="常规 6 3 2 10 7" xfId="23232" xr:uid="{3B0D61C1-D8F2-40F7-ABE0-1D6C85DE6376}"/>
    <cellStyle name="常规 6 3 2 11" xfId="23233" xr:uid="{0D8C38C9-72C9-4879-B303-B759392041EB}"/>
    <cellStyle name="常规 6 3 2 12" xfId="23234" xr:uid="{563C522A-40FA-40BF-AD84-007B42599F95}"/>
    <cellStyle name="常规 6 3 2 13" xfId="34524" xr:uid="{25A7FF8A-32A6-4D97-AA6F-86D2416D528E}"/>
    <cellStyle name="常规 6 3 2 2" xfId="23235" xr:uid="{450ED56F-5E2B-4C5E-8FDF-2D84A241B5EF}"/>
    <cellStyle name="常规 6 3 2 2 10" xfId="34525" xr:uid="{D38F031C-81AA-4BA7-8A64-C4A2F277F136}"/>
    <cellStyle name="常规 6 3 2 2 2" xfId="23236" xr:uid="{3B36D8CD-573D-4DFD-8A66-A39C301A04F6}"/>
    <cellStyle name="常规 6 3 2 2 2 2" xfId="23237" xr:uid="{C7E15070-E804-4E91-8F38-E0384A594492}"/>
    <cellStyle name="常规 6 3 2 2 2 2 2" xfId="23238" xr:uid="{C283F553-CFA2-43E4-9EAE-5B9281052C6D}"/>
    <cellStyle name="常规 6 3 2 2 2 2 3" xfId="23239" xr:uid="{1F5FC8ED-27F3-4B74-B756-39525CBFD6B8}"/>
    <cellStyle name="常规 6 3 2 2 2 3" xfId="23240" xr:uid="{0EC7C2C4-394B-406E-A503-5D954404561D}"/>
    <cellStyle name="常规 6 3 2 2 2 3 2" xfId="23241" xr:uid="{BAC22E02-BA8D-4A7C-9B9F-234438EF70F9}"/>
    <cellStyle name="常规 6 3 2 2 2 4" xfId="23242" xr:uid="{69F76045-2FE4-4910-ADCE-B0FEAB3E4D51}"/>
    <cellStyle name="常规 6 3 2 2 2 4 2" xfId="23243" xr:uid="{04000DE4-A102-4631-89EF-3B0A643CF10C}"/>
    <cellStyle name="常规 6 3 2 2 2 4 3" xfId="34526" xr:uid="{D1B85C21-9A7C-4066-8F59-CC4A7555C1FE}"/>
    <cellStyle name="常规 6 3 2 2 2 5" xfId="23244" xr:uid="{FD48E48A-1CFD-4DC9-965D-62704EDFFED4}"/>
    <cellStyle name="常规 6 3 2 2 2 6" xfId="23245" xr:uid="{DC63BC69-DC27-449C-9E6E-0305AECB0084}"/>
    <cellStyle name="常规 6 3 2 2 2 7" xfId="23246" xr:uid="{BDA963BA-3890-408D-9C19-8134FA8737AE}"/>
    <cellStyle name="常规 6 3 2 2 3" xfId="23247" xr:uid="{E9FB750C-0CA1-4264-9BC0-9A00B1BCF513}"/>
    <cellStyle name="常规 6 3 2 2 3 2" xfId="23248" xr:uid="{14D78B65-A970-4627-BFA9-5474146C9335}"/>
    <cellStyle name="常规 6 3 2 2 3 3" xfId="23249" xr:uid="{9A99A9DF-AEC9-4CB5-8F99-023EBEC7287B}"/>
    <cellStyle name="常规 6 3 2 2 4" xfId="23250" xr:uid="{157284A9-0F7E-4CCB-A582-EFC108A25964}"/>
    <cellStyle name="常规 6 3 2 2 4 2" xfId="23251" xr:uid="{67D56E0E-D3C3-4ED0-AC08-6AA93B314774}"/>
    <cellStyle name="常规 6 3 2 2 5" xfId="23252" xr:uid="{46B2D48C-98CD-4B87-94AC-A81CBEE0E41F}"/>
    <cellStyle name="常规 6 3 2 2 5 2" xfId="23253" xr:uid="{495EAB1A-EBE8-4568-8983-0B2BC9CC5A8F}"/>
    <cellStyle name="常规 6 3 2 2 5 3" xfId="34527" xr:uid="{9B8D0480-5C9C-4ABF-9FFB-75C435023F9D}"/>
    <cellStyle name="常规 6 3 2 2 6" xfId="23254" xr:uid="{DD88C2B1-754B-44BD-9991-AD46EE50C9A9}"/>
    <cellStyle name="常规 6 3 2 2 7" xfId="23255" xr:uid="{5EDA903F-2603-412D-A4E4-B381AB2387C2}"/>
    <cellStyle name="常规 6 3 2 2 8" xfId="23256" xr:uid="{BEF6E90F-6C58-4EEC-A76F-E734E0646FE3}"/>
    <cellStyle name="常规 6 3 2 2 9" xfId="23257" xr:uid="{CAB0CEC0-0FA3-41B8-AAD5-EDF39FC46A81}"/>
    <cellStyle name="常规 6 3 2 3" xfId="23258" xr:uid="{32E5ED05-BDE6-42F5-854C-B698B89244C7}"/>
    <cellStyle name="常规 6 3 2 3 2" xfId="23259" xr:uid="{52D00D7D-AB57-47F7-B08D-DFC88308BB32}"/>
    <cellStyle name="常规 6 3 2 3 2 2" xfId="23260" xr:uid="{5330E51C-2224-44D0-94F6-B1878E916677}"/>
    <cellStyle name="常规 6 3 2 3 2 3" xfId="23261" xr:uid="{66DC3D62-9711-43B7-A43B-82D8C6487538}"/>
    <cellStyle name="常规 6 3 2 3 2 4" xfId="23262" xr:uid="{9C8A5FD1-CDFA-437E-90A3-7115274A0275}"/>
    <cellStyle name="常规 6 3 2 3 2 5" xfId="23263" xr:uid="{64CB5756-36BC-4A58-9BE9-EB32CACF7BDC}"/>
    <cellStyle name="常规 6 3 2 3 2 6" xfId="23264" xr:uid="{A75D52B3-4B0C-4BA8-8C2B-DC1E4377D58D}"/>
    <cellStyle name="常规 6 3 2 3 2 7" xfId="23265" xr:uid="{C7CD5CE9-A1CC-4F66-9650-CC9F5C5C6745}"/>
    <cellStyle name="常规 6 3 2 3 2 8" xfId="23266" xr:uid="{A7B376F3-AAAD-4100-B816-0E72493E425C}"/>
    <cellStyle name="常规 6 3 2 3 3" xfId="23267" xr:uid="{C8D844DC-D744-41A0-825D-78A55EB17C27}"/>
    <cellStyle name="常规 6 3 2 3 3 2" xfId="23268" xr:uid="{48EB48BA-F8B1-4125-B087-37948AB8757E}"/>
    <cellStyle name="常规 6 3 2 3 4" xfId="23269" xr:uid="{06782FEF-2FBF-493D-8097-0AC178723C1F}"/>
    <cellStyle name="常规 6 3 2 3 4 2" xfId="23270" xr:uid="{51A0C6CE-EF21-4D9D-978B-A8C789C50A95}"/>
    <cellStyle name="常规 6 3 2 3 4 3" xfId="34528" xr:uid="{26C4E082-B8A1-4743-9617-06B345134366}"/>
    <cellStyle name="常规 6 3 2 3 5" xfId="23271" xr:uid="{21F401B3-100F-42ED-8B6C-A696A121B467}"/>
    <cellStyle name="常规 6 3 2 3 6" xfId="23272" xr:uid="{614FE066-CDBA-401F-B734-4F466CB7B802}"/>
    <cellStyle name="常规 6 3 2 3 7" xfId="23273" xr:uid="{3C81086E-F5AE-4B88-8D56-6880DEDC2A17}"/>
    <cellStyle name="常规 6 3 2 3 8" xfId="23274" xr:uid="{B8C1FA04-8BAE-4CEC-85A2-0327C70274EC}"/>
    <cellStyle name="常规 6 3 2 4" xfId="23275" xr:uid="{A9613546-E8D5-4441-9025-6F3213846696}"/>
    <cellStyle name="常规 6 3 2 4 2" xfId="23276" xr:uid="{F8FD6745-BD53-48ED-83BA-8970CCA38AF2}"/>
    <cellStyle name="常规 6 3 2 4 2 2" xfId="23277" xr:uid="{FE2D39A2-0613-4D0E-84B2-31F5323E2A18}"/>
    <cellStyle name="常规 6 3 2 4 2 3" xfId="23278" xr:uid="{AFA7F872-1A54-4EA9-B582-94C49C01FED3}"/>
    <cellStyle name="常规 6 3 2 4 2 4" xfId="23279" xr:uid="{0CB4339A-4565-4502-81CE-C1076195C883}"/>
    <cellStyle name="常规 6 3 2 4 2 5" xfId="23280" xr:uid="{8E4D5EA2-E32D-4500-8C26-7CCED2568AD8}"/>
    <cellStyle name="常规 6 3 2 4 2 6" xfId="23281" xr:uid="{95F0F0A4-427B-4FD0-AC48-0D33A77BABC0}"/>
    <cellStyle name="常规 6 3 2 4 3" xfId="23282" xr:uid="{83433668-D502-47F5-9286-8C93BA386418}"/>
    <cellStyle name="常规 6 3 2 4 4" xfId="23283" xr:uid="{2B73D28D-1D1C-4BEF-B78F-F5F72F2E80F2}"/>
    <cellStyle name="常规 6 3 2 4 5" xfId="23284" xr:uid="{1065ECD3-3E45-444C-AF75-FC4B4CE05B50}"/>
    <cellStyle name="常规 6 3 2 4 6" xfId="23285" xr:uid="{BE6C4CAA-749F-4398-A243-617C44FD188C}"/>
    <cellStyle name="常规 6 3 2 4 7" xfId="23286" xr:uid="{719BEE4D-4346-4C7E-8443-EF1B1516D3B3}"/>
    <cellStyle name="常规 6 3 2 4 8" xfId="23287" xr:uid="{61EC6A40-7B2A-409C-8E2A-120C41E3FC25}"/>
    <cellStyle name="常规 6 3 2 4 9" xfId="23288" xr:uid="{1451B1C5-55B7-40A0-9FAD-6777FABD1B0C}"/>
    <cellStyle name="常规 6 3 2 5" xfId="23289" xr:uid="{FD841514-CBBD-4066-880E-96FD7F83EC89}"/>
    <cellStyle name="常规 6 3 2 5 2" xfId="23290" xr:uid="{E63025B3-55C2-4FD8-B474-15E265C59F61}"/>
    <cellStyle name="常规 6 3 2 5 2 2" xfId="23291" xr:uid="{E59C0B13-86DF-45E9-A0D1-FA56A34DB68D}"/>
    <cellStyle name="常规 6 3 2 5 2 3" xfId="23292" xr:uid="{9A7326F2-D353-409D-B171-A9837673C607}"/>
    <cellStyle name="常规 6 3 2 5 2 4" xfId="23293" xr:uid="{E52C8AFD-9FC4-43F0-84DF-BE81A58DF272}"/>
    <cellStyle name="常规 6 3 2 5 2 5" xfId="23294" xr:uid="{B99A3700-D2EA-4681-920D-12A54B126933}"/>
    <cellStyle name="常规 6 3 2 5 2 6" xfId="23295" xr:uid="{ED8072C6-A08A-417C-929F-7021E2E93F14}"/>
    <cellStyle name="常规 6 3 2 5 3" xfId="23296" xr:uid="{CC815459-E0B2-4200-AC00-F708D34E2745}"/>
    <cellStyle name="常规 6 3 2 5 4" xfId="23297" xr:uid="{8B472AFA-9604-417B-B06F-A23853F52121}"/>
    <cellStyle name="常规 6 3 2 5 5" xfId="23298" xr:uid="{31F1E27E-EF6B-4D24-8B60-48D43B938427}"/>
    <cellStyle name="常规 6 3 2 5 6" xfId="23299" xr:uid="{749BF925-66F8-48F9-BB42-E42A726C01E7}"/>
    <cellStyle name="常规 6 3 2 5 7" xfId="23300" xr:uid="{B01D9DB8-1521-43D3-8D9E-125BD7D4769F}"/>
    <cellStyle name="常规 6 3 2 5 8" xfId="23301" xr:uid="{092B12F0-31FB-4D1D-B362-9CA70A389D70}"/>
    <cellStyle name="常规 6 3 2 6" xfId="23302" xr:uid="{5EC1B3D7-A4C7-433E-9CA0-4F0A82668504}"/>
    <cellStyle name="常规 6 3 2 6 2" xfId="23303" xr:uid="{54406BE5-4027-4A20-AD24-E933A3F0CDE4}"/>
    <cellStyle name="常规 6 3 2 6 2 2" xfId="23304" xr:uid="{6AC1CA2D-B4C2-4B40-B1E7-09E394E426B0}"/>
    <cellStyle name="常规 6 3 2 6 2 3" xfId="23305" xr:uid="{A47F8CA4-84AE-46E8-9419-43DC8D84CD4E}"/>
    <cellStyle name="常规 6 3 2 6 2 4" xfId="23306" xr:uid="{A5FD0276-5C97-4C6D-BEEC-AB2CFF4A048F}"/>
    <cellStyle name="常规 6 3 2 6 2 5" xfId="23307" xr:uid="{429AB28D-54B4-4654-9930-375E9D9FBCF5}"/>
    <cellStyle name="常规 6 3 2 6 2 6" xfId="23308" xr:uid="{D0AF1F17-ABC5-48B9-91EB-87FC88C1280D}"/>
    <cellStyle name="常规 6 3 2 6 3" xfId="23309" xr:uid="{94D325F6-B2F4-4D6A-9CFD-E238115E53ED}"/>
    <cellStyle name="常规 6 3 2 6 4" xfId="23310" xr:uid="{F2CD9A91-B770-48E5-A15B-A0477B974FB2}"/>
    <cellStyle name="常规 6 3 2 6 5" xfId="23311" xr:uid="{E347C41B-6226-447C-BE10-13B4E22A620A}"/>
    <cellStyle name="常规 6 3 2 6 6" xfId="23312" xr:uid="{C0652945-6CBC-4CBC-A9F5-544CB9EEB157}"/>
    <cellStyle name="常规 6 3 2 6 7" xfId="23313" xr:uid="{1436A92A-FBC4-4918-B827-623575E00DE5}"/>
    <cellStyle name="常规 6 3 2 6 8" xfId="23314" xr:uid="{A438E8ED-3A5B-483D-A5C7-721B769ED425}"/>
    <cellStyle name="常规 6 3 2 6 9" xfId="34529" xr:uid="{85FDDD87-0C37-40E3-907D-DC7D9C5F03B0}"/>
    <cellStyle name="常规 6 3 2 7" xfId="23315" xr:uid="{D1325735-E0DA-4FF0-80FC-9329450886F3}"/>
    <cellStyle name="常规 6 3 2 7 2" xfId="23316" xr:uid="{68990662-B4A4-4A73-B918-842B0D5B108E}"/>
    <cellStyle name="常规 6 3 2 7 2 2" xfId="23317" xr:uid="{32DC923A-81C3-4D0A-9C7F-AE3413B2105A}"/>
    <cellStyle name="常规 6 3 2 7 2 3" xfId="23318" xr:uid="{39F3969D-EBF4-4C86-B732-D88C41646046}"/>
    <cellStyle name="常规 6 3 2 7 2 4" xfId="23319" xr:uid="{D4B84282-4180-4B3E-B66A-3254DB72C0CB}"/>
    <cellStyle name="常规 6 3 2 7 2 5" xfId="23320" xr:uid="{B016521C-2AFF-4384-83F0-4A227A6DAA05}"/>
    <cellStyle name="常规 6 3 2 7 2 6" xfId="23321" xr:uid="{3DD2A2E5-44F5-417A-92A9-BBC00284A38B}"/>
    <cellStyle name="常规 6 3 2 7 3" xfId="23322" xr:uid="{34E03D24-DC7E-4E24-A78F-8D31E92300CA}"/>
    <cellStyle name="常规 6 3 2 7 4" xfId="23323" xr:uid="{34382862-D984-4005-964F-5E02A5FA0766}"/>
    <cellStyle name="常规 6 3 2 7 5" xfId="23324" xr:uid="{059C95B0-5962-42B0-9540-8F9CBD6D441D}"/>
    <cellStyle name="常规 6 3 2 7 6" xfId="23325" xr:uid="{443E9DB4-0E54-483E-9AE6-6B1D8A64535E}"/>
    <cellStyle name="常规 6 3 2 7 7" xfId="23326" xr:uid="{2767777B-29CB-4788-90E5-39EC6F8B9DE2}"/>
    <cellStyle name="常规 6 3 2 7 8" xfId="23327" xr:uid="{565F0963-5940-4E0A-B617-F706E5E4A391}"/>
    <cellStyle name="常规 6 3 2 8" xfId="23328" xr:uid="{0233E207-57A5-48C4-BF06-71844D19C63E}"/>
    <cellStyle name="常规 6 3 2 8 2" xfId="23329" xr:uid="{7833A4A9-44A7-4E77-93E3-8A59D586FEB4}"/>
    <cellStyle name="常规 6 3 2 8 2 2" xfId="23330" xr:uid="{5847FF62-3D5C-4476-A35D-18DBC0458B39}"/>
    <cellStyle name="常规 6 3 2 8 2 3" xfId="23331" xr:uid="{45DD73FE-409C-44BE-B914-10321355FA2D}"/>
    <cellStyle name="常规 6 3 2 8 2 4" xfId="23332" xr:uid="{973689A0-7EEA-4D5D-BB86-5202214136A7}"/>
    <cellStyle name="常规 6 3 2 8 2 5" xfId="23333" xr:uid="{2FB13469-C0C9-43C1-8C38-E2A341D877D3}"/>
    <cellStyle name="常规 6 3 2 8 2 6" xfId="23334" xr:uid="{DE635AB0-F9D5-438E-8D15-266275085566}"/>
    <cellStyle name="常规 6 3 2 8 3" xfId="23335" xr:uid="{CF53739F-428C-460B-A9FE-D454E6DBADB5}"/>
    <cellStyle name="常规 6 3 2 8 4" xfId="23336" xr:uid="{8C2E37D8-6088-4CD9-900F-CC15E7B35C36}"/>
    <cellStyle name="常规 6 3 2 8 5" xfId="23337" xr:uid="{2FB994CE-FE37-433D-8BFD-8D69A65D4E73}"/>
    <cellStyle name="常规 6 3 2 8 6" xfId="23338" xr:uid="{BE56B744-3667-4A72-94BE-918999C5CB40}"/>
    <cellStyle name="常规 6 3 2 8 7" xfId="23339" xr:uid="{0068CF0A-6339-4681-B9FA-57DC5B86F800}"/>
    <cellStyle name="常规 6 3 2 9" xfId="23340" xr:uid="{E009383A-3F8F-41B9-B569-57ADF76F4D19}"/>
    <cellStyle name="常规 6 3 2 9 2" xfId="23341" xr:uid="{E628B749-9C4A-42D3-A5B1-29516E417AD5}"/>
    <cellStyle name="常规 6 3 2 9 2 2" xfId="23342" xr:uid="{697C43F7-462D-45A1-8E70-F5C6259C865A}"/>
    <cellStyle name="常规 6 3 2 9 2 3" xfId="23343" xr:uid="{FFE50F70-779F-4AF0-99DF-D33A74E02C35}"/>
    <cellStyle name="常规 6 3 2 9 2 4" xfId="23344" xr:uid="{E27C79D5-6997-491B-85A2-5FC7D972F582}"/>
    <cellStyle name="常规 6 3 2 9 2 5" xfId="23345" xr:uid="{6927DB83-07B3-4C80-83E5-AEEB54BF9214}"/>
    <cellStyle name="常规 6 3 2 9 2 6" xfId="23346" xr:uid="{AAAFBE2E-FD95-4FD6-8D68-9E1C4BD9A9CA}"/>
    <cellStyle name="常规 6 3 2 9 3" xfId="23347" xr:uid="{3417E997-C5EC-4C31-BC47-B23A3471D654}"/>
    <cellStyle name="常规 6 3 2 9 4" xfId="23348" xr:uid="{4E42142C-E34C-4667-A213-F8FEA1E137B1}"/>
    <cellStyle name="常规 6 3 2 9 5" xfId="23349" xr:uid="{D0794414-E179-4F5A-992C-A147DDDDB604}"/>
    <cellStyle name="常规 6 3 2 9 6" xfId="23350" xr:uid="{0709BFEE-B239-4137-A56B-DC223A105F94}"/>
    <cellStyle name="常规 6 3 2 9 7" xfId="23351" xr:uid="{7F86D9A7-FE1D-40DB-9967-9B636D9A3766}"/>
    <cellStyle name="常规 6 3 3" xfId="23352" xr:uid="{1B96AF3B-B062-4520-8A18-9D6FE1C2AA06}"/>
    <cellStyle name="常规 6 3 3 10" xfId="23353" xr:uid="{A974947B-C652-49EA-AFCA-5DF961BB00A1}"/>
    <cellStyle name="常规 6 3 3 10 2" xfId="23354" xr:uid="{32D61E3C-F3F8-48C7-AE31-9D077D6B0CF4}"/>
    <cellStyle name="常规 6 3 3 10 3" xfId="23355" xr:uid="{AFA54834-B842-4B16-AB05-CD0464B35F61}"/>
    <cellStyle name="常规 6 3 3 10 4" xfId="23356" xr:uid="{BAE7247C-5C05-44B3-8C5A-47FC49FFC262}"/>
    <cellStyle name="常规 6 3 3 10 5" xfId="23357" xr:uid="{285746AC-1EC5-4776-B00D-F0189DB70713}"/>
    <cellStyle name="常规 6 3 3 10 6" xfId="23358" xr:uid="{C2C1CA6C-718E-43BF-AAE8-751194753DCE}"/>
    <cellStyle name="常规 6 3 3 11" xfId="23359" xr:uid="{290D9318-936C-4933-90C6-1755E4455AB9}"/>
    <cellStyle name="常规 6 3 3 12" xfId="23360" xr:uid="{BA36231A-80CF-455E-B10F-C35A172CFF0C}"/>
    <cellStyle name="常规 6 3 3 13" xfId="23361" xr:uid="{CA95E69B-384A-4F07-B79D-077F739C0D5D}"/>
    <cellStyle name="常规 6 3 3 14" xfId="23362" xr:uid="{4320ED2B-75FF-48F5-AFEB-7CE119497DE7}"/>
    <cellStyle name="常规 6 3 3 15" xfId="23363" xr:uid="{BA2D2FF9-BA88-492F-9F9B-E3D676367BA7}"/>
    <cellStyle name="常规 6 3 3 16" xfId="23364" xr:uid="{D7F7D15D-7497-487F-9A40-F20EA30638C5}"/>
    <cellStyle name="常规 6 3 3 17" xfId="23365" xr:uid="{B879D9B7-F81C-491D-A3EC-AADDDD2E2C88}"/>
    <cellStyle name="常规 6 3 3 18" xfId="34530" xr:uid="{F3656947-5651-4321-B851-4126B14F12DA}"/>
    <cellStyle name="常规 6 3 3 2" xfId="23366" xr:uid="{340C90DE-CC86-45E3-94EA-2D9DD97C57B8}"/>
    <cellStyle name="常规 6 3 3 2 2" xfId="23367" xr:uid="{A3CD6C36-001D-4F98-94F9-C80954A81B89}"/>
    <cellStyle name="常规 6 3 3 2 2 2" xfId="23368" xr:uid="{D99403DA-8DA6-47CC-9FE4-03A90EFBCB7B}"/>
    <cellStyle name="常规 6 3 3 2 2 3" xfId="23369" xr:uid="{744BBA12-300B-4034-8950-158F3E0A22DB}"/>
    <cellStyle name="常规 6 3 3 2 2 4" xfId="23370" xr:uid="{DE89B24E-5B54-4C44-8E12-D94A29FB1B7F}"/>
    <cellStyle name="常规 6 3 3 2 2 5" xfId="23371" xr:uid="{8660F2DD-3BB3-44BA-A522-B71988DAA4CB}"/>
    <cellStyle name="常规 6 3 3 2 2 6" xfId="23372" xr:uid="{FE1B3292-EF03-44E6-B488-D0204BD32FF4}"/>
    <cellStyle name="常规 6 3 3 2 2 7" xfId="23373" xr:uid="{1E7159CD-38B8-4F9C-8ED3-B34E3EAC4BF5}"/>
    <cellStyle name="常规 6 3 3 2 2 8" xfId="23374" xr:uid="{5F727C80-5571-44D0-BFD3-1CBEB29EEE15}"/>
    <cellStyle name="常规 6 3 3 2 3" xfId="23375" xr:uid="{62FF81B8-02A4-4FD3-9383-A04129349E40}"/>
    <cellStyle name="常规 6 3 3 2 3 2" xfId="23376" xr:uid="{A35B02BD-8414-4012-96C6-49E8D4405D79}"/>
    <cellStyle name="常规 6 3 3 2 4" xfId="23377" xr:uid="{C4453909-641B-4E7D-95A2-BA5793DD4E8F}"/>
    <cellStyle name="常规 6 3 3 2 4 2" xfId="23378" xr:uid="{6F5B81FE-D4FD-4A4A-AF40-F97281706C2A}"/>
    <cellStyle name="常规 6 3 3 2 4 3" xfId="34531" xr:uid="{7D3A4EE0-5CC9-4BCC-BFFA-F4BC30A60626}"/>
    <cellStyle name="常规 6 3 3 2 5" xfId="23379" xr:uid="{618B2286-26EA-46A0-A2D7-4450D8993190}"/>
    <cellStyle name="常规 6 3 3 2 6" xfId="23380" xr:uid="{0DBD3D81-4D05-4C89-BA8A-7389CAABDA54}"/>
    <cellStyle name="常规 6 3 3 2 7" xfId="23381" xr:uid="{C90335AD-2A37-41DB-B82E-0B2325EF47AF}"/>
    <cellStyle name="常规 6 3 3 2 8" xfId="23382" xr:uid="{EB6E0C30-C421-4219-AC11-FA679FDCABA4}"/>
    <cellStyle name="常规 6 3 3 3" xfId="23383" xr:uid="{5A611096-DD64-471E-B5D8-2E6CA0A3D4A4}"/>
    <cellStyle name="常规 6 3 3 3 2" xfId="23384" xr:uid="{34918FA3-E05E-4E01-B979-858B211D440B}"/>
    <cellStyle name="常规 6 3 3 3 2 2" xfId="23385" xr:uid="{362B09FE-8AFC-4A84-82C7-343A71BA21E1}"/>
    <cellStyle name="常规 6 3 3 3 2 3" xfId="23386" xr:uid="{4E2EB80A-6AD5-451F-8CD0-0BA9143F90A8}"/>
    <cellStyle name="常规 6 3 3 3 2 4" xfId="23387" xr:uid="{FF8CFF5C-7D5A-4750-AADC-3651D624F499}"/>
    <cellStyle name="常规 6 3 3 3 2 5" xfId="23388" xr:uid="{77BEADA4-3140-462E-9492-F51025303EB1}"/>
    <cellStyle name="常规 6 3 3 3 2 6" xfId="23389" xr:uid="{87C8E902-EE77-438E-ADC9-7F94FA6C6F45}"/>
    <cellStyle name="常规 6 3 3 3 2 7" xfId="23390" xr:uid="{2DB17B3D-B5C4-4F54-A62F-B3636771E761}"/>
    <cellStyle name="常规 6 3 3 3 2 8" xfId="23391" xr:uid="{04185A24-207C-44A2-90D4-F4A990F9EBCA}"/>
    <cellStyle name="常规 6 3 3 3 3" xfId="23392" xr:uid="{3EB2999A-4B77-4378-B205-60D448DCD4A8}"/>
    <cellStyle name="常规 6 3 3 3 3 2" xfId="23393" xr:uid="{D8D848BF-FC31-43EF-8633-46EC4F766A57}"/>
    <cellStyle name="常规 6 3 3 3 4" xfId="23394" xr:uid="{1F1E522B-550A-4D76-8892-7546530793B4}"/>
    <cellStyle name="常规 6 3 3 3 4 2" xfId="23395" xr:uid="{3ABA78A2-F7A6-407E-B29C-AAE7B98E6E70}"/>
    <cellStyle name="常规 6 3 3 3 4 3" xfId="34532" xr:uid="{F67B35BA-0240-4476-803A-CA3880BA9F94}"/>
    <cellStyle name="常规 6 3 3 3 5" xfId="23396" xr:uid="{28C34C03-0238-4BB1-9FD8-A7BAD2F2F2B2}"/>
    <cellStyle name="常规 6 3 3 3 6" xfId="23397" xr:uid="{F9BAC308-144A-4FB4-B0E4-B54F5B552E50}"/>
    <cellStyle name="常规 6 3 3 3 7" xfId="23398" xr:uid="{047A0996-4A7D-4B7F-8DCB-5D873A95A179}"/>
    <cellStyle name="常规 6 3 3 3 8" xfId="23399" xr:uid="{F4DE8641-9384-452E-A33B-A55F0C7B555E}"/>
    <cellStyle name="常规 6 3 3 4" xfId="23400" xr:uid="{1B92551C-2879-4298-9AD4-ECD88F0FA494}"/>
    <cellStyle name="常规 6 3 3 4 2" xfId="23401" xr:uid="{EBCE3579-6AF3-4C03-96EE-A3370A9296BD}"/>
    <cellStyle name="常规 6 3 3 4 2 2" xfId="23402" xr:uid="{994723EA-58E7-43C3-9EC2-EC7BBD7C5539}"/>
    <cellStyle name="常规 6 3 3 4 2 3" xfId="23403" xr:uid="{BC2338E8-1C45-4B14-B2B8-9297BA1A4B65}"/>
    <cellStyle name="常规 6 3 3 4 2 4" xfId="23404" xr:uid="{D4AE8A9E-26B3-4B15-938A-275593037974}"/>
    <cellStyle name="常规 6 3 3 4 2 5" xfId="23405" xr:uid="{CE7D1B85-ECA2-443D-BE38-C81D55D92B24}"/>
    <cellStyle name="常规 6 3 3 4 2 6" xfId="23406" xr:uid="{DDEDE9A7-5294-45B5-BDAE-C3880155D9F9}"/>
    <cellStyle name="常规 6 3 3 4 3" xfId="23407" xr:uid="{9F8D7E9A-713E-4679-9DF3-B4D317B3A8BF}"/>
    <cellStyle name="常规 6 3 3 4 4" xfId="23408" xr:uid="{5791E3F6-F7FF-4A60-A25C-EF9EEA3DAA5C}"/>
    <cellStyle name="常规 6 3 3 4 5" xfId="23409" xr:uid="{E7A6A0FA-23EF-49D6-B92C-D62C615D0161}"/>
    <cellStyle name="常规 6 3 3 4 6" xfId="23410" xr:uid="{DDEEC436-D889-4776-8229-B9C99181C233}"/>
    <cellStyle name="常规 6 3 3 4 7" xfId="23411" xr:uid="{2E52C8B5-91B0-49B5-AC83-234B34E81E24}"/>
    <cellStyle name="常规 6 3 3 4 8" xfId="23412" xr:uid="{B6963C20-88DA-416F-ACEA-33BE86883EA4}"/>
    <cellStyle name="常规 6 3 3 4 9" xfId="23413" xr:uid="{A4546792-5B90-4EC7-8C83-305E4D629BD8}"/>
    <cellStyle name="常规 6 3 3 5" xfId="23414" xr:uid="{E301A8B1-9AEB-49AD-8BC6-23E37852099B}"/>
    <cellStyle name="常规 6 3 3 5 2" xfId="23415" xr:uid="{DF700726-B677-4293-A7BD-F0D8C7F4751A}"/>
    <cellStyle name="常规 6 3 3 5 2 2" xfId="23416" xr:uid="{63E4B54F-F1CE-401F-AB88-80B36DEB24AA}"/>
    <cellStyle name="常规 6 3 3 5 2 3" xfId="23417" xr:uid="{929FD74C-34CA-456B-9EBC-38CE5C14784B}"/>
    <cellStyle name="常规 6 3 3 5 2 4" xfId="23418" xr:uid="{55818DC0-09C7-4236-9B2C-6E9E146322D0}"/>
    <cellStyle name="常规 6 3 3 5 2 5" xfId="23419" xr:uid="{D227A5F4-CE17-4A03-A7CE-CBA1A5834866}"/>
    <cellStyle name="常规 6 3 3 5 2 6" xfId="23420" xr:uid="{20D39468-F5A4-4854-8D3A-BAFB18849E83}"/>
    <cellStyle name="常规 6 3 3 5 3" xfId="23421" xr:uid="{E0D43151-B5F7-4AF3-92B1-964A886E6BAC}"/>
    <cellStyle name="常规 6 3 3 5 4" xfId="23422" xr:uid="{9E8F7D3E-097D-4E4A-83B1-9AD1B462E217}"/>
    <cellStyle name="常规 6 3 3 5 5" xfId="23423" xr:uid="{1696E978-6C75-4978-8C56-C0AEFBD56899}"/>
    <cellStyle name="常规 6 3 3 5 6" xfId="23424" xr:uid="{F1716304-8C0C-477E-8428-090F9CC5CEB9}"/>
    <cellStyle name="常规 6 3 3 5 7" xfId="23425" xr:uid="{2D3871B3-7B05-41AE-9EB0-576051A87A0A}"/>
    <cellStyle name="常规 6 3 3 5 8" xfId="23426" xr:uid="{9007014A-B8E2-48CE-B719-EF9801B9DA32}"/>
    <cellStyle name="常规 6 3 3 6" xfId="23427" xr:uid="{23D48E51-423F-499D-9689-9848D4B4DC0E}"/>
    <cellStyle name="常规 6 3 3 6 2" xfId="23428" xr:uid="{569E2B13-CE15-43F0-B102-0695497AA3AE}"/>
    <cellStyle name="常规 6 3 3 6 2 2" xfId="23429" xr:uid="{606F0F2B-DFDC-4474-BF32-EC0206B4F403}"/>
    <cellStyle name="常规 6 3 3 6 2 3" xfId="23430" xr:uid="{48EFE8A0-B438-4421-9A40-6FC798BA1B84}"/>
    <cellStyle name="常规 6 3 3 6 2 4" xfId="23431" xr:uid="{4EA449AA-DDC5-4B8C-8B22-DADA9720C5D7}"/>
    <cellStyle name="常规 6 3 3 6 2 5" xfId="23432" xr:uid="{8B7E63E1-0812-429B-92AA-CF14685EFB5F}"/>
    <cellStyle name="常规 6 3 3 6 2 6" xfId="23433" xr:uid="{42B9A767-E500-4E4B-A394-373659366287}"/>
    <cellStyle name="常规 6 3 3 6 3" xfId="23434" xr:uid="{40547140-B731-4753-B7DA-D48A364EE6DE}"/>
    <cellStyle name="常规 6 3 3 6 4" xfId="23435" xr:uid="{730EFD5E-AA18-409A-8CB8-BCE476D0C499}"/>
    <cellStyle name="常规 6 3 3 6 5" xfId="23436" xr:uid="{A67162C5-75BE-4398-B7B5-668D59F84603}"/>
    <cellStyle name="常规 6 3 3 6 6" xfId="23437" xr:uid="{456B0D94-DB0A-49A3-A056-EC095E1AB13A}"/>
    <cellStyle name="常规 6 3 3 6 7" xfId="23438" xr:uid="{55373E23-7BC3-49BD-8AFD-2B5DC634AEDA}"/>
    <cellStyle name="常规 6 3 3 6 8" xfId="23439" xr:uid="{D54919BB-1E18-410D-A254-C63FC1CFBD7C}"/>
    <cellStyle name="常规 6 3 3 6 9" xfId="34533" xr:uid="{F8217907-1187-44E0-9C8D-678299DED347}"/>
    <cellStyle name="常规 6 3 3 7" xfId="23440" xr:uid="{67068E83-BF4E-4159-B117-BB34FF12E365}"/>
    <cellStyle name="常规 6 3 3 7 2" xfId="23441" xr:uid="{31FC8EDC-422A-409A-96E1-1B3CE1EEFF90}"/>
    <cellStyle name="常规 6 3 3 7 2 2" xfId="23442" xr:uid="{6C8C5379-208E-4060-97CF-D3A3678C1D3E}"/>
    <cellStyle name="常规 6 3 3 7 2 3" xfId="23443" xr:uid="{34E34EB1-888B-478D-B0B7-C10A22CC873E}"/>
    <cellStyle name="常规 6 3 3 7 2 4" xfId="23444" xr:uid="{077E3E56-E7D9-4CEE-9D49-8B7E9093208D}"/>
    <cellStyle name="常规 6 3 3 7 2 5" xfId="23445" xr:uid="{F32E52DE-B8E3-4B3D-9021-ECE7537ED30B}"/>
    <cellStyle name="常规 6 3 3 7 2 6" xfId="23446" xr:uid="{4BBDC926-E92D-4D51-9528-0440DDCA178A}"/>
    <cellStyle name="常规 6 3 3 7 3" xfId="23447" xr:uid="{287194F5-3DB7-4FCA-8335-09861FC88BF0}"/>
    <cellStyle name="常规 6 3 3 7 4" xfId="23448" xr:uid="{C3EE6EFE-4C7F-464A-A350-502E9E5D79E2}"/>
    <cellStyle name="常规 6 3 3 7 5" xfId="23449" xr:uid="{9D428D64-3867-470A-9815-50B34393568B}"/>
    <cellStyle name="常规 6 3 3 7 6" xfId="23450" xr:uid="{22761DA2-9F66-4B91-B7BC-F476895C54CD}"/>
    <cellStyle name="常规 6 3 3 7 7" xfId="23451" xr:uid="{ABDC9D15-127A-4A53-BEDD-F2FB7797500D}"/>
    <cellStyle name="常规 6 3 3 8" xfId="23452" xr:uid="{ECCED698-9589-49B2-A3FF-6AC46611C8F0}"/>
    <cellStyle name="常规 6 3 3 8 2" xfId="23453" xr:uid="{D78F2DE3-EF7B-4A13-885F-9AE461C0CF2E}"/>
    <cellStyle name="常规 6 3 3 8 2 2" xfId="23454" xr:uid="{EB0FF37B-559D-4083-B6A7-8FF50FE28A66}"/>
    <cellStyle name="常规 6 3 3 8 2 3" xfId="23455" xr:uid="{0AE231AE-0939-4101-8721-FAD248220C25}"/>
    <cellStyle name="常规 6 3 3 8 2 4" xfId="23456" xr:uid="{86480D82-8E8D-4E8E-B859-03B5FDDAA5E0}"/>
    <cellStyle name="常规 6 3 3 8 2 5" xfId="23457" xr:uid="{F43A86E8-0000-466A-9D7B-EA01CB6E853A}"/>
    <cellStyle name="常规 6 3 3 8 2 6" xfId="23458" xr:uid="{20EF4500-CC7E-407F-BB9B-6E19BCD934B3}"/>
    <cellStyle name="常规 6 3 3 8 3" xfId="23459" xr:uid="{6670A4CF-17F3-44E3-AFD8-F02BCE89970E}"/>
    <cellStyle name="常规 6 3 3 8 4" xfId="23460" xr:uid="{46722B1D-C21B-40E5-82F9-745CD691A0DD}"/>
    <cellStyle name="常规 6 3 3 8 5" xfId="23461" xr:uid="{23402993-7685-4C10-9B7E-25CB26151931}"/>
    <cellStyle name="常规 6 3 3 8 6" xfId="23462" xr:uid="{B7ED14EB-77B2-46C6-AA4D-6DC302A485A9}"/>
    <cellStyle name="常规 6 3 3 8 7" xfId="23463" xr:uid="{C538DEA8-DB1C-426E-A920-9A06275A8A67}"/>
    <cellStyle name="常规 6 3 3 9" xfId="23464" xr:uid="{F53B8C50-1D7B-44FB-A39A-01D265039C71}"/>
    <cellStyle name="常规 6 3 3 9 2" xfId="23465" xr:uid="{E20C9327-B279-43AC-887C-D1028AEB9E6F}"/>
    <cellStyle name="常规 6 3 3 9 2 2" xfId="23466" xr:uid="{5D2F362E-6B70-4764-A206-A0000A17BB5B}"/>
    <cellStyle name="常规 6 3 3 9 2 3" xfId="23467" xr:uid="{B51677E5-EA2B-4F15-883F-6F69BA263E88}"/>
    <cellStyle name="常规 6 3 3 9 2 4" xfId="23468" xr:uid="{6D41C549-BC14-4E2C-B6C0-49AD52D554B0}"/>
    <cellStyle name="常规 6 3 3 9 2 5" xfId="23469" xr:uid="{A1E99ABB-9421-4184-A753-72B89DB6F5A1}"/>
    <cellStyle name="常规 6 3 3 9 2 6" xfId="23470" xr:uid="{6E033B71-0F3F-462B-9CF6-1CD19939AA64}"/>
    <cellStyle name="常规 6 3 3 9 3" xfId="23471" xr:uid="{AF300CE1-3810-4DCD-8997-8C412EB0E331}"/>
    <cellStyle name="常规 6 3 3 9 4" xfId="23472" xr:uid="{7057349D-E9EA-47D2-9236-6747FF2B80DF}"/>
    <cellStyle name="常规 6 3 3 9 5" xfId="23473" xr:uid="{53AFFDF5-CF83-4B3A-BA7B-5DD7E039AFA0}"/>
    <cellStyle name="常规 6 3 3 9 6" xfId="23474" xr:uid="{E8F1B164-CDDF-4FEF-963A-45F319BC49F1}"/>
    <cellStyle name="常规 6 3 3 9 7" xfId="23475" xr:uid="{D958B341-B79F-4025-9B7F-90CF016BBCDA}"/>
    <cellStyle name="常规 6 3 4" xfId="23476" xr:uid="{1FAA14A5-B19E-453F-B838-3A5C947C733C}"/>
    <cellStyle name="常规 6 3 4 10" xfId="23477" xr:uid="{EF056201-9393-48AE-94D2-7D072794846B}"/>
    <cellStyle name="常规 6 3 4 10 2" xfId="23478" xr:uid="{63AB2920-7631-4F54-B222-7CBF3A6D913F}"/>
    <cellStyle name="常规 6 3 4 10 3" xfId="23479" xr:uid="{9439923E-501C-41CF-9B7A-E0B9135A183C}"/>
    <cellStyle name="常规 6 3 4 10 4" xfId="23480" xr:uid="{13EAB78F-F0D0-47DF-B405-7DB6A7E0637B}"/>
    <cellStyle name="常规 6 3 4 10 5" xfId="23481" xr:uid="{643717CA-64CC-4BBD-AB81-8AA52176586C}"/>
    <cellStyle name="常规 6 3 4 10 6" xfId="23482" xr:uid="{4694F143-8E25-4253-89C2-1ABEB59AF357}"/>
    <cellStyle name="常规 6 3 4 11" xfId="23483" xr:uid="{8A4EC0DB-53D2-4045-8F84-B11809F3DA49}"/>
    <cellStyle name="常规 6 3 4 12" xfId="23484" xr:uid="{8875CC7D-EC24-43ED-8687-F4F1CC9FA718}"/>
    <cellStyle name="常规 6 3 4 13" xfId="23485" xr:uid="{1D4B4B99-999A-4F43-9BAC-40215110BE11}"/>
    <cellStyle name="常规 6 3 4 14" xfId="23486" xr:uid="{B770A74B-A9D1-4B5B-AA7B-C303BE5ABEF3}"/>
    <cellStyle name="常规 6 3 4 15" xfId="23487" xr:uid="{7D1E5872-0154-4774-A584-96CD6C3C0D3B}"/>
    <cellStyle name="常规 6 3 4 16" xfId="23488" xr:uid="{B9076816-9FE9-42CC-B08E-3B0785343EAB}"/>
    <cellStyle name="常规 6 3 4 2" xfId="23489" xr:uid="{DF0F2A45-7622-4F2B-BF50-B161F63A4AB8}"/>
    <cellStyle name="常规 6 3 4 2 2" xfId="23490" xr:uid="{1B816709-0044-49BC-8445-87E83D4A30F3}"/>
    <cellStyle name="常规 6 3 4 2 2 2" xfId="23491" xr:uid="{3BA8E28A-9FCE-49D6-9FF7-59B017DDD02A}"/>
    <cellStyle name="常规 6 3 4 2 2 3" xfId="23492" xr:uid="{20E219BE-4E9A-47B1-9647-47F2776E8D86}"/>
    <cellStyle name="常规 6 3 4 2 2 4" xfId="23493" xr:uid="{8EDC4FCB-B3A6-44ED-A9B5-9907F78A2FE3}"/>
    <cellStyle name="常规 6 3 4 2 2 5" xfId="23494" xr:uid="{5ECCAC7B-7076-4AE2-8F1B-91937F438310}"/>
    <cellStyle name="常规 6 3 4 2 2 6" xfId="23495" xr:uid="{8F6222BF-7A21-47E1-B5C0-77FE5E4FD053}"/>
    <cellStyle name="常规 6 3 4 2 3" xfId="23496" xr:uid="{78B52219-7716-48D8-A73E-1FFC42182D39}"/>
    <cellStyle name="常规 6 3 4 2 4" xfId="23497" xr:uid="{9BEADEA5-FD53-4F9D-A133-2AE59CD429D6}"/>
    <cellStyle name="常规 6 3 4 2 5" xfId="23498" xr:uid="{68CFCB90-23C3-4E73-BE58-34934DF3B0E8}"/>
    <cellStyle name="常规 6 3 4 2 6" xfId="23499" xr:uid="{A182003E-49A0-460A-B5CA-86C07750A2CA}"/>
    <cellStyle name="常规 6 3 4 2 7" xfId="23500" xr:uid="{575EF25F-34A3-487E-AEBE-B5C3A5DC6BC3}"/>
    <cellStyle name="常规 6 3 4 2 8" xfId="23501" xr:uid="{EF148DC7-F271-4E32-92DD-3E3E895B5EBC}"/>
    <cellStyle name="常规 6 3 4 2 9" xfId="23502" xr:uid="{D6B05793-89E0-4818-9551-A4209354EB71}"/>
    <cellStyle name="常规 6 3 4 3" xfId="23503" xr:uid="{FA978986-BFF9-4C5D-820F-FF9D3CE2C3A1}"/>
    <cellStyle name="常规 6 3 4 3 2" xfId="23504" xr:uid="{54D484BA-710D-4FC0-AC5F-D2F98BD61366}"/>
    <cellStyle name="常规 6 3 4 3 2 2" xfId="23505" xr:uid="{25C17E33-7B5C-463D-8536-4963A9367728}"/>
    <cellStyle name="常规 6 3 4 3 2 3" xfId="23506" xr:uid="{AE2922E0-3495-4B75-9901-2020C170AA8C}"/>
    <cellStyle name="常规 6 3 4 3 2 4" xfId="23507" xr:uid="{B6DF09BC-3C33-43F8-8134-72D891285174}"/>
    <cellStyle name="常规 6 3 4 3 2 5" xfId="23508" xr:uid="{6F5CCCA8-8B34-4087-9C99-CED48FC82B51}"/>
    <cellStyle name="常规 6 3 4 3 2 6" xfId="23509" xr:uid="{99B7B57C-FC22-4897-9260-BCA1B4872A47}"/>
    <cellStyle name="常规 6 3 4 3 3" xfId="23510" xr:uid="{09D37B21-C7A6-4E9B-AE88-1404DCF1929F}"/>
    <cellStyle name="常规 6 3 4 3 4" xfId="23511" xr:uid="{CB9FAB08-181E-427E-A89E-61556EC1938E}"/>
    <cellStyle name="常规 6 3 4 3 5" xfId="23512" xr:uid="{ECADC923-6B54-48FE-8A8B-A8C0728EB10A}"/>
    <cellStyle name="常规 6 3 4 3 6" xfId="23513" xr:uid="{793C6258-ACB4-4282-937E-D859CD38D825}"/>
    <cellStyle name="常规 6 3 4 3 7" xfId="23514" xr:uid="{DFF67F36-A7D9-418C-97AB-7C431A998B07}"/>
    <cellStyle name="常规 6 3 4 3 8" xfId="23515" xr:uid="{3654842D-8059-4248-8B30-DA0C9DB8A1C7}"/>
    <cellStyle name="常规 6 3 4 4" xfId="23516" xr:uid="{122D3081-D425-42DF-B58B-DC41FE16D7BD}"/>
    <cellStyle name="常规 6 3 4 4 2" xfId="23517" xr:uid="{A8138362-F399-4171-8CB0-C65F52138542}"/>
    <cellStyle name="常规 6 3 4 4 2 2" xfId="23518" xr:uid="{CD46050F-0600-486D-93F4-0F438E13ED5E}"/>
    <cellStyle name="常规 6 3 4 4 2 3" xfId="23519" xr:uid="{BACAD3AA-5787-4DD9-AB9C-DAFC8D9EB70C}"/>
    <cellStyle name="常规 6 3 4 4 2 4" xfId="23520" xr:uid="{BA5D9A70-C0F2-459B-863B-F8B1329F3BB5}"/>
    <cellStyle name="常规 6 3 4 4 2 5" xfId="23521" xr:uid="{E1D9A913-2DE6-4193-AFA3-CF3B2D250B3D}"/>
    <cellStyle name="常规 6 3 4 4 2 6" xfId="23522" xr:uid="{90877D1C-2039-4002-BEC1-F4F0685DC682}"/>
    <cellStyle name="常规 6 3 4 4 3" xfId="23523" xr:uid="{705CB5B5-1FCC-4A1D-AD42-0CDAF88310CB}"/>
    <cellStyle name="常规 6 3 4 4 4" xfId="23524" xr:uid="{B38783B6-208A-4DCF-A27B-806C46D89097}"/>
    <cellStyle name="常规 6 3 4 4 5" xfId="23525" xr:uid="{043FE1FC-209E-4AE2-9439-7CAA517F8849}"/>
    <cellStyle name="常规 6 3 4 4 6" xfId="23526" xr:uid="{A73F70AD-BE6A-444A-9C1C-C0B7F99F78C6}"/>
    <cellStyle name="常规 6 3 4 4 7" xfId="23527" xr:uid="{8FDA0991-6252-4F9B-A9D0-D3750815231C}"/>
    <cellStyle name="常规 6 3 4 4 8" xfId="23528" xr:uid="{37EAED01-8B9A-4A53-9CCB-8A609C165268}"/>
    <cellStyle name="常规 6 3 4 4 9" xfId="34534" xr:uid="{4372BCA7-24BB-4BA2-8201-43C6FF72EE33}"/>
    <cellStyle name="常规 6 3 4 5" xfId="23529" xr:uid="{BAEE20C5-EA0F-43DE-9B87-7EC5EFF3DD06}"/>
    <cellStyle name="常规 6 3 4 5 2" xfId="23530" xr:uid="{2FD09685-701A-42C9-8ABA-BD15BE03CA13}"/>
    <cellStyle name="常规 6 3 4 5 2 2" xfId="23531" xr:uid="{F12D0896-5BF0-4423-9849-52C4B846CC83}"/>
    <cellStyle name="常规 6 3 4 5 2 4" xfId="23532" xr:uid="{6FF23CC2-7A77-4A0C-B795-DBE7BEF6433F}"/>
    <cellStyle name="常规 6 3 4 5 2 5" xfId="23533" xr:uid="{A38CD930-3E0D-42A0-B064-A596ACF80412}"/>
    <cellStyle name="常规 6 3 4 5 2 6" xfId="23534" xr:uid="{0E8EBDAA-B96C-4746-9839-6C307AF9A220}"/>
    <cellStyle name="常规 6 3 4 5 3" xfId="23535" xr:uid="{27FE13CC-4A6D-4ADC-BCF0-E5F50589B0C6}"/>
    <cellStyle name="常规 6 3 4 5 4" xfId="23536" xr:uid="{1C48A10F-7C3C-43A9-BD87-C9FBB2C160EA}"/>
    <cellStyle name="常规 6 3 4 5 5" xfId="23537" xr:uid="{7E21F5BF-9E48-4D41-9A49-3FDDEB5A0963}"/>
    <cellStyle name="常规 6 3 4 5 6" xfId="23538" xr:uid="{DF277FA2-2776-4000-BCD9-AFC730D81F66}"/>
    <cellStyle name="常规 6 3 4 5 7" xfId="23539" xr:uid="{00FFBA8C-17E1-4B78-AA42-57A9C3208A89}"/>
    <cellStyle name="常规 6 3 4 6" xfId="23540" xr:uid="{D3C2F92C-5147-4AC0-97AD-4C53310E0A31}"/>
    <cellStyle name="常规 6 3 4 6 2" xfId="23541" xr:uid="{29EC559E-804D-4E82-81C6-3C36601AE80A}"/>
    <cellStyle name="常规 6 3 4 6 2 2" xfId="23542" xr:uid="{1E50DD5A-29EF-4298-8633-45EFAB2B716D}"/>
    <cellStyle name="常规 6 3 4 6 2 3" xfId="23543" xr:uid="{6A25887D-55AB-4387-A0CE-27E29BE339FA}"/>
    <cellStyle name="常规 6 3 4 6 2 4" xfId="23544" xr:uid="{20209A28-3DD6-4BCB-9D18-4AAB0E1FEACA}"/>
    <cellStyle name="常规 6 3 4 6 2 5" xfId="23545" xr:uid="{0D62247C-53E4-492C-8243-A948691B9FA8}"/>
    <cellStyle name="常规 6 3 4 6 2 6" xfId="23546" xr:uid="{A6F98F55-9E04-4419-948D-B3002635572F}"/>
    <cellStyle name="常规 6 3 4 6 3" xfId="23547" xr:uid="{EF97C269-F151-4D39-AFA2-AC9F9ECDADF9}"/>
    <cellStyle name="常规 6 3 4 6 4" xfId="23548" xr:uid="{43EC76CB-68D4-44B0-93FF-7535D071CCDC}"/>
    <cellStyle name="常规 6 3 4 6 5" xfId="23549" xr:uid="{687139AF-7484-4FC0-9A4C-B9B379EE8042}"/>
    <cellStyle name="常规 6 3 4 6 6" xfId="23550" xr:uid="{1FC0FE9B-C360-4C83-ADA6-D1F040B49A1C}"/>
    <cellStyle name="常规 6 3 4 6 7" xfId="23551" xr:uid="{10D77CD3-092C-4E04-867B-85C5A3D7C529}"/>
    <cellStyle name="常规 6 3 4 7" xfId="23552" xr:uid="{1765F693-36F3-4859-8217-ED326BD92739}"/>
    <cellStyle name="常规 6 3 4 7 2" xfId="23553" xr:uid="{1FA802EE-5914-4176-813E-664B88DAFD95}"/>
    <cellStyle name="常规 6 3 4 7 2 2" xfId="23554" xr:uid="{CF22840F-1018-4E0A-B379-1370BA3752D5}"/>
    <cellStyle name="常规 6 3 4 7 2 3" xfId="23555" xr:uid="{4D909C0E-7996-4CB4-8D5F-DD97AE689A64}"/>
    <cellStyle name="常规 6 3 4 7 2 4" xfId="23556" xr:uid="{FDB1322C-0CDA-41ED-A6E3-19C835456D24}"/>
    <cellStyle name="常规 6 3 4 7 2 5" xfId="23557" xr:uid="{E91E4ABF-A71E-4C9B-B451-F37F512839BE}"/>
    <cellStyle name="常规 6 3 4 7 2 6" xfId="23558" xr:uid="{986E5DB0-B4AE-494D-A4A2-5A97EF1AA55D}"/>
    <cellStyle name="常规 6 3 4 7 3" xfId="23559" xr:uid="{1A91B305-32AB-4AE9-A29A-18E1B9F4CF5E}"/>
    <cellStyle name="常规 6 3 4 7 4" xfId="23560" xr:uid="{B1315D3E-6A70-41D1-ABEF-F9AE2D31323B}"/>
    <cellStyle name="常规 6 3 4 7 5" xfId="23561" xr:uid="{C68399DE-A19B-4D38-9534-7F4DF5C7B664}"/>
    <cellStyle name="常规 6 3 4 7 6" xfId="23562" xr:uid="{706E2F48-E257-492F-A897-F41298FE5FE1}"/>
    <cellStyle name="常规 6 3 4 7 7" xfId="23563" xr:uid="{AC3D2DE0-7E18-46A7-BC9B-3E778ECDED8F}"/>
    <cellStyle name="常规 6 3 4 8" xfId="23564" xr:uid="{FEBC8F9B-4379-4033-86C4-C03B250117A4}"/>
    <cellStyle name="常规 6 3 4 8 2" xfId="23565" xr:uid="{31EEFD3A-B5C5-40EB-8D11-5852166EC792}"/>
    <cellStyle name="常规 6 3 4 8 2 2" xfId="23566" xr:uid="{A8F6AA76-D540-4D7D-8B48-D55A7C9CB0EF}"/>
    <cellStyle name="常规 6 3 4 8 2 3" xfId="23567" xr:uid="{E3EF7F9C-4612-405E-8C16-10F7306D6731}"/>
    <cellStyle name="常规 6 3 4 8 2 4" xfId="23568" xr:uid="{BF25200A-4554-4FB6-8609-8A770B9EDB5F}"/>
    <cellStyle name="常规 6 3 4 8 2 5" xfId="23569" xr:uid="{C2AA1D3F-2045-4A9A-82CE-22E07FF3BCD9}"/>
    <cellStyle name="常规 6 3 4 8 2 6" xfId="23570" xr:uid="{0CDC3836-8DE5-4A4F-97FB-E226311F1FA8}"/>
    <cellStyle name="常规 6 3 4 8 3" xfId="23571" xr:uid="{1BB736A3-C79B-4556-9BC9-8654D5A4D3FC}"/>
    <cellStyle name="常规 6 3 4 8 4" xfId="23572" xr:uid="{D8DE0DB2-D68F-4B24-9A5F-6D09C81ED3CE}"/>
    <cellStyle name="常规 6 3 4 8 5" xfId="23573" xr:uid="{0E5A3704-B972-4F65-86AC-BF6F3E80FA67}"/>
    <cellStyle name="常规 6 3 4 8 6" xfId="23574" xr:uid="{12555DFA-4BC0-4FF5-B13B-C57F74C7B4D0}"/>
    <cellStyle name="常规 6 3 4 8 7" xfId="23575" xr:uid="{F624E72E-9764-4CB3-863E-04AA94B295A1}"/>
    <cellStyle name="常规 6 3 4 9" xfId="23576" xr:uid="{AED00F64-82AD-4354-98DC-6A52097593FB}"/>
    <cellStyle name="常规 6 3 4 9 2" xfId="23577" xr:uid="{C601ECCB-AFFA-41CA-AFAF-70AD84032759}"/>
    <cellStyle name="常规 6 3 4 9 2 2" xfId="23578" xr:uid="{1B9D7D68-B5B6-4296-B5CD-53668B10227E}"/>
    <cellStyle name="常规 6 3 4 9 2 3" xfId="23579" xr:uid="{3C0D1261-33FF-45DF-945C-6A3698DA1A12}"/>
    <cellStyle name="常规 6 3 4 9 2 4" xfId="23580" xr:uid="{28CC6FF7-430C-4FAB-A516-48292763CC89}"/>
    <cellStyle name="常规 6 3 4 9 2 5" xfId="23581" xr:uid="{20EFDAAB-B851-4667-848C-9115C4E39029}"/>
    <cellStyle name="常规 6 3 4 9 2 6" xfId="23582" xr:uid="{CD2EAF11-B9EF-4BB6-B514-110531254E42}"/>
    <cellStyle name="常规 6 3 4 9 3" xfId="23583" xr:uid="{FA1E774B-2911-4E5C-B252-60181E289DC5}"/>
    <cellStyle name="常规 6 3 4 9 4" xfId="23584" xr:uid="{67C9885B-1CE7-4302-A9CD-4B6D4D51CBCF}"/>
    <cellStyle name="常规 6 3 4 9 5" xfId="23585" xr:uid="{799112B8-4EBF-44F5-8B4A-B36863BB4CF0}"/>
    <cellStyle name="常规 6 3 4 9 6" xfId="23586" xr:uid="{239A8064-0C1E-4655-922B-6C721B51CB96}"/>
    <cellStyle name="常规 6 3 4 9 7" xfId="23587" xr:uid="{42B5074C-3BE0-42B1-B7E9-C753655A8CCC}"/>
    <cellStyle name="常规 6 3 5" xfId="23588" xr:uid="{44C50146-1FB0-4EFE-9687-375206497605}"/>
    <cellStyle name="常规 6 3 5 10" xfId="23589" xr:uid="{4EF4B914-18E7-4453-9CE2-B50355FB4F0A}"/>
    <cellStyle name="常规 6 3 5 11" xfId="23590" xr:uid="{61205C15-6F65-46A0-A89F-4F86786F1DC8}"/>
    <cellStyle name="常规 6 3 5 12" xfId="23591" xr:uid="{59107FFE-049E-4CC7-9FFF-EC348252784A}"/>
    <cellStyle name="常规 6 3 5 13" xfId="23592" xr:uid="{0F40AEBE-9486-4464-8CDF-BC3C510B02E1}"/>
    <cellStyle name="常规 6 3 5 14" xfId="23593" xr:uid="{84784ECB-5AB9-4EAE-9D4D-FBFEA50042CC}"/>
    <cellStyle name="常规 6 3 5 15" xfId="23594" xr:uid="{52FAD013-C5AC-44AC-B57B-909C8FA38096}"/>
    <cellStyle name="常规 6 3 5 2" xfId="23595" xr:uid="{AB9699D0-77CC-466A-8F99-5F3E29AAAEAF}"/>
    <cellStyle name="常规 6 3 5 2 2" xfId="23596" xr:uid="{45A3F5E6-5658-48A3-84EF-7C27CAB82042}"/>
    <cellStyle name="常规 6 3 5 2 2 2" xfId="23597" xr:uid="{6A4DBC43-A2CE-4811-B15C-2E93142DC9A5}"/>
    <cellStyle name="常规 6 3 5 2 2 3" xfId="23598" xr:uid="{F0E865C5-1027-47CC-8C17-CF88DAA199B2}"/>
    <cellStyle name="常规 6 3 5 2 2 4" xfId="23599" xr:uid="{87CF9580-42C3-4C6B-813B-72C387EDE1D4}"/>
    <cellStyle name="常规 6 3 5 2 2 5" xfId="23600" xr:uid="{85151B2F-64FC-4F6B-90FC-1D52E3306304}"/>
    <cellStyle name="常规 6 3 5 2 2 6" xfId="23601" xr:uid="{6E81BD08-840D-4F2B-AD0A-855273FDF2D2}"/>
    <cellStyle name="常规 6 3 5 2 3" xfId="23602" xr:uid="{DABF0D99-A552-47B9-9146-883F52EFE060}"/>
    <cellStyle name="常规 6 3 5 2 4" xfId="23603" xr:uid="{EE6611EC-5BDF-4686-AFB6-A2F4D87A8D09}"/>
    <cellStyle name="常规 6 3 5 2 5" xfId="23604" xr:uid="{1942F8C2-266B-4910-89C8-8098F9505C23}"/>
    <cellStyle name="常规 6 3 5 2 6" xfId="23605" xr:uid="{046D0BF1-3E6F-47EB-99F5-D3AB9C0FBDC7}"/>
    <cellStyle name="常规 6 3 5 2 7" xfId="23606" xr:uid="{6BC097AB-BE95-4138-8F1E-3660C8A8544A}"/>
    <cellStyle name="常规 6 3 5 2 8" xfId="23607" xr:uid="{00B66F5C-CBB8-4773-B6F7-88EB66ABA631}"/>
    <cellStyle name="常规 6 3 5 2 9" xfId="23608" xr:uid="{EE7605CD-16A4-4045-B9C9-77AF0DC0F2D8}"/>
    <cellStyle name="常规 6 3 5 3" xfId="23609" xr:uid="{FE76209C-0634-481A-AC53-DC5E3221A32D}"/>
    <cellStyle name="常规 6 3 5 3 2" xfId="23610" xr:uid="{EFBDCAF9-E339-41D6-BD9E-C3490B238C1C}"/>
    <cellStyle name="常规 6 3 5 3 2 2" xfId="23611" xr:uid="{70011ADE-4B91-47F3-9BB8-9006C2A9E86C}"/>
    <cellStyle name="常规 6 3 5 3 2 3" xfId="23612" xr:uid="{0C21E80F-7439-4C47-AADC-C0C1E7CE74A0}"/>
    <cellStyle name="常规 6 3 5 3 2 4" xfId="23613" xr:uid="{A022E08D-AD6F-4204-8FE2-278B56DACAD4}"/>
    <cellStyle name="常规 6 3 5 3 2 5" xfId="23614" xr:uid="{B846A185-A55C-4D8A-B45A-FF3E5F938218}"/>
    <cellStyle name="常规 6 3 5 3 2 6" xfId="23615" xr:uid="{DE44AD39-CC5F-466C-8D3E-46BE3FB4D7AB}"/>
    <cellStyle name="常规 6 3 5 3 3" xfId="23616" xr:uid="{1768716C-9F0A-4E1D-80E1-7F72566627A8}"/>
    <cellStyle name="常规 6 3 5 3 4" xfId="23617" xr:uid="{2344F3ED-FDC2-4D7C-8D24-240075B9E41D}"/>
    <cellStyle name="常规 6 3 5 3 5" xfId="23618" xr:uid="{318E6992-D973-451E-887B-BE13BF0F395C}"/>
    <cellStyle name="常规 6 3 5 3 6" xfId="23619" xr:uid="{B55D0AFC-CF85-4123-9F6D-B31E9FDABF10}"/>
    <cellStyle name="常规 6 3 5 3 7" xfId="23620" xr:uid="{F8CDF7C8-41B9-43F0-8ACD-5FC5339DD02E}"/>
    <cellStyle name="常规 6 3 5 3 8" xfId="23621" xr:uid="{4FFC5CE7-49E9-4091-8048-10E0E87E817C}"/>
    <cellStyle name="常规 6 3 5 4" xfId="23622" xr:uid="{F5E1E1B6-0B00-40DB-915D-33FC3AD5B3CC}"/>
    <cellStyle name="常规 6 3 5 4 2" xfId="23623" xr:uid="{5891DF4A-C25B-48F2-95A1-C9B4CBE30588}"/>
    <cellStyle name="常规 6 3 5 4 2 2" xfId="23624" xr:uid="{651B1027-2B78-4BE0-8567-05239FF3DBE4}"/>
    <cellStyle name="常规 6 3 5 4 2 3" xfId="23625" xr:uid="{F7C9CCBB-6EC1-48B0-A618-8B5670663D60}"/>
    <cellStyle name="常规 6 3 5 4 2 4" xfId="23626" xr:uid="{E97D10E1-97FE-44EE-AFE6-6D8D466FF196}"/>
    <cellStyle name="常规 6 3 5 4 2 5" xfId="23627" xr:uid="{0C12980B-A7EC-48D0-B9BE-5401D05CE064}"/>
    <cellStyle name="常规 6 3 5 4 2 6" xfId="23628" xr:uid="{B82FAF56-6DC8-4421-A588-17B8A1B56FA0}"/>
    <cellStyle name="常规 6 3 5 4 3" xfId="23629" xr:uid="{8E8FA878-067D-4300-915A-D55069CF380E}"/>
    <cellStyle name="常规 6 3 5 4 4" xfId="23630" xr:uid="{DA7F0CCF-1C72-4411-A6F7-762FEC8DD500}"/>
    <cellStyle name="常规 6 3 5 4 5" xfId="23631" xr:uid="{0C92EB94-22D3-46E7-B6BC-5B65C513FFF9}"/>
    <cellStyle name="常规 6 3 5 4 6" xfId="23632" xr:uid="{FA61464C-DFD6-4C13-8769-CB10B5AB47A8}"/>
    <cellStyle name="常规 6 3 5 4 7" xfId="23633" xr:uid="{99B2F817-07B3-4F54-918A-EF49DE2ECD82}"/>
    <cellStyle name="常规 6 3 5 4 8" xfId="23634" xr:uid="{9E2C3925-4271-4D10-8178-CD0B44808142}"/>
    <cellStyle name="常规 6 3 5 4 9" xfId="34535" xr:uid="{94A19A5D-9EB6-4ED8-9FBB-ED45AD0C9F95}"/>
    <cellStyle name="常规 6 3 5 5" xfId="23635" xr:uid="{3BD94026-9A55-4596-90AF-4BBFF23E336A}"/>
    <cellStyle name="常规 6 3 5 5 2" xfId="23636" xr:uid="{6083A4D7-90A6-470B-9907-20B23350F6E5}"/>
    <cellStyle name="常规 6 3 5 5 2 2" xfId="23637" xr:uid="{3A5885A3-C466-47B1-A5FB-7EF0E660207D}"/>
    <cellStyle name="常规 6 3 5 5 2 3" xfId="23638" xr:uid="{FFD1CA7E-CA93-45A5-A344-8B721F672C96}"/>
    <cellStyle name="常规 6 3 5 5 2 4" xfId="23639" xr:uid="{1B92D0C0-B303-4E04-9D48-18716C4B3F30}"/>
    <cellStyle name="常规 6 3 5 5 2 5" xfId="23640" xr:uid="{2F8856C1-FA56-49B8-9312-7E29B8794125}"/>
    <cellStyle name="常规 6 3 5 5 2 6" xfId="23641" xr:uid="{139C010B-71D0-4E14-A336-C13EF002DAA6}"/>
    <cellStyle name="常规 6 3 5 5 3" xfId="23642" xr:uid="{672B511B-2F9F-4675-9FF9-228AA82BB995}"/>
    <cellStyle name="常规 6 3 5 5 4" xfId="23643" xr:uid="{0C97E91A-4E81-4609-9401-7DE9EC6688CA}"/>
    <cellStyle name="常规 6 3 5 5 5" xfId="23644" xr:uid="{8E4302AA-6E06-4749-B938-735F796790FA}"/>
    <cellStyle name="常规 6 3 5 5 6" xfId="23645" xr:uid="{34A68CE3-830B-4E3C-A5C2-1C16102247CC}"/>
    <cellStyle name="常规 6 3 5 5 7" xfId="23646" xr:uid="{D28D7583-684C-4A32-AB57-63C3A3D51931}"/>
    <cellStyle name="常规 6 3 5 6" xfId="23647" xr:uid="{73AE27EB-D407-45F3-979F-2C9E1BF2CF4C}"/>
    <cellStyle name="常规 6 3 5 6 2" xfId="23648" xr:uid="{D5821ACD-2340-4708-AF33-C7CCC4E4E788}"/>
    <cellStyle name="常规 6 3 5 6 2 2" xfId="23649" xr:uid="{DA90FB30-F4FF-4D92-A075-593BE99DEA9B}"/>
    <cellStyle name="常规 6 3 5 6 2 3" xfId="23650" xr:uid="{2F83A5D8-F9FB-46CC-8EC9-7B2821223310}"/>
    <cellStyle name="常规 6 3 5 6 2 4" xfId="23651" xr:uid="{641BF3A6-5E0E-46B6-ADF9-1E5721C640F9}"/>
    <cellStyle name="常规 6 3 5 6 2 5" xfId="23652" xr:uid="{D560D2F7-CEB6-410A-B504-BB926FD07E90}"/>
    <cellStyle name="常规 6 3 5 6 2 6" xfId="23653" xr:uid="{671774DA-150E-4EE4-9A70-E8A6D5EEE9C0}"/>
    <cellStyle name="常规 6 3 5 6 3" xfId="23654" xr:uid="{C9779DF6-3545-44D9-8B14-CA0FF50D73F6}"/>
    <cellStyle name="常规 6 3 5 6 4" xfId="23655" xr:uid="{F31DB77A-580D-401C-9D62-B80F5AA1EE83}"/>
    <cellStyle name="常规 6 3 5 6 5" xfId="23656" xr:uid="{C35B54FD-0E0C-49DB-8254-CDE0527B37D9}"/>
    <cellStyle name="常规 6 3 5 6 6" xfId="23657" xr:uid="{BE0A057C-9C51-4B2A-A8AF-7CBEBFF2DBB9}"/>
    <cellStyle name="常规 6 3 5 6 7" xfId="23658" xr:uid="{ADE8E08B-08CF-47B5-BFB7-EF1AD64E3F7A}"/>
    <cellStyle name="常规 6 3 5 7" xfId="23659" xr:uid="{534F50D8-E603-44E9-9462-50022D681477}"/>
    <cellStyle name="常规 6 3 5 7 2" xfId="23660" xr:uid="{D7199B6D-F6E3-4F18-AE82-54588FC64160}"/>
    <cellStyle name="常规 6 3 5 7 2 2" xfId="23661" xr:uid="{F42C1079-B199-4FD8-AD96-BA79359D3E9C}"/>
    <cellStyle name="常规 6 3 5 7 2 3" xfId="23662" xr:uid="{821FA5E7-E242-4599-8683-313F847FCAF6}"/>
    <cellStyle name="常规 6 3 5 7 2 4" xfId="23663" xr:uid="{1EE68258-4F7C-420A-92E4-1C53E0EA8010}"/>
    <cellStyle name="常规 6 3 5 7 2 5" xfId="23664" xr:uid="{FFEDAA19-5F88-4153-BF54-7AEE33DD7CBC}"/>
    <cellStyle name="常规 6 3 5 7 2 6" xfId="23665" xr:uid="{3024D5DD-92C5-4B25-9223-F77325A6CCE1}"/>
    <cellStyle name="常规 6 3 5 7 3" xfId="23666" xr:uid="{2E5621C6-949E-4B2E-BB24-05CD5E0ACD82}"/>
    <cellStyle name="常规 6 3 5 7 4" xfId="23667" xr:uid="{30A3CAA8-7B93-4CD6-89D5-E2199ED3B06F}"/>
    <cellStyle name="常规 6 3 5 7 5" xfId="23668" xr:uid="{B1316CD7-492D-4A59-AB0E-2E1E185DF253}"/>
    <cellStyle name="常规 6 3 5 7 6" xfId="23669" xr:uid="{089C04DE-21DC-456A-B50F-38D2EB488332}"/>
    <cellStyle name="常规 6 3 5 7 7" xfId="23670" xr:uid="{AE3BADC6-DA49-40D5-B3C6-4325A4E30584}"/>
    <cellStyle name="常规 6 3 5 8" xfId="23671" xr:uid="{E9E4EBC3-0C31-4255-A31C-1A150EF39289}"/>
    <cellStyle name="常规 6 3 5 8 2" xfId="23672" xr:uid="{B4E82B06-2AF3-48A3-8428-B7416D7B4661}"/>
    <cellStyle name="常规 6 3 5 8 2 2" xfId="23673" xr:uid="{CBF33DEA-E093-4120-B8BD-98647C05EEDC}"/>
    <cellStyle name="常规 6 3 5 8 2 3" xfId="23674" xr:uid="{EB980A6F-A3CF-44CF-8BCF-C953247E025B}"/>
    <cellStyle name="常规 6 3 5 8 2 4" xfId="23675" xr:uid="{6DEDE9A5-4FAF-4E31-82DB-466E1B104159}"/>
    <cellStyle name="常规 6 3 5 8 2 5" xfId="23676" xr:uid="{DCC55019-4266-411F-A600-FBBAEB5B9F4B}"/>
    <cellStyle name="常规 6 3 5 8 2 6" xfId="23677" xr:uid="{B50B442A-182C-45CF-BB6E-0115623B1652}"/>
    <cellStyle name="常规 6 3 5 8 3" xfId="23678" xr:uid="{B8465E08-4E43-4045-96E9-E5EAAEB391CD}"/>
    <cellStyle name="常规 6 3 5 8 4" xfId="23679" xr:uid="{D06E0209-2001-467A-9C4A-A0FAD66D2B23}"/>
    <cellStyle name="常规 6 3 5 8 5" xfId="23680" xr:uid="{4C5D1795-1A06-4233-BE2F-AF831222114A}"/>
    <cellStyle name="常规 6 3 5 8 6" xfId="23681" xr:uid="{A353E438-79B7-41A4-8555-E09F9EA0D0BE}"/>
    <cellStyle name="常规 6 3 5 8 7" xfId="23682" xr:uid="{749D00D8-DC69-491A-8623-13CA99C84BBD}"/>
    <cellStyle name="常规 6 3 5 9" xfId="23683" xr:uid="{A57FA26F-FCF3-4A74-86D9-DD2CC44818A0}"/>
    <cellStyle name="常规 6 3 5 9 2" xfId="23684" xr:uid="{5AA1E833-847F-4442-B0D3-C60BA9075989}"/>
    <cellStyle name="常规 6 3 5 9 3" xfId="23685" xr:uid="{BCE42FD4-1A7B-48AC-A464-A3745D113249}"/>
    <cellStyle name="常规 6 3 5 9 4" xfId="23686" xr:uid="{E427E736-0823-4171-8DC1-D0BC4483DF7B}"/>
    <cellStyle name="常规 6 3 5 9 5" xfId="23687" xr:uid="{F91B6340-8DB0-4456-8AB1-6E9849903F5B}"/>
    <cellStyle name="常规 6 3 5 9 6" xfId="23688" xr:uid="{021CC3ED-D5F5-44D6-B76C-A4C723E96D0C}"/>
    <cellStyle name="常规 6 3 6" xfId="23689" xr:uid="{50055514-BE3C-4EF5-B600-9E4E2FE25199}"/>
    <cellStyle name="常规 6 3 6 10" xfId="23690" xr:uid="{9E04716B-D746-409B-A019-6BFF8FC66EF0}"/>
    <cellStyle name="常规 6 3 6 11" xfId="23691" xr:uid="{D88A7025-3025-4896-9034-51930BF9403D}"/>
    <cellStyle name="常规 6 3 6 12" xfId="23692" xr:uid="{DF79E5F6-F708-4864-90A8-D13326EAB3AB}"/>
    <cellStyle name="常规 6 3 6 13" xfId="23693" xr:uid="{93095980-8BE1-44D2-83FD-634AAD07C740}"/>
    <cellStyle name="常规 6 3 6 14" xfId="23694" xr:uid="{7CCCF413-29DC-4D6E-A7A2-0AD61DCBE1D8}"/>
    <cellStyle name="常规 6 3 6 15" xfId="23695" xr:uid="{9554BA58-FA7C-4354-AC5D-E8287E76A090}"/>
    <cellStyle name="常规 6 3 6 2" xfId="23696" xr:uid="{9402A319-3EA9-42C8-8B02-BB75692C2539}"/>
    <cellStyle name="常规 6 3 6 2 2" xfId="23697" xr:uid="{CBECB9C6-B32B-4775-86A3-385ADE058448}"/>
    <cellStyle name="常规 6 3 6 2 2 2" xfId="23698" xr:uid="{278E332D-9D1C-488D-AEA4-03C0A85715B5}"/>
    <cellStyle name="常规 6 3 6 2 2 3" xfId="23699" xr:uid="{44EE489F-25DE-46A2-87DA-E686C287882D}"/>
    <cellStyle name="常规 6 3 6 2 2 4" xfId="23700" xr:uid="{9B0AD00F-C88F-4A30-BA51-E5BAF2552F0E}"/>
    <cellStyle name="常规 6 3 6 2 2 5" xfId="23701" xr:uid="{D57D659A-465C-464B-9B6C-AE9E54C3CD3D}"/>
    <cellStyle name="常规 6 3 6 2 2 6" xfId="23702" xr:uid="{0FAED0A2-C0D5-431C-8BB7-C5BBD6ECE045}"/>
    <cellStyle name="常规 6 3 6 2 3" xfId="23703" xr:uid="{49470435-A567-4E68-AA50-E9D66E95269D}"/>
    <cellStyle name="常规 6 3 6 2 4" xfId="23704" xr:uid="{E603404C-A8A9-4777-8968-2F625B692D7D}"/>
    <cellStyle name="常规 6 3 6 2 5" xfId="23705" xr:uid="{87949011-C3F3-4B3D-B0E4-F63C30709026}"/>
    <cellStyle name="常规 6 3 6 2 6" xfId="23706" xr:uid="{130CF0D0-CD51-4DA0-90B8-29C0EB9A59C0}"/>
    <cellStyle name="常规 6 3 6 2 7" xfId="23707" xr:uid="{941FA4CF-BE24-4238-AA5A-EEBD4A443C8A}"/>
    <cellStyle name="常规 6 3 6 3" xfId="23708" xr:uid="{B753AE6E-5F40-41BA-AD5A-C76CC26A04E1}"/>
    <cellStyle name="常规 6 3 6 3 2" xfId="23709" xr:uid="{A5354D06-F78C-4E49-9067-6D1183502005}"/>
    <cellStyle name="常规 6 3 6 3 2 2" xfId="23710" xr:uid="{3A7AF82E-F1BD-4FA0-BE45-0FCFF9691C6F}"/>
    <cellStyle name="常规 6 3 6 3 2 3" xfId="23711" xr:uid="{8202B685-5BF3-47FC-AA70-695AE15BA01A}"/>
    <cellStyle name="常规 6 3 6 3 2 4" xfId="23712" xr:uid="{AF5CBFEF-9EB6-4855-91E9-0B8351DFC9D7}"/>
    <cellStyle name="常规 6 3 6 3 2 5" xfId="23713" xr:uid="{809B4CC3-7C8C-43BA-A863-3E81D99064FC}"/>
    <cellStyle name="常规 6 3 6 3 2 6" xfId="23714" xr:uid="{250810E5-EE6B-45E5-B294-3571082AD405}"/>
    <cellStyle name="常规 6 3 6 3 3" xfId="23715" xr:uid="{9E2F48D0-8ACD-45FB-8CCD-3C6C9FA86742}"/>
    <cellStyle name="常规 6 3 6 3 4" xfId="23716" xr:uid="{5BEFD753-32C6-4B4B-8D91-BBB8DDA37E87}"/>
    <cellStyle name="常规 6 3 6 3 5" xfId="23717" xr:uid="{633C9EEA-0A60-4B8C-83CF-3C7FF4BA8DE2}"/>
    <cellStyle name="常规 6 3 6 3 6" xfId="23718" xr:uid="{E57686C3-4D5B-4B62-A848-489B247D1F6F}"/>
    <cellStyle name="常规 6 3 6 3 7" xfId="23719" xr:uid="{00B04D18-694D-4361-AE92-A5980E3FF94F}"/>
    <cellStyle name="常规 6 3 6 4" xfId="23720" xr:uid="{1775DE00-3591-4BC0-A3FF-4582D977548D}"/>
    <cellStyle name="常规 6 3 6 4 2" xfId="23721" xr:uid="{306D2664-BB7C-49CF-A920-B0A6EF3F0EB3}"/>
    <cellStyle name="常规 6 3 6 4 2 2" xfId="23722" xr:uid="{1BA677BE-0F03-46F2-95D5-00D2141B62D7}"/>
    <cellStyle name="常规 6 3 6 4 2 3" xfId="23723" xr:uid="{0D19D388-0765-4A40-825D-6D7D6270CF75}"/>
    <cellStyle name="常规 6 3 6 4 2 4" xfId="23724" xr:uid="{D2D5EB43-9D9C-47C1-9707-7E79234F83F1}"/>
    <cellStyle name="常规 6 3 6 4 2 5" xfId="23725" xr:uid="{E75F9998-DD2B-44EF-AE5B-FF48A7EC7F28}"/>
    <cellStyle name="常规 6 3 6 4 2 6" xfId="23726" xr:uid="{664B9455-017F-48B4-98FC-C8D304B7F020}"/>
    <cellStyle name="常规 6 3 6 4 3" xfId="23727" xr:uid="{09D37189-B3C7-4E14-9CFB-439F6F94DC5C}"/>
    <cellStyle name="常规 6 3 6 4 4" xfId="23728" xr:uid="{D0970710-9432-43EA-B440-1EC3649224BA}"/>
    <cellStyle name="常规 6 3 6 4 5" xfId="23729" xr:uid="{E6AC3C31-0DBA-4233-9965-0F8AC96C8773}"/>
    <cellStyle name="常规 6 3 6 4 6" xfId="23730" xr:uid="{F999FE97-E90F-4185-9C8C-0C488C302427}"/>
    <cellStyle name="常规 6 3 6 4 7" xfId="23731" xr:uid="{4F433E3D-B383-4682-A8AE-910FC23046B5}"/>
    <cellStyle name="常规 6 3 6 5" xfId="23732" xr:uid="{83E35545-8BD2-4D49-97ED-5C7E23E99986}"/>
    <cellStyle name="常规 6 3 6 5 2" xfId="23733" xr:uid="{0434230C-AC2C-43B3-9543-7D49705F03AB}"/>
    <cellStyle name="常规 6 3 6 5 2 2" xfId="23734" xr:uid="{C828E26F-0D67-4EAF-AC39-BB92F6AD629C}"/>
    <cellStyle name="常规 6 3 6 5 2 3" xfId="23735" xr:uid="{552D9883-E78D-4718-9DB0-514251DABAF0}"/>
    <cellStyle name="常规 6 3 6 5 2 4" xfId="23736" xr:uid="{C948149F-483F-4B19-AA2C-F5CB70F2C33E}"/>
    <cellStyle name="常规 6 3 6 5 2 5" xfId="23737" xr:uid="{1BF68CEF-28F8-47A0-968C-C0332AF52E52}"/>
    <cellStyle name="常规 6 3 6 5 2 6" xfId="23738" xr:uid="{2743E846-92F1-4C64-B776-7C6286E00765}"/>
    <cellStyle name="常规 6 3 6 5 3" xfId="23739" xr:uid="{8DD2531B-6B57-44A2-BD35-040B3D25FA7F}"/>
    <cellStyle name="常规 6 3 6 5 4" xfId="23740" xr:uid="{0019E817-8BA5-436E-8F5E-9D5BD5162EE4}"/>
    <cellStyle name="常规 6 3 6 5 5" xfId="23741" xr:uid="{DE309E5D-0BEC-40C3-98BB-875E6247252E}"/>
    <cellStyle name="常规 6 3 6 5 6" xfId="23742" xr:uid="{E10E93EA-69BF-4F55-919F-0E67BBDE95B2}"/>
    <cellStyle name="常规 6 3 6 5 7" xfId="23743" xr:uid="{69296B4C-77FB-4917-8019-9E1439744BF4}"/>
    <cellStyle name="常规 6 3 6 6" xfId="23744" xr:uid="{08B00412-E8FF-471F-976B-EAEE2D81D5CB}"/>
    <cellStyle name="常规 6 3 6 6 2" xfId="23745" xr:uid="{CC10D510-9786-4B7A-ABF3-3AC9B36B29FA}"/>
    <cellStyle name="常规 6 3 6 6 2 2" xfId="23746" xr:uid="{B74EA29C-740F-49C2-972A-8094904E81CF}"/>
    <cellStyle name="常规 6 3 6 6 2 3" xfId="23747" xr:uid="{A880418A-73DF-4494-8D2F-FD9886BC2A5A}"/>
    <cellStyle name="常规 6 3 6 6 2 4" xfId="23748" xr:uid="{852F717D-4DDE-434C-84C2-9B9022764354}"/>
    <cellStyle name="常规 6 3 6 6 2 5" xfId="23749" xr:uid="{54065908-6BCE-4146-8317-C4275F63AA54}"/>
    <cellStyle name="常规 6 3 6 6 2 6" xfId="23750" xr:uid="{5FD8CD99-17CD-4968-8429-3765E350036F}"/>
    <cellStyle name="常规 6 3 6 6 3" xfId="23751" xr:uid="{BA7CECD5-B6E8-4234-AB3F-2D0F052F8B53}"/>
    <cellStyle name="常规 6 3 6 6 4" xfId="23752" xr:uid="{6CCDB594-3498-4804-BC26-F20CB90F7C05}"/>
    <cellStyle name="常规 6 3 6 6 5" xfId="23753" xr:uid="{DBCD46B1-6F62-41CF-8ADF-A8BE7F44DD3D}"/>
    <cellStyle name="常规 6 3 6 6 6" xfId="23754" xr:uid="{E15614DE-BF4A-4361-8D58-CD65C4C4788E}"/>
    <cellStyle name="常规 6 3 6 6 7" xfId="23755" xr:uid="{599FD9D8-E97C-4BBC-BF12-C27376DCAED7}"/>
    <cellStyle name="常规 6 3 6 7" xfId="23756" xr:uid="{389B79F4-95F8-45CC-86EE-CAF056A26C5E}"/>
    <cellStyle name="常规 6 3 6 7 2" xfId="23757" xr:uid="{0F8C3C0E-CD14-44D8-97AB-DE5E95E21D0B}"/>
    <cellStyle name="常规 6 3 6 7 2 2" xfId="23758" xr:uid="{2BBBBB60-A5C1-40BE-82F3-E9F7C8E8B60E}"/>
    <cellStyle name="常规 6 3 6 7 2 3" xfId="23759" xr:uid="{302D6580-6AF3-4DC8-9E70-23150BE4BE1D}"/>
    <cellStyle name="常规 6 3 6 7 2 4" xfId="23760" xr:uid="{F1EC9C50-190A-4AE7-82CC-10F6694B5451}"/>
    <cellStyle name="常规 6 3 6 7 2 5" xfId="23761" xr:uid="{8624DC10-431C-44AD-B3EF-832F73D66109}"/>
    <cellStyle name="常规 6 3 6 7 2 6" xfId="23762" xr:uid="{515BD6AC-EFAA-4ED2-B811-86974E02D2F1}"/>
    <cellStyle name="常规 6 3 6 7 3" xfId="23763" xr:uid="{3A1BF291-BDAC-4616-990C-3FC6494E4CF0}"/>
    <cellStyle name="常规 6 3 6 7 4" xfId="23764" xr:uid="{42DC2386-663A-4F14-AF8D-CEE0C8A49836}"/>
    <cellStyle name="常规 6 3 6 7 5" xfId="23765" xr:uid="{72949F5D-0BF2-4F99-98AA-10A87EF2D321}"/>
    <cellStyle name="常规 6 3 6 7 6" xfId="23766" xr:uid="{2F7643AB-78FE-4DCD-BBDB-390B205E8150}"/>
    <cellStyle name="常规 6 3 6 7 7" xfId="23767" xr:uid="{B75A4492-17A8-4AEE-8DE0-3077B64DE29E}"/>
    <cellStyle name="常规 6 3 6 8" xfId="23768" xr:uid="{7773E1CF-A5E8-45C0-B3A4-4CDA85B4D758}"/>
    <cellStyle name="常规 6 3 6 8 2" xfId="23769" xr:uid="{2C226B71-9D7D-4D54-8065-B6129C7194C8}"/>
    <cellStyle name="常规 6 3 6 8 3" xfId="23770" xr:uid="{90E9FCD9-CCD5-4CEA-B35E-3FAA6DE39F4F}"/>
    <cellStyle name="常规 6 3 6 8 4" xfId="23771" xr:uid="{8629DC89-95EE-4CFF-AE38-77FCE75559D8}"/>
    <cellStyle name="常规 6 3 6 8 5" xfId="23772" xr:uid="{F4C1448B-1EEF-4614-AB9F-3DF8E9DEC078}"/>
    <cellStyle name="常规 6 3 6 8 6" xfId="23773" xr:uid="{37200831-4FA6-4D33-9F0D-39AB140E82F6}"/>
    <cellStyle name="常规 6 3 6 9" xfId="23774" xr:uid="{D9B9234A-7EC6-4374-B212-D1063B2F4137}"/>
    <cellStyle name="常规 6 3 7" xfId="23775" xr:uid="{22E0D31F-57B8-4169-8B5D-13926A1C36FF}"/>
    <cellStyle name="常规 6 3 7 10" xfId="23776" xr:uid="{20A5C9BF-F98A-4886-A817-2DDE8C096EC6}"/>
    <cellStyle name="常规 6 3 7 11" xfId="23777" xr:uid="{A8E509F2-5B11-4652-A095-A330BB1DFD6E}"/>
    <cellStyle name="常规 6 3 7 12" xfId="23778" xr:uid="{9AA2A759-2F43-4E5F-A5BB-7A96908C933C}"/>
    <cellStyle name="常规 6 3 7 13" xfId="23779" xr:uid="{5D1BC571-E9FA-4534-8073-7D6C63C5D77D}"/>
    <cellStyle name="常规 6 3 7 2" xfId="23780" xr:uid="{132A2DBA-68A1-4E9F-AEEC-191A863BB83E}"/>
    <cellStyle name="常规 6 3 7 2 2" xfId="23781" xr:uid="{D02D46FF-C5BF-4A56-9025-BA71A5305A29}"/>
    <cellStyle name="常规 6 3 7 2 2 2" xfId="23782" xr:uid="{06FB4D2F-A4BC-4A1D-B07A-4C25479BFC55}"/>
    <cellStyle name="常规 6 3 7 2 2 3" xfId="23783" xr:uid="{2567A73E-5EDB-45F0-86DA-BE1BBEFA717B}"/>
    <cellStyle name="常规 6 3 7 2 2 4" xfId="23784" xr:uid="{C046B735-9167-4B7E-B0E3-4E0CDF548731}"/>
    <cellStyle name="常规 6 3 7 2 2 5" xfId="23785" xr:uid="{75E22A10-08BC-4443-9A7C-DD8946587F32}"/>
    <cellStyle name="常规 6 3 7 2 2 6" xfId="23786" xr:uid="{E27699CE-A09E-4509-BA5C-B74265D312C8}"/>
    <cellStyle name="常规 6 3 7 2 3" xfId="23787" xr:uid="{05A1995C-F55F-4098-A1C4-3AB073432EED}"/>
    <cellStyle name="常规 6 3 7 2 4" xfId="23788" xr:uid="{5AC2AFE4-83C6-45DC-88EA-32448A8A9BF0}"/>
    <cellStyle name="常规 6 3 7 2 5" xfId="23789" xr:uid="{835A18E1-82A9-4B07-A883-AABCB5FCCE27}"/>
    <cellStyle name="常规 6 3 7 2 6" xfId="23790" xr:uid="{B37226F9-F325-4072-8A16-6BDA212DFB4C}"/>
    <cellStyle name="常规 6 3 7 2 7" xfId="23791" xr:uid="{5A0B78EB-8E96-4E33-A651-1BC23D2A3A3E}"/>
    <cellStyle name="常规 6 3 7 3" xfId="23792" xr:uid="{242EA208-BEE3-4055-87D4-74A27EA331D8}"/>
    <cellStyle name="常规 6 3 7 3 2" xfId="23793" xr:uid="{1D7704FB-4649-4FB6-A89F-0656D9E071AC}"/>
    <cellStyle name="常规 6 3 7 3 2 2" xfId="23794" xr:uid="{BC8620DC-98A0-486A-9CD4-221FD2595C2C}"/>
    <cellStyle name="常规 6 3 7 3 2 3" xfId="23795" xr:uid="{AB6FACC0-1ED5-4320-9144-61304E57B276}"/>
    <cellStyle name="常规 6 3 7 3 2 4" xfId="23796" xr:uid="{7216633B-914F-4FBF-BBA2-F0837A0F9EFB}"/>
    <cellStyle name="常规 6 3 7 3 2 5" xfId="23797" xr:uid="{21BA032E-E025-42B2-B6AB-97BB54F50A25}"/>
    <cellStyle name="常规 6 3 7 3 2 6" xfId="23798" xr:uid="{B68F7143-C848-4023-9260-187F9113EB10}"/>
    <cellStyle name="常规 6 3 7 3 3" xfId="23799" xr:uid="{3BF76CB3-99EB-43B4-AFCD-13D2413A535F}"/>
    <cellStyle name="常规 6 3 7 3 4" xfId="23800" xr:uid="{3E1FDB25-F10D-44D2-B493-0C28690B8C16}"/>
    <cellStyle name="常规 6 3 7 3 5" xfId="23801" xr:uid="{60392EB6-4DAD-4DFC-8E43-A69096DA4AB4}"/>
    <cellStyle name="常规 6 3 7 3 6" xfId="23802" xr:uid="{40C8D5FC-DB49-40B2-89C1-151A45AEB254}"/>
    <cellStyle name="常规 6 3 7 3 7" xfId="23803" xr:uid="{47450FA2-DE73-4816-B936-662C24CBC6D8}"/>
    <cellStyle name="常规 6 3 7 4" xfId="23804" xr:uid="{780C2FEF-4F61-4959-A8D6-CB0E129CCBBA}"/>
    <cellStyle name="常规 6 3 7 4 2" xfId="23805" xr:uid="{A82A4700-6B07-489D-930A-3A95B3E8FC55}"/>
    <cellStyle name="常规 6 3 7 4 2 2" xfId="23806" xr:uid="{21F55B5B-8EE2-48F2-BB33-EF83FC1AF99E}"/>
    <cellStyle name="常规 6 3 7 4 2 3" xfId="23807" xr:uid="{A0DF80E5-FCE4-4E01-AB49-0ADFDBB323F6}"/>
    <cellStyle name="常规 6 3 7 4 2 4" xfId="23808" xr:uid="{3E884568-D14E-4544-9105-1F5DD9AEF9E9}"/>
    <cellStyle name="常规 6 3 7 4 2 5" xfId="23809" xr:uid="{A121B371-10ED-413F-9677-6A28040794FD}"/>
    <cellStyle name="常规 6 3 7 4 2 6" xfId="23810" xr:uid="{8F2F9D31-94DA-4578-AF37-52DEA6F64D12}"/>
    <cellStyle name="常规 6 3 7 4 3" xfId="23811" xr:uid="{63E48BE7-45F8-402E-8F89-E4B8D104F553}"/>
    <cellStyle name="常规 6 3 7 4 4" xfId="23812" xr:uid="{8EA14F47-195C-4F82-ADB8-D7836CAA34D5}"/>
    <cellStyle name="常规 6 3 7 4 5" xfId="23813" xr:uid="{1B6164E1-63C2-485F-8361-D3269D5CF931}"/>
    <cellStyle name="常规 6 3 7 4 6" xfId="23814" xr:uid="{770BEEA9-ED19-4239-A253-8842C329D28C}"/>
    <cellStyle name="常规 6 3 7 4 7" xfId="23815" xr:uid="{C881B332-BDA5-415B-BDCE-E6EA10188302}"/>
    <cellStyle name="常规 6 3 7 5" xfId="23816" xr:uid="{C47A6D74-853E-42F6-81A6-5863F8590B4F}"/>
    <cellStyle name="常规 6 3 7 5 2" xfId="23817" xr:uid="{B028CB67-5C1A-44A0-9CEE-14EB4D4E7B29}"/>
    <cellStyle name="常规 6 3 7 5 2 2" xfId="23818" xr:uid="{6B814AE9-F047-40D5-8AB8-8C8FAA96EEA7}"/>
    <cellStyle name="常规 6 3 7 5 2 3" xfId="23819" xr:uid="{9F65E6AC-721B-4CEB-9A32-AE5211A0D572}"/>
    <cellStyle name="常规 6 3 7 5 2 4" xfId="23820" xr:uid="{0D4B71C4-C341-4151-A5C9-379E8D9CCB8A}"/>
    <cellStyle name="常规 6 3 7 5 2 5" xfId="23821" xr:uid="{3F982DE3-4E17-4AD1-BF64-DD613FBCA06B}"/>
    <cellStyle name="常规 6 3 7 5 2 6" xfId="23822" xr:uid="{3D558876-AA34-4152-B4D9-E59F1D920C61}"/>
    <cellStyle name="常规 6 3 7 5 3" xfId="23823" xr:uid="{2209B0C3-B33B-4282-8341-CA51768FDA7E}"/>
    <cellStyle name="常规 6 3 7 5 4" xfId="23824" xr:uid="{4ADCD778-EACB-42C1-9787-E5591BA09125}"/>
    <cellStyle name="常规 6 3 7 5 5" xfId="23825" xr:uid="{B5E9F42F-0C15-4239-97B4-C3B13723CDFE}"/>
    <cellStyle name="常规 6 3 7 5 6" xfId="23826" xr:uid="{945CF3B1-CE79-4247-849E-943BF14574A8}"/>
    <cellStyle name="常规 6 3 7 5 7" xfId="23827" xr:uid="{073AD7B5-FD5B-4655-A94B-A9DB0AB87E24}"/>
    <cellStyle name="常规 6 3 7 6" xfId="23828" xr:uid="{8754F4B0-1D38-41C8-B7CA-1D7E3FEA6E43}"/>
    <cellStyle name="常规 6 3 7 6 2" xfId="23829" xr:uid="{05EA5A51-2959-4FC3-8761-8C481F2D977B}"/>
    <cellStyle name="常规 6 3 7 6 2 2" xfId="23830" xr:uid="{10D56423-0D9D-4E12-AA55-B8D4CDA16F16}"/>
    <cellStyle name="常规 6 3 7 6 2 3" xfId="23831" xr:uid="{5BBBBF1E-D2F7-4458-8458-9237A57E760D}"/>
    <cellStyle name="常规 6 3 7 6 2 4" xfId="23832" xr:uid="{C0F76FD8-064E-463B-8B25-A329BC2CA4AE}"/>
    <cellStyle name="常规 6 3 7 6 2 5" xfId="23833" xr:uid="{B6A5DE9F-8CCB-4649-885D-89BC60EE7AAE}"/>
    <cellStyle name="常规 6 3 7 6 2 6" xfId="23834" xr:uid="{A7396624-4ADD-4580-B03C-1D765A03A3E8}"/>
    <cellStyle name="常规 6 3 7 6 3" xfId="23835" xr:uid="{098B5736-5EAB-4159-899A-AF6546BB45DF}"/>
    <cellStyle name="常规 6 3 7 6 4" xfId="23836" xr:uid="{82284571-0FCA-4F7C-A037-BEF025C7BE55}"/>
    <cellStyle name="常规 6 3 7 6 5" xfId="23837" xr:uid="{0A70BD28-9D6C-4CAD-A5FC-4571E8DF13A9}"/>
    <cellStyle name="常规 6 3 7 6 6" xfId="23838" xr:uid="{91C79E25-0687-4AA6-9903-889B50373752}"/>
    <cellStyle name="常规 6 3 7 6 7" xfId="23839" xr:uid="{2C4D2C6D-B707-46C4-AA30-E67D1E3AC548}"/>
    <cellStyle name="常规 6 3 7 7" xfId="23840" xr:uid="{5802843C-CD42-4AC9-99E7-AAAAEEAB042C}"/>
    <cellStyle name="常规 6 3 7 7 2" xfId="23841" xr:uid="{3F74E8DD-85E5-4423-8593-C4029129D155}"/>
    <cellStyle name="常规 6 3 7 7 3" xfId="23842" xr:uid="{32202EB2-9F01-4E86-92EA-318BCB763EC3}"/>
    <cellStyle name="常规 6 3 7 7 4" xfId="23843" xr:uid="{D87CA7D4-C3E9-4354-9ADC-EEA28CFA96FE}"/>
    <cellStyle name="常规 6 3 7 7 5" xfId="23844" xr:uid="{4163BB38-A66A-41F0-A541-D911B4BB4420}"/>
    <cellStyle name="常规 6 3 7 7 6" xfId="23845" xr:uid="{4F37991B-EB14-4DDF-8D31-0B5FEA39C4FF}"/>
    <cellStyle name="常规 6 3 7 8" xfId="23846" xr:uid="{246C2E02-1FC7-4DC2-8025-CCC12F8442C7}"/>
    <cellStyle name="常规 6 3 7 9" xfId="23847" xr:uid="{DFF71C3B-913E-4609-9CAD-94B1E75C8260}"/>
    <cellStyle name="常规 6 3 8" xfId="23848" xr:uid="{02F94704-90E6-4EB4-BDF2-CCDAB32033CE}"/>
    <cellStyle name="常规 6 3 8 10" xfId="23849" xr:uid="{4F22FCB7-7C0B-469E-ACF4-F4CF8E0BB249}"/>
    <cellStyle name="常规 6 3 8 11" xfId="23850" xr:uid="{D493B90F-C4A0-4F92-B353-5FDA5C023E24}"/>
    <cellStyle name="常规 6 3 8 12" xfId="23851" xr:uid="{38904E80-963E-4EB0-B53C-F1D7F5E46AF7}"/>
    <cellStyle name="常规 6 3 8 13" xfId="34536" xr:uid="{F8A07704-D902-4C2F-8E0B-975AF23B1597}"/>
    <cellStyle name="常规 6 3 8 2" xfId="23852" xr:uid="{9460A35A-BBCB-4F49-B832-3107870CB46F}"/>
    <cellStyle name="常规 6 3 8 2 2" xfId="23853" xr:uid="{B0CFC6CD-211B-4860-8926-1EFC32CEFA4E}"/>
    <cellStyle name="常规 6 3 8 2 2 2" xfId="23854" xr:uid="{1111BDC9-1616-4600-9497-795B924FB85A}"/>
    <cellStyle name="常规 6 3 8 2 2 3" xfId="23855" xr:uid="{DB6EAAD5-6718-4B6A-965B-27B9E4133ABA}"/>
    <cellStyle name="常规 6 3 8 2 2 4" xfId="23856" xr:uid="{4859471E-34AC-4F2F-BC93-B3FF00B7BC99}"/>
    <cellStyle name="常规 6 3 8 2 2 5" xfId="23857" xr:uid="{565E1043-974E-4125-97A5-1E1C932842C8}"/>
    <cellStyle name="常规 6 3 8 2 2 6" xfId="23858" xr:uid="{2B2CFE75-0C7A-467A-BF85-F2272B4F0379}"/>
    <cellStyle name="常规 6 3 8 2 3" xfId="23859" xr:uid="{CD061C15-79E2-42F2-BF4D-D20BF10C41B4}"/>
    <cellStyle name="常规 6 3 8 2 4" xfId="23860" xr:uid="{08A4016F-6622-45F7-A0E4-04BC7386F040}"/>
    <cellStyle name="常规 6 3 8 2 5" xfId="23861" xr:uid="{19557157-F5B9-43BE-88D7-23B6953648E1}"/>
    <cellStyle name="常规 6 3 8 2 6" xfId="23862" xr:uid="{61EB69C3-A997-4761-AD29-7498627B7FEA}"/>
    <cellStyle name="常规 6 3 8 2 7" xfId="23863" xr:uid="{B1627A08-58D3-4199-BD47-697A6992E613}"/>
    <cellStyle name="常规 6 3 8 3" xfId="23864" xr:uid="{EA019E29-EB4B-4E70-B8A8-0E76E24586FC}"/>
    <cellStyle name="常规 6 3 8 3 2" xfId="23865" xr:uid="{2DD00DC5-F32A-4172-99B5-407B9A103139}"/>
    <cellStyle name="常规 6 3 8 3 2 2" xfId="23866" xr:uid="{75560C6F-C61F-4115-90D6-09825A9B47E1}"/>
    <cellStyle name="常规 6 3 8 3 2 3" xfId="23867" xr:uid="{6EEE7E52-7D3A-4678-8541-7557A7982CF1}"/>
    <cellStyle name="常规 6 3 8 3 2 4" xfId="23868" xr:uid="{F28C6F0F-6927-402B-8EBD-4A1859CF5FD3}"/>
    <cellStyle name="常规 6 3 8 3 2 5" xfId="23869" xr:uid="{07487287-5F74-4EF2-B239-C0E79C240B24}"/>
    <cellStyle name="常规 6 3 8 3 2 6" xfId="23870" xr:uid="{6E9F3629-2263-4FA3-B38E-B1D2DC148C1C}"/>
    <cellStyle name="常规 6 3 8 3 3" xfId="23871" xr:uid="{6BE425BF-FFEA-46C8-A62A-7FBE5AE29C07}"/>
    <cellStyle name="常规 6 3 8 3 4" xfId="23872" xr:uid="{78B03E31-098F-414B-A833-5FF725ED4F48}"/>
    <cellStyle name="常规 6 3 8 3 5" xfId="23873" xr:uid="{EE2D9F18-A09D-4D1F-BC73-10BE1611AB65}"/>
    <cellStyle name="常规 6 3 8 3 6" xfId="23874" xr:uid="{DF21BEA6-84F7-423C-AF2D-C2837215937B}"/>
    <cellStyle name="常规 6 3 8 3 7" xfId="23875" xr:uid="{40760EEE-3EFF-44A5-B7E8-EFF34F0D06A6}"/>
    <cellStyle name="常规 6 3 8 4" xfId="23876" xr:uid="{F1B80004-A2A8-4FCA-9030-74A798BF3520}"/>
    <cellStyle name="常规 6 3 8 4 2" xfId="23877" xr:uid="{BB6B76C6-72F5-4BEC-8DA2-0F02B485C56F}"/>
    <cellStyle name="常规 6 3 8 4 2 2" xfId="23878" xr:uid="{61A08368-C300-4AEA-A431-91E726C6E85F}"/>
    <cellStyle name="常规 6 3 8 4 2 3" xfId="23879" xr:uid="{A3EBCC94-DB51-4096-87C3-34DFD5AE4BF1}"/>
    <cellStyle name="常规 6 3 8 4 2 4" xfId="23880" xr:uid="{A93B8EDE-473A-4C41-A2C1-A1DD3EA21EB7}"/>
    <cellStyle name="常规 6 3 8 4 2 5" xfId="23881" xr:uid="{7FAEF419-3C2D-4956-8C6A-4B04FED92180}"/>
    <cellStyle name="常规 6 3 8 4 2 6" xfId="23882" xr:uid="{662D04CC-BA90-41D4-980D-5B7E8A4C8D06}"/>
    <cellStyle name="常规 6 3 8 4 3" xfId="23883" xr:uid="{72767C00-0B1E-4589-8A12-CB28FB786A3C}"/>
    <cellStyle name="常规 6 3 8 4 4" xfId="23884" xr:uid="{701EEB19-224D-4955-B908-23C7B8AA4D8F}"/>
    <cellStyle name="常规 6 3 8 4 5" xfId="23885" xr:uid="{EB90727E-0D5B-49C1-89D0-AFF67AECCF1B}"/>
    <cellStyle name="常规 6 3 8 4 6" xfId="23886" xr:uid="{23876CB4-D005-414B-AA9C-3232D31384DD}"/>
    <cellStyle name="常规 6 3 8 4 7" xfId="23887" xr:uid="{637DA289-8302-4CD9-95E5-0DD00DF222B8}"/>
    <cellStyle name="常规 6 3 8 5" xfId="23888" xr:uid="{686D4A1F-47C7-4159-8B82-E29CD5341BFD}"/>
    <cellStyle name="常规 6 3 8 5 2" xfId="23889" xr:uid="{AE5824BF-C583-451F-A4B5-952EB45681B8}"/>
    <cellStyle name="常规 6 3 8 5 2 2" xfId="23890" xr:uid="{6255DE27-8019-410C-8EA8-4A02722112FB}"/>
    <cellStyle name="常规 6 3 8 5 2 3" xfId="23891" xr:uid="{F0D3E79D-FA08-4F64-A5A4-994E6A6E5B4B}"/>
    <cellStyle name="常规 6 3 8 5 2 4" xfId="23892" xr:uid="{6D76FB84-AE99-4D31-A0E3-AB18158F52E2}"/>
    <cellStyle name="常规 6 3 8 5 2 5" xfId="23893" xr:uid="{F6AB81A1-2E5B-42D5-A492-AC7224078E5B}"/>
    <cellStyle name="常规 6 3 8 5 2 6" xfId="23894" xr:uid="{5A49E759-C723-408A-8C79-2EE19759D436}"/>
    <cellStyle name="常规 6 3 8 5 3" xfId="23895" xr:uid="{74C2EBDD-2B6C-48DF-A9DA-BF89F558A29C}"/>
    <cellStyle name="常规 6 3 8 5 4" xfId="23896" xr:uid="{62B151FC-A23B-42B8-982B-518260FC3171}"/>
    <cellStyle name="常规 6 3 8 5 5" xfId="23897" xr:uid="{0D6175B0-EA58-496C-A4FB-7236BEEA986E}"/>
    <cellStyle name="常规 6 3 8 5 6" xfId="23898" xr:uid="{55113F61-197F-41AA-9A61-733950A6F8AE}"/>
    <cellStyle name="常规 6 3 8 5 7" xfId="23899" xr:uid="{D84B8D61-21F6-48EC-98DD-BA1785F91469}"/>
    <cellStyle name="常规 6 3 8 6" xfId="23900" xr:uid="{ABC43C8B-7872-45BC-B425-78FC8EE09836}"/>
    <cellStyle name="常规 6 3 8 6 2" xfId="23901" xr:uid="{2CE55658-A55E-4A24-807F-D90DC5DA5691}"/>
    <cellStyle name="常规 6 3 8 6 3" xfId="23902" xr:uid="{C1F5D78B-5F4F-4F7A-9ABC-9051AB621A2D}"/>
    <cellStyle name="常规 6 3 8 6 4" xfId="23903" xr:uid="{E4D57E51-7FA0-4DBE-95A3-D18715D955C6}"/>
    <cellStyle name="常规 6 3 8 6 5" xfId="23904" xr:uid="{F6CDE13C-61A9-4EEC-A120-B3E1E3F26E89}"/>
    <cellStyle name="常规 6 3 8 6 6" xfId="23905" xr:uid="{A026C8F9-4377-43DA-B417-C403D371DB97}"/>
    <cellStyle name="常规 6 3 8 7" xfId="23906" xr:uid="{E34A611F-0E5C-4748-9D83-FBCD9C248F26}"/>
    <cellStyle name="常规 6 3 8 8" xfId="23907" xr:uid="{5D25DBA5-7BE7-409B-9045-4C5737121B1E}"/>
    <cellStyle name="常规 6 3 8 9" xfId="23908" xr:uid="{B8A0F241-7F66-4512-8225-59602D554AD1}"/>
    <cellStyle name="常规 6 3 9" xfId="23909" xr:uid="{2D43A453-238A-468B-B6AE-1C4EB68B580B}"/>
    <cellStyle name="常规 6 3 9 10" xfId="23910" xr:uid="{70B751B2-D88E-4978-B30B-590D5C3F7D9F}"/>
    <cellStyle name="常规 6 3 9 11" xfId="23911" xr:uid="{91D882C5-1523-458B-BD40-9EAE7B04D651}"/>
    <cellStyle name="常规 6 3 9 2" xfId="23912" xr:uid="{0106C0F2-5DB3-40BB-A4F2-35EA4D6C4AD3}"/>
    <cellStyle name="常规 6 3 9 2 2" xfId="23913" xr:uid="{E2A7BD55-A31F-485E-83CC-A10623799192}"/>
    <cellStyle name="常规 6 3 9 2 2 2" xfId="23914" xr:uid="{3FD722AF-A4CC-4AF2-BFC5-D1FEB0EFBB0F}"/>
    <cellStyle name="常规 6 3 9 2 2 3" xfId="23915" xr:uid="{B05E2F7B-EB67-449B-B4E9-21A68E25F9EF}"/>
    <cellStyle name="常规 6 3 9 2 2 4" xfId="23916" xr:uid="{04CF1026-786B-45F5-B4A4-FD7C0DC32B05}"/>
    <cellStyle name="常规 6 3 9 2 2 5" xfId="23917" xr:uid="{4E884825-ED05-472B-9F15-2E9CA1B34C29}"/>
    <cellStyle name="常规 6 3 9 2 2 6" xfId="23918" xr:uid="{07F0C25D-1D7F-4FD3-8FAA-715BBEFE6379}"/>
    <cellStyle name="常规 6 3 9 2 3" xfId="23919" xr:uid="{0CE38AC8-E0D9-4925-A52E-F04D7DA8D674}"/>
    <cellStyle name="常规 6 3 9 2 4" xfId="23920" xr:uid="{48234983-6513-4629-849B-A61591C1DC52}"/>
    <cellStyle name="常规 6 3 9 2 5" xfId="23921" xr:uid="{E1A4C11C-8A9E-417E-AD15-2925D76EA1BF}"/>
    <cellStyle name="常规 6 3 9 2 6" xfId="23922" xr:uid="{B88F7464-4CBB-48C8-95AD-7224CD28F031}"/>
    <cellStyle name="常规 6 3 9 2 7" xfId="23923" xr:uid="{69D98783-EAEB-45E1-9DFE-029E8D8CA61A}"/>
    <cellStyle name="常规 6 3 9 3" xfId="23924" xr:uid="{41A2CB30-767E-45A1-8F86-4CAE0A1F5720}"/>
    <cellStyle name="常规 6 3 9 3 2" xfId="23925" xr:uid="{AE85FB03-BF5A-4070-9240-B54C1A959184}"/>
    <cellStyle name="常规 6 3 9 3 2 2" xfId="23926" xr:uid="{36AC4B97-8B4C-4CCC-944F-4EE1E435136A}"/>
    <cellStyle name="常规 6 3 9 3 2 3" xfId="23927" xr:uid="{CC08996C-8D53-4178-B18D-ED7EDDFED113}"/>
    <cellStyle name="常规 6 3 9 3 2 4" xfId="23928" xr:uid="{120563D5-22F1-4842-9443-F201E3A12CE8}"/>
    <cellStyle name="常规 6 3 9 3 2 5" xfId="23929" xr:uid="{D2DD8EC7-420C-4AF7-9953-36BC36672C6C}"/>
    <cellStyle name="常规 6 3 9 3 2 6" xfId="23930" xr:uid="{7D94D9E5-4506-4E9B-8C92-808066492472}"/>
    <cellStyle name="常规 6 3 9 3 3" xfId="23931" xr:uid="{8FC1B45A-843D-4C33-A2C3-4D5B4B342FC2}"/>
    <cellStyle name="常规 6 3 9 3 4" xfId="23932" xr:uid="{E5F84A4B-11A2-4DA6-92A2-5E8FC9E980D6}"/>
    <cellStyle name="常规 6 3 9 3 5" xfId="23933" xr:uid="{189D9A26-F6FB-475A-9E98-1C0FCC669DA1}"/>
    <cellStyle name="常规 6 3 9 3 6" xfId="23934" xr:uid="{069601DD-5AFF-4AC9-8D08-80B95E71857F}"/>
    <cellStyle name="常规 6 3 9 3 7" xfId="23935" xr:uid="{1933E020-7CBC-4607-981B-AF6D4D6F46F0}"/>
    <cellStyle name="常规 6 3 9 4" xfId="23936" xr:uid="{A5ABE36A-3739-4D83-AA31-150857782FDE}"/>
    <cellStyle name="常规 6 3 9 4 2" xfId="23937" xr:uid="{12628A1D-317D-4799-9BD7-F3B4654B973A}"/>
    <cellStyle name="常规 6 3 9 4 2 2" xfId="23938" xr:uid="{AF2DC1D6-3AB0-4A2C-B454-F334139F7E4A}"/>
    <cellStyle name="常规 6 3 9 4 2 3" xfId="23939" xr:uid="{BA825530-DA14-4D90-B5D2-CAD8003B0900}"/>
    <cellStyle name="常规 6 3 9 4 2 4" xfId="23940" xr:uid="{C78EDE59-72FD-4C58-806D-65DDCA8E398D}"/>
    <cellStyle name="常规 6 3 9 4 2 5" xfId="23941" xr:uid="{1C070E60-1893-46FC-B6B6-E262EAB45D12}"/>
    <cellStyle name="常规 6 3 9 4 2 6" xfId="23942" xr:uid="{7104BAB8-F4BB-423C-9137-74DC7D074B31}"/>
    <cellStyle name="常规 6 3 9 4 3" xfId="23943" xr:uid="{B01F7B43-650A-436D-9FCD-46A9D1852C4E}"/>
    <cellStyle name="常规 6 3 9 4 4" xfId="23944" xr:uid="{D949DC92-0FF4-4C9E-9CAD-DE1B504B456F}"/>
    <cellStyle name="常规 6 3 9 4 5" xfId="23945" xr:uid="{EB21D431-791C-4696-84DD-1D74A70EC3F8}"/>
    <cellStyle name="常规 6 3 9 4 6" xfId="23946" xr:uid="{17039BA6-7037-4D90-8508-2E454BBF0BCC}"/>
    <cellStyle name="常规 6 3 9 4 7" xfId="23947" xr:uid="{963689CB-3FA2-4EFF-8E74-A56C1479F27F}"/>
    <cellStyle name="常规 6 3 9 5" xfId="23948" xr:uid="{03E4AAED-DA12-482C-8A88-4B3D45F917B7}"/>
    <cellStyle name="常规 6 3 9 5 2" xfId="23949" xr:uid="{2CC4F6D9-2642-4554-995C-7CF36A88F29F}"/>
    <cellStyle name="常规 6 3 9 5 3" xfId="23950" xr:uid="{9CDF5F26-AEF2-4997-9648-7D7DFBA0530A}"/>
    <cellStyle name="常规 6 3 9 5 4" xfId="23951" xr:uid="{10B41354-7A46-40F8-BD29-C53879009BDD}"/>
    <cellStyle name="常规 6 3 9 5 5" xfId="23952" xr:uid="{132579E2-FE7B-4377-A8E5-8B8F2B55BA1F}"/>
    <cellStyle name="常规 6 3 9 5 6" xfId="23953" xr:uid="{C6C78522-E2FD-430B-B6C8-C832CAE187E9}"/>
    <cellStyle name="常规 6 3 9 6" xfId="23954" xr:uid="{306F7F3E-7EB8-4A12-85DC-649F39E64397}"/>
    <cellStyle name="常规 6 3 9 7" xfId="23955" xr:uid="{30EC5314-EA51-4A1F-9971-DD87838A39A7}"/>
    <cellStyle name="常规 6 3 9 8" xfId="23956" xr:uid="{DC4603E9-41EF-4757-8B44-DD2369B5EB1D}"/>
    <cellStyle name="常规 6 3 9 9" xfId="23957" xr:uid="{37D2F588-C99F-4DF0-B4C3-9FB264736B15}"/>
    <cellStyle name="常规 6 4" xfId="23958" xr:uid="{923DBDB6-80EB-4D80-A8B3-E3D9D9E9CED8}"/>
    <cellStyle name="常规 6 4 10" xfId="23959" xr:uid="{2133DF0D-0C94-4C0A-BD50-7E272577E015}"/>
    <cellStyle name="常规 6 4 10 2" xfId="23960" xr:uid="{3E30F810-8CB7-4FF7-A740-EB8B774922FE}"/>
    <cellStyle name="常规 6 4 10 2 2" xfId="23961" xr:uid="{BE36E160-ED54-4178-852C-4BBAC85F4AAF}"/>
    <cellStyle name="常规 6 4 10 2 3" xfId="23962" xr:uid="{7F45CB26-D161-4C85-981C-F04DA32D2EFF}"/>
    <cellStyle name="常规 6 4 10 2 4" xfId="23963" xr:uid="{330EB041-9B64-4B2E-8CC8-3CCF08B02D7F}"/>
    <cellStyle name="常规 6 4 10 2 5" xfId="23964" xr:uid="{75786FD3-30BB-4B2F-BCAA-2896D8A4AA9D}"/>
    <cellStyle name="常规 6 4 10 2 6" xfId="23965" xr:uid="{5B27C310-F6A9-4F94-83E7-D17A4D472755}"/>
    <cellStyle name="常规 6 4 10 3" xfId="23966" xr:uid="{C1BEA9E4-B3ED-4F77-B87E-60D7C1011B9D}"/>
    <cellStyle name="常规 6 4 10 4" xfId="23967" xr:uid="{3616511E-18F4-41F2-8961-271E54812BD9}"/>
    <cellStyle name="常规 6 4 10 5" xfId="23968" xr:uid="{E89C6153-8597-4ED4-9718-7F938F71F4DC}"/>
    <cellStyle name="常规 6 4 10 6" xfId="23969" xr:uid="{2AA3067B-075C-4E47-929A-51943ED62996}"/>
    <cellStyle name="常规 6 4 10 7" xfId="23970" xr:uid="{CC2F552F-FA7A-4A7A-8E5C-B42827314C67}"/>
    <cellStyle name="常规 6 4 11" xfId="23971" xr:uid="{971D5BD8-22A1-458E-BB80-710B141377A1}"/>
    <cellStyle name="常规 6 4 11 2" xfId="23972" xr:uid="{B41D2B72-8F8D-4178-8736-A96B796C88F1}"/>
    <cellStyle name="常规 6 4 11 2 2" xfId="23973" xr:uid="{7ECCEECB-2818-4E60-BE31-1A61A60ABC09}"/>
    <cellStyle name="常规 6 4 11 2 3" xfId="23974" xr:uid="{DF7891CF-170A-48E9-B65C-DA6A6929EBDF}"/>
    <cellStyle name="常规 6 4 11 2 4" xfId="23975" xr:uid="{147B1FB6-9585-4BEB-B00E-AC754BB1673B}"/>
    <cellStyle name="常规 6 4 11 2 5" xfId="23976" xr:uid="{68CABC34-CD2F-4F0D-9C77-AB463DA1F9DD}"/>
    <cellStyle name="常规 6 4 11 2 6" xfId="23977" xr:uid="{40358364-7663-4FEB-AC08-BD14831543BA}"/>
    <cellStyle name="常规 6 4 11 3" xfId="23978" xr:uid="{0899F95A-5D5F-4857-93B1-BBED742E51DC}"/>
    <cellStyle name="常规 6 4 11 4" xfId="23979" xr:uid="{02182A9D-D3BF-4BFB-AB81-76E6A9C566C9}"/>
    <cellStyle name="常规 6 4 11 5" xfId="23980" xr:uid="{52EAE2E9-17DA-4774-B048-48702C7DC2CE}"/>
    <cellStyle name="常规 6 4 11 6" xfId="23981" xr:uid="{3F1FA063-D37E-423F-89A0-389F38DB6586}"/>
    <cellStyle name="常规 6 4 11 7" xfId="23982" xr:uid="{39196AEB-8561-4BBF-AF90-A267C3E8F4D9}"/>
    <cellStyle name="常规 6 4 12" xfId="23983" xr:uid="{39FAFE3B-998D-4C54-A0B2-309927DDA63A}"/>
    <cellStyle name="常规 6 4 12 2" xfId="23984" xr:uid="{D9D75526-7C31-485B-9F36-5A4C843DE106}"/>
    <cellStyle name="常规 6 4 12 2 2" xfId="23985" xr:uid="{458ED6FA-7787-475F-B1E3-8BDF8AB82A9D}"/>
    <cellStyle name="常规 6 4 12 2 3" xfId="23986" xr:uid="{87509841-A2CE-4FF5-BDF0-CA573EBC79B6}"/>
    <cellStyle name="常规 6 4 12 2 4" xfId="23987" xr:uid="{7986A1D9-11D1-47C1-8E53-0E55130C07ED}"/>
    <cellStyle name="常规 6 4 12 2 5" xfId="23988" xr:uid="{D8E98AFE-26AA-4128-808C-41D714D2FABA}"/>
    <cellStyle name="常规 6 4 12 2 6" xfId="23989" xr:uid="{FDB524B6-413F-40D2-974D-852F1B826559}"/>
    <cellStyle name="常规 6 4 12 3" xfId="23990" xr:uid="{D9E0EB93-1B72-475E-8905-59BEABECF691}"/>
    <cellStyle name="常规 6 4 12 4" xfId="23991" xr:uid="{77156469-5419-46EE-856C-4F128F31CCC3}"/>
    <cellStyle name="常规 6 4 12 5" xfId="23992" xr:uid="{B220FB13-A9E8-4B70-BF0F-DBBCC0EDE051}"/>
    <cellStyle name="常规 6 4 12 6" xfId="23993" xr:uid="{A8CC16A4-153B-46EB-89F1-EFB6C7A006ED}"/>
    <cellStyle name="常规 6 4 12 7" xfId="23994" xr:uid="{544DB92C-AD23-49F7-8A2F-EF0591FA0358}"/>
    <cellStyle name="常规 6 4 13" xfId="23995" xr:uid="{5AFB9DA2-3E3F-4C1C-AA8D-D13143DF8AD1}"/>
    <cellStyle name="常规 6 4 14" xfId="23996" xr:uid="{C0C9E906-6711-44D4-9F5B-6DA5C369F8D8}"/>
    <cellStyle name="常规 6 4 15" xfId="34537" xr:uid="{DF6C3907-4D9B-4376-AA05-4F24CB71346B}"/>
    <cellStyle name="常规 6 4 2" xfId="23997" xr:uid="{E386AB28-A10D-4789-81FC-15F0F6EF3556}"/>
    <cellStyle name="常规 6 4 2 2" xfId="23998" xr:uid="{61BF5D05-E5F4-4BF0-BE4E-17CC24AC6D79}"/>
    <cellStyle name="常规 6 4 2 3" xfId="23999" xr:uid="{9AA2CBB5-CE6E-49F7-8284-9C4029C23F47}"/>
    <cellStyle name="常规 6 4 2 4" xfId="34538" xr:uid="{2C65E703-D02E-46CA-9CCF-0A2CDF3E316B}"/>
    <cellStyle name="常规 6 4 3" xfId="24000" xr:uid="{2547FF01-9FDA-4EA7-9DE5-06AE678EF758}"/>
    <cellStyle name="常规 6 4 3 2" xfId="24001" xr:uid="{84EB4B17-A99D-44F5-B9DF-7844A37CCC97}"/>
    <cellStyle name="常规 6 4 3 2 2" xfId="24002" xr:uid="{A5BF3501-0948-4949-BAD2-06331C3FED92}"/>
    <cellStyle name="常规 6 4 3 2 3" xfId="24003" xr:uid="{10DCE121-591A-4625-8FBA-6A17A3F81B89}"/>
    <cellStyle name="常规 6 4 3 2 4" xfId="24004" xr:uid="{DDB74089-A594-4D1A-B83E-E65C0D4DC198}"/>
    <cellStyle name="常规 6 4 3 2 5" xfId="24005" xr:uid="{383DAFD8-7A93-4727-A4AF-D68B88E20C54}"/>
    <cellStyle name="常规 6 4 3 2 6" xfId="24006" xr:uid="{27FC185E-112F-4A10-9D83-1BA73253998A}"/>
    <cellStyle name="常规 6 4 3 3" xfId="24007" xr:uid="{F56285DE-EDB5-48B7-A013-DA4D88F041D2}"/>
    <cellStyle name="常规 6 4 3 4" xfId="24008" xr:uid="{F688E542-4F58-4BC8-8746-95B69E64D0D4}"/>
    <cellStyle name="常规 6 4 3 5" xfId="24009" xr:uid="{968730B8-D98A-4286-BAD1-E171A0B8957A}"/>
    <cellStyle name="常规 6 4 3 6" xfId="24010" xr:uid="{9095281F-97DF-43BC-8946-044DBAD50066}"/>
    <cellStyle name="常规 6 4 3 7" xfId="24011" xr:uid="{03772AA2-3AA3-40DE-9F67-97AF1EB5A6CE}"/>
    <cellStyle name="常规 6 4 3 8" xfId="24012" xr:uid="{5326F9D7-73FF-40E6-9C65-45FA3C41FF8C}"/>
    <cellStyle name="常规 6 4 4" xfId="24013" xr:uid="{AAA2CFF5-820B-4EE5-81D9-DE67BC7BBC32}"/>
    <cellStyle name="常规 6 4 4 2" xfId="24014" xr:uid="{9CFA73D9-A36B-4F36-A004-362F2E76759A}"/>
    <cellStyle name="常规 6 4 4 2 2" xfId="24015" xr:uid="{725CABC9-1D40-4A7D-BB4B-5DE39CED21AA}"/>
    <cellStyle name="常规 6 4 4 2 3" xfId="24016" xr:uid="{2C1EBE2E-5CBE-4011-B401-513D7FCF54E8}"/>
    <cellStyle name="常规 6 4 4 2 4" xfId="24017" xr:uid="{06AED675-8477-4FF0-926A-5A996A07197A}"/>
    <cellStyle name="常规 6 4 4 2 5" xfId="24018" xr:uid="{5AE4E5BE-A695-435C-87D6-7B9839DB8C81}"/>
    <cellStyle name="常规 6 4 4 2 6" xfId="24019" xr:uid="{4802B403-2E5D-40D5-B58A-ACF7B220E69D}"/>
    <cellStyle name="常规 6 4 4 3" xfId="24020" xr:uid="{6C070C99-E503-42FE-B76C-7D2D4A084F81}"/>
    <cellStyle name="常规 6 4 4 4" xfId="24021" xr:uid="{198413C8-0852-453B-B758-7B1EAEADCC89}"/>
    <cellStyle name="常规 6 4 4 5" xfId="24022" xr:uid="{77538AE4-E8D1-4A60-A832-8BEEBF7E49B5}"/>
    <cellStyle name="常规 6 4 4 6" xfId="24023" xr:uid="{63AC5434-4C34-4A53-B527-8556D52AA019}"/>
    <cellStyle name="常规 6 4 4 7" xfId="24024" xr:uid="{95622899-8E04-4CD9-8821-2C8DBD21B716}"/>
    <cellStyle name="常规 6 4 4 8" xfId="24025" xr:uid="{2A18566C-614F-4CE1-87C4-692031FB8F72}"/>
    <cellStyle name="常规 6 4 5" xfId="24026" xr:uid="{AA7B41FB-2C69-497B-80E9-EC5FAC1EA52C}"/>
    <cellStyle name="常规 6 4 5 2" xfId="24027" xr:uid="{1590310E-8F9A-419D-ADBB-D49710419659}"/>
    <cellStyle name="常规 6 4 5 2 2" xfId="24028" xr:uid="{829BA145-E767-471C-885A-EDFE46EBA960}"/>
    <cellStyle name="常规 6 4 5 2 3" xfId="24029" xr:uid="{357A845A-67BF-47CA-A053-ADE5160D4C55}"/>
    <cellStyle name="常规 6 4 5 2 4" xfId="24030" xr:uid="{65A013DC-163A-41BC-8F79-D4660389D13B}"/>
    <cellStyle name="常规 6 4 5 2 5" xfId="24031" xr:uid="{BF26BA0E-59F0-4E7B-B90D-82713A5C5B17}"/>
    <cellStyle name="常规 6 4 5 2 6" xfId="24032" xr:uid="{7BE005E6-D0CC-4813-905D-F68B04E0131C}"/>
    <cellStyle name="常规 6 4 5 3" xfId="24033" xr:uid="{03B3F811-9168-4A34-80D7-0A2510B41E5B}"/>
    <cellStyle name="常规 6 4 5 4" xfId="24034" xr:uid="{DEC3BBBA-0AB1-4FE8-ADE8-B3DCC984FBD5}"/>
    <cellStyle name="常规 6 4 5 5" xfId="24035" xr:uid="{6349CF39-3BA9-49DA-A205-28B87232C333}"/>
    <cellStyle name="常规 6 4 5 6" xfId="24036" xr:uid="{20BF00DD-D677-40FF-857C-86380A92913C}"/>
    <cellStyle name="常规 6 4 5 7" xfId="24037" xr:uid="{1A49B8F1-F73C-4634-8CF7-B3728D7BF84B}"/>
    <cellStyle name="常规 6 4 5 8" xfId="24038" xr:uid="{0E401A48-DB39-422F-9C2C-36B2BBFF06AA}"/>
    <cellStyle name="常规 6 4 6" xfId="24039" xr:uid="{52AE7192-73E5-44BF-970D-78346A75529E}"/>
    <cellStyle name="常规 6 4 6 2" xfId="24040" xr:uid="{E9E3CF44-C66E-4057-99F4-56ED7ABBFC5B}"/>
    <cellStyle name="常规 6 4 6 2 2" xfId="24041" xr:uid="{D5A85D6B-07FD-4826-9D3C-BCF84F99912D}"/>
    <cellStyle name="常规 6 4 6 2 3" xfId="24042" xr:uid="{04033690-4CB6-469C-82EB-63835E9A5E03}"/>
    <cellStyle name="常规 6 4 6 2 4" xfId="24043" xr:uid="{1AED7A1B-368C-4166-81AA-D92E1ACEDBA1}"/>
    <cellStyle name="常规 6 4 6 2 5" xfId="24044" xr:uid="{D776BC13-BAAB-4715-B90C-4D3B8818F69D}"/>
    <cellStyle name="常规 6 4 6 2 6" xfId="24045" xr:uid="{425387D4-89F2-4B03-A176-8383CBDA51FD}"/>
    <cellStyle name="常规 6 4 6 3" xfId="24046" xr:uid="{454068C9-61BA-43A5-8228-A428D655803D}"/>
    <cellStyle name="常规 6 4 6 4" xfId="24047" xr:uid="{76271C89-07DD-4108-A08C-7B3330A8F1F0}"/>
    <cellStyle name="常规 6 4 6 5" xfId="24048" xr:uid="{9B1918C3-6761-4BE0-BC89-1F4EF24F23E1}"/>
    <cellStyle name="常规 6 4 6 6" xfId="24049" xr:uid="{17D351B6-1680-4DE6-91CE-3E7AC1D4BB71}"/>
    <cellStyle name="常规 6 4 6 7" xfId="24050" xr:uid="{52788E2B-EEE1-416D-9294-B8FE8FD3FA34}"/>
    <cellStyle name="常规 6 4 7" xfId="24051" xr:uid="{4AC82792-D26A-41C6-ACA1-3C9D13C4B637}"/>
    <cellStyle name="常规 6 4 7 2" xfId="24052" xr:uid="{E7FB190D-F973-4993-A745-87B82D9D34C9}"/>
    <cellStyle name="常规 6 4 7 2 2" xfId="24053" xr:uid="{5AD1462C-BDF2-41D2-83F1-58798251B428}"/>
    <cellStyle name="常规 6 4 7 2 3" xfId="24054" xr:uid="{96A942D1-5F8D-4302-9E29-F058389660C7}"/>
    <cellStyle name="常规 6 4 7 2 4" xfId="24055" xr:uid="{106A5ACC-B86E-4626-98B2-6D226F76627A}"/>
    <cellStyle name="常规 6 4 7 2 5" xfId="24056" xr:uid="{6A421C39-467F-4248-A85D-5F4EF887C794}"/>
    <cellStyle name="常规 6 4 7 2 6" xfId="24057" xr:uid="{103C2FDE-64A1-44CC-B3DE-98F49766801E}"/>
    <cellStyle name="常规 6 4 7 3" xfId="24058" xr:uid="{D74045E6-B5E7-467E-91E0-773A1493E748}"/>
    <cellStyle name="常规 6 4 7 4" xfId="24059" xr:uid="{88F65024-67B4-4465-9BD4-9D90D2F476EF}"/>
    <cellStyle name="常规 6 4 7 5" xfId="24060" xr:uid="{521613BE-9829-4BCA-8E64-A5CCDA79C66A}"/>
    <cellStyle name="常规 6 4 7 6" xfId="24061" xr:uid="{B48E6029-62FB-47CE-9850-70C69066C212}"/>
    <cellStyle name="常规 6 4 7 7" xfId="24062" xr:uid="{01E587D3-08D8-49E3-B433-4898828CBB5D}"/>
    <cellStyle name="常规 6 4 8" xfId="24063" xr:uid="{9B295E3F-2BA4-4DC9-8C02-E9C5508A6176}"/>
    <cellStyle name="常规 6 4 8 2" xfId="24064" xr:uid="{6A8C1AEA-BE04-4F50-8C71-BE3D399648AB}"/>
    <cellStyle name="常规 6 4 8 2 2" xfId="24065" xr:uid="{674E0948-535D-4720-B97C-865F6DE6E8DA}"/>
    <cellStyle name="常规 6 4 8 2 3" xfId="24066" xr:uid="{02BACD00-9032-4C75-9B19-77FC5AA53275}"/>
    <cellStyle name="常规 6 4 8 2 4" xfId="24067" xr:uid="{241EC767-88A1-4ABA-B4A9-AA6637CDB0FE}"/>
    <cellStyle name="常规 6 4 8 2 5" xfId="24068" xr:uid="{270217B8-AFCA-4093-B9C2-48E48C4556B4}"/>
    <cellStyle name="常规 6 4 8 2 6" xfId="24069" xr:uid="{6F031F58-E154-4B7B-8250-BF38D2AF6A15}"/>
    <cellStyle name="常规 6 4 8 3" xfId="24070" xr:uid="{53989F39-1A9C-4F92-BBEE-C8AE70BB6026}"/>
    <cellStyle name="常规 6 4 8 4" xfId="24071" xr:uid="{388D29EF-4FD6-4D6A-B506-1F022C5BC726}"/>
    <cellStyle name="常规 6 4 8 5" xfId="24072" xr:uid="{3CCD5FA0-961F-4F94-A0AF-8FF35D2DA88C}"/>
    <cellStyle name="常规 6 4 8 6" xfId="24073" xr:uid="{12F57AB4-9349-407A-ACE9-C5A41E6A9DE1}"/>
    <cellStyle name="常规 6 4 8 7" xfId="24074" xr:uid="{433BB090-D496-4671-BA20-05B9388B6457}"/>
    <cellStyle name="常规 6 4 9" xfId="24075" xr:uid="{49562769-412C-4226-8E95-CFC40B92F153}"/>
    <cellStyle name="常规 6 4 9 2" xfId="24076" xr:uid="{2C641FE4-7187-4363-AAA1-52C899D369C0}"/>
    <cellStyle name="常规 6 4 9 2 2" xfId="24077" xr:uid="{CBAA0EF9-0380-4782-B426-2EBB29202983}"/>
    <cellStyle name="常规 6 4 9 2 3" xfId="24078" xr:uid="{1499AEAA-3362-41AA-A191-B1041A584A54}"/>
    <cellStyle name="常规 6 4 9 2 4" xfId="24079" xr:uid="{9CD834E9-4124-4A97-9899-0B7635077EC7}"/>
    <cellStyle name="常规 6 4 9 2 5" xfId="24080" xr:uid="{A13B7A6B-4089-474E-B53B-B6321A5AC227}"/>
    <cellStyle name="常规 6 4 9 2 6" xfId="24081" xr:uid="{D48383DA-9997-47ED-B40F-F57A4DA40993}"/>
    <cellStyle name="常规 6 4 9 3" xfId="24082" xr:uid="{B1C49086-B20D-4529-8A00-C86130D3C0EF}"/>
    <cellStyle name="常规 6 4 9 4" xfId="24083" xr:uid="{8DB45266-362F-48E3-9AB7-DE8938917BC7}"/>
    <cellStyle name="常规 6 4 9 5" xfId="24084" xr:uid="{0D8FDBE4-8552-445B-9030-B26D9641185D}"/>
    <cellStyle name="常规 6 4 9 6" xfId="24085" xr:uid="{E358ABBA-4A36-4BFB-A0C3-412CF9C2D54B}"/>
    <cellStyle name="常规 6 4 9 7" xfId="24086" xr:uid="{AB0A5501-3263-4C7F-8D1D-8106933C1573}"/>
    <cellStyle name="常规 6 5" xfId="24087" xr:uid="{AE8E4291-162E-4F17-A7C1-F58D63C590E4}"/>
    <cellStyle name="常规 6 5 10" xfId="24088" xr:uid="{AA93A5BB-1871-4892-9B76-8FEEC371FC4A}"/>
    <cellStyle name="常规 6 5 10 2" xfId="24089" xr:uid="{7BA39386-4917-4801-8436-F0CED3857DE8}"/>
    <cellStyle name="常规 6 5 10 2 2" xfId="24090" xr:uid="{EAE5CA05-CB6A-48AB-8039-02C512B9DD23}"/>
    <cellStyle name="常规 6 5 10 2 3" xfId="24091" xr:uid="{7A1FC0A7-DED9-4A26-887A-5E8109DFF605}"/>
    <cellStyle name="常规 6 5 10 2 4" xfId="24092" xr:uid="{AC1D2B6A-56C8-42BE-BB31-7D4C82001BC1}"/>
    <cellStyle name="常规 6 5 10 2 5" xfId="24093" xr:uid="{E43E4FC7-87E8-4185-94E7-ABD0D047D1DD}"/>
    <cellStyle name="常规 6 5 10 2 6" xfId="24094" xr:uid="{879DD897-0185-4AAA-A2BA-2B39148F1F54}"/>
    <cellStyle name="常规 6 5 10 3" xfId="24095" xr:uid="{A689CFA1-F85B-40BB-8EB2-688B68DF314D}"/>
    <cellStyle name="常规 6 5 10 4" xfId="24096" xr:uid="{E5B71F7A-56EE-4016-85FC-379529B47BBB}"/>
    <cellStyle name="常规 6 5 10 5" xfId="24097" xr:uid="{DD82B49C-AB15-4260-95FB-25D4CAC32421}"/>
    <cellStyle name="常规 6 5 10 6" xfId="24098" xr:uid="{FD8F9F13-819A-4658-B4DD-783040DE1352}"/>
    <cellStyle name="常规 6 5 10 7" xfId="24099" xr:uid="{005C12DB-13FC-42AF-8B1E-0BE8022FADAC}"/>
    <cellStyle name="常规 6 5 11" xfId="24100" xr:uid="{D8C71A9C-8E39-4223-AD00-C74665DD983B}"/>
    <cellStyle name="常规 6 5 12" xfId="24101" xr:uid="{CAC81DB1-20FF-429C-AE33-0306C290F390}"/>
    <cellStyle name="常规 6 5 13" xfId="24102" xr:uid="{F42ABF88-CC49-4FBD-A78E-FCA2D1C26DEA}"/>
    <cellStyle name="常规 6 5 14" xfId="34539" xr:uid="{24ACC9D0-DE64-4C84-AF03-AAACBB157794}"/>
    <cellStyle name="常规 6 5 2" xfId="24103" xr:uid="{2565DD94-0DA4-4E16-A940-FBE417A1666E}"/>
    <cellStyle name="常规 6 5 2 2" xfId="24104" xr:uid="{319C9738-29D5-426D-B9DB-1F029AF64D48}"/>
    <cellStyle name="常规 6 5 2 2 2" xfId="24105" xr:uid="{1445E17D-B731-4635-957C-F62BBBCF608A}"/>
    <cellStyle name="常规 6 5 2 2 2 2" xfId="24106" xr:uid="{6DB1D973-E0D3-4299-9185-76964687E1ED}"/>
    <cellStyle name="常规 6 5 2 2 2 3" xfId="24107" xr:uid="{5B77A5A7-5CF0-45EE-BE41-2C8D72840530}"/>
    <cellStyle name="常规 6 5 2 2 3" xfId="24108" xr:uid="{27FFEE90-3942-4447-9116-AEB771484072}"/>
    <cellStyle name="常规 6 5 2 2 3 2" xfId="24109" xr:uid="{DABC4651-FA07-4C9C-9B9F-92085519CB3B}"/>
    <cellStyle name="常规 6 5 2 2 4" xfId="24110" xr:uid="{5AE4550B-9430-42CB-9535-F861038F492E}"/>
    <cellStyle name="常规 6 5 2 2 4 2" xfId="24111" xr:uid="{79D86614-6203-4045-9B8A-D37F344618F7}"/>
    <cellStyle name="常规 6 5 2 2 4 3" xfId="34540" xr:uid="{93DF1F46-856E-4E7A-9BB9-8EAEB662AE74}"/>
    <cellStyle name="常规 6 5 2 2 5" xfId="24112" xr:uid="{DFC17AD5-E8CD-4C95-B4FD-22146C366777}"/>
    <cellStyle name="常规 6 5 2 2 6" xfId="24113" xr:uid="{E1C9AEBF-0DBD-4A8E-BFE4-D94EB29A4C8D}"/>
    <cellStyle name="常规 6 5 2 2 7" xfId="24114" xr:uid="{8897334F-55A5-4C19-848C-CAD8E8DFC77E}"/>
    <cellStyle name="常规 6 5 2 3" xfId="24115" xr:uid="{6BBAC28A-0C89-48F8-A5FC-58DCD5F65F1E}"/>
    <cellStyle name="常规 6 5 2 3 2" xfId="24116" xr:uid="{BDADDEBA-9B84-44C2-B9DF-DC171A262249}"/>
    <cellStyle name="常规 6 5 2 3 2 2" xfId="24117" xr:uid="{8ACFD74B-E8E7-4957-A36F-74E5D2A12290}"/>
    <cellStyle name="常规 6 5 2 3 3" xfId="24118" xr:uid="{206BA72C-A35A-4084-9133-44EC86627927}"/>
    <cellStyle name="常规 6 5 2 3 4" xfId="24119" xr:uid="{A22FBA26-BEFE-45AD-B82D-CBF01F7BF072}"/>
    <cellStyle name="常规 6 5 2 3 4 2" xfId="34541" xr:uid="{2274D854-9F11-4BDD-B5C8-0703BE6F4450}"/>
    <cellStyle name="常规 6 5 2 3 5" xfId="24120" xr:uid="{DFCB1AE8-26E3-4BD4-BF1F-CB3C8DC69F3F}"/>
    <cellStyle name="常规 6 5 2 4" xfId="24121" xr:uid="{2F6E83FB-017F-402C-8967-658B481A060D}"/>
    <cellStyle name="常规 6 5 2 4 2" xfId="24122" xr:uid="{4868BFF9-2AD6-454A-9F09-4942FDF53E08}"/>
    <cellStyle name="常规 6 5 2 4 3" xfId="24123" xr:uid="{4C06B595-D0AC-4EBD-A76F-E74EFE916B28}"/>
    <cellStyle name="常规 6 5 2 5" xfId="24124" xr:uid="{A571225A-E9AD-47EA-909B-524DCAC3A9F5}"/>
    <cellStyle name="常规 6 5 2 5 2" xfId="24125" xr:uid="{379A700C-41FB-46C7-A525-62B6AE5EEB3E}"/>
    <cellStyle name="常规 6 5 2 6" xfId="24126" xr:uid="{82F57604-5E2C-4931-8D56-53DE6EE8C22A}"/>
    <cellStyle name="常规 6 5 2 6 2" xfId="24127" xr:uid="{460D3BD8-0E8D-43C0-BBA5-288B6670BC12}"/>
    <cellStyle name="常规 6 5 2 6 3" xfId="34542" xr:uid="{A69F04CE-C76B-4686-8170-FAB5371E9041}"/>
    <cellStyle name="常规 6 5 2 7" xfId="24128" xr:uid="{40F7E152-5291-4386-8B3F-B8904B4BCE8E}"/>
    <cellStyle name="常规 6 5 2 8" xfId="24129" xr:uid="{C546649D-6303-453C-9677-1DFDD5B1777C}"/>
    <cellStyle name="常规 6 5 3" xfId="24130" xr:uid="{F4BD3686-0AB4-4BFF-834E-E80A9ED14257}"/>
    <cellStyle name="常规 6 5 3 2" xfId="24131" xr:uid="{A9DF45F0-78A3-4826-90F3-247D7D2103D1}"/>
    <cellStyle name="常规 6 5 3 2 2" xfId="24132" xr:uid="{4C2136CF-9E33-4435-9781-783504EC0EB3}"/>
    <cellStyle name="常规 6 5 3 2 3" xfId="24133" xr:uid="{56867DB9-D303-4A25-8512-6750C7C711D4}"/>
    <cellStyle name="常规 6 5 3 2 4" xfId="24134" xr:uid="{DE8C69FB-11A6-4A78-A398-BA0693DD282E}"/>
    <cellStyle name="常规 6 5 3 2 5" xfId="24135" xr:uid="{AA1B0C75-3A56-42D8-B2C0-772678040B9F}"/>
    <cellStyle name="常规 6 5 3 2 6" xfId="24136" xr:uid="{342927AB-9240-4456-B000-1D715C3EE2A9}"/>
    <cellStyle name="常规 6 5 3 2 7" xfId="24137" xr:uid="{061955FE-8A46-44E9-ADEA-7F798AD9B343}"/>
    <cellStyle name="常规 6 5 3 2 8" xfId="24138" xr:uid="{C79704EC-52BE-48EA-9681-68B9F8BE2ACA}"/>
    <cellStyle name="常规 6 5 3 3" xfId="24139" xr:uid="{0ED59E45-4FF1-461E-A3E8-A6097F706780}"/>
    <cellStyle name="常规 6 5 3 3 2" xfId="24140" xr:uid="{0B549E95-5F9E-488C-B944-F6C5EFE18E91}"/>
    <cellStyle name="常规 6 5 3 4" xfId="24141" xr:uid="{9AF85754-B2D6-4653-964C-300EF0042DE6}"/>
    <cellStyle name="常规 6 5 3 4 2" xfId="24142" xr:uid="{89E1ACCB-277F-4E1B-A308-6709DFCF1617}"/>
    <cellStyle name="常规 6 5 3 4 3" xfId="34543" xr:uid="{46339F8F-7E51-46AA-AFC6-1526FEA2FF72}"/>
    <cellStyle name="常规 6 5 3 5" xfId="24143" xr:uid="{B24A8492-FF75-4727-A492-26F3E756A75C}"/>
    <cellStyle name="常规 6 5 3 6" xfId="24144" xr:uid="{874E67FB-FFD3-41AA-986B-673586BEE576}"/>
    <cellStyle name="常规 6 5 3 7" xfId="24145" xr:uid="{4A1EDE9E-7136-4C2D-95D1-25B429D0C41D}"/>
    <cellStyle name="常规 6 5 3 8" xfId="24146" xr:uid="{F2B1E91E-2147-4F85-A51B-A0C8A113F0B2}"/>
    <cellStyle name="常规 6 5 4" xfId="24147" xr:uid="{257C2017-5308-4AF5-921F-EC846C657ACB}"/>
    <cellStyle name="常规 6 5 4 2" xfId="24148" xr:uid="{EBC98B35-A420-4104-B43A-6AA5D36DDEF5}"/>
    <cellStyle name="常规 6 5 4 2 2" xfId="24149" xr:uid="{59B82CD0-B4EC-40C7-99BD-366C71769770}"/>
    <cellStyle name="常规 6 5 4 2 3" xfId="24150" xr:uid="{C59D4B64-1053-45E2-A3E5-651F28B22EFE}"/>
    <cellStyle name="常规 6 5 4 2 4" xfId="24151" xr:uid="{1838A0CF-2A91-4C69-92FD-3189B088B256}"/>
    <cellStyle name="常规 6 5 4 2 5" xfId="24152" xr:uid="{F6E9BD3E-6DCB-4BCB-9E60-8B91AC836AA4}"/>
    <cellStyle name="常规 6 5 4 2 6" xfId="24153" xr:uid="{6F9D5132-251A-4BC3-BAE3-67F608246293}"/>
    <cellStyle name="常规 6 5 4 2 7" xfId="24154" xr:uid="{A26ACF2E-7EE7-4999-9FB3-8B41E86D9E83}"/>
    <cellStyle name="常规 6 5 4 2 8" xfId="24155" xr:uid="{D2C5CEDB-A20E-4869-A9CC-801DFBEC176A}"/>
    <cellStyle name="常规 6 5 4 3" xfId="24156" xr:uid="{A09CB62C-9FAB-49C5-B1D3-BA0181B18376}"/>
    <cellStyle name="常规 6 5 4 3 2" xfId="24157" xr:uid="{4C72D06A-4A46-4D23-BC48-5BAA23D81860}"/>
    <cellStyle name="常规 6 5 4 4" xfId="24158" xr:uid="{C964AE2C-58B4-4A22-9EB5-7126BEBEE4AE}"/>
    <cellStyle name="常规 6 5 4 4 2" xfId="24159" xr:uid="{1CF3DB8F-46F2-49FF-A97A-135F0D40D399}"/>
    <cellStyle name="常规 6 5 4 4 3" xfId="34544" xr:uid="{8BED3CD9-2783-45B0-94FC-0BB05BF1337E}"/>
    <cellStyle name="常规 6 5 4 5" xfId="24160" xr:uid="{C781F9B7-3D85-4F7E-B4A9-6F64A85728B9}"/>
    <cellStyle name="常规 6 5 4 6" xfId="24161" xr:uid="{D390FC08-4A6C-4AED-BC3A-91A8CE16CABF}"/>
    <cellStyle name="常规 6 5 4 7" xfId="24162" xr:uid="{D4ABC4A1-F4CD-4E32-928F-629B879E883C}"/>
    <cellStyle name="常规 6 5 4 8" xfId="24163" xr:uid="{74D43CC2-7D68-4CDB-8DFD-3D2D7C88B139}"/>
    <cellStyle name="常规 6 5 5" xfId="24164" xr:uid="{FCC1D705-B99E-40BC-834C-F1977BE60F10}"/>
    <cellStyle name="常规 6 5 5 2" xfId="24165" xr:uid="{247AC9FC-8D53-4DB1-AC61-41C0DA98A118}"/>
    <cellStyle name="常规 6 5 5 2 2" xfId="24166" xr:uid="{0D842CE8-CDFD-492D-B133-693BE46CDA66}"/>
    <cellStyle name="常规 6 5 5 2 3" xfId="24167" xr:uid="{1B3CAB0C-DBBE-48BB-9C5F-44F28CE76045}"/>
    <cellStyle name="常规 6 5 5 2 4" xfId="24168" xr:uid="{86575B6D-FCF1-43D7-AC77-1E32F4C5815F}"/>
    <cellStyle name="常规 6 5 5 2 5" xfId="24169" xr:uid="{D5E38896-D3C8-45DE-B5AB-945E33BCB0BA}"/>
    <cellStyle name="常规 6 5 5 2 6" xfId="24170" xr:uid="{AF092FB6-B0FE-41A0-A797-84AD8734AEF3}"/>
    <cellStyle name="常规 6 5 5 3" xfId="24171" xr:uid="{07B23E7E-FE7C-414E-9573-378B16F974BC}"/>
    <cellStyle name="常规 6 5 5 4" xfId="24172" xr:uid="{B7900A2E-B1D5-4476-9E12-11EEFC0F99F2}"/>
    <cellStyle name="常规 6 5 5 5" xfId="24173" xr:uid="{C60983C6-3AEC-4251-81BC-59053F560CAF}"/>
    <cellStyle name="常规 6 5 5 6" xfId="24174" xr:uid="{498EFC3D-DF0C-4CB6-83AF-A5C3FE9F1133}"/>
    <cellStyle name="常规 6 5 5 7" xfId="24175" xr:uid="{BB27A8C3-C9C7-4DF3-9BA8-4525C039DA3D}"/>
    <cellStyle name="常规 6 5 5 8" xfId="24176" xr:uid="{F44EFD4B-5592-4216-A533-74E93D2749EE}"/>
    <cellStyle name="常规 6 5 5 9" xfId="24177" xr:uid="{E0EC48ED-8551-4DF3-BCFF-90FF71AD87A6}"/>
    <cellStyle name="常规 6 5 6" xfId="24178" xr:uid="{C00D3D96-C9DD-4B00-9076-0014EC082C78}"/>
    <cellStyle name="常规 6 5 6 2" xfId="24179" xr:uid="{A8CF4842-D29F-4A10-8FEF-88DE0E3C1F5E}"/>
    <cellStyle name="常规 6 5 6 2 2" xfId="24180" xr:uid="{344782E2-26E5-495C-84D0-0C9D759B9AAB}"/>
    <cellStyle name="常规 6 5 6 2 3" xfId="24181" xr:uid="{C70DB218-7280-4DB1-B1DB-B832BCDE197E}"/>
    <cellStyle name="常规 6 5 6 2 4" xfId="24182" xr:uid="{BB2F3F38-98DA-454B-B02B-E7A9AC82325A}"/>
    <cellStyle name="常规 6 5 6 2 5" xfId="24183" xr:uid="{3957FB27-BDAD-481D-B9E4-44AA6D3FF3B1}"/>
    <cellStyle name="常规 6 5 6 2 6" xfId="24184" xr:uid="{25045CE5-173B-429C-96A9-D8811A8B0D12}"/>
    <cellStyle name="常规 6 5 6 3" xfId="24185" xr:uid="{3D4A8747-8ADF-442A-BAE3-957350309B81}"/>
    <cellStyle name="常规 6 5 6 4" xfId="24186" xr:uid="{694F07FF-2B92-49EC-98EB-F0D86377986C}"/>
    <cellStyle name="常规 6 5 6 5" xfId="24187" xr:uid="{382D96FD-02D4-4433-A392-D66D0C1B9AA7}"/>
    <cellStyle name="常规 6 5 6 6" xfId="24188" xr:uid="{BDD9B24F-F0F7-4AC9-ADC2-5E560DAEA94D}"/>
    <cellStyle name="常规 6 5 6 7" xfId="24189" xr:uid="{C5A9683C-DD4E-4D18-B18D-D5B49A44A8E3}"/>
    <cellStyle name="常规 6 5 6 8" xfId="24190" xr:uid="{B281F5E4-BCDB-4293-934E-40C3D1FC99AE}"/>
    <cellStyle name="常规 6 5 7" xfId="24191" xr:uid="{6E0EA1BE-C80E-4720-A0F9-1DD75082381E}"/>
    <cellStyle name="常规 6 5 7 2" xfId="24192" xr:uid="{62EF0D2A-0200-4380-8BE8-51D7802706D1}"/>
    <cellStyle name="常规 6 5 7 2 2" xfId="24193" xr:uid="{F310EE1C-9503-4A56-A239-76527B2020B1}"/>
    <cellStyle name="常规 6 5 7 2 3" xfId="24194" xr:uid="{D35C3FA1-EB0D-4DCA-98A3-2A1A66173331}"/>
    <cellStyle name="常规 6 5 7 2 4" xfId="24195" xr:uid="{BE207F1B-725F-4253-A46F-E9FD35577840}"/>
    <cellStyle name="常规 6 5 7 2 5" xfId="24196" xr:uid="{282D6BC9-F57B-40A8-B668-FFB1C231DBC8}"/>
    <cellStyle name="常规 6 5 7 2 6" xfId="24197" xr:uid="{C4841664-D6C8-4705-9AB1-94BCD0375F15}"/>
    <cellStyle name="常规 6 5 7 3" xfId="24198" xr:uid="{6A9557CF-CD4C-4818-B997-4EA3D2C9E898}"/>
    <cellStyle name="常规 6 5 7 4" xfId="24199" xr:uid="{A9A92C5C-2070-4A91-A142-F650B348A59F}"/>
    <cellStyle name="常规 6 5 7 5" xfId="24200" xr:uid="{5748A2C0-43DB-4D1B-9F4D-686F9765F487}"/>
    <cellStyle name="常规 6 5 7 6" xfId="24201" xr:uid="{23E3EE74-5666-4E2E-A9C7-6762F6E7BC62}"/>
    <cellStyle name="常规 6 5 7 7" xfId="24202" xr:uid="{B1F9E401-5FE0-425F-ADA0-75A263B84EBB}"/>
    <cellStyle name="常规 6 5 7 8" xfId="24203" xr:uid="{AD24786E-B3B1-4F96-B18D-863D7451534A}"/>
    <cellStyle name="常规 6 5 7 9" xfId="34545" xr:uid="{2A68B4FD-9EDC-4EC4-9139-288D2964FC26}"/>
    <cellStyle name="常规 6 5 8" xfId="24204" xr:uid="{C4012390-6A9C-474D-8E42-A69AB4DC859D}"/>
    <cellStyle name="常规 6 5 8 2" xfId="24205" xr:uid="{51763F98-AE2B-4D33-B092-06BDC1D0F286}"/>
    <cellStyle name="常规 6 5 8 2 2" xfId="24206" xr:uid="{A47F748B-B6FC-4BA5-85ED-F61D0B6AE324}"/>
    <cellStyle name="常规 6 5 8 2 3" xfId="24207" xr:uid="{E777C4CB-543F-4DF4-90C2-2B90C352DE86}"/>
    <cellStyle name="常规 6 5 8 2 4" xfId="24208" xr:uid="{2060804B-9CBB-45B7-BF05-82064E5453D6}"/>
    <cellStyle name="常规 6 5 8 2 5" xfId="24209" xr:uid="{9564FC0B-5AEA-4B6B-A714-5FD9408B8B59}"/>
    <cellStyle name="常规 6 5 8 2 6" xfId="24210" xr:uid="{B8EB9821-75B8-460F-A542-DD1E9C5EAD01}"/>
    <cellStyle name="常规 6 5 8 3" xfId="24211" xr:uid="{4B8A1A4C-5FEB-4DA9-805E-87E12457C306}"/>
    <cellStyle name="常规 6 5 8 4" xfId="24212" xr:uid="{2216C0A9-7540-4C2A-8407-20962338D695}"/>
    <cellStyle name="常规 6 5 8 5" xfId="24213" xr:uid="{A5D36D53-6E45-452B-B1EB-026F3284535A}"/>
    <cellStyle name="常规 6 5 8 6" xfId="24214" xr:uid="{3522E4E7-A831-41FB-B436-5C35A33ED472}"/>
    <cellStyle name="常规 6 5 8 7" xfId="24215" xr:uid="{460E1911-F1C2-42E3-B40E-4A093769BB41}"/>
    <cellStyle name="常规 6 5 8 8" xfId="24216" xr:uid="{43C10066-165A-4F7D-9E7A-BCC2D326EBA6}"/>
    <cellStyle name="常规 6 5 9" xfId="24217" xr:uid="{0DC99D61-71E0-4697-8FD9-002672D3E837}"/>
    <cellStyle name="常规 6 5 9 2" xfId="24218" xr:uid="{D6A56A07-ACF9-4F76-AF48-B8BC4E026C0F}"/>
    <cellStyle name="常规 6 5 9 2 2" xfId="24219" xr:uid="{C7D6F637-AB51-4546-A7E3-0BF15FC31613}"/>
    <cellStyle name="常规 6 5 9 2 3" xfId="24220" xr:uid="{F78A79E2-7A73-42F2-B36D-BF587C726A2C}"/>
    <cellStyle name="常规 6 5 9 2 4" xfId="24221" xr:uid="{FF070E13-99CD-4D9D-BCF0-68D734D97C44}"/>
    <cellStyle name="常规 6 5 9 2 5" xfId="24222" xr:uid="{DBA3980A-0A32-45C7-A39B-EF3C8316C2BE}"/>
    <cellStyle name="常规 6 5 9 2 6" xfId="24223" xr:uid="{71F91FDD-769F-4305-9B50-5AFB9D6C0938}"/>
    <cellStyle name="常规 6 5 9 3" xfId="24224" xr:uid="{1342601D-1165-483D-9919-8E570C5D51E1}"/>
    <cellStyle name="常规 6 5 9 4" xfId="24225" xr:uid="{9694617D-DFB8-4D2A-8ED6-A8BD1F1F2576}"/>
    <cellStyle name="常规 6 5 9 5" xfId="24226" xr:uid="{FACB72B4-56B7-451B-B5C4-39083E9D1255}"/>
    <cellStyle name="常规 6 5 9 6" xfId="24227" xr:uid="{0C234CF4-A2AA-4538-A18C-EB52010614A6}"/>
    <cellStyle name="常规 6 5 9 7" xfId="24228" xr:uid="{DF144DE6-EDF6-4FDC-8FF5-DA919FABE586}"/>
    <cellStyle name="常规 6 6" xfId="24229" xr:uid="{C73DF23E-F6B2-4907-BF8D-75A81A8E1BE2}"/>
    <cellStyle name="常规 6 6 10" xfId="24230" xr:uid="{73ADC40D-B981-4116-BBBD-12D51B1360B8}"/>
    <cellStyle name="常规 6 6 2" xfId="24231" xr:uid="{0F4A5F8D-32A8-44A1-B535-36F2148E5162}"/>
    <cellStyle name="常规 6 6 2 2" xfId="24232" xr:uid="{CD5C8A01-464D-46DA-9DC9-33A425ECCFEC}"/>
    <cellStyle name="常规 6 6 2 2 2" xfId="24233" xr:uid="{0FC69EA0-B8FB-4E48-BFB3-35F55CD3C00B}"/>
    <cellStyle name="常规 6 6 2 2 3" xfId="24234" xr:uid="{B4DAA800-0856-4A25-9A5D-583B0AE892AF}"/>
    <cellStyle name="常规 6 6 2 2 4" xfId="24235" xr:uid="{F19E661A-E0DE-4665-871B-684D67AC8510}"/>
    <cellStyle name="常规 6 6 2 2 5" xfId="24236" xr:uid="{C4B58907-B2FF-41B1-9781-BF60AEB01FDC}"/>
    <cellStyle name="常规 6 6 2 2 6" xfId="24237" xr:uid="{4A135A7F-1E0A-4FF1-A6DA-0323006FA058}"/>
    <cellStyle name="常规 6 6 2 2 7" xfId="24238" xr:uid="{6AD9A707-902F-4C2C-B70C-5115E2E44E92}"/>
    <cellStyle name="常规 6 6 2 2 8" xfId="24239" xr:uid="{A1E4F79A-5385-4790-B1AD-AB8E3F45F510}"/>
    <cellStyle name="常规 6 6 2 3" xfId="24240" xr:uid="{F261473A-B8CF-4503-91AB-92F760B79059}"/>
    <cellStyle name="常规 6 6 2 3 2" xfId="24241" xr:uid="{50AC753C-AEC9-41CD-9C20-BCCBA2B8AEE5}"/>
    <cellStyle name="常规 6 6 2 4" xfId="24242" xr:uid="{2FF1C389-C354-4705-895B-D97DE8235B1A}"/>
    <cellStyle name="常规 6 6 2 4 2" xfId="24243" xr:uid="{2FE4683D-5237-489A-9CB1-9FB09B6B909D}"/>
    <cellStyle name="常规 6 6 2 4 3" xfId="34546" xr:uid="{2A09992C-0AC2-4A9D-8270-A745F8EBE806}"/>
    <cellStyle name="常规 6 6 2 5" xfId="24244" xr:uid="{9BE409CC-FB35-4A41-9A2B-9F3657D8AC7A}"/>
    <cellStyle name="常规 6 6 2 6" xfId="24245" xr:uid="{51AC741B-0570-492F-B713-A536B8B43894}"/>
    <cellStyle name="常规 6 6 2 7" xfId="24246" xr:uid="{DC5B1C37-337C-45B4-B4DA-34552AAF382E}"/>
    <cellStyle name="常规 6 6 2 8" xfId="24247" xr:uid="{49686FA8-FFAD-4329-ACDE-2EDC2516AFFC}"/>
    <cellStyle name="常规 6 6 3" xfId="24248" xr:uid="{11A361BC-DF61-4CEF-91D5-9610FBBEEE6D}"/>
    <cellStyle name="常规 6 6 3 2" xfId="24249" xr:uid="{2096B061-4AD3-478A-AF8C-EE0F8C25EA1B}"/>
    <cellStyle name="常规 6 6 3 2 2" xfId="24250" xr:uid="{1691B484-925D-404A-BB82-5FD974F55130}"/>
    <cellStyle name="常规 6 6 3 2 3" xfId="24251" xr:uid="{6DDF87E4-0892-4682-9D4D-35373062B6B1}"/>
    <cellStyle name="常规 6 6 3 2 4" xfId="24252" xr:uid="{BB9CA334-F277-4021-954B-1DF7EC46457B}"/>
    <cellStyle name="常规 6 6 3 2 5" xfId="24253" xr:uid="{38ED6B24-DC32-44D8-9591-F9B35BD0ACAC}"/>
    <cellStyle name="常规 6 6 3 2 6" xfId="24254" xr:uid="{1D2BCF85-9102-43A2-8899-234B88866DE7}"/>
    <cellStyle name="常规 6 6 3 2 7" xfId="24255" xr:uid="{B7599B8A-0567-4D7C-BA6D-4A27146924B5}"/>
    <cellStyle name="常规 6 6 3 3" xfId="24256" xr:uid="{083356AB-F1BA-4FF2-9DDE-08BA1D6D8F92}"/>
    <cellStyle name="常规 6 6 3 4" xfId="24257" xr:uid="{396C2A10-AD70-4F95-BDBD-5514D72CAA04}"/>
    <cellStyle name="常规 6 6 3 5" xfId="24258" xr:uid="{5D50FC30-B5F2-477D-8093-3A6D901FF0AF}"/>
    <cellStyle name="常规 6 6 3 6" xfId="24259" xr:uid="{3F06487B-7302-48DD-A4AA-250F8BFEF3C6}"/>
    <cellStyle name="常规 6 6 3 7" xfId="24260" xr:uid="{E1F2267B-15B5-4B9B-AC2C-4C80810893BA}"/>
    <cellStyle name="常规 6 6 3 8" xfId="24261" xr:uid="{3B1E3EC0-629C-4E6B-9527-A456EEE649AD}"/>
    <cellStyle name="常规 6 6 4" xfId="24262" xr:uid="{2C280316-1391-47DB-9B62-5ED528013E19}"/>
    <cellStyle name="常规 6 6 4 2" xfId="24263" xr:uid="{185DE6E5-B229-4F68-9C2C-7C94267E67D5}"/>
    <cellStyle name="常规 6 6 4 2 2" xfId="24264" xr:uid="{24880DF3-DC3C-44F8-9741-E06865E70701}"/>
    <cellStyle name="常规 6 6 4 2 3" xfId="24265" xr:uid="{8A913E61-3D78-4C2B-B686-2B9A23A3212E}"/>
    <cellStyle name="常规 6 6 4 2 4" xfId="24266" xr:uid="{8901AE35-8102-40EF-BAC5-1DEF3446A7B2}"/>
    <cellStyle name="常规 6 6 4 2 5" xfId="24267" xr:uid="{814222C0-2E87-4FEB-9C20-8ED297153725}"/>
    <cellStyle name="常规 6 6 4 2 6" xfId="24268" xr:uid="{B3B26202-5A74-42E2-8B60-E50FA37A10AE}"/>
    <cellStyle name="常规 6 6 4 3" xfId="24269" xr:uid="{52A8CE03-6BA7-4191-99B2-327563512CEA}"/>
    <cellStyle name="常规 6 6 4 4" xfId="24270" xr:uid="{F447AB73-91EF-443A-A333-9D4CEF3B2D1D}"/>
    <cellStyle name="常规 6 6 4 5" xfId="24271" xr:uid="{9E8FEC16-31A9-41D5-A183-99A078B106F1}"/>
    <cellStyle name="常规 6 6 4 6" xfId="24272" xr:uid="{314003E2-86C7-4615-9BEC-1FAF7E30D885}"/>
    <cellStyle name="常规 6 6 4 7" xfId="24273" xr:uid="{F49E5078-BC3C-4869-A0B0-60DFB39725D9}"/>
    <cellStyle name="常规 6 6 4 8" xfId="24274" xr:uid="{27CCB0E3-E347-44B1-8058-058CE0E25E14}"/>
    <cellStyle name="常规 6 6 4 9" xfId="24275" xr:uid="{084FAFF5-9CEB-4958-BE7E-B9DE83AB96C7}"/>
    <cellStyle name="常规 6 6 5" xfId="24276" xr:uid="{94402008-7372-48CD-999F-187A08F86C74}"/>
    <cellStyle name="常规 6 6 5 2" xfId="24277" xr:uid="{C1DF6425-B436-4BDA-9398-505DA84A931A}"/>
    <cellStyle name="常规 6 6 5 2 2" xfId="24278" xr:uid="{AFF3324E-479C-4DB9-B104-644915B26F7F}"/>
    <cellStyle name="常规 6 6 5 2 3" xfId="24279" xr:uid="{A001F676-6B8E-4349-9A58-97A2137208DA}"/>
    <cellStyle name="常规 6 6 5 2 4" xfId="24280" xr:uid="{90719A3F-4040-460A-9DFF-D4C260E879E7}"/>
    <cellStyle name="常规 6 6 5 2 5" xfId="24281" xr:uid="{8020EC67-B55A-434C-9837-A6F9D6029093}"/>
    <cellStyle name="常规 6 6 5 2 6" xfId="24282" xr:uid="{B1A3B760-441C-4FA4-A967-DDAB253A076C}"/>
    <cellStyle name="常规 6 6 5 3" xfId="24283" xr:uid="{E2B877D7-D550-483D-884C-1D21AE5E8684}"/>
    <cellStyle name="常规 6 6 5 4" xfId="24284" xr:uid="{91B8B7DE-C197-4FA9-8F1A-3014B2362165}"/>
    <cellStyle name="常规 6 6 5 5" xfId="24285" xr:uid="{6CCE4FC2-1DA4-4C29-8467-6F0F5841AB37}"/>
    <cellStyle name="常规 6 6 5 6" xfId="24286" xr:uid="{B2D042FF-CE93-44A7-B9E8-5668203ECC21}"/>
    <cellStyle name="常规 6 6 5 7" xfId="24287" xr:uid="{86D626B4-4EE9-45BF-BAAD-FF5B69D7CDFA}"/>
    <cellStyle name="常规 6 6 5 8" xfId="24288" xr:uid="{031D98E0-5858-4CE0-8F6A-EC29EB641901}"/>
    <cellStyle name="常规 6 6 6" xfId="24289" xr:uid="{6B18957F-9194-4A87-A665-D5DFB3A8AAB8}"/>
    <cellStyle name="常规 6 6 6 2" xfId="24290" xr:uid="{E84C280C-190A-4F73-ABE3-9612017538EF}"/>
    <cellStyle name="常规 6 6 6 2 2" xfId="24291" xr:uid="{F55A622C-4D23-4FA9-8DD2-AA9EDA10A155}"/>
    <cellStyle name="常规 6 6 6 2 3" xfId="24292" xr:uid="{AB955C59-2C26-4336-91C9-296A9E7455B0}"/>
    <cellStyle name="常规 6 6 6 2 4" xfId="24293" xr:uid="{443FFA56-E18F-40F3-9B3E-1455A6240DCB}"/>
    <cellStyle name="常规 6 6 6 2 5" xfId="24294" xr:uid="{B2CF31A3-113C-42FF-9E51-140C8AF95940}"/>
    <cellStyle name="常规 6 6 6 2 6" xfId="24295" xr:uid="{2DC2018A-0399-4D75-9012-993AA5C4535F}"/>
    <cellStyle name="常规 6 6 6 3" xfId="24296" xr:uid="{FF2CACE3-A32E-49A7-AE79-0939A2D7369A}"/>
    <cellStyle name="常规 6 6 6 4" xfId="24297" xr:uid="{A33D0AC7-A6BF-4948-92E3-9925C4735324}"/>
    <cellStyle name="常规 6 6 6 5" xfId="24298" xr:uid="{33B195C5-995E-45E0-ADF7-B9905C82B97B}"/>
    <cellStyle name="常规 6 6 6 6" xfId="24299" xr:uid="{D7290549-5FFC-47C3-A213-53B1756FC190}"/>
    <cellStyle name="常规 6 6 6 7" xfId="24300" xr:uid="{323A5A60-4C02-41EA-A23A-CE6CAAE3195A}"/>
    <cellStyle name="常规 6 6 6 8" xfId="24301" xr:uid="{CC253C40-4269-4974-A80F-B0EA9166B015}"/>
    <cellStyle name="常规 6 6 6 9" xfId="34547" xr:uid="{3742E828-0F1A-477B-96EF-E8402E6E9DAB}"/>
    <cellStyle name="常规 6 6 7" xfId="24302" xr:uid="{1850787F-A5EA-499A-A8CF-A9E14A0C6C32}"/>
    <cellStyle name="常规 6 6 7 2" xfId="24303" xr:uid="{14E3C364-A943-47AF-B116-BD99C680D671}"/>
    <cellStyle name="常规 6 6 7 2 2" xfId="24304" xr:uid="{E57AC630-3D16-463C-A519-7ED9D8133FFF}"/>
    <cellStyle name="常规 6 6 7 2 3" xfId="24305" xr:uid="{7C2D84E2-A63C-482E-BB47-97217B9029CD}"/>
    <cellStyle name="常规 6 6 7 2 4" xfId="24306" xr:uid="{8589B905-E5B6-4D40-9EEB-9DDF85BF83CA}"/>
    <cellStyle name="常规 6 6 7 2 5" xfId="24307" xr:uid="{E22022EF-3A51-43BB-94EF-F58C2DA309CC}"/>
    <cellStyle name="常规 6 6 7 2 6" xfId="24308" xr:uid="{58EDC2D3-1E91-40F0-90DD-B124D2C42405}"/>
    <cellStyle name="常规 6 6 7 3" xfId="24309" xr:uid="{B59EC47A-0B45-4F76-973C-A51CC8F18B8C}"/>
    <cellStyle name="常规 6 6 7 4" xfId="24310" xr:uid="{D5BC16C8-32D2-42C7-98F4-BA0CACAC68B3}"/>
    <cellStyle name="常规 6 6 7 5" xfId="24311" xr:uid="{76966F6A-A941-40FD-8052-0984C44E31D8}"/>
    <cellStyle name="常规 6 6 7 6" xfId="24312" xr:uid="{EC0675A7-6908-45A4-97F7-4C82B52BEC26}"/>
    <cellStyle name="常规 6 6 7 7" xfId="24313" xr:uid="{C4AA67A1-0588-4BAC-837A-441503DD030E}"/>
    <cellStyle name="常规 6 6 8" xfId="24314" xr:uid="{E6B0CC01-7E1B-4B9F-8F8A-1942EC3C1763}"/>
    <cellStyle name="常规 6 6 8 2" xfId="24315" xr:uid="{D4648D45-52CC-498B-A44A-71499CF18EB2}"/>
    <cellStyle name="常规 6 6 8 2 2" xfId="24316" xr:uid="{2491DA72-CEA2-4488-856D-87C4C1B807DE}"/>
    <cellStyle name="常规 6 6 8 2 3" xfId="24317" xr:uid="{BA632F51-9926-4CE0-9238-DA7E604A1432}"/>
    <cellStyle name="常规 6 6 8 2 4" xfId="24318" xr:uid="{F38F7EAB-4FDE-4BF8-8B7C-46B7B0746D0E}"/>
    <cellStyle name="常规 6 6 8 2 5" xfId="24319" xr:uid="{397A7369-9E44-4C5B-A5CE-971AE47B1006}"/>
    <cellStyle name="常规 6 6 8 2 6" xfId="24320" xr:uid="{F894CDF4-A2FC-42CF-AE30-CFB0557C1648}"/>
    <cellStyle name="常规 6 6 8 3" xfId="24321" xr:uid="{A00D6ECA-82A7-4871-9B41-F10364312556}"/>
    <cellStyle name="常规 6 6 8 4" xfId="24322" xr:uid="{7304EB23-2DD3-4775-9A83-1F846B4AAF78}"/>
    <cellStyle name="常规 6 6 8 5" xfId="24323" xr:uid="{B078ACFC-CE79-4CBD-A1DE-D2E1C7C5747D}"/>
    <cellStyle name="常规 6 6 8 6" xfId="24324" xr:uid="{882DDFEE-0EFF-44EA-BA20-4AACCBE0AA99}"/>
    <cellStyle name="常规 6 6 8 7" xfId="24325" xr:uid="{AB452298-8011-41D1-8257-34CFFCB75518}"/>
    <cellStyle name="常规 6 6 9" xfId="24326" xr:uid="{C3096876-523D-40E7-8BAF-84343ACA214F}"/>
    <cellStyle name="常规 6 6 9 2" xfId="24327" xr:uid="{1642A44A-5EAB-4A8D-9B9F-0A5BBF2CCCB9}"/>
    <cellStyle name="常规 6 6 9 2 2" xfId="24328" xr:uid="{C2163D43-1109-4CFD-8E04-EE8291E27F6F}"/>
    <cellStyle name="常规 6 6 9 2 3" xfId="24329" xr:uid="{8E520E8C-2EED-472A-806B-9283F892743E}"/>
    <cellStyle name="常规 6 6 9 2 4" xfId="24330" xr:uid="{3A07CEBD-6CF8-46EE-87EB-CF36C9AC25CC}"/>
    <cellStyle name="常规 6 6 9 2 5" xfId="24331" xr:uid="{C05761E8-4C7E-41BD-8227-936999055691}"/>
    <cellStyle name="常规 6 6 9 2 6" xfId="24332" xr:uid="{9363D6D7-C883-4648-B04C-AD4D27D61B1B}"/>
    <cellStyle name="常规 6 6 9 3" xfId="24333" xr:uid="{F229C0CE-6636-4625-99AD-FBE62D17DBA2}"/>
    <cellStyle name="常规 6 6 9 4" xfId="24334" xr:uid="{EEF95A09-08BC-4E20-9BF8-E6947A9E6DF6}"/>
    <cellStyle name="常规 6 6 9 5" xfId="24335" xr:uid="{A7374606-223F-4C40-9E06-7B92A6404C5B}"/>
    <cellStyle name="常规 6 6 9 6" xfId="24336" xr:uid="{F7469CBD-21FB-4C36-B1D2-BCAD7261B9F0}"/>
    <cellStyle name="常规 6 6 9 7" xfId="24337" xr:uid="{9CF1103C-2E00-470E-9DE0-BEAA0BAEB633}"/>
    <cellStyle name="常规 6 7" xfId="24338" xr:uid="{82A5DCB3-025D-42D4-9C39-F6FD95092280}"/>
    <cellStyle name="常规 6 7 10" xfId="24339" xr:uid="{59203237-98B1-4008-AF79-18F5B942F25F}"/>
    <cellStyle name="常规 6 7 2" xfId="24340" xr:uid="{3215C180-75C3-42B0-A6F5-B39A7AF21D48}"/>
    <cellStyle name="常规 6 7 2 2" xfId="24341" xr:uid="{0EF2E2C1-3A2A-4EE8-822E-60E610442FC3}"/>
    <cellStyle name="常规 6 7 2 2 2" xfId="24342" xr:uid="{9A0954F0-B74D-42C7-97B8-83D0557F8802}"/>
    <cellStyle name="常规 6 7 2 2 3" xfId="24343" xr:uid="{18C4A2EF-6338-4EF9-9CFD-CC7F7838EC4A}"/>
    <cellStyle name="常规 6 7 2 2 4" xfId="24344" xr:uid="{761FBB7C-A815-44B3-8A5A-A58ABFC1BAAF}"/>
    <cellStyle name="常规 6 7 2 2 5" xfId="24345" xr:uid="{EDF963CD-7DED-43CB-B667-EC397BE910AB}"/>
    <cellStyle name="常规 6 7 2 2 6" xfId="24346" xr:uid="{8DA67DE6-F86F-4187-AF0B-A040F3E6095F}"/>
    <cellStyle name="常规 6 7 2 3" xfId="24347" xr:uid="{04F1A70F-4174-463B-8C10-E406F6C56B7B}"/>
    <cellStyle name="常规 6 7 2 4" xfId="24348" xr:uid="{060EDCC7-1ED2-4FE3-8FAE-6C0E05DF95E6}"/>
    <cellStyle name="常规 6 7 2 5" xfId="24349" xr:uid="{679DADA5-2661-42F5-9214-2FA7DA11D827}"/>
    <cellStyle name="常规 6 7 2 6" xfId="24350" xr:uid="{3E740739-9AF5-4B58-B435-1C01B6B07431}"/>
    <cellStyle name="常规 6 7 2 7" xfId="24351" xr:uid="{1D2ACC0A-6F7B-4E28-A505-CBD9C46F10F2}"/>
    <cellStyle name="常规 6 7 2 8" xfId="24352" xr:uid="{4D600EFC-EE0D-4AEA-81CF-EEA4D56F923B}"/>
    <cellStyle name="常规 6 7 3" xfId="24353" xr:uid="{2736C90D-0909-4DCE-8129-032EBAED8253}"/>
    <cellStyle name="常规 6 7 3 2" xfId="24354" xr:uid="{FC04051E-8CD3-4826-99C4-61201806DD3B}"/>
    <cellStyle name="常规 6 7 3 2 2" xfId="24355" xr:uid="{BEDA0DCE-9FF3-43DA-9DE5-74461DDDE1A5}"/>
    <cellStyle name="常规 6 7 3 2 3" xfId="24356" xr:uid="{D222FC38-0FCD-465B-9E3F-25074A75BF63}"/>
    <cellStyle name="常规 6 7 3 2 4" xfId="24357" xr:uid="{497C02C3-D592-407C-AF23-60EDB3C89EC4}"/>
    <cellStyle name="常规 6 7 3 2 5" xfId="24358" xr:uid="{EB4BCCFB-843F-4363-B09A-8A1D10E30C32}"/>
    <cellStyle name="常规 6 7 3 2 6" xfId="24359" xr:uid="{54E22715-3F0B-40B2-A9BF-79D80CE2769B}"/>
    <cellStyle name="常规 6 7 3 3" xfId="24360" xr:uid="{2FE5E588-1ECB-4055-821A-9A2DC8DBADB4}"/>
    <cellStyle name="常规 6 7 3 4" xfId="24361" xr:uid="{3A313F4A-A902-4324-BDCD-26EB8B18D075}"/>
    <cellStyle name="常规 6 7 3 5" xfId="24362" xr:uid="{BE88DE2B-7DAC-4727-929F-D631B2A82552}"/>
    <cellStyle name="常规 6 7 3 6" xfId="24363" xr:uid="{84A3B391-A959-4AB5-A656-34D72577F208}"/>
    <cellStyle name="常规 6 7 3 7" xfId="24364" xr:uid="{065E65B0-BE7A-452C-A02D-6A4ACD7C5D63}"/>
    <cellStyle name="常规 6 7 3 8" xfId="24365" xr:uid="{EFFDC2A6-6374-4CBE-BF9B-2A3D1BE06CEC}"/>
    <cellStyle name="常规 6 7 3 9" xfId="24366" xr:uid="{55458F40-269B-4064-92E7-1653338F04C7}"/>
    <cellStyle name="常规 6 7 4" xfId="24367" xr:uid="{C2FA2B1B-B2FE-4874-A322-CF99C2E7876F}"/>
    <cellStyle name="常规 6 7 4 2" xfId="24368" xr:uid="{A2AA0B93-8F6F-498E-9444-9CBD5A7FFA37}"/>
    <cellStyle name="常规 6 7 4 2 2" xfId="24369" xr:uid="{6497EE00-2249-4CC3-BE65-E962EB64B602}"/>
    <cellStyle name="常规 6 7 4 2 3" xfId="24370" xr:uid="{4485B14F-44BD-4271-A51F-453945F72281}"/>
    <cellStyle name="常规 6 7 4 2 4" xfId="24371" xr:uid="{4EDEE121-F62C-4C35-9682-E38F5B4D42C0}"/>
    <cellStyle name="常规 6 7 4 2 5" xfId="24372" xr:uid="{F08822B1-4A6C-4D2F-8673-7889417750F9}"/>
    <cellStyle name="常规 6 7 4 2 6" xfId="24373" xr:uid="{54CDEE94-C580-4165-93FF-3469723CA300}"/>
    <cellStyle name="常规 6 7 4 3" xfId="24374" xr:uid="{F15FF45A-6044-42BC-B3D2-4CCACC68A136}"/>
    <cellStyle name="常规 6 7 4 4" xfId="24375" xr:uid="{8F908BFA-964E-4170-BE78-4A7255D6A0E4}"/>
    <cellStyle name="常规 6 7 4 5" xfId="24376" xr:uid="{EC1AE34E-0CA1-45EA-8221-97ED5088D063}"/>
    <cellStyle name="常规 6 7 4 6" xfId="24377" xr:uid="{62BA7F0E-DB0F-45BF-9D3C-5B54CF78C72A}"/>
    <cellStyle name="常规 6 7 4 7" xfId="24378" xr:uid="{E1BC2FEE-2F74-4506-AB86-A5689A082A43}"/>
    <cellStyle name="常规 6 7 4 8" xfId="24379" xr:uid="{D811290C-EADC-46F5-A8E3-2804A33E6587}"/>
    <cellStyle name="常规 6 7 5" xfId="24380" xr:uid="{F6E4B359-8139-4D68-8D40-0BFFF708B80F}"/>
    <cellStyle name="常规 6 7 5 2" xfId="24381" xr:uid="{ADCA8EBB-AAED-4093-84F3-446B477DE088}"/>
    <cellStyle name="常规 6 7 5 2 2" xfId="24382" xr:uid="{7EB5C93E-0652-4322-BD50-1D791382A1B4}"/>
    <cellStyle name="常规 6 7 5 2 3" xfId="24383" xr:uid="{F099D3CA-3AEB-4761-99EF-B7675D61E965}"/>
    <cellStyle name="常规 6 7 5 2 4" xfId="24384" xr:uid="{D4E7604C-E5BE-4F68-9BBE-5D13275D1427}"/>
    <cellStyle name="常规 6 7 5 2 5" xfId="24385" xr:uid="{58EA5DE3-564A-4DDC-9678-7B4877F5EF70}"/>
    <cellStyle name="常规 6 7 5 2 6" xfId="24386" xr:uid="{307ADE5D-3699-4FF4-839A-F289FA495EC8}"/>
    <cellStyle name="常规 6 7 5 3" xfId="24387" xr:uid="{58647905-C3BA-47FD-A89B-BC7CFE09A8A6}"/>
    <cellStyle name="常规 6 7 5 4" xfId="24388" xr:uid="{445B2454-07B0-491C-AA24-FEA1E8D45948}"/>
    <cellStyle name="常规 6 7 5 5" xfId="24389" xr:uid="{02F9A34A-2BE7-4582-A790-479BD12AB154}"/>
    <cellStyle name="常规 6 7 5 6" xfId="24390" xr:uid="{9B9D1BE7-9C57-42AF-876A-716922E564FC}"/>
    <cellStyle name="常规 6 7 5 7" xfId="24391" xr:uid="{92EA3C9D-7470-4678-B003-E5E20FFA78AC}"/>
    <cellStyle name="常规 6 7 5 8" xfId="24392" xr:uid="{5851B3A7-68F0-40FC-9E06-3C5B38518C2E}"/>
    <cellStyle name="常规 6 7 5 9" xfId="34548" xr:uid="{69AFFCAA-C6DA-4F5B-AF3B-9F036C7B1CAC}"/>
    <cellStyle name="常规 6 7 6" xfId="24393" xr:uid="{DDBFDFBC-6E55-4180-9EC3-1CB0B09FB47D}"/>
    <cellStyle name="常规 6 7 6 2" xfId="24394" xr:uid="{7B52FDF6-35CE-4704-AD40-4DB261E654BF}"/>
    <cellStyle name="常规 6 7 6 2 2" xfId="24395" xr:uid="{4F5B264F-C878-4DCF-AB8F-B540444984C0}"/>
    <cellStyle name="常规 6 7 6 2 3" xfId="24396" xr:uid="{8410B048-E069-40EC-AAA7-50F82FEB7F08}"/>
    <cellStyle name="常规 6 7 6 2 4" xfId="24397" xr:uid="{355B17FE-890F-408F-95CC-89CFAC5DC93B}"/>
    <cellStyle name="常规 6 7 6 2 5" xfId="24398" xr:uid="{6E1F7176-2915-4AF2-89C0-004DAA81316F}"/>
    <cellStyle name="常规 6 7 6 2 6" xfId="24399" xr:uid="{57515E13-9594-4B67-86DA-2AB7C9325414}"/>
    <cellStyle name="常规 6 7 6 3" xfId="24400" xr:uid="{40013D29-046A-440C-8B01-1147CD6936D8}"/>
    <cellStyle name="常规 6 7 6 4" xfId="24401" xr:uid="{7FE6110B-B146-465B-80EF-1949167E5E24}"/>
    <cellStyle name="常规 6 7 6 5" xfId="24402" xr:uid="{F1EDA8C2-CD12-4C41-B3B2-2664CD849B79}"/>
    <cellStyle name="常规 6 7 6 6" xfId="24403" xr:uid="{858CE392-8651-4762-A344-30CD77567890}"/>
    <cellStyle name="常规 6 7 6 7" xfId="24404" xr:uid="{E35B33B8-3584-4E69-A1A1-1BF8EF711AA3}"/>
    <cellStyle name="常规 6 7 7" xfId="24405" xr:uid="{3646E785-5B2E-41C5-AACB-DBC46D5DCC38}"/>
    <cellStyle name="常规 6 7 7 2" xfId="24406" xr:uid="{8CE0AFA4-AC93-4DB9-95B9-F57B256AE832}"/>
    <cellStyle name="常规 6 7 7 2 2" xfId="24407" xr:uid="{16CF670E-D785-4D09-ACFE-C98C63740D81}"/>
    <cellStyle name="常规 6 7 7 2 3" xfId="24408" xr:uid="{0D7D0F80-1234-40C7-980E-D9DA4FD0BFBA}"/>
    <cellStyle name="常规 6 7 7 2 4" xfId="24409" xr:uid="{312E0920-2F79-4B8F-AFBD-618EF366EBE7}"/>
    <cellStyle name="常规 6 7 7 2 5" xfId="24410" xr:uid="{00B069A0-E3BB-41C4-94D6-A35DCC9D5FF8}"/>
    <cellStyle name="常规 6 7 7 2 6" xfId="24411" xr:uid="{BDA91E3D-789E-48C3-A1F8-1D44846BE8B5}"/>
    <cellStyle name="常规 6 7 7 3" xfId="24412" xr:uid="{31CF31AE-AF9A-4C96-A9D6-A912E3F0D08D}"/>
    <cellStyle name="常规 6 7 7 4" xfId="24413" xr:uid="{A2F9F81B-F54A-4466-8F30-CBD7EC14BC3D}"/>
    <cellStyle name="常规 6 7 7 5" xfId="24414" xr:uid="{37E8EEA4-A1DA-498B-B18F-3D69E1A265D8}"/>
    <cellStyle name="常规 6 7 7 6" xfId="24415" xr:uid="{3DB2629E-ABAC-467B-AA81-73614195BE09}"/>
    <cellStyle name="常规 6 7 7 7" xfId="24416" xr:uid="{0074980F-A0F5-45E0-BCA2-0EA6957B81D0}"/>
    <cellStyle name="常规 6 7 8" xfId="24417" xr:uid="{93BF0F66-83A0-40FA-8529-04AD7E8D7CA1}"/>
    <cellStyle name="常规 6 7 8 2" xfId="24418" xr:uid="{F8ED7CBA-445B-4547-8352-F0D790F606F9}"/>
    <cellStyle name="常规 6 7 8 2 2" xfId="24419" xr:uid="{7089A8F1-A867-421D-B438-A21E02031162}"/>
    <cellStyle name="常规 6 7 8 2 3" xfId="24420" xr:uid="{8620E800-0073-4570-9A51-3BD772E1DA04}"/>
    <cellStyle name="常规 6 7 8 2 4" xfId="24421" xr:uid="{C4462EFB-1B0B-4FF8-9FE3-D05122A72F0A}"/>
    <cellStyle name="常规 6 7 8 2 5" xfId="24422" xr:uid="{D8D0D79A-21AB-47C2-A27E-958045E79B38}"/>
    <cellStyle name="常规 6 7 8 2 6" xfId="24423" xr:uid="{EA6D5F49-CBB6-4C34-A228-46F2D5E5FE2A}"/>
    <cellStyle name="常规 6 7 8 3" xfId="24424" xr:uid="{42C06767-6224-439B-B904-D94DB2EA6C85}"/>
    <cellStyle name="常规 6 7 8 4" xfId="24425" xr:uid="{63896721-DF87-4719-855E-8E2BA775E9AB}"/>
    <cellStyle name="常规 6 7 8 5" xfId="24426" xr:uid="{219CFDA2-1AE9-4A82-BAA6-130DB540260F}"/>
    <cellStyle name="常规 6 7 8 6" xfId="24427" xr:uid="{92A7862D-8ECE-486B-8F1B-FCB0B91EE1AC}"/>
    <cellStyle name="常规 6 7 8 7" xfId="24428" xr:uid="{773C1D94-0AC5-449F-82EE-64645F622BAA}"/>
    <cellStyle name="常规 6 7 9" xfId="24429" xr:uid="{7EE926B1-2755-41B6-B480-218D0D9D8C04}"/>
    <cellStyle name="常规 6 7 9 2" xfId="24430" xr:uid="{6AAD2304-CBEC-4AF4-93F3-315CF0634B72}"/>
    <cellStyle name="常规 6 7 9 2 2" xfId="24431" xr:uid="{E0ECB2A9-E42D-46FA-A6A2-9E5DD5B0D3F2}"/>
    <cellStyle name="常规 6 7 9 2 3" xfId="24432" xr:uid="{608B792F-DABC-4545-A7C2-E1D7C9C6FFCE}"/>
    <cellStyle name="常规 6 7 9 2 4" xfId="24433" xr:uid="{9906140E-491C-411B-B77E-9A193F9ECB5E}"/>
    <cellStyle name="常规 6 7 9 2 5" xfId="24434" xr:uid="{DB55507A-BD13-44D3-AC65-35410DEF1738}"/>
    <cellStyle name="常规 6 7 9 2 6" xfId="24435" xr:uid="{A77DCE7C-F0AB-4A76-929A-C98305A616F1}"/>
    <cellStyle name="常规 6 7 9 3" xfId="24436" xr:uid="{E4B972E6-E122-46D2-9363-EDFBD13FDB64}"/>
    <cellStyle name="常规 6 7 9 4" xfId="24437" xr:uid="{2301ED2C-6582-4022-AA78-33471E7FC909}"/>
    <cellStyle name="常规 6 7 9 5" xfId="24438" xr:uid="{AB0A44BA-79EA-4DCE-98CF-63BDCAE2D095}"/>
    <cellStyle name="常规 6 7 9 6" xfId="24439" xr:uid="{57C0F86E-B5FE-4708-BEBD-94A0D98FF79D}"/>
    <cellStyle name="常规 6 7 9 7" xfId="24440" xr:uid="{A203BC12-7072-4F8B-BC00-146BFDFB5A03}"/>
    <cellStyle name="常规 6 8" xfId="24441" xr:uid="{8C0959EA-AA35-4B11-9DC9-71679FED2451}"/>
    <cellStyle name="常规 6 8 10" xfId="24442" xr:uid="{D1BD3D05-0079-4849-B753-A8DEF6B7548D}"/>
    <cellStyle name="常规 6 8 11" xfId="24443" xr:uid="{ABEF8677-62F0-40F4-BA66-DFB38E623A3D}"/>
    <cellStyle name="常规 6 8 12" xfId="24444" xr:uid="{C34FA671-11EB-4615-90CE-44591E0AF47C}"/>
    <cellStyle name="常规 6 8 13" xfId="24445" xr:uid="{12F05339-C18F-4A5C-9D48-929AB824A51D}"/>
    <cellStyle name="常规 6 8 14" xfId="24446" xr:uid="{9D3CC555-0666-4CFE-A979-9F86307B6D44}"/>
    <cellStyle name="常规 6 8 15" xfId="24447" xr:uid="{6FCA9409-8044-4AD5-8023-812FAEB6F184}"/>
    <cellStyle name="常规 6 8 2" xfId="24448" xr:uid="{B2CAD64B-84A1-4BAC-AB9E-5FBBBEE737F4}"/>
    <cellStyle name="常规 6 8 2 2" xfId="24449" xr:uid="{5058CC0B-34CE-48DB-9FA4-B82D825AAE80}"/>
    <cellStyle name="常规 6 8 2 2 2" xfId="24450" xr:uid="{E6D1660F-78F2-451D-A4A3-809F41A11A15}"/>
    <cellStyle name="常规 6 8 2 2 3" xfId="24451" xr:uid="{388EE299-DBAD-4514-AB1D-D0E4115E5E73}"/>
    <cellStyle name="常规 6 8 2 2 4" xfId="24452" xr:uid="{E5E20B62-FB0A-47A6-B522-F1FDA5805002}"/>
    <cellStyle name="常规 6 8 2 2 5" xfId="24453" xr:uid="{82FCE231-4ED4-4620-B04C-B5FFF5753EEF}"/>
    <cellStyle name="常规 6 8 2 2 6" xfId="24454" xr:uid="{5B086AE8-E7FE-4ACE-85C9-5B37FC175BEC}"/>
    <cellStyle name="常规 6 8 2 2 7" xfId="24455" xr:uid="{C20383B3-281C-4A44-AC96-63CDA6D59BD4}"/>
    <cellStyle name="常规 6 8 2 2 8" xfId="24456" xr:uid="{D017D904-2F4F-423B-996E-56B5B43DD4B8}"/>
    <cellStyle name="常规 6 8 2 3" xfId="24457" xr:uid="{C89D7FCA-C48A-4FA5-8E19-0D23C2493289}"/>
    <cellStyle name="常规 6 8 2 3 2" xfId="24458" xr:uid="{C4252680-0E29-4017-85A7-F165D789353E}"/>
    <cellStyle name="常规 6 8 2 4" xfId="24459" xr:uid="{58815FB4-DE66-4410-83C3-253264821662}"/>
    <cellStyle name="常规 6 8 2 4 2" xfId="24460" xr:uid="{66E6FC21-D2DD-4AC0-A85A-11BAD7EC7B61}"/>
    <cellStyle name="常规 6 8 2 4 3" xfId="34549" xr:uid="{6259F86A-655F-49C3-A3E9-91A57F9D6282}"/>
    <cellStyle name="常规 6 8 2 5" xfId="24461" xr:uid="{E8D0F195-FBF5-4E67-8FE6-5CC29749C820}"/>
    <cellStyle name="常规 6 8 2 6" xfId="24462" xr:uid="{90554B86-01E4-45B1-AE2C-0F9F493B8BD7}"/>
    <cellStyle name="常规 6 8 2 7" xfId="24463" xr:uid="{72CA3C86-9593-4627-A728-4F06BDC994D0}"/>
    <cellStyle name="常规 6 8 2 8" xfId="24464" xr:uid="{4DBAEC67-3ED8-4BA4-9C51-589AA793CEFC}"/>
    <cellStyle name="常规 6 8 3" xfId="24465" xr:uid="{11F97D68-8019-4677-A720-3ACF4BBE5B04}"/>
    <cellStyle name="常规 6 8 3 2" xfId="24466" xr:uid="{504FCCB9-2677-491F-B7EB-840A7E5C4549}"/>
    <cellStyle name="常规 6 8 3 2 2" xfId="24467" xr:uid="{1B175B9F-E55C-4110-A157-809DE985896E}"/>
    <cellStyle name="常规 6 8 3 2 3" xfId="24468" xr:uid="{22BC0AF2-3D77-4654-9528-7A834F3F0CD1}"/>
    <cellStyle name="常规 6 8 3 2 4" xfId="24469" xr:uid="{E3C18A5F-BC6A-4ABC-A23F-79AF76C367A3}"/>
    <cellStyle name="常规 6 8 3 2 5" xfId="24470" xr:uid="{B8D04F1B-0C19-4782-A0EE-390C3C2F9CDC}"/>
    <cellStyle name="常规 6 8 3 2 6" xfId="24471" xr:uid="{EA9FFB86-3E31-4862-B399-94858D9BA2DD}"/>
    <cellStyle name="常规 6 8 3 3" xfId="24472" xr:uid="{3519F2CA-CCCC-4BDF-A0F7-E2F208B64D41}"/>
    <cellStyle name="常规 6 8 3 4" xfId="24473" xr:uid="{7B625198-424A-40E0-B3E8-AE4430DCB36E}"/>
    <cellStyle name="常规 6 8 3 5" xfId="24474" xr:uid="{CF40AE10-AAD4-4D6D-8535-A5483750C898}"/>
    <cellStyle name="常规 6 8 3 6" xfId="24475" xr:uid="{38756458-81B5-4970-BAD5-E56B448ED52F}"/>
    <cellStyle name="常规 6 8 3 7" xfId="24476" xr:uid="{A730E283-FC64-4D97-909E-4A10336EA0E0}"/>
    <cellStyle name="常规 6 8 3 8" xfId="24477" xr:uid="{03FCC940-EC90-44B8-A072-46B384844306}"/>
    <cellStyle name="常规 6 8 3 9" xfId="24478" xr:uid="{B5F1A382-FF02-4AAB-93B4-5F760AE24F4B}"/>
    <cellStyle name="常规 6 8 4" xfId="24479" xr:uid="{FAF5B0EB-98BF-4F40-83B6-C308C67A9B9C}"/>
    <cellStyle name="常规 6 8 4 2" xfId="24480" xr:uid="{57E9BA70-610E-421E-BEA8-15D1DAD4C7E4}"/>
    <cellStyle name="常规 6 8 4 2 2" xfId="24481" xr:uid="{95DE4B9C-A90A-43B0-B867-9523DBF0D8CC}"/>
    <cellStyle name="常规 6 8 4 2 3" xfId="24482" xr:uid="{9E9AB505-7336-44BB-8933-27D23F1773C3}"/>
    <cellStyle name="常规 6 8 4 2 4" xfId="24483" xr:uid="{E069E1A6-4CAE-4117-A79E-E694FEE06682}"/>
    <cellStyle name="常规 6 8 4 2 5" xfId="24484" xr:uid="{AB7ED7E8-6221-4971-9065-2F12A8A4C3B9}"/>
    <cellStyle name="常规 6 8 4 2 6" xfId="24485" xr:uid="{EA233808-6B6F-42AF-94BE-F221FAA9DE25}"/>
    <cellStyle name="常规 6 8 4 3" xfId="24486" xr:uid="{74BB3967-04AD-4B22-ACA0-3F4E93C7A0D0}"/>
    <cellStyle name="常规 6 8 4 4" xfId="24487" xr:uid="{51738696-1E8A-4144-AA44-3999630EC56F}"/>
    <cellStyle name="常规 6 8 4 5" xfId="24488" xr:uid="{2AAB303D-8D55-4B61-BDAD-F3C7B44CD760}"/>
    <cellStyle name="常规 6 8 4 6" xfId="24489" xr:uid="{2467C79D-A261-498A-B145-7CEBEB3EDF51}"/>
    <cellStyle name="常规 6 8 4 7" xfId="24490" xr:uid="{4B82BCEC-232F-4908-8178-FEE4073E2CA8}"/>
    <cellStyle name="常规 6 8 4 8" xfId="24491" xr:uid="{67D25B66-6B63-446E-ABAE-106BBF5DD969}"/>
    <cellStyle name="常规 6 8 5" xfId="24492" xr:uid="{0DC4EF02-D70F-4096-9731-3620F89B9A68}"/>
    <cellStyle name="常规 6 8 5 2" xfId="24493" xr:uid="{CD9B7D61-D1DD-4934-9913-26360093F0B3}"/>
    <cellStyle name="常规 6 8 5 2 2" xfId="24494" xr:uid="{54768119-EFB1-4045-BBDC-3328E1A335C0}"/>
    <cellStyle name="常规 6 8 5 2 3" xfId="24495" xr:uid="{2E2B32EC-1039-4996-B933-696BA3BBCF2D}"/>
    <cellStyle name="常规 6 8 5 2 4" xfId="24496" xr:uid="{3C57217E-9915-47D2-9290-70484E70FFAA}"/>
    <cellStyle name="常规 6 8 5 2 5" xfId="24497" xr:uid="{DBF7617C-5267-45AE-A4CA-F124926649B5}"/>
    <cellStyle name="常规 6 8 5 2 6" xfId="24498" xr:uid="{0C9112B4-FC93-4E89-85FE-E58DF253D645}"/>
    <cellStyle name="常规 6 8 5 3" xfId="24499" xr:uid="{1650CD10-7CAD-40B6-B3A0-3C374FF59C3E}"/>
    <cellStyle name="常规 6 8 5 4" xfId="24500" xr:uid="{67F3EB75-E029-4CF8-95E4-10AF7209AC69}"/>
    <cellStyle name="常规 6 8 5 5" xfId="24501" xr:uid="{7E0F2386-76AD-4958-BC95-00D83B687F79}"/>
    <cellStyle name="常规 6 8 5 6" xfId="24502" xr:uid="{F2619329-9941-48E8-B367-4D316B9EAAF8}"/>
    <cellStyle name="常规 6 8 5 7" xfId="24503" xr:uid="{0EB7368F-AF84-4C91-B778-EF51387FE799}"/>
    <cellStyle name="常规 6 8 5 8" xfId="24504" xr:uid="{8F59BBF0-4173-4147-BEC6-D6DEAD2D84A3}"/>
    <cellStyle name="常规 6 8 5 9" xfId="34550" xr:uid="{F2E84FB7-51CE-4B10-A857-887709F3CC76}"/>
    <cellStyle name="常规 6 8 6" xfId="24505" xr:uid="{38FED352-F935-4A48-968C-9D9B78181859}"/>
    <cellStyle name="常规 6 8 6 2" xfId="24506" xr:uid="{C4347242-B046-43C0-8937-66A3C695743A}"/>
    <cellStyle name="常规 6 8 6 2 2" xfId="24507" xr:uid="{8BA9992C-0F5F-4AF9-ACC7-53CABB01F2B6}"/>
    <cellStyle name="常规 6 8 6 2 3" xfId="24508" xr:uid="{06E1FB0D-6F45-4F6C-A648-04CE9EDD757B}"/>
    <cellStyle name="常规 6 8 6 2 4" xfId="24509" xr:uid="{73E63437-0385-4778-B288-DED5D101B818}"/>
    <cellStyle name="常规 6 8 6 2 5" xfId="24510" xr:uid="{14813882-84F7-4A97-A4F5-689BAE3D4CFA}"/>
    <cellStyle name="常规 6 8 6 2 6" xfId="24511" xr:uid="{3F7CA99E-AAD4-42BB-81E2-0A80085D76BA}"/>
    <cellStyle name="常规 6 8 6 3" xfId="24512" xr:uid="{7C7879EB-D3BC-451B-A5D8-0B9820F28DF0}"/>
    <cellStyle name="常规 6 8 6 4" xfId="24513" xr:uid="{156BA095-A7FC-4504-A8DC-FAB32324EE90}"/>
    <cellStyle name="常规 6 8 6 5" xfId="24514" xr:uid="{851F9D1B-0556-48C1-BD22-B685A950768E}"/>
    <cellStyle name="常规 6 8 6 6" xfId="24515" xr:uid="{39094507-B99A-4439-BE2E-2E6FB802C6C0}"/>
    <cellStyle name="常规 6 8 6 7" xfId="24516" xr:uid="{DB1988EE-5879-4090-A475-B39C7DF88EFF}"/>
    <cellStyle name="常规 6 8 7" xfId="24517" xr:uid="{2ECE216A-6108-49CA-9AD0-23139002EE4E}"/>
    <cellStyle name="常规 6 8 7 2" xfId="24518" xr:uid="{1ABA5C22-2F3B-4420-AB05-42D95B50C447}"/>
    <cellStyle name="常规 6 8 7 2 2" xfId="24519" xr:uid="{B88C6757-49F2-42F1-BDF6-89312549C8DE}"/>
    <cellStyle name="常规 6 8 7 2 3" xfId="24520" xr:uid="{4F159DE9-F258-450E-9EE1-B93142A8E0AB}"/>
    <cellStyle name="常规 6 8 7 2 4" xfId="24521" xr:uid="{282824A6-CEF9-4E0B-AD96-88869E76EA27}"/>
    <cellStyle name="常规 6 8 7 2 5" xfId="24522" xr:uid="{21A04F18-B226-4DD0-B043-C2837A3FB6A9}"/>
    <cellStyle name="常规 6 8 7 2 6" xfId="24523" xr:uid="{B68099FC-72FB-4318-A0E2-198EE905D357}"/>
    <cellStyle name="常规 6 8 7 3" xfId="24524" xr:uid="{E00D8276-D9E8-4E81-A204-F9B944597235}"/>
    <cellStyle name="常规 6 8 7 4" xfId="24525" xr:uid="{E7F7D898-3847-4A61-B4B2-5709AAF7E0C0}"/>
    <cellStyle name="常规 6 8 7 5" xfId="24526" xr:uid="{A5799F19-EB16-4E42-B35E-E85D1D1C5297}"/>
    <cellStyle name="常规 6 8 7 6" xfId="24527" xr:uid="{0BABF98A-7C09-4E0D-8906-204A2B157A19}"/>
    <cellStyle name="常规 6 8 7 7" xfId="24528" xr:uid="{CE9F176C-D183-4D00-A092-C493DD5D8FC2}"/>
    <cellStyle name="常规 6 8 8" xfId="24529" xr:uid="{CF138437-29FB-449C-B57B-9A041DBFD36D}"/>
    <cellStyle name="常规 6 8 8 2" xfId="24530" xr:uid="{364CCC48-3584-42E0-A6E9-802F6325E558}"/>
    <cellStyle name="常规 6 8 8 2 2" xfId="24531" xr:uid="{24783E4B-E1A2-458B-A106-8D32CCA66559}"/>
    <cellStyle name="常规 6 8 8 2 3" xfId="24532" xr:uid="{D30FEA37-814F-4676-8236-14A663514584}"/>
    <cellStyle name="常规 6 8 8 2 4" xfId="24533" xr:uid="{27B2EEE3-3053-4286-BDE2-7990221D5483}"/>
    <cellStyle name="常规 6 8 8 2 5" xfId="24534" xr:uid="{A374ADF0-3977-4625-86BA-9F4D2308CDBA}"/>
    <cellStyle name="常规 6 8 8 2 6" xfId="24535" xr:uid="{7DA9CBE5-3DE3-4A9A-807B-E454EBAD8BEC}"/>
    <cellStyle name="常规 6 8 8 3" xfId="24536" xr:uid="{8BA6D2FD-3E04-4DF2-9848-4B4F0DEF3945}"/>
    <cellStyle name="常规 6 8 8 4" xfId="24537" xr:uid="{E8915184-EDD2-4438-B29F-907B4543A5D3}"/>
    <cellStyle name="常规 6 8 8 5" xfId="24538" xr:uid="{C58E693A-99C8-4BC9-B088-5AE1F31488BD}"/>
    <cellStyle name="常规 6 8 8 6" xfId="24539" xr:uid="{15148689-EB1E-43CB-9891-B3DC3AFCF27B}"/>
    <cellStyle name="常规 6 8 8 7" xfId="24540" xr:uid="{28FC3DD3-8727-4AFC-81F9-66AFD509690E}"/>
    <cellStyle name="常规 6 8 9" xfId="24541" xr:uid="{DF238196-2C27-4DBF-8329-17EB045D9DBA}"/>
    <cellStyle name="常规 6 8 9 2" xfId="24542" xr:uid="{6B4F3460-D148-48D3-BC42-A96FA54CB60B}"/>
    <cellStyle name="常规 6 8 9 3" xfId="24543" xr:uid="{36E05E5F-1084-46C9-B48E-94ACD1B426E9}"/>
    <cellStyle name="常规 6 8 9 4" xfId="24544" xr:uid="{AF1C6592-DCC0-4114-9BF1-A04003AD24CF}"/>
    <cellStyle name="常规 6 8 9 5" xfId="24545" xr:uid="{2C3174CC-2217-4626-A644-72573952FE2B}"/>
    <cellStyle name="常规 6 8 9 6" xfId="24546" xr:uid="{8B3C2E47-8C00-4E63-B7E9-9AA3840B78D1}"/>
    <cellStyle name="常规 6 9" xfId="24547" xr:uid="{0C7E0375-9FDA-40CE-85F2-851A68EC9AEE}"/>
    <cellStyle name="常规 6 9 10" xfId="24548" xr:uid="{C9DA7857-EE98-448B-BE75-595B1C233B5F}"/>
    <cellStyle name="常规 6 9 11" xfId="24549" xr:uid="{3A7DD7AD-E3D7-4C5B-863F-9F8147F7C7A6}"/>
    <cellStyle name="常规 6 9 12" xfId="24550" xr:uid="{EBBF4EB1-98F3-49DB-864F-EF3A9BF9A7BC}"/>
    <cellStyle name="常规 6 9 13" xfId="24551" xr:uid="{DAB06FAF-3B51-4D86-AF28-78C788FFBB97}"/>
    <cellStyle name="常规 6 9 14" xfId="24552" xr:uid="{FB5E4588-8654-45C1-8918-C952E7028DDB}"/>
    <cellStyle name="常规 6 9 2" xfId="24553" xr:uid="{03C1BD1B-6994-4DF7-8131-114C430969D2}"/>
    <cellStyle name="常规 6 9 2 2" xfId="24554" xr:uid="{FACABA14-AB50-4510-924A-578803F62BBE}"/>
    <cellStyle name="常规 6 9 2 2 2" xfId="24555" xr:uid="{549B4D7C-3BD3-4B31-BA4B-DD608A0E3FC1}"/>
    <cellStyle name="常规 6 9 2 2 3" xfId="24556" xr:uid="{D59C4471-4303-482A-9082-A8D0AE622D3A}"/>
    <cellStyle name="常规 6 9 2 2 4" xfId="24557" xr:uid="{95D1D4C0-444E-4C64-858F-D25553B10968}"/>
    <cellStyle name="常规 6 9 2 2 5" xfId="24558" xr:uid="{E5228475-8080-4AEE-AA25-26075245D627}"/>
    <cellStyle name="常规 6 9 2 2 6" xfId="24559" xr:uid="{A779DA5F-9F53-4007-A231-5D14453C626C}"/>
    <cellStyle name="常规 6 9 2 3" xfId="24560" xr:uid="{A03A9660-EE8F-47BB-A84D-16E1042AAF77}"/>
    <cellStyle name="常规 6 9 2 4" xfId="24561" xr:uid="{A39C2ED3-9C2A-4B3C-AFB8-34A27DC7EC9B}"/>
    <cellStyle name="常规 6 9 2 5" xfId="24562" xr:uid="{27DA01F5-908A-4B4A-9850-A8F9B9B103A0}"/>
    <cellStyle name="常规 6 9 2 6" xfId="24563" xr:uid="{11918A05-382B-49AB-B10F-60FFECD1FAE0}"/>
    <cellStyle name="常规 6 9 2 7" xfId="24564" xr:uid="{344706A7-431D-4D65-89D5-F1A910D2AE33}"/>
    <cellStyle name="常规 6 9 2 8" xfId="24565" xr:uid="{EE56FBC3-FB9F-45B0-A66F-DF51A1EA5081}"/>
    <cellStyle name="常规 6 9 2 9" xfId="24566" xr:uid="{1DEA1649-E765-4578-8326-467529920128}"/>
    <cellStyle name="常规 6 9 3" xfId="24567" xr:uid="{9BD73DBF-C796-415E-94C3-CFD304BBFC3A}"/>
    <cellStyle name="常规 6 9 3 2" xfId="24568" xr:uid="{CB59F973-126D-44A6-B240-9E59020D88A9}"/>
    <cellStyle name="常规 6 9 3 2 2" xfId="24569" xr:uid="{97DE9117-C46F-4198-B52F-F59C9B4E3709}"/>
    <cellStyle name="常规 6 9 3 2 3" xfId="24570" xr:uid="{BAA8EAC7-9B7D-4E6E-A5F3-ABDCE0083E12}"/>
    <cellStyle name="常规 6 9 3 2 4" xfId="24571" xr:uid="{47652E2E-99BD-424E-B185-C0F0CE1871F7}"/>
    <cellStyle name="常规 6 9 3 2 5" xfId="24572" xr:uid="{8321B745-EB48-44C3-A6C5-DAEDFCB9FFFD}"/>
    <cellStyle name="常规 6 9 3 2 6" xfId="24573" xr:uid="{688FF5E2-0392-4969-9E0F-83E7B8D7A272}"/>
    <cellStyle name="常规 6 9 3 3" xfId="24574" xr:uid="{A746C817-8FE9-4F03-AB69-0B9DC3C702EC}"/>
    <cellStyle name="常规 6 9 3 4" xfId="24575" xr:uid="{E1F85BCB-3586-4C99-AD7F-D10FB6ED5061}"/>
    <cellStyle name="常规 6 9 3 5" xfId="24576" xr:uid="{986320CA-1295-4A6A-90C1-4E449A2041DB}"/>
    <cellStyle name="常规 6 9 3 6" xfId="24577" xr:uid="{19DB4436-4738-4175-866A-FB09C6F17325}"/>
    <cellStyle name="常规 6 9 3 7" xfId="24578" xr:uid="{C243FB84-54E2-4B5E-BAA9-325A383E35E2}"/>
    <cellStyle name="常规 6 9 3 8" xfId="24579" xr:uid="{806CA654-6651-4ABC-AB41-216C47FADCA4}"/>
    <cellStyle name="常规 6 9 4" xfId="24580" xr:uid="{4171FF0C-7DA6-4D7D-A489-7A3E92A99AE4}"/>
    <cellStyle name="常规 6 9 4 2" xfId="24581" xr:uid="{0364B12E-9866-4FDE-A4C8-B3E5632587F0}"/>
    <cellStyle name="常规 6 9 4 2 2" xfId="24582" xr:uid="{DF30E473-E295-4C41-B06E-5C3FC85C8BFD}"/>
    <cellStyle name="常规 6 9 4 2 3" xfId="24583" xr:uid="{2EB457A7-AECB-448A-9AEB-DDB45F03CEDE}"/>
    <cellStyle name="常规 6 9 4 2 4" xfId="24584" xr:uid="{718EC88E-8F9D-4522-A35C-48CFE37F148B}"/>
    <cellStyle name="常规 6 9 4 2 5" xfId="24585" xr:uid="{B14BCEA5-D34B-46F1-927E-E9AB327E0402}"/>
    <cellStyle name="常规 6 9 4 2 6" xfId="24586" xr:uid="{78D248F8-7F21-4FB6-A94F-FD80E551211D}"/>
    <cellStyle name="常规 6 9 4 3" xfId="24587" xr:uid="{FE26AC82-6729-41B7-9D2A-BD8B42026993}"/>
    <cellStyle name="常规 6 9 4 4" xfId="24588" xr:uid="{F9ABD2F3-912A-442A-BBCE-A6A481795959}"/>
    <cellStyle name="常规 6 9 4 5" xfId="24589" xr:uid="{8CA03DE6-A89E-4DA4-B186-EF2ADF5644D0}"/>
    <cellStyle name="常规 6 9 4 6" xfId="24590" xr:uid="{35239EEE-4B0B-4689-98D1-08D83BBC2AA9}"/>
    <cellStyle name="常规 6 9 4 7" xfId="24591" xr:uid="{5985EEBE-E2E5-44D9-8489-44590B3BC235}"/>
    <cellStyle name="常规 6 9 4 8" xfId="24592" xr:uid="{0AFA1BB3-610F-45B9-AF7F-102F6D110086}"/>
    <cellStyle name="常规 6 9 4 9" xfId="34551" xr:uid="{7F325A20-051C-480A-8DD4-72933A508A94}"/>
    <cellStyle name="常规 6 9 5" xfId="24593" xr:uid="{E11C44E9-F8E9-409A-ACFC-A022452DCCED}"/>
    <cellStyle name="常规 6 9 5 2" xfId="24594" xr:uid="{447D6BA8-0D34-4C5F-8423-69AA1A5CF1A8}"/>
    <cellStyle name="常规 6 9 5 2 2" xfId="24595" xr:uid="{8AD580CB-D3A4-4E9B-9837-DDB9068B4214}"/>
    <cellStyle name="常规 6 9 5 2 3" xfId="24596" xr:uid="{754FD18E-FCBA-4CD4-9EFA-57E50C746C79}"/>
    <cellStyle name="常规 6 9 5 2 4" xfId="24597" xr:uid="{55E2545D-8E6C-4D9C-A6D4-874AC4B09653}"/>
    <cellStyle name="常规 6 9 5 2 5" xfId="24598" xr:uid="{5C1B5228-2796-477B-AF8F-9B33CF15925D}"/>
    <cellStyle name="常规 6 9 5 2 6" xfId="24599" xr:uid="{6D94EAA9-6F19-4DD3-B6F3-89481A431C7E}"/>
    <cellStyle name="常规 6 9 5 3" xfId="24600" xr:uid="{464B8BAB-0157-4D85-8460-141F8F2E024F}"/>
    <cellStyle name="常规 6 9 5 4" xfId="24601" xr:uid="{EA72880F-5075-452F-9F03-41BDA261E5F2}"/>
    <cellStyle name="常规 6 9 5 5" xfId="24602" xr:uid="{2815D5CE-62EF-4B13-9AD6-8A092EB11F86}"/>
    <cellStyle name="常规 6 9 5 6" xfId="24603" xr:uid="{1A481189-C448-402C-B5DA-507085879810}"/>
    <cellStyle name="常规 6 9 5 7" xfId="24604" xr:uid="{1083CD88-90A0-43CB-B773-0FBB4C6EE474}"/>
    <cellStyle name="常规 6 9 6" xfId="24605" xr:uid="{6D0EF545-C393-41AF-9815-E97B0DB9A933}"/>
    <cellStyle name="常规 6 9 6 2" xfId="24606" xr:uid="{18F09CF0-6D5F-46FE-B461-AA03D41C5765}"/>
    <cellStyle name="常规 6 9 6 2 2" xfId="24607" xr:uid="{DD11BEBC-838C-4CBB-827F-F189E1DE4E45}"/>
    <cellStyle name="常规 6 9 6 2 3" xfId="24608" xr:uid="{45C0FABC-6191-42FD-AEB3-8B5369BDEE9A}"/>
    <cellStyle name="常规 6 9 6 2 4" xfId="24609" xr:uid="{45922D82-F6AB-4B55-9B68-FA64A9FE7993}"/>
    <cellStyle name="常规 6 9 6 2 5" xfId="24610" xr:uid="{8513E156-A2C4-4A58-8924-1C58440EB582}"/>
    <cellStyle name="常规 6 9 6 2 6" xfId="24611" xr:uid="{967AFA28-A266-42E9-86FE-561B5825EEB0}"/>
    <cellStyle name="常规 6 9 6 3" xfId="24612" xr:uid="{EBCFDEBC-72B3-4124-9CFC-0B6DF3F75A9E}"/>
    <cellStyle name="常规 6 9 6 4" xfId="24613" xr:uid="{9AF91E48-F2F2-4C73-8BC6-CF5D8666B3BD}"/>
    <cellStyle name="常规 6 9 6 5" xfId="24614" xr:uid="{98940CDC-6E5C-4F36-8265-DE6F4C5BE291}"/>
    <cellStyle name="常规 6 9 6 6" xfId="24615" xr:uid="{2D5FB005-9779-4F20-80E4-04A32597FE50}"/>
    <cellStyle name="常规 6 9 6 7" xfId="24616" xr:uid="{957A3365-F099-4DE0-B012-FEB794556A11}"/>
    <cellStyle name="常规 6 9 7" xfId="24617" xr:uid="{6E812967-D233-4090-A807-29E30A351E77}"/>
    <cellStyle name="常规 6 9 7 2" xfId="24618" xr:uid="{12F899DC-1BBE-460B-B7BC-097DEBF1D800}"/>
    <cellStyle name="常规 6 9 7 2 2" xfId="24619" xr:uid="{F152B582-7F96-4EE7-9883-20DC41FA761D}"/>
    <cellStyle name="常规 6 9 7 2 3" xfId="24620" xr:uid="{40EBF450-B331-4E63-A8A4-969D07E3AD18}"/>
    <cellStyle name="常规 6 9 7 2 4" xfId="24621" xr:uid="{C6FB5536-96B1-4C80-B72F-99EDC997554F}"/>
    <cellStyle name="常规 6 9 7 2 5" xfId="24622" xr:uid="{F0ED1191-252B-49EB-A7D3-6041A3E62F75}"/>
    <cellStyle name="常规 6 9 7 2 6" xfId="24623" xr:uid="{24642492-9511-4B05-8A72-EA5A3F3242A0}"/>
    <cellStyle name="常规 6 9 7 3" xfId="24624" xr:uid="{377F7809-10C0-4EA4-B063-75B7A889192D}"/>
    <cellStyle name="常规 6 9 7 4" xfId="24625" xr:uid="{9226EEDA-974C-4B08-8F15-9A4BC542835C}"/>
    <cellStyle name="常规 6 9 7 5" xfId="24626" xr:uid="{2D0460E3-4166-4D61-8A67-691B0B45E0AC}"/>
    <cellStyle name="常规 6 9 7 6" xfId="24627" xr:uid="{1FAFE0A9-7617-4E3E-9672-CD0B065D221B}"/>
    <cellStyle name="常规 6 9 7 7" xfId="24628" xr:uid="{99ED57D9-885C-4EC0-B02E-4EEF336A9CB8}"/>
    <cellStyle name="常规 6 9 8" xfId="24629" xr:uid="{C4F2613F-966F-4374-8570-F985B3C47C24}"/>
    <cellStyle name="常规 6 9 8 2" xfId="24630" xr:uid="{60C5A739-5567-4EB1-93AF-C2A41F0AE328}"/>
    <cellStyle name="常规 6 9 8 3" xfId="24631" xr:uid="{25899B1E-9121-4070-8EBA-C851FA908DFA}"/>
    <cellStyle name="常规 6 9 8 4" xfId="24632" xr:uid="{00EF8A7F-A1E9-42E0-A347-400D3F36B96B}"/>
    <cellStyle name="常规 6 9 8 5" xfId="24633" xr:uid="{C8A1299E-B51E-4CF7-BA7B-265B642D3091}"/>
    <cellStyle name="常规 6 9 8 6" xfId="24634" xr:uid="{8011A2B1-24BB-44C8-A1B0-5E8D5FA2510F}"/>
    <cellStyle name="常规 6 9 9" xfId="24635" xr:uid="{2A958670-4188-4C54-B323-D4E6622A0BDA}"/>
    <cellStyle name="常规 60" xfId="24636" xr:uid="{A4C650D7-29A5-4EB2-9E64-A661E138B3CA}"/>
    <cellStyle name="常规 60 2" xfId="24637" xr:uid="{54B824B6-6914-4094-AF97-12ED5F988E04}"/>
    <cellStyle name="常规 60 2 2" xfId="24638" xr:uid="{59602EF9-BE50-4854-BFB3-3BA7DBEC32A4}"/>
    <cellStyle name="常规 60 3" xfId="24639" xr:uid="{BA61E352-6C74-4315-96D7-E1ACD01E8926}"/>
    <cellStyle name="常规 60 4" xfId="24640" xr:uid="{2E154FA9-5593-415E-B843-E76BAD5ACC35}"/>
    <cellStyle name="常规 60 4 2" xfId="34552" xr:uid="{76BCEDEA-598C-4C1E-B85D-E1D7E94C597B}"/>
    <cellStyle name="常规 61" xfId="24641" xr:uid="{45423BC8-2820-420B-BDAF-0F51FF7FF44C}"/>
    <cellStyle name="常规 61 2" xfId="24642" xr:uid="{74F50E9D-2A40-40F9-BBB0-EB18622F5C58}"/>
    <cellStyle name="常规 61 2 2" xfId="24643" xr:uid="{0EC2158D-4D19-41BB-8CF3-B07D84771D77}"/>
    <cellStyle name="常规 61 3" xfId="24644" xr:uid="{FD5627A9-0BDD-4DED-9BF7-3706AC5DE2AC}"/>
    <cellStyle name="常规 62" xfId="24645" xr:uid="{C8B4A63E-D7AB-4494-84E1-53F3E8FCBDB3}"/>
    <cellStyle name="常规 63" xfId="24646" xr:uid="{935FF474-705F-4AB9-B5D9-7C0E0A2C1443}"/>
    <cellStyle name="常规 64" xfId="24647" xr:uid="{A1588F96-9E12-431B-8AC9-E1FACDA4A68C}"/>
    <cellStyle name="常规 65" xfId="24648" xr:uid="{DAE98CAD-EC3C-4547-8A69-5AE1271D2E86}"/>
    <cellStyle name="常规 65 2" xfId="24649" xr:uid="{41B32D99-89AE-401B-AA4F-544C6612EB9A}"/>
    <cellStyle name="常规 65 2 2" xfId="24650" xr:uid="{1A3651F0-2329-4663-A02D-10AB3A4B9E4E}"/>
    <cellStyle name="常规 65 3" xfId="24651" xr:uid="{A7CB1A49-3591-4B0D-B4B6-9E77C7A236DB}"/>
    <cellStyle name="常规 65 4" xfId="24652" xr:uid="{DEC5D838-6B8C-4A0D-AAE2-9A7998FC9BBF}"/>
    <cellStyle name="常规 65 5" xfId="24653" xr:uid="{67E19DAF-BE5D-4FDD-B99C-A033C676FAFA}"/>
    <cellStyle name="常规 66" xfId="24654" xr:uid="{FB880B0F-CC08-4CB2-AE9D-11109EFA372A}"/>
    <cellStyle name="常规 66 2" xfId="24655" xr:uid="{765BC63C-D402-4BE5-BE2E-C2B71090682E}"/>
    <cellStyle name="常规 66 2 2" xfId="24656" xr:uid="{D42566E9-1BE9-46EC-8AE5-59CB54825E90}"/>
    <cellStyle name="常规 66 3" xfId="24657" xr:uid="{48054639-C143-44F5-96DB-9D4C63756D08}"/>
    <cellStyle name="常规 66 4" xfId="24658" xr:uid="{25469205-0733-4DA5-99AB-56C63C08280F}"/>
    <cellStyle name="常规 66 4 2" xfId="34553" xr:uid="{ADEA80E4-DEAE-4419-A2E4-68E4CECB31E3}"/>
    <cellStyle name="常规 66 5" xfId="24659" xr:uid="{5208ABF4-1E83-45C3-8358-D35CCE2C8692}"/>
    <cellStyle name="常规 67" xfId="24660" xr:uid="{A3958F57-1B67-4E7B-A38E-E9EB6C0426BA}"/>
    <cellStyle name="常规 67 2" xfId="24661" xr:uid="{71575A3B-B1C5-48DF-AFF0-D4D381D5D620}"/>
    <cellStyle name="常规 67 2 2" xfId="24662" xr:uid="{380D5C45-ED3F-4FE3-9186-B99D9CEF016F}"/>
    <cellStyle name="常规 67 3" xfId="24663" xr:uid="{A4D995C7-BDA3-4C7D-A399-5BCE0B8EBDDD}"/>
    <cellStyle name="常规 67 4" xfId="24664" xr:uid="{321BB000-202C-43C5-964E-C637B805AA1F}"/>
    <cellStyle name="常规 67 4 2" xfId="34554" xr:uid="{D76E2775-27C0-436B-BECE-57AC92F5AEA4}"/>
    <cellStyle name="常规 67 5" xfId="24665" xr:uid="{0F979AE4-25C8-4ED3-93FF-D2A33EA1DBB9}"/>
    <cellStyle name="常规 68" xfId="24666" xr:uid="{DACF634E-D8A1-4446-97B7-F86FB3686C23}"/>
    <cellStyle name="常规 68 2" xfId="24667" xr:uid="{7ED48362-5A0C-4FE8-A43A-751A9427D6AE}"/>
    <cellStyle name="常规 68 2 2" xfId="24668" xr:uid="{2470DD19-1A0D-49B4-B59B-92C9201C04C6}"/>
    <cellStyle name="常规 68 3" xfId="24669" xr:uid="{7C24FB55-1926-4513-BE27-84F6B6F442E3}"/>
    <cellStyle name="常规 68 4" xfId="24670" xr:uid="{A9248DBD-FB8E-4CF2-9D9A-EF2F17CA1836}"/>
    <cellStyle name="常规 68 4 2" xfId="34555" xr:uid="{7A0D63EB-2698-4603-B474-0FC8D5D33852}"/>
    <cellStyle name="常规 68 5" xfId="24671" xr:uid="{26A3F55D-75A2-4EEF-BCC6-993B49049467}"/>
    <cellStyle name="常规 69" xfId="24672" xr:uid="{84CCF011-9997-400D-BE62-A302610D7BEE}"/>
    <cellStyle name="常规 69 2" xfId="24673" xr:uid="{4A5128BB-D7B2-4812-9D9E-4F164684FC00}"/>
    <cellStyle name="常规 69 2 2" xfId="24674" xr:uid="{74BDA588-EB1C-483D-9A9A-456CE01E736A}"/>
    <cellStyle name="常规 69 3" xfId="24675" xr:uid="{26E72860-9CB5-43BB-81E5-F5ADAF62699C}"/>
    <cellStyle name="常规 69 4" xfId="24676" xr:uid="{6B72780B-89E3-448B-845D-ACE0519195E6}"/>
    <cellStyle name="常规 69 4 2" xfId="34556" xr:uid="{42A5FE26-86BC-444F-ABCC-42F5E72951B5}"/>
    <cellStyle name="常规 69 5" xfId="24677" xr:uid="{879D4C3D-C27D-449E-BEB1-1C0B380A777B}"/>
    <cellStyle name="常规 7" xfId="24678" xr:uid="{BD97A016-35D7-428D-89DE-4565F93DDE2E}"/>
    <cellStyle name="常规 7 10" xfId="24679" xr:uid="{B4E6DC19-17FB-444C-8C82-085E908AB13E}"/>
    <cellStyle name="常规 7 10 2" xfId="24680" xr:uid="{20DE61C2-284D-4D48-AC3E-A3A115BDFA45}"/>
    <cellStyle name="常规 7 10 3" xfId="24681" xr:uid="{3923E182-EE28-412E-B222-8E2FDB730D9E}"/>
    <cellStyle name="常规 7 10 4" xfId="24682" xr:uid="{F002F137-410E-4870-A3D2-226D520D575D}"/>
    <cellStyle name="常规 7 10 5" xfId="24683" xr:uid="{1A6C1A94-50FD-4E76-8B90-4B082E643C4C}"/>
    <cellStyle name="常规 7 10 6" xfId="24684" xr:uid="{6E3854C3-54E1-435F-BD34-A2E31AB23758}"/>
    <cellStyle name="常规 7 10 7" xfId="24685" xr:uid="{93DD259E-7825-41F8-A622-5B75C95F0FDC}"/>
    <cellStyle name="常规 7 10 8" xfId="24686" xr:uid="{74B618F9-D550-4D35-8CEB-F0C109C79BD0}"/>
    <cellStyle name="常规 7 11" xfId="24687" xr:uid="{CE427286-4622-4AC1-93AC-A16CDDE76B17}"/>
    <cellStyle name="常规 7 11 2" xfId="24688" xr:uid="{0F8EE9E7-ED36-4BFE-8A8B-9BE0BB6C4D8E}"/>
    <cellStyle name="常规 7 12" xfId="24689" xr:uid="{B403840A-F948-4102-9461-E93D2E629C4F}"/>
    <cellStyle name="常规 7 12 2" xfId="24690" xr:uid="{3D2A0544-DE50-4F60-B842-C0B3494CA661}"/>
    <cellStyle name="常规 7 12 3" xfId="34557" xr:uid="{427C7C8A-8575-47A5-8D43-84EF0A849640}"/>
    <cellStyle name="常规 7 13" xfId="24691" xr:uid="{6B9B4F11-4FFD-47E6-99F6-450AE6BFEDEE}"/>
    <cellStyle name="常规 7 13 2" xfId="24692" xr:uid="{152AE0B6-2B3F-4AE6-84B1-6DA7FD6EC4D6}"/>
    <cellStyle name="常规 7 14" xfId="24693" xr:uid="{B6682255-CBA9-4CB3-979F-4CF3B1D60B2E}"/>
    <cellStyle name="常规 7 15" xfId="24694" xr:uid="{E455FC8D-FE97-4BE3-B04F-05477464651E}"/>
    <cellStyle name="常规 7 16" xfId="24695" xr:uid="{784A1107-FB92-4DCF-93D4-C6877A62465E}"/>
    <cellStyle name="常规 7 17" xfId="24696" xr:uid="{BF88EA26-EF31-4DA3-B444-53143C476F1C}"/>
    <cellStyle name="常规 7 18" xfId="34558" xr:uid="{4241F546-9946-45DB-9F83-9BE75F8833A9}"/>
    <cellStyle name="常规 7 2" xfId="24697" xr:uid="{903E57B9-ECC7-4ADA-9BC2-054580F81FD9}"/>
    <cellStyle name="常规 7 2 10" xfId="24698" xr:uid="{117B3934-BE6C-4882-8C79-0EBF86BFDC6B}"/>
    <cellStyle name="常规 7 2 11" xfId="24699" xr:uid="{1CC3D873-8D50-4D6C-BDE9-83EA06ECA1EA}"/>
    <cellStyle name="常规 7 2 12" xfId="24700" xr:uid="{5E3A3E5C-3212-4689-8A6C-31059AA27A53}"/>
    <cellStyle name="常规 7 2 13" xfId="24701" xr:uid="{1F29F431-6B22-4D1B-9473-9A94CD90421D}"/>
    <cellStyle name="常规 7 2 14" xfId="34559" xr:uid="{4121E04F-BA11-462C-9981-F797A7834B3E}"/>
    <cellStyle name="常规 7 2 2" xfId="24702" xr:uid="{822BE72A-F14A-484E-B5D8-4DD4213810B9}"/>
    <cellStyle name="常规 7 2 2 2" xfId="24703" xr:uid="{03339E41-268D-4911-AEF8-B68724170632}"/>
    <cellStyle name="常规 7 2 2 2 2" xfId="24704" xr:uid="{DC525F8D-CEEF-481C-97BD-B29D8946D30B}"/>
    <cellStyle name="常规 7 2 2 2 2 2" xfId="24705" xr:uid="{F63DDE2A-1C1E-4BEF-9A6F-28C81372A364}"/>
    <cellStyle name="常规 7 2 2 2 2 2 2" xfId="24706" xr:uid="{B8A2E198-0EB2-4A8B-AE34-4E6620AF3E93}"/>
    <cellStyle name="常规 7 2 2 2 2 3" xfId="24707" xr:uid="{0A80C516-AD31-4CE0-9768-A68CC141C91B}"/>
    <cellStyle name="常规 7 2 2 2 2 4" xfId="24708" xr:uid="{5AB7A7F4-C378-4433-A331-6C0D063491F2}"/>
    <cellStyle name="常规 7 2 2 2 2 4 2" xfId="34560" xr:uid="{6E9592F0-581E-4515-A268-DA76D20C7A02}"/>
    <cellStyle name="常规 7 2 2 2 3" xfId="24709" xr:uid="{29C43C31-98D8-4D6F-A726-72F9EED2EBC8}"/>
    <cellStyle name="常规 7 2 2 2 3 2" xfId="24710" xr:uid="{36FB36DE-21F6-4BBF-BF8B-0D74450405EC}"/>
    <cellStyle name="常规 7 2 2 2 3 2 2" xfId="24711" xr:uid="{275CDFA6-FC32-47D4-9653-C7F1885AA6F5}"/>
    <cellStyle name="常规 7 2 2 2 3 3" xfId="24712" xr:uid="{513DDD0B-4D12-44CC-AB40-3ECD6E5EE751}"/>
    <cellStyle name="常规 7 2 2 2 3 4" xfId="24713" xr:uid="{9915673C-2DA7-487C-8825-8D23B7153EE4}"/>
    <cellStyle name="常规 7 2 2 2 3 4 2" xfId="34561" xr:uid="{AD048E83-0C75-451B-AAE0-17CAD909B26F}"/>
    <cellStyle name="常规 7 2 2 2 4" xfId="24714" xr:uid="{3E311193-FA33-4FAF-A816-9F4104CDB7CD}"/>
    <cellStyle name="常规 7 2 2 2 4 2" xfId="24715" xr:uid="{84A36486-4B3D-4FE7-95AB-ADD19CCF89AF}"/>
    <cellStyle name="常规 7 2 2 2 5" xfId="24716" xr:uid="{B2E2A919-33AC-4DF6-AED8-C1AAD69983B7}"/>
    <cellStyle name="常规 7 2 2 2 6" xfId="24717" xr:uid="{87FA377F-DDB0-46EE-8390-91F51C0B8ABD}"/>
    <cellStyle name="常规 7 2 2 2 6 2" xfId="34562" xr:uid="{A3925FFB-DD43-4AB6-950B-EA42DAF13230}"/>
    <cellStyle name="常规 7 2 2 2 7" xfId="24718" xr:uid="{46790404-B448-46AE-B5CF-DD4B02AE9B8F}"/>
    <cellStyle name="常规 7 2 2 3" xfId="24719" xr:uid="{41287CC4-86D4-444D-B381-B95DF8C03E78}"/>
    <cellStyle name="常规 7 2 2 3 2" xfId="24720" xr:uid="{9B8885C6-2FCD-4363-9C6E-EC2B0460A496}"/>
    <cellStyle name="常规 7 2 2 3 2 2" xfId="24721" xr:uid="{BEC8A4FC-DA70-4723-8D5D-69A5D4E099A2}"/>
    <cellStyle name="常规 7 2 2 3 2 3" xfId="24722" xr:uid="{A4E26C34-1867-4CFE-BC2D-032B6B4F6185}"/>
    <cellStyle name="常规 7 2 2 3 3" xfId="24723" xr:uid="{311CE900-6411-44C3-8020-E746C16ABF3D}"/>
    <cellStyle name="常规 7 2 2 3 3 2" xfId="24724" xr:uid="{00BD0A0A-7BF1-4EB8-A7C8-C621F49EA21A}"/>
    <cellStyle name="常规 7 2 2 3 4" xfId="24725" xr:uid="{DBD22A07-9A90-40B5-BAE8-AACA4DE4B1C3}"/>
    <cellStyle name="常规 7 2 2 3 4 2" xfId="24726" xr:uid="{F11FADA9-B512-49F1-8765-C5D88AE45921}"/>
    <cellStyle name="常规 7 2 2 3 4 3" xfId="34563" xr:uid="{EF2102F3-05A6-4DB4-9C84-8795A47875B2}"/>
    <cellStyle name="常规 7 2 2 3 5" xfId="24727" xr:uid="{A440ECF0-D1C3-4DA5-85D9-1F0FA8DCE76E}"/>
    <cellStyle name="常规 7 2 2 3 6" xfId="24728" xr:uid="{BD2D6B8C-BC1B-4B4C-B398-396F3CF8A375}"/>
    <cellStyle name="常规 7 2 2 3 7" xfId="24729" xr:uid="{8A48AFF4-3ADD-4E2F-8F8E-03D9F94F5217}"/>
    <cellStyle name="常规 7 2 2 4" xfId="24730" xr:uid="{E823D88C-B522-4763-B25A-F7B32AAF82B3}"/>
    <cellStyle name="常规 7 2 2 4 2" xfId="24731" xr:uid="{BFE102A1-9025-4766-BF36-CFADB5CDA8C4}"/>
    <cellStyle name="常规 7 2 2 4 2 2" xfId="24732" xr:uid="{0892C271-7DFF-4A90-A034-C7C36509EABF}"/>
    <cellStyle name="常规 7 2 2 4 3" xfId="24733" xr:uid="{6DFFB138-B6F8-41C8-A57F-459109DE8806}"/>
    <cellStyle name="常规 7 2 2 4 4" xfId="24734" xr:uid="{BE735736-8B23-4C2D-9565-A234A4C76708}"/>
    <cellStyle name="常规 7 2 2 4 4 2" xfId="34564" xr:uid="{DFF17679-07FE-4892-8BAB-CF85EE9AC0E2}"/>
    <cellStyle name="常规 7 2 2 4 5" xfId="24735" xr:uid="{B8F21E68-7CAA-4EC0-A06D-68F4B8294153}"/>
    <cellStyle name="常规 7 2 2 5" xfId="24736" xr:uid="{F207937B-2AB3-44CE-9BBB-240EC02734FC}"/>
    <cellStyle name="常规 7 2 2 5 2" xfId="24737" xr:uid="{43E0E8EB-14CF-46C2-BBF8-78F5FCC5BC98}"/>
    <cellStyle name="常规 7 2 2 5 3" xfId="24738" xr:uid="{D3A2325A-308A-4CC0-B8F7-8465FA905ACD}"/>
    <cellStyle name="常规 7 2 2 6" xfId="24739" xr:uid="{1B092267-A423-43A3-92CD-CF68E23FC43D}"/>
    <cellStyle name="常规 7 2 2 6 2" xfId="24740" xr:uid="{E57BD5E8-4D6A-42BB-9F3A-E3C71663F448}"/>
    <cellStyle name="常规 7 2 2 7" xfId="24741" xr:uid="{4C6BEA6C-E048-48D0-B31D-3B6A75310D47}"/>
    <cellStyle name="常规 7 2 2 7 2" xfId="24742" xr:uid="{EFBAA285-7BEB-4428-BBED-8E7B20528DF3}"/>
    <cellStyle name="常规 7 2 2 7 3" xfId="34565" xr:uid="{44A25522-3250-4C52-94DC-9137C170DCD6}"/>
    <cellStyle name="常规 7 2 2 8" xfId="24743" xr:uid="{3ECD4063-9EA3-4C95-A7B8-9840DF3037E3}"/>
    <cellStyle name="常规 7 2 2 9" xfId="24744" xr:uid="{473D8031-F32F-47E1-9B0D-A3F6EBADE556}"/>
    <cellStyle name="常规 7 2 3" xfId="24745" xr:uid="{F60C9257-BE20-4DD1-94C9-1C3882216680}"/>
    <cellStyle name="常规 7 2 3 2" xfId="24746" xr:uid="{2E58DAC2-74D7-4CAC-BF7A-A54EA8242E67}"/>
    <cellStyle name="常规 7 2 3 2 2" xfId="24747" xr:uid="{E9B11088-6B47-47EA-A9BC-9022545B38A4}"/>
    <cellStyle name="常规 7 2 3 2 2 2" xfId="24748" xr:uid="{CBC3D290-E1AA-4C94-A73B-FC7EFE1F3D8B}"/>
    <cellStyle name="常规 7 2 3 2 3" xfId="24749" xr:uid="{B97E1CA3-6D8D-4CC2-B772-FC92286C3D9A}"/>
    <cellStyle name="常规 7 2 3 2 4" xfId="24750" xr:uid="{AA0FB8D5-5AEC-4F48-800E-9649F5C3D670}"/>
    <cellStyle name="常规 7 2 3 2 4 2" xfId="34566" xr:uid="{456D32D2-8732-4664-AB50-5DF3241804E8}"/>
    <cellStyle name="常规 7 2 3 3" xfId="24751" xr:uid="{75FADB4D-628D-43E7-81D3-C03FCB1E7A25}"/>
    <cellStyle name="常规 7 2 3 3 2" xfId="24752" xr:uid="{3B7CF478-7B8C-4F2D-B429-7F8A9052D343}"/>
    <cellStyle name="常规 7 2 3 3 2 2" xfId="24753" xr:uid="{4B986C62-4B47-4F58-A2D9-8A7FAF817D08}"/>
    <cellStyle name="常规 7 2 3 3 3" xfId="24754" xr:uid="{5923215B-BE13-47AA-982D-8AA9F0051653}"/>
    <cellStyle name="常规 7 2 3 3 4" xfId="24755" xr:uid="{224E924A-39E9-4D23-BFDC-9CAAC754021D}"/>
    <cellStyle name="常规 7 2 3 3 4 2" xfId="34567" xr:uid="{B384F740-7F1D-4B9B-A6C2-DB5D1866B3A4}"/>
    <cellStyle name="常规 7 2 3 4" xfId="24756" xr:uid="{748F1CE2-A61A-4CC6-9BB8-91D9C8E433EB}"/>
    <cellStyle name="常规 7 2 3 4 2" xfId="24757" xr:uid="{3FAD1972-ACA5-4A8B-99F9-4FC4262F01D7}"/>
    <cellStyle name="常规 7 2 3 5" xfId="24758" xr:uid="{D9D1E5A7-2037-4F29-84D8-33DCBBDC736A}"/>
    <cellStyle name="常规 7 2 3 6" xfId="24759" xr:uid="{A38119B2-C1A7-4A1C-B37B-7FEE498C3B9C}"/>
    <cellStyle name="常规 7 2 3 6 2" xfId="34568" xr:uid="{80AFEAE1-029B-4CEB-B4B1-6E59B373FAC3}"/>
    <cellStyle name="常规 7 2 3 7" xfId="24760" xr:uid="{D17CA286-8046-4729-8CED-75DA171E65FE}"/>
    <cellStyle name="常规 7 2 4" xfId="24761" xr:uid="{5AA54080-68E3-47A0-9A83-D5A11B8B7C21}"/>
    <cellStyle name="常规 7 2 4 2" xfId="24762" xr:uid="{63459825-1084-4939-B628-A69460800FBC}"/>
    <cellStyle name="常规 7 2 4 2 2" xfId="24763" xr:uid="{DD9BC41B-B401-45FF-885C-01EC41824EE3}"/>
    <cellStyle name="常规 7 2 4 2 3" xfId="24764" xr:uid="{3B469890-6DF5-4BE9-832F-7F76AF04D634}"/>
    <cellStyle name="常规 7 2 4 2 4" xfId="24765" xr:uid="{6C1950B5-2CA8-48BC-A365-7B2118CFF102}"/>
    <cellStyle name="常规 7 2 4 2 5" xfId="24766" xr:uid="{9BEA55B9-50B1-44DF-936B-7800C6B0E697}"/>
    <cellStyle name="常规 7 2 4 2 6" xfId="24767" xr:uid="{9B4460E5-A830-44A2-9413-15FA939C9A25}"/>
    <cellStyle name="常规 7 2 4 2 7" xfId="24768" xr:uid="{DF5B1013-2AB0-499E-B3BD-2D40A95C5017}"/>
    <cellStyle name="常规 7 2 4 2 8" xfId="24769" xr:uid="{CCC92575-0D79-4414-80A1-9A1363967172}"/>
    <cellStyle name="常规 7 2 4 3" xfId="24770" xr:uid="{B1107437-5D8A-49A6-A86A-75A025335831}"/>
    <cellStyle name="常规 7 2 4 3 2" xfId="24771" xr:uid="{A124FE2C-646D-49DD-B5D6-F3EA202B6784}"/>
    <cellStyle name="常规 7 2 4 4" xfId="24772" xr:uid="{E255DCAA-1F98-401B-98C2-BD932ABA157C}"/>
    <cellStyle name="常规 7 2 4 4 2" xfId="24773" xr:uid="{22CC5651-1C20-4EFA-81D1-0DCB60A7B3DC}"/>
    <cellStyle name="常规 7 2 4 4 3" xfId="34569" xr:uid="{45A7A813-0FE5-4F76-A3AD-D6263C1E897C}"/>
    <cellStyle name="常规 7 2 4 5" xfId="24774" xr:uid="{302A2A15-9152-4AA4-9B2B-C3160B7426FA}"/>
    <cellStyle name="常规 7 2 4 6" xfId="24775" xr:uid="{7907763B-AD1E-46D8-AD21-2DD80DD1EFBB}"/>
    <cellStyle name="常规 7 2 4 7" xfId="24776" xr:uid="{CB292C84-FB0E-43A1-BE1B-9C0A1EDC0980}"/>
    <cellStyle name="常规 7 2 4 8" xfId="24777" xr:uid="{20F7523A-215C-4D7C-995A-A2D7C5FC5B9A}"/>
    <cellStyle name="常规 7 2 5" xfId="24778" xr:uid="{1AD8F41D-7DBA-4615-9356-E0CC3A60ACCA}"/>
    <cellStyle name="常规 7 2 5 2" xfId="24779" xr:uid="{1BC99F3D-720F-4822-A0EF-A302F6280BC5}"/>
    <cellStyle name="常规 7 2 5 2 2" xfId="24780" xr:uid="{C21713B8-FEC7-4D60-9CCA-1BF4BEA968F3}"/>
    <cellStyle name="常规 7 2 5 2 3" xfId="24781" xr:uid="{461831A5-B261-4D3A-901C-DD028566A08C}"/>
    <cellStyle name="常规 7 2 5 3" xfId="24782" xr:uid="{57A3FE7B-FD54-49A9-A9B2-B377569B7C25}"/>
    <cellStyle name="常规 7 2 5 3 2" xfId="24783" xr:uid="{7C666ADB-9213-467F-B202-15992C4C8309}"/>
    <cellStyle name="常规 7 2 5 4" xfId="24784" xr:uid="{426EB81D-AB3E-4470-A957-80DA8AAE84DC}"/>
    <cellStyle name="常规 7 2 5 4 2" xfId="24785" xr:uid="{55B8E331-9C40-41E4-A56E-E3BB05A08A18}"/>
    <cellStyle name="常规 7 2 5 4 3" xfId="34570" xr:uid="{4AA65ED9-90AF-4C25-A513-A378D80794A2}"/>
    <cellStyle name="常规 7 2 5 5" xfId="24786" xr:uid="{DE506AF8-B02D-4F11-A7BB-60F37BBC1B2A}"/>
    <cellStyle name="常规 7 2 5 6" xfId="24787" xr:uid="{56D7EC59-1452-4A6A-BAE6-08174FA29639}"/>
    <cellStyle name="常规 7 2 5 7" xfId="24788" xr:uid="{89309B8B-CEF8-4587-A856-DA7818F042F4}"/>
    <cellStyle name="常规 7 2 6" xfId="24789" xr:uid="{06A7F419-D8F1-4624-8CD7-90E46BF4C63B}"/>
    <cellStyle name="常规 7 2 6 2" xfId="24790" xr:uid="{9DEA539D-17FB-4B45-A0AC-7600417BCF97}"/>
    <cellStyle name="常规 7 2 6 3" xfId="24791" xr:uid="{82AF1F64-D093-45DE-90E5-D3CABCB6243C}"/>
    <cellStyle name="常规 7 2 6 4" xfId="24792" xr:uid="{DF6C1C27-9142-47AE-9E63-D64087BD1236}"/>
    <cellStyle name="常规 7 2 6 5" xfId="24793" xr:uid="{5F962799-1C08-492C-ADCA-1DA7E8E07569}"/>
    <cellStyle name="常规 7 2 6 6" xfId="24794" xr:uid="{E5695160-8C12-42BA-B125-3AC6236F8E35}"/>
    <cellStyle name="常规 7 2 6 7" xfId="24795" xr:uid="{03678BFB-54E5-4742-B224-2BE7026CBB97}"/>
    <cellStyle name="常规 7 2 6 8" xfId="24796" xr:uid="{771E5FFC-A775-4F62-8D35-BF7BF8A6C28C}"/>
    <cellStyle name="常规 7 2 7" xfId="24797" xr:uid="{B38F4CAB-F601-435B-A4BF-23191493EF4C}"/>
    <cellStyle name="常规 7 2 7 2" xfId="24798" xr:uid="{FC2FB645-8C76-44B5-B0A2-2979DC3CD777}"/>
    <cellStyle name="常规 7 2 8" xfId="24799" xr:uid="{34315145-457B-4D4A-8900-41416EC75934}"/>
    <cellStyle name="常规 7 2 8 2" xfId="24800" xr:uid="{282ADCD8-22AA-4474-9DA1-8C3556E2E423}"/>
    <cellStyle name="常规 7 2 8 3" xfId="34571" xr:uid="{340B52FD-E70F-48F9-8AE1-25D603DE9ED7}"/>
    <cellStyle name="常规 7 2 9" xfId="24801" xr:uid="{F56D6AE2-1059-4F05-ABCF-79102320CE14}"/>
    <cellStyle name="常规 7 2 9 2" xfId="24802" xr:uid="{A775CCDE-6397-48F1-B8D6-AF6EB081D5E0}"/>
    <cellStyle name="常规 7 3" xfId="24803" xr:uid="{0C192B9C-BE65-49F9-9675-CB608A107064}"/>
    <cellStyle name="常规 7 3 10" xfId="24804" xr:uid="{DC63DF28-66A7-4FF8-8EEB-1DEED2301D6E}"/>
    <cellStyle name="常规 7 3 2" xfId="24805" xr:uid="{8F1DA0E3-DD5D-4555-9ADE-9B9649CE6BF9}"/>
    <cellStyle name="常规 7 3 2 2" xfId="24806" xr:uid="{88FB1DBF-BB54-4514-B6E7-C93200AC81B5}"/>
    <cellStyle name="常规 7 3 2 2 2" xfId="24807" xr:uid="{1F8B6737-C978-44FB-B6BE-A9EA53A8A567}"/>
    <cellStyle name="常规 7 3 2 2 2 2" xfId="24808" xr:uid="{7EEDC2E6-6A6C-4740-BB3E-A42D962147AF}"/>
    <cellStyle name="常规 7 3 2 2 2 2 2" xfId="24809" xr:uid="{A769437C-0648-4B2A-85BB-4780C840A279}"/>
    <cellStyle name="常规 7 3 2 2 2 3" xfId="24810" xr:uid="{258CEDDE-56AF-4268-A85C-17596FEA9F21}"/>
    <cellStyle name="常规 7 3 2 2 2 4" xfId="24811" xr:uid="{AFF96A79-C336-47F4-8CFF-50F6814E5AD4}"/>
    <cellStyle name="常规 7 3 2 2 2 4 2" xfId="34572" xr:uid="{683B614E-9D16-41D8-ACEF-D0FDBA3749D1}"/>
    <cellStyle name="常规 7 3 2 2 3" xfId="24812" xr:uid="{642D6374-B5DE-4ED5-AE0C-CCCED7EA402E}"/>
    <cellStyle name="常规 7 3 2 2 3 2" xfId="24813" xr:uid="{7EF3D561-4B50-4E58-B99E-15F3EC0ABF14}"/>
    <cellStyle name="常规 7 3 2 2 4" xfId="24814" xr:uid="{02E7347D-3502-4EBA-AE8E-59F7424707DB}"/>
    <cellStyle name="常规 7 3 2 2 5" xfId="24815" xr:uid="{EE68842E-D254-4E07-93E1-296A7630BB0B}"/>
    <cellStyle name="常规 7 3 2 2 5 2" xfId="34573" xr:uid="{5ECD7BB5-73A3-4173-AC7A-760C0DB8E614}"/>
    <cellStyle name="常规 7 3 2 2 6" xfId="24816" xr:uid="{49971591-AD35-4ACD-89BF-30422A232770}"/>
    <cellStyle name="常规 7 3 2 3" xfId="24817" xr:uid="{CB4C6D6A-E6E4-4304-9B4B-6B428BC2C452}"/>
    <cellStyle name="常规 7 3 2 3 2" xfId="24818" xr:uid="{D036EA45-9E19-4F83-94B5-DA779441CF2E}"/>
    <cellStyle name="常规 7 3 2 3 2 2" xfId="24819" xr:uid="{60BBBEF5-3A89-4D29-A0E9-AF75870F3797}"/>
    <cellStyle name="常规 7 3 2 3 2 3" xfId="24820" xr:uid="{C36670A2-6B30-49F9-AE16-31FC40BE671B}"/>
    <cellStyle name="常规 7 3 2 3 3" xfId="24821" xr:uid="{9E2B4D4C-409E-4DDD-B259-5C4FC9C2062F}"/>
    <cellStyle name="常规 7 3 2 3 3 2" xfId="24822" xr:uid="{9905AED6-F52E-41F2-A1AD-53413D76C354}"/>
    <cellStyle name="常规 7 3 2 3 4" xfId="24823" xr:uid="{66B2240B-3CDF-4A0D-9579-8E863DBBB32E}"/>
    <cellStyle name="常规 7 3 2 3 4 2" xfId="24824" xr:uid="{5F9667E8-6277-4034-86CE-AF02B16D8EDD}"/>
    <cellStyle name="常规 7 3 2 3 4 3" xfId="34574" xr:uid="{1C011EB3-B704-425C-ACFA-6225BAF184B1}"/>
    <cellStyle name="常规 7 3 2 3 5" xfId="24825" xr:uid="{3272AE6A-A17E-49EC-9193-5CC6B2B2582B}"/>
    <cellStyle name="常规 7 3 2 3 6" xfId="24826" xr:uid="{82749425-1CDA-4E9D-8A0D-81C6996567E3}"/>
    <cellStyle name="常规 7 3 2 3 7" xfId="24827" xr:uid="{F53B3E1A-A4EC-47B0-A845-4C9DC3FD8D50}"/>
    <cellStyle name="常规 7 3 2 4" xfId="24828" xr:uid="{BE8DEB2A-D801-463F-B204-2B01664C274C}"/>
    <cellStyle name="常规 7 3 2 4 2" xfId="24829" xr:uid="{FB09DB50-ADF9-4E02-806C-18A24E155D26}"/>
    <cellStyle name="常规 7 3 2 4 3" xfId="24830" xr:uid="{EE2274CB-A6BA-474F-87CF-540D3EF2E515}"/>
    <cellStyle name="常规 7 3 2 5" xfId="24831" xr:uid="{719D1CAA-A03A-436F-9938-479EF5D1691A}"/>
    <cellStyle name="常规 7 3 2 5 2" xfId="24832" xr:uid="{1F742529-C6A2-4C49-B460-709858A26A8B}"/>
    <cellStyle name="常规 7 3 2 6" xfId="24833" xr:uid="{FBD260F4-84A7-448B-9BB7-A5B7C3BF3566}"/>
    <cellStyle name="常规 7 3 2 6 2" xfId="24834" xr:uid="{A61A8EB8-986A-494A-8259-160C0CB542EE}"/>
    <cellStyle name="常规 7 3 2 6 3" xfId="34575" xr:uid="{DB68FE56-9924-4478-ABD2-3A331E9FE1D3}"/>
    <cellStyle name="常规 7 3 2 7" xfId="24835" xr:uid="{99E47622-F882-4D2E-AA83-63890F528E4C}"/>
    <cellStyle name="常规 7 3 2 8" xfId="24836" xr:uid="{73956CA3-D7D4-43AB-8E79-E3D4CC4D8426}"/>
    <cellStyle name="常规 7 3 2 9" xfId="24837" xr:uid="{0F4B3779-DE20-49E2-B459-D32A0E4EEB90}"/>
    <cellStyle name="常规 7 3 3" xfId="24838" xr:uid="{94ED1EB9-19C0-4F3D-A0A8-E2C661DDC8CC}"/>
    <cellStyle name="常规 7 3 3 2" xfId="24839" xr:uid="{B457BAE7-8CF8-42B1-8AB3-A219371CA21F}"/>
    <cellStyle name="常规 7 3 3 2 2" xfId="24840" xr:uid="{4C225760-37F3-4109-B357-8A19C04FA1EE}"/>
    <cellStyle name="常规 7 3 3 2 2 2" xfId="24841" xr:uid="{DBE09490-2D47-4F2D-9F38-1964A4FB7096}"/>
    <cellStyle name="常规 7 3 3 2 2 3" xfId="24842" xr:uid="{F25A24E7-D41A-4C4B-91E3-C22555F4A0E4}"/>
    <cellStyle name="常规 7 3 3 2 3" xfId="24843" xr:uid="{B62E7B93-30F0-4268-B375-8352BC2CCA34}"/>
    <cellStyle name="常规 7 3 3 2 3 2" xfId="24844" xr:uid="{475A0D43-4A03-4B7C-B26B-CD3A7B9CFCCA}"/>
    <cellStyle name="常规 7 3 3 2 4" xfId="24845" xr:uid="{A945A706-6C7A-4111-9814-6D19937B759F}"/>
    <cellStyle name="常规 7 3 3 2 4 2" xfId="24846" xr:uid="{49A3C235-C1E2-4653-84DD-9A49A751738C}"/>
    <cellStyle name="常规 7 3 3 2 4 3" xfId="34576" xr:uid="{C70CDC86-45A0-49EA-BD84-946C7FD5774C}"/>
    <cellStyle name="常规 7 3 3 2 5" xfId="24847" xr:uid="{17B722FD-6269-4766-88EE-74EBEB135539}"/>
    <cellStyle name="常规 7 3 3 2 6" xfId="24848" xr:uid="{2C23988F-DC74-4112-87E5-3BA937C8D689}"/>
    <cellStyle name="常规 7 3 3 2 7" xfId="24849" xr:uid="{0DD0B500-1EE1-470F-B6C0-92017EFA324A}"/>
    <cellStyle name="常规 7 3 3 3" xfId="24850" xr:uid="{867679B7-9EAD-4129-A84B-3A40D95136F6}"/>
    <cellStyle name="常规 7 3 3 3 2" xfId="24851" xr:uid="{45648AE5-E93F-4CFE-874E-217541B96244}"/>
    <cellStyle name="常规 7 3 3 3 2 2" xfId="24852" xr:uid="{1B1F6F7C-8DFE-4D6D-900A-F7BF845A42B2}"/>
    <cellStyle name="常规 7 3 3 3 3" xfId="24853" xr:uid="{CFABE26E-41A0-4E4C-A82C-43407F0B5978}"/>
    <cellStyle name="常规 7 3 3 3 4" xfId="24854" xr:uid="{FAAB8204-2DA4-488A-8753-B0020DACF1F3}"/>
    <cellStyle name="常规 7 3 3 3 4 2" xfId="34577" xr:uid="{FEB12F30-7958-4C7B-8E7F-24E02DE4BD2A}"/>
    <cellStyle name="常规 7 3 3 3 5" xfId="24855" xr:uid="{C63367BE-AF94-4D6E-A516-4A7FC268C5D5}"/>
    <cellStyle name="常规 7 3 3 4" xfId="24856" xr:uid="{E68B83A6-C63D-4A03-ACF2-D18F736C48DB}"/>
    <cellStyle name="常规 7 3 3 4 2" xfId="24857" xr:uid="{4B1BC768-2262-4E94-8B25-2853D22498A9}"/>
    <cellStyle name="常规 7 3 3 4 3" xfId="24858" xr:uid="{2C768DA0-1ECE-4D16-BD71-63911CC9B168}"/>
    <cellStyle name="常规 7 3 3 5" xfId="24859" xr:uid="{708682ED-B757-46C8-8053-408D49FA707E}"/>
    <cellStyle name="常规 7 3 3 5 2" xfId="24860" xr:uid="{4683D5AB-8379-4F89-A5FC-F2CE10CCEA20}"/>
    <cellStyle name="常规 7 3 3 6" xfId="24861" xr:uid="{ED3AE8A7-1676-4F1F-9F00-CACB19ACCCC7}"/>
    <cellStyle name="常规 7 3 3 6 2" xfId="24862" xr:uid="{99BA84D8-07A6-426E-B597-CBDE2A4AF7F3}"/>
    <cellStyle name="常规 7 3 3 6 3" xfId="34578" xr:uid="{D0A4EDCF-65FD-4BD4-9E96-E3875364539A}"/>
    <cellStyle name="常规 7 3 3 7" xfId="24863" xr:uid="{C0E02789-BD96-4263-84B5-1E342EB6B8DF}"/>
    <cellStyle name="常规 7 3 3 8" xfId="24864" xr:uid="{ABFBF0F3-42A3-4459-9C49-026DFFAB6D2A}"/>
    <cellStyle name="常规 7 3 4" xfId="24865" xr:uid="{0676B24A-7E95-49DE-8C28-CF9E183FF492}"/>
    <cellStyle name="常规 7 3 4 2" xfId="24866" xr:uid="{7E82F80E-C167-4916-85FA-58DFB11B62D2}"/>
    <cellStyle name="常规 7 3 4 2 2" xfId="24867" xr:uid="{6987B1A8-D554-4F0C-BE64-F12D957D64E0}"/>
    <cellStyle name="常规 7 3 4 2 3" xfId="24868" xr:uid="{A5AB9B8F-8963-4C77-9484-CBE41A08D62F}"/>
    <cellStyle name="常规 7 3 4 3" xfId="24869" xr:uid="{350B5787-0A6A-444E-A539-9E4D91EC7C04}"/>
    <cellStyle name="常规 7 3 4 3 2" xfId="24870" xr:uid="{A3046C7F-1ED8-4FAA-A306-31D3C2FF2DCE}"/>
    <cellStyle name="常规 7 3 4 4" xfId="24871" xr:uid="{C809338B-E4DE-4785-9795-AEED9A41F0CB}"/>
    <cellStyle name="常规 7 3 4 4 2" xfId="24872" xr:uid="{53B5FA46-4227-45FD-B148-1B2E04C7A701}"/>
    <cellStyle name="常规 7 3 4 4 3" xfId="34579" xr:uid="{1B0D4435-35F7-4146-9BCA-836D6FD165C7}"/>
    <cellStyle name="常规 7 3 4 5" xfId="24873" xr:uid="{E6184628-7D07-4F0F-930F-0F70346DEAE3}"/>
    <cellStyle name="常规 7 3 4 6" xfId="24874" xr:uid="{B71F15A6-743A-4BD9-AC14-C91B24906ECE}"/>
    <cellStyle name="常规 7 3 4 7" xfId="24875" xr:uid="{880230A5-FD94-4E2C-8DFF-AC9D06A63B2C}"/>
    <cellStyle name="常规 7 3 5" xfId="24876" xr:uid="{415F26CC-2CFB-4234-B4D1-F6F7F7F4EC00}"/>
    <cellStyle name="常规 7 3 5 2" xfId="24877" xr:uid="{426C1D67-82F1-42EC-BF8A-5D8BFEF912AD}"/>
    <cellStyle name="常规 7 3 5 2 2" xfId="24878" xr:uid="{CCCD5D6A-D702-4375-8F4A-199503A35B4F}"/>
    <cellStyle name="常规 7 3 5 3" xfId="24879" xr:uid="{017158CF-7370-497F-9951-E306FBFD2F4C}"/>
    <cellStyle name="常规 7 3 5 4" xfId="24880" xr:uid="{D66AFCC9-CB95-4096-8A95-560E83D721DA}"/>
    <cellStyle name="常规 7 3 5 4 2" xfId="34580" xr:uid="{B6449BDF-0C3C-4DFE-B4D3-AB0C6670A89C}"/>
    <cellStyle name="常规 7 3 5 5" xfId="24881" xr:uid="{E0FBC24C-1E5F-4C1A-9E6F-4009DBBD1DA7}"/>
    <cellStyle name="常规 7 3 6" xfId="24882" xr:uid="{D03B6385-DE56-4030-9CFD-95650530C085}"/>
    <cellStyle name="常规 7 3 6 2" xfId="24883" xr:uid="{E0F56192-7EFC-452F-B32A-68782B98E4B6}"/>
    <cellStyle name="常规 7 3 6 3" xfId="24884" xr:uid="{E15BB1F9-FB99-4096-94D1-D75F5BD611BE}"/>
    <cellStyle name="常规 7 3 7" xfId="24885" xr:uid="{15EF3966-8E79-4D43-9B43-759A448082F0}"/>
    <cellStyle name="常规 7 3 7 2" xfId="24886" xr:uid="{007EC910-5039-4415-A64A-EE7605955FD2}"/>
    <cellStyle name="常规 7 3 8" xfId="24887" xr:uid="{C75EB251-F020-4FA6-B8A3-63E62B58F9A3}"/>
    <cellStyle name="常规 7 3 8 2" xfId="24888" xr:uid="{2901E720-0D3C-4965-B66F-BBEB65E89403}"/>
    <cellStyle name="常规 7 3 8 3" xfId="34581" xr:uid="{C1089C05-3EB2-4D8D-B70E-27A834523FD1}"/>
    <cellStyle name="常规 7 3 9" xfId="24889" xr:uid="{FF4BD53D-643F-4198-B6F9-386F7D120330}"/>
    <cellStyle name="常规 7 3 9 2" xfId="24890" xr:uid="{E3638F81-D4D9-4206-829D-E6CF7D01B1DE}"/>
    <cellStyle name="常规 7 4" xfId="24891" xr:uid="{4AFB8DB0-BA4E-488F-826F-40BF3D99301F}"/>
    <cellStyle name="常规 7 4 2" xfId="24892" xr:uid="{EC224A32-E888-414A-9805-593C89C61EEE}"/>
    <cellStyle name="常规 7 4 2 2" xfId="24893" xr:uid="{C29522BB-348D-4438-901B-52E4030A68B6}"/>
    <cellStyle name="常规 7 4 3" xfId="24894" xr:uid="{850998C6-523F-44FC-877D-CF05D5633E62}"/>
    <cellStyle name="常规 7 4 3 2" xfId="24895" xr:uid="{47CFAB02-4391-42B0-A54B-92F1740C999E}"/>
    <cellStyle name="常规 7 4 3 3" xfId="24896" xr:uid="{D843B738-8C26-4E82-9C08-FF4266DEDF16}"/>
    <cellStyle name="常规 7 4 3 4" xfId="24897" xr:uid="{6A51FB5D-0AC9-4A53-A347-44B7B5656EA3}"/>
    <cellStyle name="常规 7 4 3 5" xfId="24898" xr:uid="{81B9882F-9DB2-44F3-9821-F219506CD152}"/>
    <cellStyle name="常规 7 4 3 6" xfId="24899" xr:uid="{661B40F9-DA3F-40E5-A84D-B51571F6EB74}"/>
    <cellStyle name="常规 7 4 4" xfId="24900" xr:uid="{90D67C66-E0F5-445E-93D7-D4D84D749DB5}"/>
    <cellStyle name="常规 7 4 5" xfId="24901" xr:uid="{81607393-8E6F-4DA5-91C3-08117105E83B}"/>
    <cellStyle name="常规 7 4 6" xfId="24902" xr:uid="{5AB53540-F2CA-491D-8654-FDE55EC7A4F3}"/>
    <cellStyle name="常规 7 4 7" xfId="24903" xr:uid="{0E492844-4E2F-44F4-824A-A64F15654A81}"/>
    <cellStyle name="常规 7 4 8" xfId="24904" xr:uid="{D06619D7-0503-4952-9C17-504D94AE3B10}"/>
    <cellStyle name="常规 7 4 9" xfId="24905" xr:uid="{A40B4A2B-E134-4833-ABAE-66BC60F1F919}"/>
    <cellStyle name="常规 7 5" xfId="24906" xr:uid="{4E5F11D3-622B-4036-92E4-3B1E78088353}"/>
    <cellStyle name="常规 7 5 2" xfId="24907" xr:uid="{2AEC30F7-8F1D-432C-AD10-09CA66B6EEB4}"/>
    <cellStyle name="常规 7 5 2 2" xfId="24908" xr:uid="{3C6DB037-1FCE-48CB-B8FD-41AA8293C60D}"/>
    <cellStyle name="常规 7 5 2 2 2" xfId="24909" xr:uid="{21A01865-C24F-4ABC-BD9C-C9CC1E15B41B}"/>
    <cellStyle name="常规 7 5 2 2 2 2" xfId="24910" xr:uid="{97DC4227-08DC-4B19-8A57-A05794EB5D39}"/>
    <cellStyle name="常规 7 5 2 2 3" xfId="24911" xr:uid="{7728909C-CDA0-4B69-A097-CD93C13B7B17}"/>
    <cellStyle name="常规 7 5 2 2 4" xfId="24912" xr:uid="{6975F77D-78F9-474B-B05E-D0BC61CD849B}"/>
    <cellStyle name="常规 7 5 2 2 4 2" xfId="34582" xr:uid="{591985E4-48A7-409F-9978-7692734422C3}"/>
    <cellStyle name="常规 7 5 2 3" xfId="24913" xr:uid="{EF50841B-8525-4CE8-AF43-174014C0A815}"/>
    <cellStyle name="常规 7 5 2 3 2" xfId="24914" xr:uid="{44A8AE46-8B98-4E0E-A274-BD33B983569D}"/>
    <cellStyle name="常规 7 5 2 3 2 2" xfId="24915" xr:uid="{72AA65A2-465A-4E66-A415-B2421A23CC88}"/>
    <cellStyle name="常规 7 5 2 3 3" xfId="24916" xr:uid="{29FEE500-C6CC-4DFC-B6C8-0ABDB0084573}"/>
    <cellStyle name="常规 7 5 2 3 4" xfId="24917" xr:uid="{2B0B5720-1858-4B45-AA92-53BADD3EC0EF}"/>
    <cellStyle name="常规 7 5 2 3 4 2" xfId="34583" xr:uid="{3A6F6DC7-B874-4855-B9EC-EC3770427E6D}"/>
    <cellStyle name="常规 7 5 2 4" xfId="24918" xr:uid="{F99DA498-DCA2-4E54-8503-73C406334570}"/>
    <cellStyle name="常规 7 5 2 4 2" xfId="24919" xr:uid="{30A971FD-929C-48E0-BAFA-4DCDFB462C5E}"/>
    <cellStyle name="常规 7 5 2 5" xfId="24920" xr:uid="{28484240-0C9C-43A0-80D2-536C8E9F71B0}"/>
    <cellStyle name="常规 7 5 2 6" xfId="24921" xr:uid="{BC35B20A-6654-40FE-947C-A9ED4C8B54DD}"/>
    <cellStyle name="常规 7 5 2 6 2" xfId="34584" xr:uid="{F6B22AB4-4EEA-44C4-B760-4EBCDEFB35E9}"/>
    <cellStyle name="常规 7 5 2 7" xfId="24922" xr:uid="{67DB6948-B106-4EA0-B0AB-49C8E4925FF7}"/>
    <cellStyle name="常规 7 5 3" xfId="24923" xr:uid="{32ED7101-2081-478B-A9A1-D1894AFE6A4D}"/>
    <cellStyle name="常规 7 5 3 2" xfId="24924" xr:uid="{A22AADAA-CE5E-4F2B-9120-A2A25877BC15}"/>
    <cellStyle name="常规 7 5 3 2 2" xfId="24925" xr:uid="{093E7154-8D84-4529-A4C7-3DCBD6D9D9E4}"/>
    <cellStyle name="常规 7 5 3 3" xfId="24926" xr:uid="{5F18261E-5335-46C7-98F2-67F95DB8D5E9}"/>
    <cellStyle name="常规 7 5 3 4" xfId="24927" xr:uid="{6C1351F4-DB4C-4D42-BAEC-78BBB715A75F}"/>
    <cellStyle name="常规 7 5 3 4 2" xfId="34585" xr:uid="{1079866E-6C0A-473F-A861-19D4D1799222}"/>
    <cellStyle name="常规 7 5 4" xfId="24928" xr:uid="{8BA073F3-6389-4F7A-9E72-1FC935C33915}"/>
    <cellStyle name="常规 7 5 4 2" xfId="24929" xr:uid="{F03E5C34-9F1E-406C-930E-F992F9FBAD35}"/>
    <cellStyle name="常规 7 5 4 2 2" xfId="24930" xr:uid="{4F7731D0-97AA-4629-8C23-A10BE1200333}"/>
    <cellStyle name="常规 7 5 4 3" xfId="24931" xr:uid="{2B0057C2-297E-425D-945D-8B7C68A3EBB9}"/>
    <cellStyle name="常规 7 5 4 4" xfId="24932" xr:uid="{4647215B-E492-4254-8D33-8F2448584AC1}"/>
    <cellStyle name="常规 7 5 4 4 2" xfId="34586" xr:uid="{65CD42DD-6848-445F-B29E-2ABF26940984}"/>
    <cellStyle name="常规 7 5 5" xfId="24933" xr:uid="{4B96004B-79FF-48FA-9824-00BE057AF2EE}"/>
    <cellStyle name="常规 7 5 5 2" xfId="24934" xr:uid="{8F9E823C-C895-4380-9F0C-76D13E902CA3}"/>
    <cellStyle name="常规 7 5 6" xfId="24935" xr:uid="{182FFE35-9F3D-4E20-B36A-26C93DCF87E9}"/>
    <cellStyle name="常规 7 5 7" xfId="24936" xr:uid="{407F705D-46AC-4D76-BF06-838FE6D84401}"/>
    <cellStyle name="常规 7 5 7 2" xfId="34587" xr:uid="{46F9A721-9DD8-470C-969A-5554855B6C4A}"/>
    <cellStyle name="常规 7 5 8" xfId="24937" xr:uid="{7A5E988F-80BA-4378-9668-CBE634ADC35D}"/>
    <cellStyle name="常规 7 5 9" xfId="24938" xr:uid="{6E471129-D7BB-46DC-B394-B09D37B7F9F6}"/>
    <cellStyle name="常规 7 6" xfId="24939" xr:uid="{AC661FD1-BA3B-43F9-AA5E-40DBCAA84070}"/>
    <cellStyle name="常规 7 6 2" xfId="24940" xr:uid="{FF59DC0C-19AA-430E-AB46-872365A2762D}"/>
    <cellStyle name="常规 7 6 2 2" xfId="24941" xr:uid="{A3DCD795-6456-4B07-A079-8C1E291EDD6B}"/>
    <cellStyle name="常规 7 6 2 2 2" xfId="24942" xr:uid="{EA0C2FDA-687A-424A-8361-294B03E9257F}"/>
    <cellStyle name="常规 7 6 2 3" xfId="24943" xr:uid="{A26AF062-8B50-4BF0-B192-D35DA53DE91D}"/>
    <cellStyle name="常规 7 6 2 4" xfId="24944" xr:uid="{6FA10CF1-8C0B-4CFD-8F1D-6403953B4DEB}"/>
    <cellStyle name="常规 7 6 2 4 2" xfId="34588" xr:uid="{8E6C3143-20E7-4559-9762-5D57FC0A9F02}"/>
    <cellStyle name="常规 7 6 3" xfId="24945" xr:uid="{31A062EE-1EE5-4175-AF47-1C408C1966BE}"/>
    <cellStyle name="常规 7 6 3 2" xfId="24946" xr:uid="{C3C2254A-7A23-494C-9C42-5C96750ACC7C}"/>
    <cellStyle name="常规 7 6 4" xfId="24947" xr:uid="{4E982157-4948-471B-BEF4-7BAF19579648}"/>
    <cellStyle name="常规 7 6 4 2" xfId="24948" xr:uid="{5B203DF2-EABD-4928-95EF-76DEA194B959}"/>
    <cellStyle name="常规 7 6 5" xfId="24949" xr:uid="{927912D6-6B94-4443-BDF0-DFE5D08F9384}"/>
    <cellStyle name="常规 7 6 6" xfId="24950" xr:uid="{9020C609-C8D5-493B-81E0-DEA8E898AE7F}"/>
    <cellStyle name="常规 7 6 6 2" xfId="34589" xr:uid="{9D346694-0EAB-4E03-9CF6-62C9C55A24C1}"/>
    <cellStyle name="常规 7 6 7" xfId="24951" xr:uid="{9C2F3E8C-FFC1-40EF-8FAC-4B38A2FC9FEA}"/>
    <cellStyle name="常规 7 7" xfId="24952" xr:uid="{B491B719-AD8B-4763-813B-0D34DCDC84E8}"/>
    <cellStyle name="常规 7 7 2" xfId="24953" xr:uid="{13C1B372-D989-438F-AE19-F91A10916E17}"/>
    <cellStyle name="常规 7 7 3" xfId="24954" xr:uid="{3419BEE7-CDD4-4565-8230-2D93D8F3DCFD}"/>
    <cellStyle name="常规 7 7 3 2" xfId="24955" xr:uid="{0001BD93-8492-432F-AE5F-0A2EA9EB597C}"/>
    <cellStyle name="常规 7 7 4" xfId="24956" xr:uid="{7E3EF554-710E-480E-BBFA-571F2422910D}"/>
    <cellStyle name="常规 7 7 5" xfId="24957" xr:uid="{2FF5E839-CBC9-4602-8C84-8160D3FAE32B}"/>
    <cellStyle name="常规 7 7 5 2" xfId="34590" xr:uid="{0987B64B-9F61-4158-9A24-5F0C7E15DE86}"/>
    <cellStyle name="常规 7 7 6" xfId="24958" xr:uid="{386A3C20-FCDA-40C6-933F-F09F25BB1383}"/>
    <cellStyle name="常规 7 8" xfId="24959" xr:uid="{A0B583BA-C79A-4537-9240-F1BBC9D0C526}"/>
    <cellStyle name="常规 7 8 2" xfId="24960" xr:uid="{15FF3B45-8653-458D-BE0D-AACA530840A7}"/>
    <cellStyle name="常规 7 8 2 2" xfId="24961" xr:uid="{82A8C879-46FF-459D-9801-C8FB2CCAECCA}"/>
    <cellStyle name="常规 7 8 3" xfId="24962" xr:uid="{2C40B086-804F-4BA6-86AC-385E3D044316}"/>
    <cellStyle name="常规 7 8 4" xfId="24963" xr:uid="{F871348F-2693-4B3A-8A6C-449286730B63}"/>
    <cellStyle name="常规 7 8 4 2" xfId="34591" xr:uid="{890F5E6E-7E37-40FF-A7E0-86878BBD067C}"/>
    <cellStyle name="常规 7 8 5" xfId="24964" xr:uid="{C6F1C9FE-7870-4A1C-8947-D0DACB08B0EE}"/>
    <cellStyle name="常规 7 9" xfId="24965" xr:uid="{242BA9FF-FF4A-4CC0-B167-0594AD5ECC2A}"/>
    <cellStyle name="常规 7 9 2" xfId="24966" xr:uid="{FF037B9D-1E74-41CA-82A3-4585C54F8169}"/>
    <cellStyle name="常规 7 9 2 2" xfId="24967" xr:uid="{9A0E049F-8EAC-4567-A01F-F7DE991DAE73}"/>
    <cellStyle name="常规 7 9 2 3" xfId="24968" xr:uid="{082AC05D-9F1C-4BE9-9F3F-39FCF12E68D0}"/>
    <cellStyle name="常规 7 9 3" xfId="24969" xr:uid="{B2A665A3-7647-4B11-9E78-6F6E5D1A0A53}"/>
    <cellStyle name="常规 7 9 3 2" xfId="24970" xr:uid="{E001A27F-3385-43E6-A384-BB5A9CB2FED2}"/>
    <cellStyle name="常规 7 9 4" xfId="24971" xr:uid="{6FCCC270-1A16-44BA-A807-FD29681F01C3}"/>
    <cellStyle name="常规 7 9 4 2" xfId="24972" xr:uid="{074602DC-C4B3-452C-A54C-E6BA33FD412D}"/>
    <cellStyle name="常规 7 9 4 3" xfId="34592" xr:uid="{6660171C-F249-4C89-99B4-6943688D9314}"/>
    <cellStyle name="常规 7 9 5" xfId="24973" xr:uid="{AC373D5B-D79A-419E-85E0-327677A1AAC6}"/>
    <cellStyle name="常规 7 9 6" xfId="24974" xr:uid="{4B4BA1C6-3651-40F0-AAF2-3651FDB5C8C3}"/>
    <cellStyle name="常规 7 9 7" xfId="24975" xr:uid="{60BA2FCD-D645-411F-A594-6223A17D975F}"/>
    <cellStyle name="常规 70" xfId="24976" xr:uid="{27622AE1-8484-4A44-9B4E-F8D3677718F1}"/>
    <cellStyle name="常规 70 2" xfId="24977" xr:uid="{8F34CE7E-45CD-45BF-8651-A2F4BC7EA5E9}"/>
    <cellStyle name="常规 70 2 2" xfId="24978" xr:uid="{48EB9136-42DC-4786-BCB3-06A6386C92D4}"/>
    <cellStyle name="常规 70 3" xfId="24979" xr:uid="{F4C5591D-6271-4A58-8E5C-45EF696BD82B}"/>
    <cellStyle name="常规 70 4" xfId="24980" xr:uid="{958998A3-FB48-486C-83C9-372369FF5049}"/>
    <cellStyle name="常规 70 4 2" xfId="34593" xr:uid="{DCA6DE6F-7C9E-4697-AE88-6EDFACBE4DC8}"/>
    <cellStyle name="常规 70 5" xfId="24981" xr:uid="{8E1C7DC8-8D14-40CE-8F17-B76ED8240348}"/>
    <cellStyle name="常规 71" xfId="24982" xr:uid="{BEB5C9F6-C8C6-45DB-B9B8-0088B99A8625}"/>
    <cellStyle name="常规 71 2" xfId="24983" xr:uid="{00CC9F8D-88F2-4A3F-9202-2E645FBD605B}"/>
    <cellStyle name="常规 71 2 2" xfId="24984" xr:uid="{AE0DE75E-3A1C-4A2D-B643-834C7E2097CF}"/>
    <cellStyle name="常规 71 3" xfId="24985" xr:uid="{2A64F654-CB9F-4EF7-A02D-32E2E2E1F2E5}"/>
    <cellStyle name="常规 71 4" xfId="24986" xr:uid="{A01D6719-FDCE-47C6-833E-16945E67DA55}"/>
    <cellStyle name="常规 71 4 2" xfId="34594" xr:uid="{5BB30D98-5771-4938-BD3A-45ED4560DC51}"/>
    <cellStyle name="常规 71 5" xfId="24987" xr:uid="{15CD5D1B-C14B-4B27-A29F-D1C57D359D49}"/>
    <cellStyle name="常规 72" xfId="24988" xr:uid="{3FA8BDD3-12C9-4A22-99B8-BF8A7018BE13}"/>
    <cellStyle name="常规 72 2" xfId="24989" xr:uid="{FA9122F4-D595-4D72-AB4D-6E15CED6E895}"/>
    <cellStyle name="常规 72 2 2" xfId="24990" xr:uid="{3915E842-4E98-484A-887E-970F3D4A5F63}"/>
    <cellStyle name="常规 72 3" xfId="24991" xr:uid="{B55EEB01-48CD-4158-831C-933E3D585C88}"/>
    <cellStyle name="常规 72 4" xfId="24992" xr:uid="{BB11B630-5510-4371-9950-AC2BCC620FCB}"/>
    <cellStyle name="常规 72 4 2" xfId="34595" xr:uid="{EF577FDB-6818-4322-8933-20FF6CFCB02F}"/>
    <cellStyle name="常规 72 5" xfId="24993" xr:uid="{F06892F4-CFC8-4469-A091-4F12CB4A5917}"/>
    <cellStyle name="常规 73" xfId="24994" xr:uid="{BC623366-924A-4C7F-B95B-9081DC264994}"/>
    <cellStyle name="常规 73 10" xfId="24995" xr:uid="{4C039EA8-5558-4A71-A305-09A797FB289A}"/>
    <cellStyle name="常规 73 10 2" xfId="24996" xr:uid="{8619E2A2-FA81-4392-B822-7CEF3B5E42AE}"/>
    <cellStyle name="常规 73 11" xfId="24997" xr:uid="{69F0780F-3445-4DFE-956E-CEA68C601E36}"/>
    <cellStyle name="常规 73 11 2" xfId="24998" xr:uid="{0FA5EA5D-B21B-4DCA-A834-D38C6DD47A87}"/>
    <cellStyle name="常规 73 12" xfId="24999" xr:uid="{274EEE5C-3F13-4607-9E9F-4AAEB961F123}"/>
    <cellStyle name="常规 73 12 2" xfId="25000" xr:uid="{5CE3B8A9-B753-4125-B08D-0CE91CF8E409}"/>
    <cellStyle name="常规 73 13" xfId="25001" xr:uid="{CCF819B0-5AF0-4518-AF2D-297349B2953E}"/>
    <cellStyle name="常规 73 2" xfId="25002" xr:uid="{CB38CCC2-D787-412E-AEA6-6A46692D5E54}"/>
    <cellStyle name="常规 73 2 10" xfId="25003" xr:uid="{1B853AC0-8D78-41ED-9B7B-CF8DD62BAD0B}"/>
    <cellStyle name="常规 73 2 11" xfId="25004" xr:uid="{DF3EA54F-DA6B-4EE5-B70B-1D053E1CE4A3}"/>
    <cellStyle name="常规 73 2 2" xfId="25005" xr:uid="{3AB1B7C7-9B58-4D10-888B-BF0057791BA9}"/>
    <cellStyle name="常规 73 2 2 2" xfId="25006" xr:uid="{D4AF0E3F-4BD7-4184-AA8E-2D2393899455}"/>
    <cellStyle name="常规 73 2 3" xfId="25007" xr:uid="{44DF81D2-361B-4688-A6AD-19F8E690F944}"/>
    <cellStyle name="常规 73 2 3 2" xfId="25008" xr:uid="{CA035501-7252-4E88-AD6D-4A9A99F1E9A9}"/>
    <cellStyle name="常规 73 2 4" xfId="25009" xr:uid="{D6EC2E76-FA66-4C28-BA90-7AB328AF68D6}"/>
    <cellStyle name="常规 73 2 4 2" xfId="25010" xr:uid="{F4F782E6-0AB6-434E-BEE1-F0DD9B4C3476}"/>
    <cellStyle name="常规 73 2 5" xfId="25011" xr:uid="{DF3C4A99-D646-459B-B2D6-5B3D2BB71F79}"/>
    <cellStyle name="常规 73 2 5 2" xfId="25012" xr:uid="{21D47A74-762B-4E21-87EA-82C66F2B4917}"/>
    <cellStyle name="常规 73 2 6" xfId="25013" xr:uid="{D3B8420D-DCCA-4105-BC19-BD73CEFD612A}"/>
    <cellStyle name="常规 73 2 6 2" xfId="25014" xr:uid="{5507DC84-6BE6-4450-94B0-52366C8436ED}"/>
    <cellStyle name="常规 73 2 7" xfId="25015" xr:uid="{72963221-D8FE-4953-A35B-E774BE668EF1}"/>
    <cellStyle name="常规 73 2 7 2" xfId="25016" xr:uid="{5AFCE9ED-BD9E-4D79-B626-8C718B96D5CC}"/>
    <cellStyle name="常规 73 2 8" xfId="25017" xr:uid="{02A54B7D-DA74-4A26-8AF2-CF9F7825FED1}"/>
    <cellStyle name="常规 73 2 8 2" xfId="25018" xr:uid="{47469D6B-62DF-433C-9A63-62522D9F82EA}"/>
    <cellStyle name="常规 73 2 9" xfId="25019" xr:uid="{18F68E8E-EF83-485A-94F6-C12EC13EA009}"/>
    <cellStyle name="常规 73 2 9 2" xfId="25020" xr:uid="{66616693-9CED-449D-BC8C-E5BCB41ACE3C}"/>
    <cellStyle name="常规 73 3" xfId="25021" xr:uid="{8ADF3976-CAC1-4004-8108-EFB772B50A4D}"/>
    <cellStyle name="常规 73 3 2" xfId="25022" xr:uid="{D40F0E7B-8758-47D9-9249-262E9DCA6318}"/>
    <cellStyle name="常规 73 3 3" xfId="25023" xr:uid="{FBDC25BE-40D9-471D-8489-E4D16180514F}"/>
    <cellStyle name="常规 73 4" xfId="25024" xr:uid="{0CC5AF1B-19AA-43F7-A64F-C1B1C84CA5BA}"/>
    <cellStyle name="常规 73 4 2" xfId="25025" xr:uid="{3CD15EE9-216C-4DC2-9A19-1BC08FE94E29}"/>
    <cellStyle name="常规 73 4 3" xfId="34596" xr:uid="{5EFB642A-6178-4323-8492-3F3AEE5971C8}"/>
    <cellStyle name="常规 73 5" xfId="25026" xr:uid="{D6D3D2CE-56D2-4BF9-A166-444FF1D03C7D}"/>
    <cellStyle name="常规 73 5 2" xfId="25027" xr:uid="{EAB7ECC7-B014-40F7-A994-F5837777EE27}"/>
    <cellStyle name="常规 73 5 3" xfId="25028" xr:uid="{A9B61E16-EF43-4ECD-9F2B-B3D49357A47A}"/>
    <cellStyle name="常规 73 6" xfId="25029" xr:uid="{24D055C6-4420-48F4-A462-211AE640D863}"/>
    <cellStyle name="常规 73 6 2" xfId="25030" xr:uid="{348468A4-8A43-4950-8CA3-D8462B5432B6}"/>
    <cellStyle name="常规 73 7" xfId="25031" xr:uid="{55732BC1-9A8F-42CA-BC1D-FBE41FBA3A1A}"/>
    <cellStyle name="常规 73 7 2" xfId="25032" xr:uid="{BAA9C273-7CD1-4A66-A55C-E1EB2813B7E1}"/>
    <cellStyle name="常规 73 8" xfId="25033" xr:uid="{148EBEF2-FB95-4495-9427-C3EDCA6E732E}"/>
    <cellStyle name="常规 73 8 2" xfId="25034" xr:uid="{D6FAA270-AA67-4317-A0B8-F007BAD007E9}"/>
    <cellStyle name="常规 73 9" xfId="25035" xr:uid="{35EFCEC3-5B0A-45F3-AB64-95922771ED45}"/>
    <cellStyle name="常规 73 9 2" xfId="25036" xr:uid="{CBDA9926-F9B8-4CE6-8DA9-BF468A93446C}"/>
    <cellStyle name="常规 74" xfId="25037" xr:uid="{8158D483-B600-4BEC-9FAF-B1C4EE484FB9}"/>
    <cellStyle name="常规 74 2" xfId="25038" xr:uid="{731D48E6-1DAA-4A85-8E0F-9AE19CB191EE}"/>
    <cellStyle name="常规 74 2 2" xfId="25039" xr:uid="{EAD4E38C-5BBC-4F56-91D5-0187AA3CBC70}"/>
    <cellStyle name="常规 74 3" xfId="25040" xr:uid="{484146E2-CE3C-4A06-9D63-0806D8F0FE98}"/>
    <cellStyle name="常规 74 4" xfId="25041" xr:uid="{B89C42B5-8B33-41D3-974C-3729EB621855}"/>
    <cellStyle name="常规 74 4 2" xfId="34597" xr:uid="{0653D478-95FC-48E5-9CC3-AF873F0C77EB}"/>
    <cellStyle name="常规 74 5" xfId="25042" xr:uid="{95E6182E-B5BD-4489-BBE1-E213475637CA}"/>
    <cellStyle name="常规 75" xfId="25043" xr:uid="{D4041DC9-5283-4CDE-B79B-8C624844BA2F}"/>
    <cellStyle name="常规 75 2" xfId="25044" xr:uid="{43D8D7CB-5E14-423C-9ED8-A81F4809D566}"/>
    <cellStyle name="常规 75 2 2" xfId="25045" xr:uid="{37102780-984A-446C-9AC0-79323F2F54B5}"/>
    <cellStyle name="常规 75 3" xfId="25046" xr:uid="{C8908667-A6E1-4400-8B64-38AF1D31A897}"/>
    <cellStyle name="常规 75 4" xfId="25047" xr:uid="{6ABC9BBB-D744-4701-A6F3-0ED74BB90008}"/>
    <cellStyle name="常规 75 4 2" xfId="34598" xr:uid="{A11EFB40-3FF1-4BB1-956C-1A5C05CFE56C}"/>
    <cellStyle name="常规 75 5" xfId="25048" xr:uid="{8D2D3CA4-9F60-4CDE-8FAB-BB51F51DBE39}"/>
    <cellStyle name="常规 76" xfId="25049" xr:uid="{8089C8EF-81A2-4B6D-8E0F-9A7DE41531C4}"/>
    <cellStyle name="常规 76 2" xfId="25050" xr:uid="{84FCBB1E-BB37-4F95-B797-874A2E6DD4AD}"/>
    <cellStyle name="常规 76 2 2" xfId="25051" xr:uid="{F148B15A-C3C6-4FAB-A814-0DEF2D09843B}"/>
    <cellStyle name="常规 76 3" xfId="25052" xr:uid="{E400BFC4-7B61-497A-A83D-2A5F5AD577D2}"/>
    <cellStyle name="常规 76 4" xfId="25053" xr:uid="{E7104C03-4F6F-4997-A24F-F28901EE36A8}"/>
    <cellStyle name="常规 76 4 2" xfId="34599" xr:uid="{1F1DD58B-21D8-4DC6-AFE6-C27AA0F21D7B}"/>
    <cellStyle name="常规 76 5" xfId="25054" xr:uid="{885D1496-2636-43B5-8FDB-40D8D4212B1C}"/>
    <cellStyle name="常规 77" xfId="25055" xr:uid="{A10AD75D-6A9F-44FC-B5C7-4A11456277A4}"/>
    <cellStyle name="常规 77 2" xfId="25056" xr:uid="{F64E93DB-9E77-4ACB-A535-5B1A77B67048}"/>
    <cellStyle name="常规 77 2 2" xfId="25057" xr:uid="{E8394406-3D40-4FF7-A15B-29AC9622CB87}"/>
    <cellStyle name="常规 77 3" xfId="25058" xr:uid="{E25FF0EE-7366-4F44-A181-0958E00E1E71}"/>
    <cellStyle name="常规 77 4" xfId="25059" xr:uid="{A6AA040E-CBC1-43CE-ABBA-89ED20FC9AB0}"/>
    <cellStyle name="常规 77 4 2" xfId="34600" xr:uid="{B2AB75E9-D243-4F3A-8C7A-5C6B85E0DC6D}"/>
    <cellStyle name="常规 77 5" xfId="25060" xr:uid="{26B9F6A9-5CAB-4699-BC94-6E23BA775B33}"/>
    <cellStyle name="常规 78" xfId="25061" xr:uid="{E8CB6652-088F-4DCD-AB94-D25FFBE382D6}"/>
    <cellStyle name="常规 78 2" xfId="25062" xr:uid="{D6C74F6D-2C76-4873-9754-54B46D87AD02}"/>
    <cellStyle name="常规 78 2 2" xfId="25063" xr:uid="{3EDCB810-4C15-4D04-9F87-6AAB23B09ED9}"/>
    <cellStyle name="常规 78 3" xfId="25064" xr:uid="{76EF23DF-0997-4A78-8361-9C19FD6F746B}"/>
    <cellStyle name="常规 78 4" xfId="25065" xr:uid="{D5459B76-E1DA-4F49-A92E-D819EE0A2964}"/>
    <cellStyle name="常规 78 4 2" xfId="34601" xr:uid="{72E2D4CC-80FB-4C3F-9054-0AB19ABA0DEA}"/>
    <cellStyle name="常规 78 5" xfId="25066" xr:uid="{CA4E9539-9FBC-4460-9B3B-B569B9517BE6}"/>
    <cellStyle name="常规 79" xfId="25067" xr:uid="{18C0C68C-B039-40AB-9554-28EA5E247B83}"/>
    <cellStyle name="常规 79 2" xfId="25068" xr:uid="{42E13D49-B8E4-4CB9-83CA-849788CA9ADC}"/>
    <cellStyle name="常规 79 2 2" xfId="25069" xr:uid="{20B0A90C-7F08-493D-BBA0-B37AF0B2ACA2}"/>
    <cellStyle name="常规 79 3" xfId="25070" xr:uid="{8F865734-A997-44BB-9EA1-C76B5AAA8E05}"/>
    <cellStyle name="常规 79 4" xfId="25071" xr:uid="{9ABB32CA-8338-46ED-BC75-CA29FCBEBE7D}"/>
    <cellStyle name="常规 79 4 2" xfId="34602" xr:uid="{C176D534-D966-4D8E-8181-8457FDE16C7B}"/>
    <cellStyle name="常规 79 5" xfId="25072" xr:uid="{83369A65-5538-4F72-8EAF-188EBEB3F835}"/>
    <cellStyle name="常规 8" xfId="25073" xr:uid="{59712FFE-C991-4F6B-9EA7-7299AD03FAEC}"/>
    <cellStyle name="常规 8 10" xfId="25074" xr:uid="{E6176032-E067-4391-B7D2-53A70D702F0E}"/>
    <cellStyle name="常规 8 10 10" xfId="25075" xr:uid="{6E56691E-D21D-4B75-9E9B-3DCFE9E3D59E}"/>
    <cellStyle name="常规 8 10 11" xfId="25076" xr:uid="{B856C695-5EA9-4BDF-96E5-B7C14BD29271}"/>
    <cellStyle name="常规 8 10 12" xfId="25077" xr:uid="{F06E5F3F-375B-4D7F-8082-24DA85D62806}"/>
    <cellStyle name="常规 8 10 13" xfId="25078" xr:uid="{9548E37E-112E-4A82-983A-EADD137B1CFF}"/>
    <cellStyle name="常规 8 10 2" xfId="25079" xr:uid="{7D904178-6C5A-4A33-B15E-FD2EDB6C6E09}"/>
    <cellStyle name="常规 8 10 2 2" xfId="25080" xr:uid="{309C507F-205D-4125-B947-01770AA83BD9}"/>
    <cellStyle name="常规 8 10 2 2 2" xfId="25081" xr:uid="{C31CC7C8-66C6-4ABD-B251-3A4FF8494054}"/>
    <cellStyle name="常规 8 10 2 2 3" xfId="25082" xr:uid="{EBF6E56F-BA62-4CEA-89D3-E58AACB406F6}"/>
    <cellStyle name="常规 8 10 2 2 4" xfId="25083" xr:uid="{2290821A-5AE6-4050-9179-F0FE3CBAA66C}"/>
    <cellStyle name="常规 8 10 2 2 5" xfId="25084" xr:uid="{B6310644-9264-464E-AAB4-C96A87943895}"/>
    <cellStyle name="常规 8 10 2 2 6" xfId="25085" xr:uid="{F1ABC572-5708-49C8-BE1B-51ECC21445E6}"/>
    <cellStyle name="常规 8 10 2 3" xfId="25086" xr:uid="{5BD233A2-6E6A-49BE-A5F9-B2A7960C172A}"/>
    <cellStyle name="常规 8 10 2 4" xfId="25087" xr:uid="{67AB5782-4569-4916-B7A8-D9BCD1090774}"/>
    <cellStyle name="常规 8 10 2 5" xfId="25088" xr:uid="{C2C7DBF2-0A4A-4DDE-9ACF-C62E987DFE91}"/>
    <cellStyle name="常规 8 10 2 6" xfId="25089" xr:uid="{4764AAD9-E0D4-460D-9A65-5CC2BC79E634}"/>
    <cellStyle name="常规 8 10 2 7" xfId="25090" xr:uid="{06A0FD7C-DFEB-4ABD-83FF-2AEA869C96B6}"/>
    <cellStyle name="常规 8 10 3" xfId="25091" xr:uid="{ED325D18-2287-48BF-BC62-90C3DF73FABC}"/>
    <cellStyle name="常规 8 10 3 2" xfId="25092" xr:uid="{5060FE31-458E-4437-A6B5-BB66D39E913A}"/>
    <cellStyle name="常规 8 10 3 2 2" xfId="25093" xr:uid="{CCC2A11D-DFF7-4BDA-BBB5-F8DD6B0C4F6E}"/>
    <cellStyle name="常规 8 10 3 2 3" xfId="25094" xr:uid="{61199040-7232-4483-8D0E-655DD7AB7541}"/>
    <cellStyle name="常规 8 10 3 2 4" xfId="25095" xr:uid="{9CE2B0E0-D53C-435C-A998-B1C49177CF8C}"/>
    <cellStyle name="常规 8 10 3 2 5" xfId="25096" xr:uid="{299FA993-E403-4A45-9981-4135385CC90B}"/>
    <cellStyle name="常规 8 10 3 2 6" xfId="25097" xr:uid="{6B5A4478-21F2-4C6F-B64E-3E36833B4CB0}"/>
    <cellStyle name="常规 8 10 3 3" xfId="25098" xr:uid="{1E9FE378-E6A8-4F28-85C7-FBEEE7D41FA0}"/>
    <cellStyle name="常规 8 10 3 4" xfId="25099" xr:uid="{00546592-B1DC-4E96-9CF6-7328334B7833}"/>
    <cellStyle name="常规 8 10 3 5" xfId="25100" xr:uid="{CBDFB234-812D-4BCE-84DB-55A3B37A22CB}"/>
    <cellStyle name="常规 8 10 3 6" xfId="25101" xr:uid="{9345F5AB-274B-44D3-92E3-97D8FA355849}"/>
    <cellStyle name="常规 8 10 3 7" xfId="25102" xr:uid="{2E8260C7-9C6A-4071-955F-4F8FD0A3ED3E}"/>
    <cellStyle name="常规 8 10 4" xfId="25103" xr:uid="{1CABFA4D-FD77-449A-9465-A63CE11CD278}"/>
    <cellStyle name="常规 8 10 4 2" xfId="25104" xr:uid="{0D68D94A-21DA-42E4-93BF-2E0D48071A65}"/>
    <cellStyle name="常规 8 10 4 2 2" xfId="25105" xr:uid="{B59ADB79-8DB2-46FB-9B06-E573410897F9}"/>
    <cellStyle name="常规 8 10 4 2 3" xfId="25106" xr:uid="{B7C589D1-10C4-497F-B471-3229A317C98C}"/>
    <cellStyle name="常规 8 10 4 2 4" xfId="25107" xr:uid="{CD0EADD8-50E6-4447-B90F-7A8E9CC26BF8}"/>
    <cellStyle name="常规 8 10 4 2 5" xfId="25108" xr:uid="{DE14FD36-4E02-4272-8626-5001079F474D}"/>
    <cellStyle name="常规 8 10 4 2 6" xfId="25109" xr:uid="{DF6F2EEC-1A57-4599-848B-EFFD4FDCF05B}"/>
    <cellStyle name="常规 8 10 4 3" xfId="25110" xr:uid="{102DCEE9-D372-4DD0-A7E9-E83E5D8871BC}"/>
    <cellStyle name="常规 8 10 4 4" xfId="25111" xr:uid="{8E42720B-CA79-4C90-8612-C50E4ADB63BB}"/>
    <cellStyle name="常规 8 10 4 5" xfId="25112" xr:uid="{6AD978F9-81CC-4139-BB1D-BC66EF0DE7AD}"/>
    <cellStyle name="常规 8 10 4 6" xfId="25113" xr:uid="{6CED903E-5ABB-4F5F-B301-408D366872AB}"/>
    <cellStyle name="常规 8 10 4 7" xfId="25114" xr:uid="{DB9A2A11-2747-4808-9611-2A76B1FC1F84}"/>
    <cellStyle name="常规 8 10 5" xfId="25115" xr:uid="{F2ED031D-DB3A-4948-87C6-04FBD84A9433}"/>
    <cellStyle name="常规 8 10 5 2" xfId="25116" xr:uid="{0307F5B7-E676-421C-9235-58CBBD4D1446}"/>
    <cellStyle name="常规 8 10 5 2 2" xfId="25117" xr:uid="{F4C64947-AECB-48AF-8E2C-415EC28CD048}"/>
    <cellStyle name="常规 8 10 5 2 3" xfId="25118" xr:uid="{8E49EC7B-20C6-4DD2-8436-448CB2513FB2}"/>
    <cellStyle name="常规 8 10 5 2 4" xfId="25119" xr:uid="{9056FB19-AA14-43B7-8F65-5FE1A56C70E9}"/>
    <cellStyle name="常规 8 10 5 2 5" xfId="25120" xr:uid="{94C22321-A7FE-476F-A7B7-524C60C75F67}"/>
    <cellStyle name="常规 8 10 5 2 6" xfId="25121" xr:uid="{E81542C1-54B8-4368-9277-AA3AC395BA6E}"/>
    <cellStyle name="常规 8 10 5 3" xfId="25122" xr:uid="{31C4A183-6018-4152-9EA9-258458CAEC45}"/>
    <cellStyle name="常规 8 10 5 4" xfId="25123" xr:uid="{56B67985-E8F3-46E0-BFF1-7B34048CEF31}"/>
    <cellStyle name="常规 8 10 5 5" xfId="25124" xr:uid="{75154F5C-F11E-4460-A7A7-CD755E2DF0E1}"/>
    <cellStyle name="常规 8 10 5 6" xfId="25125" xr:uid="{6CA6039E-BF75-4E24-8E0E-5E329E823129}"/>
    <cellStyle name="常规 8 10 5 7" xfId="25126" xr:uid="{C5330CBB-B533-4952-8536-79A971C97618}"/>
    <cellStyle name="常规 8 10 6" xfId="25127" xr:uid="{138BA8DE-82F7-4DD2-8F39-55F1C9399302}"/>
    <cellStyle name="常规 8 10 6 2" xfId="25128" xr:uid="{A4D4709A-B4DF-4847-9F68-467B60E8D759}"/>
    <cellStyle name="常规 8 10 6 2 2" xfId="25129" xr:uid="{E9F6B8B4-A5E5-46BB-AFDD-33FBBB95FDC4}"/>
    <cellStyle name="常规 8 10 6 2 3" xfId="25130" xr:uid="{DB93E138-B96A-4C2B-894A-ED0058130C51}"/>
    <cellStyle name="常规 8 10 6 2 4" xfId="25131" xr:uid="{20D38CFC-C925-4221-8BA2-A84A23776A61}"/>
    <cellStyle name="常规 8 10 6 2 5" xfId="25132" xr:uid="{D553EF85-4458-4393-B7FC-6931D22EB1EA}"/>
    <cellStyle name="常规 8 10 6 2 6" xfId="25133" xr:uid="{D7EB61AA-38D9-4F65-83D5-A3E6AFC38663}"/>
    <cellStyle name="常规 8 10 6 3" xfId="25134" xr:uid="{01E299DA-61B0-488D-8783-0A9935E03E07}"/>
    <cellStyle name="常规 8 10 6 4" xfId="25135" xr:uid="{E3CB4435-6FCF-4472-88DB-13A70D06E8DE}"/>
    <cellStyle name="常规 8 10 6 5" xfId="25136" xr:uid="{A37E14FB-2010-478D-8CAF-A91E57634634}"/>
    <cellStyle name="常规 8 10 6 6" xfId="25137" xr:uid="{1D0BEB0A-45BF-488F-BC63-328C5B904D8C}"/>
    <cellStyle name="常规 8 10 6 7" xfId="25138" xr:uid="{30F630AD-0119-4104-AF30-53AB49AB523C}"/>
    <cellStyle name="常规 8 10 7" xfId="25139" xr:uid="{9C3507A1-D25B-4263-AA5D-7EFCDD5DCF0B}"/>
    <cellStyle name="常规 8 10 7 2" xfId="25140" xr:uid="{C5463087-3062-4C29-90F1-0DFB31391441}"/>
    <cellStyle name="常规 8 10 7 3" xfId="25141" xr:uid="{BB2357C8-BBC0-4E80-BAD7-9705FEA50765}"/>
    <cellStyle name="常规 8 10 7 4" xfId="25142" xr:uid="{3F9DB197-B461-48FF-99A3-6CBB60C93C20}"/>
    <cellStyle name="常规 8 10 7 5" xfId="25143" xr:uid="{A5EC2FD3-73A7-4986-9CD9-819091B65690}"/>
    <cellStyle name="常规 8 10 7 6" xfId="25144" xr:uid="{B755B03F-9A6E-40D4-9C40-43827D7B70F7}"/>
    <cellStyle name="常规 8 10 8" xfId="25145" xr:uid="{3DDF5772-3BC3-4287-ABBC-A13C15D8A0A7}"/>
    <cellStyle name="常规 8 10 9" xfId="25146" xr:uid="{31286A8B-280E-4D6B-968A-553544F778A9}"/>
    <cellStyle name="常规 8 11" xfId="25147" xr:uid="{FC5570C4-EB58-42A4-AF61-8FD6A138942E}"/>
    <cellStyle name="常规 8 11 10" xfId="25148" xr:uid="{2B128D66-E0D4-430D-B2F1-A539F4F58674}"/>
    <cellStyle name="常规 8 11 11" xfId="25149" xr:uid="{2E4E9A4C-5E65-4B3E-AF1B-A2C4B6711B8B}"/>
    <cellStyle name="常规 8 11 12" xfId="25150" xr:uid="{680AD99C-B3E1-4568-8412-AE4BD8C6C084}"/>
    <cellStyle name="常规 8 11 13" xfId="34603" xr:uid="{A648A7B0-1749-4EA5-98AE-F78F37B27715}"/>
    <cellStyle name="常规 8 11 2" xfId="25151" xr:uid="{712BE7E7-1814-4F57-A3AE-29B698EFC42B}"/>
    <cellStyle name="常规 8 11 2 2" xfId="25152" xr:uid="{5257725D-AA9E-4B16-9E23-842C2954ED34}"/>
    <cellStyle name="常规 8 11 2 2 2" xfId="25153" xr:uid="{D2BBB6E8-99F6-4E25-97B9-4E699DBA9165}"/>
    <cellStyle name="常规 8 11 2 2 3" xfId="25154" xr:uid="{7571AF77-71D0-46D2-9686-42219C4DEA0D}"/>
    <cellStyle name="常规 8 11 2 2 4" xfId="25155" xr:uid="{C3B8DB1D-EE49-4DBE-A593-DEF1F275275A}"/>
    <cellStyle name="常规 8 11 2 2 5" xfId="25156" xr:uid="{284282E9-3075-4160-95BC-376F919C0A42}"/>
    <cellStyle name="常规 8 11 2 2 6" xfId="25157" xr:uid="{274AEA51-DD91-4D44-BD57-AF3E91BDD460}"/>
    <cellStyle name="常规 8 11 2 3" xfId="25158" xr:uid="{E233BFD5-8D9C-45E8-A953-B8EB3070E9E1}"/>
    <cellStyle name="常规 8 11 2 4" xfId="25159" xr:uid="{901430E7-CE5D-4554-8E4F-8BA6252C18C4}"/>
    <cellStyle name="常规 8 11 2 5" xfId="25160" xr:uid="{9B795393-BBB1-46E1-94EE-9F1ADE925110}"/>
    <cellStyle name="常规 8 11 2 6" xfId="25161" xr:uid="{C006F2B9-F564-42F4-A64F-5D8F6BD9E46E}"/>
    <cellStyle name="常规 8 11 2 7" xfId="25162" xr:uid="{3DD788DC-D247-4F61-9256-5EC3EC363A58}"/>
    <cellStyle name="常规 8 11 3" xfId="25163" xr:uid="{E718E1B3-2954-4547-B405-AE9CF3FA8B25}"/>
    <cellStyle name="常规 8 11 3 2" xfId="25164" xr:uid="{249C1765-BC56-4E37-A0C7-6917D5A93985}"/>
    <cellStyle name="常规 8 11 3 2 2" xfId="25165" xr:uid="{A93AA091-F861-457D-950E-1AE4DC894A9F}"/>
    <cellStyle name="常规 8 11 3 2 3" xfId="25166" xr:uid="{3C7DC0AD-9948-4B51-B203-66E97E725209}"/>
    <cellStyle name="常规 8 11 3 2 4" xfId="25167" xr:uid="{91417E31-73B3-44AA-A942-62F5C675DE48}"/>
    <cellStyle name="常规 8 11 3 2 5" xfId="25168" xr:uid="{F02FD85B-8E1A-4091-A9F0-18D77B16283F}"/>
    <cellStyle name="常规 8 11 3 2 6" xfId="25169" xr:uid="{F344CEFD-B163-45DE-BE35-71ABFB5916F1}"/>
    <cellStyle name="常规 8 11 3 3" xfId="25170" xr:uid="{9DA80160-54EC-4300-BED3-843D6C02E374}"/>
    <cellStyle name="常规 8 11 3 4" xfId="25171" xr:uid="{E4AF49A7-5932-4A8A-951D-3CEEBAB7BDC5}"/>
    <cellStyle name="常规 8 11 3 5" xfId="25172" xr:uid="{165AB23B-609E-47F5-8183-D5411ECBF6D6}"/>
    <cellStyle name="常规 8 11 3 6" xfId="25173" xr:uid="{AB8E3AF6-E0DE-4662-97DD-40EB77E907EA}"/>
    <cellStyle name="常规 8 11 3 7" xfId="25174" xr:uid="{968DE059-B3DD-4CC0-A5DA-521F22AD94EF}"/>
    <cellStyle name="常规 8 11 4" xfId="25175" xr:uid="{65CD9050-0C28-4917-A1D8-DE7100FB58CA}"/>
    <cellStyle name="常规 8 11 4 2" xfId="25176" xr:uid="{33F9C0A6-3009-42FF-A5E3-A713F39A1407}"/>
    <cellStyle name="常规 8 11 4 2 2" xfId="25177" xr:uid="{935C35DC-A215-4860-AD65-630D3EF8565D}"/>
    <cellStyle name="常规 8 11 4 2 3" xfId="25178" xr:uid="{824DE60E-5CBD-4B23-AF6E-FD71E840ABC6}"/>
    <cellStyle name="常规 8 11 4 2 4" xfId="25179" xr:uid="{C75CF685-5375-47CE-A186-0DA63F58292F}"/>
    <cellStyle name="常规 8 11 4 2 5" xfId="25180" xr:uid="{027ACD21-A1AD-4858-87AC-625809E4284C}"/>
    <cellStyle name="常规 8 11 4 2 6" xfId="25181" xr:uid="{0F73B1F6-E6FE-4CB8-A8FC-B0021F3EE893}"/>
    <cellStyle name="常规 8 11 4 3" xfId="25182" xr:uid="{4D103854-EDE8-4359-8589-7E5DD1A48C44}"/>
    <cellStyle name="常规 8 11 4 4" xfId="25183" xr:uid="{271D247D-B1F0-40DB-AF12-C77359A217D0}"/>
    <cellStyle name="常规 8 11 4 5" xfId="25184" xr:uid="{B457906D-3DFF-4E19-B121-D0EE177843DA}"/>
    <cellStyle name="常规 8 11 4 6" xfId="25185" xr:uid="{9F5554E5-0153-4D61-B4D3-631F9DC064D9}"/>
    <cellStyle name="常规 8 11 4 7" xfId="25186" xr:uid="{FC5E27AA-3725-474D-8257-3AF82F02F5EC}"/>
    <cellStyle name="常规 8 11 5" xfId="25187" xr:uid="{520DBDDE-7BAB-400F-9F42-13162820C6B7}"/>
    <cellStyle name="常规 8 11 5 2" xfId="25188" xr:uid="{543B6385-E5F9-4A62-B2AC-5187455931E0}"/>
    <cellStyle name="常规 8 11 5 2 2" xfId="25189" xr:uid="{B6AF910D-7842-4255-92CA-47B18D05700F}"/>
    <cellStyle name="常规 8 11 5 2 3" xfId="25190" xr:uid="{6655506A-C1FF-4626-8330-DDC432905CD9}"/>
    <cellStyle name="常规 8 11 5 2 4" xfId="25191" xr:uid="{76D10C40-163C-4F2A-8B26-CB974FEC8C5F}"/>
    <cellStyle name="常规 8 11 5 2 5" xfId="25192" xr:uid="{CE8DE6E8-E5B7-4507-A729-56AA224B90F1}"/>
    <cellStyle name="常规 8 11 5 2 6" xfId="25193" xr:uid="{81D2D7D7-E1A9-475E-B082-299C4FC82BB4}"/>
    <cellStyle name="常规 8 11 5 3" xfId="25194" xr:uid="{A953C4C9-6F2A-434D-B327-DE87C323565F}"/>
    <cellStyle name="常规 8 11 5 4" xfId="25195" xr:uid="{4F6D5FC2-321B-4F30-9187-E68786BB949F}"/>
    <cellStyle name="常规 8 11 5 5" xfId="25196" xr:uid="{DDFA33AA-5DD6-42B9-A3E6-3272E52C042C}"/>
    <cellStyle name="常规 8 11 5 6" xfId="25197" xr:uid="{47D4572B-6F66-4765-8076-ABCF8C7A0BB5}"/>
    <cellStyle name="常规 8 11 5 7" xfId="25198" xr:uid="{03EEAE8D-4FAE-4200-87C9-C6775E553988}"/>
    <cellStyle name="常规 8 11 6" xfId="25199" xr:uid="{B748102E-8F4A-4C18-AE00-D3EEB907E562}"/>
    <cellStyle name="常规 8 11 6 2" xfId="25200" xr:uid="{1C1205B2-3331-42F0-BDE5-BC66781A7E2D}"/>
    <cellStyle name="常规 8 11 6 3" xfId="25201" xr:uid="{2E9F9E2F-A296-4B31-B16E-9AA4F3155F99}"/>
    <cellStyle name="常规 8 11 6 4" xfId="25202" xr:uid="{50E305EC-2D26-42CE-B37D-5512A103A5E1}"/>
    <cellStyle name="常规 8 11 6 5" xfId="25203" xr:uid="{389D38B4-EFC9-4B2E-9BD8-5AC7F7CC6C08}"/>
    <cellStyle name="常规 8 11 6 6" xfId="25204" xr:uid="{DC2899C7-B4F2-4348-8F4A-E5FFDAD10F4E}"/>
    <cellStyle name="常规 8 11 7" xfId="25205" xr:uid="{C604ACAE-0E52-46B7-AF29-6A8FA01C5023}"/>
    <cellStyle name="常规 8 11 8" xfId="25206" xr:uid="{4B7DEB28-AB09-4682-9EA7-519F3BAC1685}"/>
    <cellStyle name="常规 8 11 9" xfId="25207" xr:uid="{AF827E94-DCF2-4006-829F-5D88569E9DC4}"/>
    <cellStyle name="常规 8 12" xfId="25208" xr:uid="{013717B5-8A6D-4430-8F6F-7855CD862270}"/>
    <cellStyle name="常规 8 12 10" xfId="25209" xr:uid="{1711364C-3601-469E-9E31-DC726A77FD3E}"/>
    <cellStyle name="常规 8 12 11" xfId="25210" xr:uid="{499E5873-06DF-4A34-BD5C-132091CA6652}"/>
    <cellStyle name="常规 8 12 2" xfId="25211" xr:uid="{AD64DB10-9955-4CFC-B27F-FE88DCF1ABF1}"/>
    <cellStyle name="常规 8 12 2 2" xfId="25212" xr:uid="{477B210E-FAAD-401C-84EC-0C62CE372732}"/>
    <cellStyle name="常规 8 12 2 2 2" xfId="25213" xr:uid="{44F782A0-B195-4F61-845A-4872B49C6362}"/>
    <cellStyle name="常规 8 12 2 2 3" xfId="25214" xr:uid="{ED4F539B-F8C2-4A56-BF97-78E3687D104F}"/>
    <cellStyle name="常规 8 12 2 2 4" xfId="25215" xr:uid="{6F40C801-E49A-4A78-AFB4-7EF0720F5D81}"/>
    <cellStyle name="常规 8 12 2 2 5" xfId="25216" xr:uid="{7262A018-3AD8-4CBD-ACED-1DECEF3754D4}"/>
    <cellStyle name="常规 8 12 2 2 6" xfId="25217" xr:uid="{A1B8D356-4BC6-46D1-970D-25C75BB7C9F1}"/>
    <cellStyle name="常规 8 12 2 3" xfId="25218" xr:uid="{DD029AFD-6E5F-455E-A63E-FFD572B39740}"/>
    <cellStyle name="常规 8 12 2 4" xfId="25219" xr:uid="{5C49DEB8-7E52-4114-8B8C-79D3E7103EED}"/>
    <cellStyle name="常规 8 12 2 5" xfId="25220" xr:uid="{E92CB7B9-B5F6-4A72-9D67-58F94BB932D7}"/>
    <cellStyle name="常规 8 12 2 6" xfId="25221" xr:uid="{7920AFF3-C6FC-422F-9301-C15E1815E085}"/>
    <cellStyle name="常规 8 12 2 7" xfId="25222" xr:uid="{776218B4-00AB-4EAF-AD45-2F235A21909C}"/>
    <cellStyle name="常规 8 12 3" xfId="25223" xr:uid="{F6384AF7-BE28-4A36-AC74-2EFA0261BE0B}"/>
    <cellStyle name="常规 8 12 3 2" xfId="25224" xr:uid="{E5A64826-5679-4A26-A10E-12ABD33E5838}"/>
    <cellStyle name="常规 8 12 3 2 2" xfId="25225" xr:uid="{6ABD0DE8-CBD7-4A6B-859C-734E22D78018}"/>
    <cellStyle name="常规 8 12 3 2 3" xfId="25226" xr:uid="{A18F1F5A-B35F-4FB3-90EB-4F67C87BB0DC}"/>
    <cellStyle name="常规 8 12 3 2 4" xfId="25227" xr:uid="{C44F5718-6AEC-4DA2-A98B-DAF0713B14F0}"/>
    <cellStyle name="常规 8 12 3 2 5" xfId="25228" xr:uid="{257B97A1-EC27-4E23-A34C-F3F6A36AF4E8}"/>
    <cellStyle name="常规 8 12 3 2 6" xfId="25229" xr:uid="{41CB8DA6-5389-42A3-872C-7AB39F3E8341}"/>
    <cellStyle name="常规 8 12 3 3" xfId="25230" xr:uid="{E5CEF553-89B4-4B41-8650-6D55C4CBE871}"/>
    <cellStyle name="常规 8 12 3 4" xfId="25231" xr:uid="{940462BA-C5FF-462F-8BE7-4BBB492FB02E}"/>
    <cellStyle name="常规 8 12 3 5" xfId="25232" xr:uid="{27C0AD10-B0B2-4254-BE51-385A1ECBF6C4}"/>
    <cellStyle name="常规 8 12 3 6" xfId="25233" xr:uid="{7BA46188-121F-432A-A557-8CF42AD2EE92}"/>
    <cellStyle name="常规 8 12 3 7" xfId="25234" xr:uid="{6134A8B9-BA6E-403F-95FD-9AF62A9AB129}"/>
    <cellStyle name="常规 8 12 4" xfId="25235" xr:uid="{EF710A55-452F-4C09-A907-8BBF38CE33E1}"/>
    <cellStyle name="常规 8 12 4 2" xfId="25236" xr:uid="{2F5A55DD-E516-4672-8733-321C153ACF62}"/>
    <cellStyle name="常规 8 12 4 2 2" xfId="25237" xr:uid="{AF96B3D7-67B1-4FFC-960B-59B6A718158B}"/>
    <cellStyle name="常规 8 12 4 2 3" xfId="25238" xr:uid="{3B6A97B5-8059-48A7-913C-697783AF5AAD}"/>
    <cellStyle name="常规 8 12 4 2 4" xfId="25239" xr:uid="{B5AD99F3-8462-49A5-8857-A3D137314B0F}"/>
    <cellStyle name="常规 8 12 4 2 5" xfId="25240" xr:uid="{3E0369CB-F08E-4687-A9C6-A9510F6B8A90}"/>
    <cellStyle name="常规 8 12 4 2 6" xfId="25241" xr:uid="{D354ECE1-8B9D-4788-B293-1E9709933AA6}"/>
    <cellStyle name="常规 8 12 4 3" xfId="25242" xr:uid="{ED86D4A9-30D0-401B-B4C7-43CC3F3F90D8}"/>
    <cellStyle name="常规 8 12 4 4" xfId="25243" xr:uid="{B700659B-7074-4D11-A023-27178F9EBE25}"/>
    <cellStyle name="常规 8 12 4 5" xfId="25244" xr:uid="{1D44ECEA-C5AE-43B9-B92C-C603A5F711B2}"/>
    <cellStyle name="常规 8 12 4 6" xfId="25245" xr:uid="{409F4178-1812-465C-9462-929A00976B4E}"/>
    <cellStyle name="常规 8 12 4 7" xfId="25246" xr:uid="{6C94E00F-4823-4943-8B93-D707D1EA18C7}"/>
    <cellStyle name="常规 8 12 5" xfId="25247" xr:uid="{8B9C87E7-C08C-4237-B4EB-BA813CFBA3D6}"/>
    <cellStyle name="常规 8 12 5 2" xfId="25248" xr:uid="{3830951D-E736-4B1F-9104-6C0F19E48534}"/>
    <cellStyle name="常规 8 12 5 3" xfId="25249" xr:uid="{1D217C47-6845-4750-B57B-62535A41CA42}"/>
    <cellStyle name="常规 8 12 5 4" xfId="25250" xr:uid="{C679B236-F92E-46BE-A34F-5C48DAB5CC39}"/>
    <cellStyle name="常规 8 12 5 5" xfId="25251" xr:uid="{5B456C2E-10A9-40C5-A480-446422FFD69B}"/>
    <cellStyle name="常规 8 12 5 6" xfId="25252" xr:uid="{A5381ABA-EC46-4C7A-A409-8B871686FFD9}"/>
    <cellStyle name="常规 8 12 6" xfId="25253" xr:uid="{3B58EA8A-76DE-4DF4-8D94-72E0CD791542}"/>
    <cellStyle name="常规 8 12 7" xfId="25254" xr:uid="{BCDD5D39-EB30-4DAA-B968-3EBC03CC39B1}"/>
    <cellStyle name="常规 8 12 8" xfId="25255" xr:uid="{233233C1-22FB-4741-A34B-B6884B3EF59F}"/>
    <cellStyle name="常规 8 12 9" xfId="25256" xr:uid="{116F88B7-A590-452E-B052-3FD2A29207E1}"/>
    <cellStyle name="常规 8 13" xfId="25257" xr:uid="{14BF684B-90B8-4359-96E6-EE172EB847D1}"/>
    <cellStyle name="常规 8 13 2" xfId="25258" xr:uid="{03BCFE2E-A678-433B-A38D-68EAA6A64FF8}"/>
    <cellStyle name="常规 8 13 2 2" xfId="25259" xr:uid="{4A5CB7B8-E436-4ED5-8612-AC2430C70F83}"/>
    <cellStyle name="常规 8 13 2 2 2" xfId="25260" xr:uid="{8563309C-950A-4023-8805-9C2B8CEB935E}"/>
    <cellStyle name="常规 8 13 2 2 3" xfId="25261" xr:uid="{91901710-9171-4CDE-8521-31AEE7B18FDD}"/>
    <cellStyle name="常规 8 13 2 2 4" xfId="25262" xr:uid="{AF57491A-8241-4392-A9CF-072DDE0AF8C4}"/>
    <cellStyle name="常规 8 13 2 2 5" xfId="25263" xr:uid="{B1846ADB-A099-4FB8-BEA8-3B8267E6EA76}"/>
    <cellStyle name="常规 8 13 2 2 6" xfId="25264" xr:uid="{9A0CA5DD-5D59-4F12-85D6-6A58A236BEA2}"/>
    <cellStyle name="常规 8 13 2 3" xfId="25265" xr:uid="{CA466910-3D38-48C5-BC23-C7F42B55449C}"/>
    <cellStyle name="常规 8 13 2 4" xfId="25266" xr:uid="{4E76E663-D7E6-4046-A217-66E23121FA11}"/>
    <cellStyle name="常规 8 13 2 5" xfId="25267" xr:uid="{7BA3FE15-0A96-45AD-9880-1151C1F5B55D}"/>
    <cellStyle name="常规 8 13 2 6" xfId="25268" xr:uid="{C69741A1-6376-44AD-ABF7-9FE7263DFD71}"/>
    <cellStyle name="常规 8 13 2 7" xfId="25269" xr:uid="{943F4DC1-B910-41D6-92FC-C315A3309AFA}"/>
    <cellStyle name="常规 8 13 3" xfId="25270" xr:uid="{1DDE3E39-1D95-4262-B99D-955ACD76F173}"/>
    <cellStyle name="常规 8 13 3 2" xfId="25271" xr:uid="{58AA0395-2E7B-481F-A2AB-3ECDF50167F6}"/>
    <cellStyle name="常规 8 13 3 2 2" xfId="25272" xr:uid="{6E0493F8-6524-41BC-8121-36C331569D7B}"/>
    <cellStyle name="常规 8 13 3 2 3" xfId="25273" xr:uid="{077C3A38-C920-4D02-866E-EAE839E9E481}"/>
    <cellStyle name="常规 8 13 3 2 4" xfId="25274" xr:uid="{4BBD450F-56BB-421F-997B-C05C033D3A0D}"/>
    <cellStyle name="常规 8 13 3 2 5" xfId="25275" xr:uid="{12702FB0-9E3A-43F5-AF41-FA75AE907655}"/>
    <cellStyle name="常规 8 13 3 2 6" xfId="25276" xr:uid="{498D43AD-721C-4649-8081-D5D41ACDEEC6}"/>
    <cellStyle name="常规 8 13 3 3" xfId="25277" xr:uid="{3DE0CA30-4015-4F38-97BC-0C8879BC4739}"/>
    <cellStyle name="常规 8 13 3 4" xfId="25278" xr:uid="{C9A1AF59-0D94-43DB-84EE-6A5F961B12CE}"/>
    <cellStyle name="常规 8 13 3 5" xfId="25279" xr:uid="{E28D24D2-89F3-4527-81FA-28939BCA3E55}"/>
    <cellStyle name="常规 8 13 3 6" xfId="25280" xr:uid="{60F972F2-0280-4FFD-9B7F-CF0F121E23CB}"/>
    <cellStyle name="常规 8 13 3 7" xfId="25281" xr:uid="{45387757-1C4B-4F2F-B3BD-655CF33D93E2}"/>
    <cellStyle name="常规 8 13 4" xfId="25282" xr:uid="{14C30689-C592-4D12-A7D6-F2E256474558}"/>
    <cellStyle name="常规 8 13 4 2" xfId="25283" xr:uid="{B069796F-0520-4F64-9C18-43658528DE56}"/>
    <cellStyle name="常规 8 13 4 3" xfId="25284" xr:uid="{01F1FC21-6AF1-46E1-AAB6-FA2AA841E529}"/>
    <cellStyle name="常规 8 13 4 4" xfId="25285" xr:uid="{14D8E250-4C97-4ECB-BAEF-FF9FA5124112}"/>
    <cellStyle name="常规 8 13 4 5" xfId="25286" xr:uid="{448C5B52-BCEB-4F00-B051-2ACF2FF4371A}"/>
    <cellStyle name="常规 8 13 4 6" xfId="25287" xr:uid="{478E5BFD-9C3D-4C66-9B7A-C06B42F88088}"/>
    <cellStyle name="常规 8 13 5" xfId="25288" xr:uid="{13FD2F98-AEBB-4B50-B217-45FF30691D4D}"/>
    <cellStyle name="常规 8 13 6" xfId="25289" xr:uid="{E2D2A62B-69CA-4037-8768-517AD067522A}"/>
    <cellStyle name="常规 8 13 7" xfId="25290" xr:uid="{75527531-84AC-4BB0-88F8-35F698AF9A4E}"/>
    <cellStyle name="常规 8 13 8" xfId="25291" xr:uid="{A7007F64-D41B-4EC3-B821-3B6FB32AE52D}"/>
    <cellStyle name="常规 8 13 9" xfId="25292" xr:uid="{9B5E72B9-A221-4BA6-893A-3E4186D1EDC3}"/>
    <cellStyle name="常规 8 14" xfId="25293" xr:uid="{122FE31C-37AE-424C-8262-EC6B849475C1}"/>
    <cellStyle name="常规 8 14 2" xfId="25294" xr:uid="{41C8C0C2-A004-42B4-8C04-A913616718FA}"/>
    <cellStyle name="常规 8 14 2 2" xfId="25295" xr:uid="{48698FA1-B31C-4B8E-BED2-86AA79EC2A33}"/>
    <cellStyle name="常规 8 14 2 2 2" xfId="25296" xr:uid="{FE2BD989-5727-4641-A24C-904B14CADFD5}"/>
    <cellStyle name="常规 8 14 2 2 3" xfId="25297" xr:uid="{7520E016-46B4-40EA-85B5-1FDC552EAC07}"/>
    <cellStyle name="常规 8 14 2 2 4" xfId="25298" xr:uid="{92341DAE-C811-4D05-A8C4-66C504C24CAA}"/>
    <cellStyle name="常规 8 14 2 2 5" xfId="25299" xr:uid="{D7F88F31-2B0C-468F-925A-E31F0ABBFE2E}"/>
    <cellStyle name="常规 8 14 2 2 6" xfId="25300" xr:uid="{9A2875CF-9BF0-4413-AB1C-82429D1EBC27}"/>
    <cellStyle name="常规 8 14 2 3" xfId="25301" xr:uid="{F6AC9A9D-DC45-4EFC-99F9-E5DCF55566E2}"/>
    <cellStyle name="常规 8 14 2 4" xfId="25302" xr:uid="{F715BEAC-D8CF-481E-A0FE-F730E6CAFA20}"/>
    <cellStyle name="常规 8 14 2 5" xfId="25303" xr:uid="{7E788C13-F309-47F3-9B7B-67CF8CC56390}"/>
    <cellStyle name="常规 8 14 2 6" xfId="25304" xr:uid="{B1E8FA0E-CB46-48F0-857F-151594AA3629}"/>
    <cellStyle name="常规 8 14 2 7" xfId="25305" xr:uid="{AB40DCBD-FC85-4376-806F-96377B78C74F}"/>
    <cellStyle name="常规 8 14 3" xfId="25306" xr:uid="{78C105A9-8B59-4B70-A5CB-9B8AB7077825}"/>
    <cellStyle name="常规 8 14 3 2" xfId="25307" xr:uid="{5C58E57C-7A14-45AC-AECA-F67CB29DA09A}"/>
    <cellStyle name="常规 8 14 3 3" xfId="25308" xr:uid="{B1C4A1B8-A6BC-4632-A536-CC9FF3896DF0}"/>
    <cellStyle name="常规 8 14 3 4" xfId="25309" xr:uid="{BF31E49B-9E34-4189-982D-641267DBA882}"/>
    <cellStyle name="常规 8 14 3 5" xfId="25310" xr:uid="{D9076678-592E-4776-BDB3-BD53209A3001}"/>
    <cellStyle name="常规 8 14 3 6" xfId="25311" xr:uid="{8EE6C701-9531-4C50-B5E4-934991C9F707}"/>
    <cellStyle name="常规 8 14 4" xfId="25312" xr:uid="{91F55BB8-156E-47A7-9432-AD3E6FD2FFCB}"/>
    <cellStyle name="常规 8 14 5" xfId="25313" xr:uid="{03C9B5AE-EAB0-4A18-944C-631D4DC94E61}"/>
    <cellStyle name="常规 8 14 6" xfId="25314" xr:uid="{42F20049-74CB-4C22-9F36-261399CC49D7}"/>
    <cellStyle name="常规 8 14 7" xfId="25315" xr:uid="{50EB90A1-5207-4494-B707-89DD18F4CF75}"/>
    <cellStyle name="常规 8 14 8" xfId="25316" xr:uid="{3A2160FC-A996-4C86-BFCE-7598D4A80009}"/>
    <cellStyle name="常规 8 15" xfId="25317" xr:uid="{36A14D0D-42D6-4AD2-B9FB-4D2721A7B39B}"/>
    <cellStyle name="常规 8 15 2" xfId="25318" xr:uid="{A5D6B9DB-B55E-4D8A-9ADC-A3BA6EE001F4}"/>
    <cellStyle name="常规 8 15 2 2" xfId="25319" xr:uid="{EC4FB05F-0ABD-439D-BE3B-CE6BB9866742}"/>
    <cellStyle name="常规 8 15 2 2 2" xfId="25320" xr:uid="{F2DEAB3F-6D51-4627-99D8-43EDB443AEDE}"/>
    <cellStyle name="常规 8 15 2 2 3" xfId="25321" xr:uid="{0C45A572-52B2-447D-9675-C81EBB77F764}"/>
    <cellStyle name="常规 8 15 2 2 4" xfId="25322" xr:uid="{8F9E7FD2-7FE3-45B8-BE01-FA1F47272B99}"/>
    <cellStyle name="常规 8 15 2 2 5" xfId="25323" xr:uid="{DD316154-A893-451C-B4EC-59CD88664F2F}"/>
    <cellStyle name="常规 8 15 2 2 6" xfId="25324" xr:uid="{6057E501-B0DA-4296-AC5B-2022D2027C36}"/>
    <cellStyle name="常规 8 15 2 3" xfId="25325" xr:uid="{A5BD53A4-726B-41D6-B916-745DBD69D623}"/>
    <cellStyle name="常规 8 15 2 4" xfId="25326" xr:uid="{8F6546B7-0ACE-4253-B349-90C2D4FA09BD}"/>
    <cellStyle name="常规 8 15 2 5" xfId="25327" xr:uid="{87FA9CB5-7E2F-47BD-A08C-E2FCA7ECD34B}"/>
    <cellStyle name="常规 8 15 2 6" xfId="25328" xr:uid="{39D0AB76-86A1-4B01-AC93-45FA7214128F}"/>
    <cellStyle name="常规 8 15 2 7" xfId="25329" xr:uid="{E8D11AA9-4D65-442A-B272-6D9CCAEAE5A7}"/>
    <cellStyle name="常规 8 15 3" xfId="25330" xr:uid="{1C99389C-D3AE-4370-BB2F-922F1915A36A}"/>
    <cellStyle name="常规 8 15 3 2" xfId="25331" xr:uid="{ABBCB0B0-1013-4B76-82F2-0077C66F9D1A}"/>
    <cellStyle name="常规 8 15 3 3" xfId="25332" xr:uid="{6826F5B8-8B7E-40BD-8D91-3C5278C5D27C}"/>
    <cellStyle name="常规 8 15 3 4" xfId="25333" xr:uid="{324A0235-07A6-46DF-AFA0-42852E6E3C21}"/>
    <cellStyle name="常规 8 15 3 5" xfId="25334" xr:uid="{18527A77-F5DB-49D2-96A4-FEE8A5AE42D4}"/>
    <cellStyle name="常规 8 15 3 6" xfId="25335" xr:uid="{45C8EBC2-C67A-4F40-ADBC-3DD08601C7D9}"/>
    <cellStyle name="常规 8 15 4" xfId="25336" xr:uid="{14395A08-A2C9-40D8-BBE0-8889FE45DC10}"/>
    <cellStyle name="常规 8 15 5" xfId="25337" xr:uid="{925429C6-B0A3-4345-99B3-C46490A54A32}"/>
    <cellStyle name="常规 8 15 6" xfId="25338" xr:uid="{5BF64E89-5DA7-4CA0-9BF6-75F9541666BB}"/>
    <cellStyle name="常规 8 15 7" xfId="25339" xr:uid="{15EBCD09-62A3-4641-B61D-01BB3F6DA5AB}"/>
    <cellStyle name="常规 8 15 8" xfId="25340" xr:uid="{21F86176-9106-4EF5-8CA7-5A17F674DE6D}"/>
    <cellStyle name="常规 8 16" xfId="25341" xr:uid="{AFBC4BC0-75D3-492B-B18F-EA507EC145DA}"/>
    <cellStyle name="常规 8 16 2" xfId="25342" xr:uid="{58835861-D85F-45D1-85FF-9C0760B52740}"/>
    <cellStyle name="常规 8 16 2 2" xfId="25343" xr:uid="{FECE80BE-D1D9-44D8-9E55-8C6857E2EE7B}"/>
    <cellStyle name="常规 8 16 2 2 2" xfId="25344" xr:uid="{FE618903-A744-4208-B9EA-072C35050C28}"/>
    <cellStyle name="常规 8 16 2 2 3" xfId="25345" xr:uid="{EB49F600-7653-4B75-B72A-6ECDBA2897F8}"/>
    <cellStyle name="常规 8 16 2 2 4" xfId="25346" xr:uid="{27247E8D-211C-424E-BBAC-DA501E74A021}"/>
    <cellStyle name="常规 8 16 2 2 5" xfId="25347" xr:uid="{8EAF7EB6-17D4-419C-B4FD-C6D223496F04}"/>
    <cellStyle name="常规 8 16 2 2 6" xfId="25348" xr:uid="{4696C074-E83B-416D-990C-C96FE2DCF594}"/>
    <cellStyle name="常规 8 16 2 3" xfId="25349" xr:uid="{6BBC9F37-59DE-4355-8A6B-8418F84D4164}"/>
    <cellStyle name="常规 8 16 2 4" xfId="25350" xr:uid="{72BFC339-0C73-44B0-B436-0DC8A0B53D5B}"/>
    <cellStyle name="常规 8 16 2 5" xfId="25351" xr:uid="{547543E4-AA6D-49E2-9736-596ED45EBB97}"/>
    <cellStyle name="常规 8 16 2 6" xfId="25352" xr:uid="{E4860B71-EE8B-47F5-B2D6-4A805A54F89C}"/>
    <cellStyle name="常规 8 16 2 7" xfId="25353" xr:uid="{FE97A966-A9DF-472A-A507-26A2A3B1AA9E}"/>
    <cellStyle name="常规 8 16 3" xfId="25354" xr:uid="{6E1700C1-03E7-4CA6-940B-22F6760605A7}"/>
    <cellStyle name="常规 8 16 3 2" xfId="25355" xr:uid="{8F2E3FA6-CB40-4025-97E0-66AA08EDC775}"/>
    <cellStyle name="常规 8 16 3 3" xfId="25356" xr:uid="{DEE1F21A-5DBE-46CE-9534-758D7020940D}"/>
    <cellStyle name="常规 8 16 3 4" xfId="25357" xr:uid="{18DE7CA7-18C9-425F-9069-02A633A882AA}"/>
    <cellStyle name="常规 8 16 3 5" xfId="25358" xr:uid="{765043D7-3248-4336-9BD6-125887ED2278}"/>
    <cellStyle name="常规 8 16 3 6" xfId="25359" xr:uid="{802339BA-1955-44C0-AAB5-2404918ED671}"/>
    <cellStyle name="常规 8 16 4" xfId="25360" xr:uid="{E6B02ED2-3789-4CAD-A581-5DDE2FB900E6}"/>
    <cellStyle name="常规 8 16 5" xfId="25361" xr:uid="{CA725BFF-A084-4EDD-BAC9-376E8B9AB1D7}"/>
    <cellStyle name="常规 8 16 6" xfId="25362" xr:uid="{E84727AF-E876-4B81-81FC-E5759D444384}"/>
    <cellStyle name="常规 8 16 7" xfId="25363" xr:uid="{DEC117E3-1291-40A7-BE78-C5A9B495A04A}"/>
    <cellStyle name="常规 8 16 8" xfId="25364" xr:uid="{0D4E4135-2A50-41AB-B356-AE89A59552B8}"/>
    <cellStyle name="常规 8 17" xfId="25365" xr:uid="{9645D00E-6A90-4FA4-A896-055345B696B0}"/>
    <cellStyle name="常规 8 17 2" xfId="25366" xr:uid="{DB92BCD7-94F1-4572-9CA8-6EA0C5713F26}"/>
    <cellStyle name="常规 8 17 2 2" xfId="25367" xr:uid="{5610B069-FC7A-417F-8A82-3AD38B6A50EF}"/>
    <cellStyle name="常规 8 17 2 2 2" xfId="25368" xr:uid="{1813A4B5-0D82-44D7-A648-B44EEF5DD328}"/>
    <cellStyle name="常规 8 17 2 2 3" xfId="25369" xr:uid="{CA541F0B-F1BF-4D58-90EF-A3B987404949}"/>
    <cellStyle name="常规 8 17 2 2 4" xfId="25370" xr:uid="{7FFD79E1-15EB-48CF-BBFA-976211967151}"/>
    <cellStyle name="常规 8 17 2 2 5" xfId="25371" xr:uid="{6ECA7837-3CE0-4079-BB22-7E085D4EF6E6}"/>
    <cellStyle name="常规 8 17 2 2 6" xfId="25372" xr:uid="{39DF0E82-64EC-43AD-8C17-C4F05A4D3988}"/>
    <cellStyle name="常规 8 17 2 3" xfId="25373" xr:uid="{1B82FDD5-41F4-4C29-9FED-D41E0023D59D}"/>
    <cellStyle name="常规 8 17 2 4" xfId="25374" xr:uid="{802663DD-1C63-48AF-968E-9FC73C1CA178}"/>
    <cellStyle name="常规 8 17 2 5" xfId="25375" xr:uid="{AE53764F-186B-43F8-B5F9-EF69036735BF}"/>
    <cellStyle name="常规 8 17 2 6" xfId="25376" xr:uid="{ACD35433-6213-4FE4-9C3B-B9DF946CB7C0}"/>
    <cellStyle name="常规 8 17 2 7" xfId="25377" xr:uid="{33DDD17C-77EC-4A93-8C58-B9A186B9BB0C}"/>
    <cellStyle name="常规 8 17 3" xfId="25378" xr:uid="{484FC05A-319B-47F2-8326-6BEE495C75E4}"/>
    <cellStyle name="常规 8 17 3 2" xfId="25379" xr:uid="{CF9B1986-ED31-4D09-AE3D-529FDA82E1F0}"/>
    <cellStyle name="常规 8 17 3 3" xfId="25380" xr:uid="{950D31C8-694C-418B-9342-6B6CECD08E0D}"/>
    <cellStyle name="常规 8 17 3 4" xfId="25381" xr:uid="{5C435334-2C3F-41B8-AC2D-66A19F48E1FB}"/>
    <cellStyle name="常规 8 17 3 5" xfId="25382" xr:uid="{793EBD2A-9DDA-4AA6-94FD-50A521F1B030}"/>
    <cellStyle name="常规 8 17 3 6" xfId="25383" xr:uid="{9498FE37-51A2-4A79-90F4-E67A8F305269}"/>
    <cellStyle name="常规 8 17 4" xfId="25384" xr:uid="{86C9EFBA-D58A-4548-83A8-97CBAC279A03}"/>
    <cellStyle name="常规 8 17 5" xfId="25385" xr:uid="{AE9A937C-83B3-4173-A9BD-C0FF3EFCF7A8}"/>
    <cellStyle name="常规 8 17 6" xfId="25386" xr:uid="{B4B6C8CF-39E4-451D-BA46-0AB776E64B4F}"/>
    <cellStyle name="常规 8 17 7" xfId="25387" xr:uid="{E38EC34E-06CA-4AB2-A90E-485A139EBF9C}"/>
    <cellStyle name="常规 8 17 8" xfId="25388" xr:uid="{8FFF9C47-7F62-4FFA-89F0-6F45E933E253}"/>
    <cellStyle name="常规 8 18" xfId="25389" xr:uid="{D2A929AB-35DF-433A-B7D8-41209B5C66E7}"/>
    <cellStyle name="常规 8 18 2" xfId="25390" xr:uid="{5D97B396-9116-4319-BE95-B3C139CEDAF0}"/>
    <cellStyle name="常规 8 18 2 2" xfId="25391" xr:uid="{D75F7FF2-4110-485D-BC18-8AFFC77CB09D}"/>
    <cellStyle name="常规 8 18 2 3" xfId="25392" xr:uid="{9F4666D8-239B-49C3-AB24-F4661CEDBFD7}"/>
    <cellStyle name="常规 8 18 2 4" xfId="25393" xr:uid="{53ECA1A8-98F9-4C2F-B1E4-32AD418A79B9}"/>
    <cellStyle name="常规 8 18 2 5" xfId="25394" xr:uid="{4AB8783B-9F12-428E-B449-78633858C71C}"/>
    <cellStyle name="常规 8 18 2 6" xfId="25395" xr:uid="{79CF54A1-FA04-4994-A3AA-CA9619ECC3C7}"/>
    <cellStyle name="常规 8 18 3" xfId="25396" xr:uid="{2B923269-3925-41C5-ABB0-0CDC30F82C6A}"/>
    <cellStyle name="常规 8 18 4" xfId="25397" xr:uid="{B5E6D2E6-0A48-4AAE-9F9E-83A0809585A1}"/>
    <cellStyle name="常规 8 18 5" xfId="25398" xr:uid="{04932394-2A93-4BF5-85A1-BEE2D103943D}"/>
    <cellStyle name="常规 8 18 6" xfId="25399" xr:uid="{8D623431-C7D4-451A-B7D9-B167A7B0AB93}"/>
    <cellStyle name="常规 8 18 7" xfId="25400" xr:uid="{923E43F1-B874-43A9-8AB8-4AAC430B0DA2}"/>
    <cellStyle name="常规 8 19" xfId="25401" xr:uid="{D1CEE0AD-778A-47D0-8617-A02B59E40A63}"/>
    <cellStyle name="常规 8 19 2" xfId="25402" xr:uid="{2A699935-7327-42F2-BBEB-605EE875E2BF}"/>
    <cellStyle name="常规 8 19 2 2" xfId="25403" xr:uid="{0ECB8381-C39B-4EF6-9A38-3547CE26EFCF}"/>
    <cellStyle name="常规 8 19 2 3" xfId="25404" xr:uid="{AC58D5BC-5B30-4F70-88C1-C2C36F8615C5}"/>
    <cellStyle name="常规 8 19 2 4" xfId="25405" xr:uid="{1D9E0363-C411-4367-AABA-10B3330A3960}"/>
    <cellStyle name="常规 8 19 2 5" xfId="25406" xr:uid="{A54847EC-A991-4CFE-8581-E8CED9485745}"/>
    <cellStyle name="常规 8 19 2 6" xfId="25407" xr:uid="{E6BAB300-632E-4C6E-B2BB-6D33476644D7}"/>
    <cellStyle name="常规 8 19 3" xfId="25408" xr:uid="{67E336C4-6F26-40F2-9AFA-DC39142AE9E9}"/>
    <cellStyle name="常规 8 19 4" xfId="25409" xr:uid="{67863FC9-BDE0-4CB7-BE93-B745FCF2A835}"/>
    <cellStyle name="常规 8 19 5" xfId="25410" xr:uid="{B9650279-95A2-4D0C-8F56-19FD403F791A}"/>
    <cellStyle name="常规 8 19 6" xfId="25411" xr:uid="{DC076D8F-8CCA-4FA7-A4A8-8963409C497F}"/>
    <cellStyle name="常规 8 19 7" xfId="25412" xr:uid="{EC6E3780-8944-48FD-9C69-3F5CF30468B8}"/>
    <cellStyle name="常规 8 2" xfId="25413" xr:uid="{FBE74987-EEFC-4D5C-A4EA-756941D02C67}"/>
    <cellStyle name="常规 8 2 10" xfId="25414" xr:uid="{970E1048-2F58-4404-9626-909E87BB4E34}"/>
    <cellStyle name="常规 8 2 10 10" xfId="25415" xr:uid="{1AF3EA4D-9143-40B6-89C5-36902644902E}"/>
    <cellStyle name="常规 8 2 10 2" xfId="25416" xr:uid="{3D6868D0-0DAC-408A-881F-9C0772277B21}"/>
    <cellStyle name="常规 8 2 10 2 2" xfId="25417" xr:uid="{AC45E0D1-6760-4E33-9AD6-ED93A23ED4F4}"/>
    <cellStyle name="常规 8 2 10 2 2 2" xfId="25418" xr:uid="{3F05EF50-6989-400B-861D-10706E676506}"/>
    <cellStyle name="常规 8 2 10 2 2 3" xfId="25419" xr:uid="{12452CA0-64DC-46A2-A88F-32D630D36E49}"/>
    <cellStyle name="常规 8 2 10 2 2 4" xfId="25420" xr:uid="{5B4C40B0-D499-4795-85FF-798EB68F8C58}"/>
    <cellStyle name="常规 8 2 10 2 2 5" xfId="25421" xr:uid="{4F7A581B-8718-40ED-ADDB-5800202FD300}"/>
    <cellStyle name="常规 8 2 10 2 2 6" xfId="25422" xr:uid="{812D8B96-3A50-4444-B485-9E2AE3AF546F}"/>
    <cellStyle name="常规 8 2 10 2 3" xfId="25423" xr:uid="{3ADED4FF-984A-4A97-A00C-3ED18851FAD3}"/>
    <cellStyle name="常规 8 2 10 2 4" xfId="25424" xr:uid="{BD32E414-F632-45EB-BA9A-DA7CA4CDC032}"/>
    <cellStyle name="常规 8 2 10 2 5" xfId="25425" xr:uid="{E8CF3489-B3E1-4D3E-89D0-960EC6EFEAAD}"/>
    <cellStyle name="常规 8 2 10 2 6" xfId="25426" xr:uid="{9F613F7E-3144-4E3B-AD67-E237BD48AF5F}"/>
    <cellStyle name="常规 8 2 10 2 7" xfId="25427" xr:uid="{9301C05B-AA5E-4E25-BFB6-DA4049E3DFB1}"/>
    <cellStyle name="常规 8 2 10 3" xfId="25428" xr:uid="{7A680D2F-7512-4A7A-9250-2E87432E45F3}"/>
    <cellStyle name="常规 8 2 10 3 2" xfId="25429" xr:uid="{9144C8ED-F607-46DA-ABC6-96A72D5CE252}"/>
    <cellStyle name="常规 8 2 10 3 2 2" xfId="25430" xr:uid="{951C982C-F7C8-4DF9-8FFC-410EDBA34E20}"/>
    <cellStyle name="常规 8 2 10 3 2 3" xfId="25431" xr:uid="{6672A5B5-DBD9-43D5-A145-6B5288FAF253}"/>
    <cellStyle name="常规 8 2 10 3 2 4" xfId="25432" xr:uid="{7095A05B-3B58-4C08-96E6-0A8C8E40A92D}"/>
    <cellStyle name="常规 8 2 10 3 2 5" xfId="25433" xr:uid="{395721FD-E76A-4211-86B9-7DC0C25A88D3}"/>
    <cellStyle name="常规 8 2 10 3 2 6" xfId="25434" xr:uid="{D6F6C9DA-F51E-4DC2-B250-BB4CD591F8A3}"/>
    <cellStyle name="常规 8 2 10 3 3" xfId="25435" xr:uid="{77BA853D-4E6C-40FF-82A3-A8E33D98CDEF}"/>
    <cellStyle name="常规 8 2 10 3 4" xfId="25436" xr:uid="{EAC76539-49B5-4D94-A8B0-18613598AD74}"/>
    <cellStyle name="常规 8 2 10 3 5" xfId="25437" xr:uid="{217B2DCA-45F2-47F5-AFED-C4A5535347DC}"/>
    <cellStyle name="常规 8 2 10 3 6" xfId="25438" xr:uid="{0F9FD8F1-0CF4-4751-A96D-DCA77EFE799F}"/>
    <cellStyle name="常规 8 2 10 3 7" xfId="25439" xr:uid="{CFC44558-8E3E-4E9A-A377-C37081A9A1F2}"/>
    <cellStyle name="常规 8 2 10 4" xfId="25440" xr:uid="{43659CD3-1590-4942-B1C6-12861FB6495D}"/>
    <cellStyle name="常规 8 2 10 4 2" xfId="25441" xr:uid="{257A8B77-F024-45BF-8FDA-E12D73C3C82D}"/>
    <cellStyle name="常规 8 2 10 4 2 2" xfId="25442" xr:uid="{769F5E70-73BF-4409-A095-8EB81DC5E04B}"/>
    <cellStyle name="常规 8 2 10 4 2 3" xfId="25443" xr:uid="{82997FAD-C0DE-4938-A1E9-2B50EA1CAB90}"/>
    <cellStyle name="常规 8 2 10 4 2 4" xfId="25444" xr:uid="{2960C8F2-1744-40A1-84BE-E0BF5CCF35C8}"/>
    <cellStyle name="常规 8 2 10 4 2 5" xfId="25445" xr:uid="{5B36D4BB-1C54-4BA4-8E0B-232AC38CD1FF}"/>
    <cellStyle name="常规 8 2 10 4 2 6" xfId="25446" xr:uid="{C0BB1D2C-70DA-42BE-8478-45B5A683E81A}"/>
    <cellStyle name="常规 8 2 10 4 3" xfId="25447" xr:uid="{52C834B0-BDB3-4FB4-AFAF-1F869FD298FA}"/>
    <cellStyle name="常规 8 2 10 4 4" xfId="25448" xr:uid="{24562F14-5D52-4FD7-B5C0-048580F0B21F}"/>
    <cellStyle name="常规 8 2 10 4 5" xfId="25449" xr:uid="{D21A3162-CA1D-40DD-8111-559AB914E778}"/>
    <cellStyle name="常规 8 2 10 4 6" xfId="25450" xr:uid="{C7F579AD-4516-4B6C-96B6-FBAA71A1D393}"/>
    <cellStyle name="常规 8 2 10 4 7" xfId="25451" xr:uid="{7D9A107E-4A10-4648-A985-F804171C7AFA}"/>
    <cellStyle name="常规 8 2 10 5" xfId="25452" xr:uid="{3DC6487B-1BDB-4533-8AE8-EE6F6DDB8113}"/>
    <cellStyle name="常规 8 2 10 5 2" xfId="25453" xr:uid="{B15C4863-7677-4D84-BD25-E6E0D20DE04F}"/>
    <cellStyle name="常规 8 2 10 5 3" xfId="25454" xr:uid="{08EB98AD-569F-483F-B85A-3DF27CB27855}"/>
    <cellStyle name="常规 8 2 10 5 4" xfId="25455" xr:uid="{B92079B3-9FEF-49D5-9123-093C4F868966}"/>
    <cellStyle name="常规 8 2 10 5 5" xfId="25456" xr:uid="{6F606D1C-4041-4403-9E7E-913BFB9550A2}"/>
    <cellStyle name="常规 8 2 10 5 6" xfId="25457" xr:uid="{E81B27D3-1144-4CC5-8C5A-29813C579EF6}"/>
    <cellStyle name="常规 8 2 10 6" xfId="25458" xr:uid="{D1F8EC9E-B8EE-4E11-A14B-493A51E5E9A6}"/>
    <cellStyle name="常规 8 2 10 7" xfId="25459" xr:uid="{3CE79AB9-003E-4EF8-8F23-BE9AADB6495F}"/>
    <cellStyle name="常规 8 2 10 8" xfId="25460" xr:uid="{445D1BE0-2F2A-4150-AB27-BE33C31AF250}"/>
    <cellStyle name="常规 8 2 10 9" xfId="25461" xr:uid="{C98D8EA4-3632-41B1-B285-A868FC59EF6E}"/>
    <cellStyle name="常规 8 2 11" xfId="25462" xr:uid="{B08F4975-F3C6-4BEB-A96D-1FC1FA9992EA}"/>
    <cellStyle name="常规 8 2 11 2" xfId="25463" xr:uid="{188A59C3-7BE8-45BC-B692-3A39EF52D931}"/>
    <cellStyle name="常规 8 2 11 2 2" xfId="25464" xr:uid="{A286EFAE-C358-488D-9702-20FA90E59AAD}"/>
    <cellStyle name="常规 8 2 11 2 2 2" xfId="25465" xr:uid="{82CDC9A5-77E8-42CD-B103-DE137EE18417}"/>
    <cellStyle name="常规 8 2 11 2 2 3" xfId="25466" xr:uid="{E912291F-AD10-42D1-B78A-46D54D8BB7CC}"/>
    <cellStyle name="常规 8 2 11 2 2 4" xfId="25467" xr:uid="{7BA7526E-4B88-4B00-953C-BF0BD2D89A8F}"/>
    <cellStyle name="常规 8 2 11 2 2 5" xfId="25468" xr:uid="{DC8176EF-4BA7-4AEE-B3D5-8A1051DDBA63}"/>
    <cellStyle name="常规 8 2 11 2 2 6" xfId="25469" xr:uid="{5BE8FBF8-AFE3-43EC-BC66-BB059521F4E3}"/>
    <cellStyle name="常规 8 2 11 2 3" xfId="25470" xr:uid="{2270FDCD-BFDC-4D76-BB48-FDB9E705B380}"/>
    <cellStyle name="常规 8 2 11 2 4" xfId="25471" xr:uid="{644CCF01-BABC-4F15-87AC-DF95914653D0}"/>
    <cellStyle name="常规 8 2 11 2 5" xfId="25472" xr:uid="{AC11BFA1-3742-46CD-A617-F445324EDA0E}"/>
    <cellStyle name="常规 8 2 11 2 6" xfId="25473" xr:uid="{5FAB7B24-AF98-46BD-BDC3-C3795FE9E128}"/>
    <cellStyle name="常规 8 2 11 2 7" xfId="25474" xr:uid="{C2912E94-8D35-47F0-AD10-93A008CF58CB}"/>
    <cellStyle name="常规 8 2 11 3" xfId="25475" xr:uid="{8019FBEB-CC64-4F3F-8567-BC94FBA21D6C}"/>
    <cellStyle name="常规 8 2 11 3 2" xfId="25476" xr:uid="{2EC38351-FCAC-4E0C-8B30-969C835511A4}"/>
    <cellStyle name="常规 8 2 11 3 2 2" xfId="25477" xr:uid="{0A49FCF0-1C17-42AA-837F-E93003F2E137}"/>
    <cellStyle name="常规 8 2 11 3 2 3" xfId="25478" xr:uid="{45BC64BC-FD27-4027-AAE0-245BDA4351EE}"/>
    <cellStyle name="常规 8 2 11 3 2 4" xfId="25479" xr:uid="{A750FB8A-DF3B-495E-864F-21C8EBDD0425}"/>
    <cellStyle name="常规 8 2 11 3 2 5" xfId="25480" xr:uid="{EB8992F1-8D2D-45BB-8E8C-E6F9720F819B}"/>
    <cellStyle name="常规 8 2 11 3 2 6" xfId="25481" xr:uid="{A794ACD4-42E4-45EA-BCE6-53BA0B7ABB38}"/>
    <cellStyle name="常规 8 2 11 3 3" xfId="25482" xr:uid="{6975678F-CF40-4BD2-AB0C-202AF74A1C8F}"/>
    <cellStyle name="常规 8 2 11 3 4" xfId="25483" xr:uid="{9A853B70-9819-4D50-BE99-DD0F758E7168}"/>
    <cellStyle name="常规 8 2 11 3 5" xfId="25484" xr:uid="{A6A3A7A8-6C67-455E-BB1D-20F59F6F289C}"/>
    <cellStyle name="常规 8 2 11 3 6" xfId="25485" xr:uid="{9CDB829A-243F-4695-9058-D002E94037E0}"/>
    <cellStyle name="常规 8 2 11 3 7" xfId="25486" xr:uid="{68CDAB49-756C-4562-879E-ECACAFCF9FB4}"/>
    <cellStyle name="常规 8 2 11 4" xfId="25487" xr:uid="{4150F116-28A9-4F28-B7E3-46E160F14D18}"/>
    <cellStyle name="常规 8 2 11 4 2" xfId="25488" xr:uid="{6B466C05-A810-4C4C-9E40-B9FA0FFC8635}"/>
    <cellStyle name="常规 8 2 11 4 3" xfId="25489" xr:uid="{0D361926-62D0-482C-A134-266DD90795FE}"/>
    <cellStyle name="常规 8 2 11 4 4" xfId="25490" xr:uid="{7EFB9F58-6E90-4FD4-A67A-C0D697AAFE38}"/>
    <cellStyle name="常规 8 2 11 4 5" xfId="25491" xr:uid="{28B8BF2E-56D4-464E-AA84-47207941440B}"/>
    <cellStyle name="常规 8 2 11 4 6" xfId="25492" xr:uid="{420B4E5C-DB76-4940-A8F8-A52FF4F79408}"/>
    <cellStyle name="常规 8 2 11 5" xfId="25493" xr:uid="{EBC756B8-891C-4EE4-9121-2563C84B82E7}"/>
    <cellStyle name="常规 8 2 11 6" xfId="25494" xr:uid="{5D1DC5B3-EF4D-4181-92DA-7ED370105C4F}"/>
    <cellStyle name="常规 8 2 11 7" xfId="25495" xr:uid="{7CB7C85D-E30F-474D-B1D9-4AD7C89C9906}"/>
    <cellStyle name="常规 8 2 11 8" xfId="25496" xr:uid="{50965850-A208-45B3-BCDB-C32CA4E53436}"/>
    <cellStyle name="常规 8 2 11 9" xfId="25497" xr:uid="{86648936-E4E3-4EA7-BDC2-D4F0DC42FBC2}"/>
    <cellStyle name="常规 8 2 12" xfId="25498" xr:uid="{691F4AAF-9708-42F8-9369-1E2E24E15EF9}"/>
    <cellStyle name="常规 8 2 12 2" xfId="25499" xr:uid="{3E97F6FE-2243-43B7-B67E-9820C644D442}"/>
    <cellStyle name="常规 8 2 12 2 2" xfId="25500" xr:uid="{C7BD3CFC-7721-4F80-AADA-81543DE9F186}"/>
    <cellStyle name="常规 8 2 12 2 2 2" xfId="25501" xr:uid="{33691C29-5482-41E4-B3BA-304842B8DDBE}"/>
    <cellStyle name="常规 8 2 12 2 2 3" xfId="25502" xr:uid="{2D3C83C3-3CF0-428B-A93A-E372D373C9ED}"/>
    <cellStyle name="常规 8 2 12 2 2 4" xfId="25503" xr:uid="{9C900606-1BF9-448B-B986-CEBD4D0DB054}"/>
    <cellStyle name="常规 8 2 12 2 2 5" xfId="25504" xr:uid="{31100E8D-F31B-4865-8906-777D29EE5A0C}"/>
    <cellStyle name="常规 8 2 12 2 2 6" xfId="25505" xr:uid="{E2F02D2F-59E4-4154-AC3E-59F78B840188}"/>
    <cellStyle name="常规 8 2 12 2 3" xfId="25506" xr:uid="{DCDDB9F7-F944-4C6B-AA00-AA16F893C50D}"/>
    <cellStyle name="常规 8 2 12 2 4" xfId="25507" xr:uid="{F95187E4-72F6-40DF-A0F3-CBF182329494}"/>
    <cellStyle name="常规 8 2 12 2 5" xfId="25508" xr:uid="{E26A5C6F-53B0-4A46-A6A9-70BF0FE7FD4C}"/>
    <cellStyle name="常规 8 2 12 2 6" xfId="25509" xr:uid="{226482F0-36AF-44C9-B1FF-AFF840562E9A}"/>
    <cellStyle name="常规 8 2 12 2 7" xfId="25510" xr:uid="{F0DE3322-7EF7-44AF-9B7B-4E962A60A5B8}"/>
    <cellStyle name="常规 8 2 12 3" xfId="25511" xr:uid="{A8E8B591-D1A3-4FAE-A47C-0D93A78E0144}"/>
    <cellStyle name="常规 8 2 12 3 2" xfId="25512" xr:uid="{C3B55604-437C-4811-874C-1BAB1188B7BF}"/>
    <cellStyle name="常规 8 2 12 3 3" xfId="25513" xr:uid="{E58DF331-1C3B-4E2D-BF19-834376C861B5}"/>
    <cellStyle name="常规 8 2 12 3 4" xfId="25514" xr:uid="{D11BC7A9-E4D4-4D10-92C3-733A5BF8CBC5}"/>
    <cellStyle name="常规 8 2 12 3 5" xfId="25515" xr:uid="{FE1FBF61-71FC-4E0A-95A6-65FE0CE7A1E9}"/>
    <cellStyle name="常规 8 2 12 3 6" xfId="25516" xr:uid="{9D2D9ADF-12D5-48E9-A50F-DFE70AA439B1}"/>
    <cellStyle name="常规 8 2 12 4" xfId="25517" xr:uid="{9733EE58-94C9-4BC2-BBE3-FA3FCE762969}"/>
    <cellStyle name="常规 8 2 12 5" xfId="25518" xr:uid="{5C22E247-5A97-448F-BB23-4B0816ADE021}"/>
    <cellStyle name="常规 8 2 12 6" xfId="25519" xr:uid="{33E4F22F-AFDD-4AC4-B363-DE6D5DBA05A7}"/>
    <cellStyle name="常规 8 2 12 7" xfId="25520" xr:uid="{6C227151-A991-47DC-B314-44F2CE305BCB}"/>
    <cellStyle name="常规 8 2 12 8" xfId="25521" xr:uid="{78A125F3-653C-4986-AE24-9A082373DDD4}"/>
    <cellStyle name="常规 8 2 13" xfId="25522" xr:uid="{E57511D3-2F8F-4957-BE83-E42D9A03E59C}"/>
    <cellStyle name="常规 8 2 13 2" xfId="25523" xr:uid="{EF2EE998-D51B-412E-99B6-EF4477201F89}"/>
    <cellStyle name="常规 8 2 13 2 2" xfId="25524" xr:uid="{514B97D9-77B7-45CE-A5DC-85802FFF97DB}"/>
    <cellStyle name="常规 8 2 13 2 2 2" xfId="25525" xr:uid="{1DF62148-A67E-4E81-8ADC-DDEA53FB6E7F}"/>
    <cellStyle name="常规 8 2 13 2 2 3" xfId="25526" xr:uid="{210FEF44-319C-4203-B68B-E4AF24D5BAB8}"/>
    <cellStyle name="常规 8 2 13 2 2 4" xfId="25527" xr:uid="{D04E326F-F0BF-4DB7-9C60-6F63BD6F7509}"/>
    <cellStyle name="常规 8 2 13 2 2 5" xfId="25528" xr:uid="{2561F1C5-EB83-400D-83C0-237AECAC2C4C}"/>
    <cellStyle name="常规 8 2 13 2 2 6" xfId="25529" xr:uid="{EFE2273E-768E-49D4-906C-010062B18512}"/>
    <cellStyle name="常规 8 2 13 2 3" xfId="25530" xr:uid="{D2A61974-2417-4CD1-A522-C4071C297243}"/>
    <cellStyle name="常规 8 2 13 2 4" xfId="25531" xr:uid="{9FD4BCD8-5671-42F7-A58C-C70FD307E974}"/>
    <cellStyle name="常规 8 2 13 2 5" xfId="25532" xr:uid="{9250E8CB-536F-46F2-82DD-FCF02D438909}"/>
    <cellStyle name="常规 8 2 13 2 6" xfId="25533" xr:uid="{F431B265-40EA-447F-9628-3E46497459FF}"/>
    <cellStyle name="常规 8 2 13 2 7" xfId="25534" xr:uid="{992D40CF-2591-4644-ACF3-AEFC0C434D22}"/>
    <cellStyle name="常规 8 2 13 3" xfId="25535" xr:uid="{D7928DB9-3DEE-4AFF-B82C-35D7377D8DBA}"/>
    <cellStyle name="常规 8 2 13 3 2" xfId="25536" xr:uid="{CFCABA90-C8FE-4B37-B540-3F0D6B790111}"/>
    <cellStyle name="常规 8 2 13 3 3" xfId="25537" xr:uid="{38D70AEE-DAB8-4043-9360-F30CECF3DB45}"/>
    <cellStyle name="常规 8 2 13 3 4" xfId="25538" xr:uid="{983DB960-5438-4714-8E77-F6B22D2C81D9}"/>
    <cellStyle name="常规 8 2 13 3 5" xfId="25539" xr:uid="{D16D2EC3-DA5E-4BDA-B7F8-A361D7327BE9}"/>
    <cellStyle name="常规 8 2 13 3 6" xfId="25540" xr:uid="{12C8ACED-5223-45B4-B0E7-F884557E1036}"/>
    <cellStyle name="常规 8 2 13 4" xfId="25541" xr:uid="{FAF35345-5918-41AE-ABD9-F90263CC8450}"/>
    <cellStyle name="常规 8 2 13 5" xfId="25542" xr:uid="{E6980958-0CC4-4E83-9D11-885D9411514D}"/>
    <cellStyle name="常规 8 2 13 6" xfId="25543" xr:uid="{771627C0-8528-4240-B2A2-87C3ACC89A93}"/>
    <cellStyle name="常规 8 2 13 7" xfId="25544" xr:uid="{F1AF9135-C76B-4DE5-82E2-8603D71171F2}"/>
    <cellStyle name="常规 8 2 13 8" xfId="25545" xr:uid="{8CE37AA9-911D-4A29-A8CD-EE7CF4938680}"/>
    <cellStyle name="常规 8 2 14" xfId="25546" xr:uid="{F8AC287B-65FD-448C-BB35-E4A34E82B60F}"/>
    <cellStyle name="常规 8 2 14 2" xfId="25547" xr:uid="{82C24B49-8B18-4660-8CE6-9F3E014D68A4}"/>
    <cellStyle name="常规 8 2 14 2 2" xfId="25548" xr:uid="{33ABE46D-84DA-4EAE-ADAF-F15F43E1DFE0}"/>
    <cellStyle name="常规 8 2 14 2 2 2" xfId="25549" xr:uid="{058803BF-B29F-40EC-8602-6A601CA620A8}"/>
    <cellStyle name="常规 8 2 14 2 2 3" xfId="25550" xr:uid="{E0B5DC09-D625-4180-9F65-018B2CC124B2}"/>
    <cellStyle name="常规 8 2 14 2 2 4" xfId="25551" xr:uid="{001A3F31-5DA1-44A9-B9C8-A06D317C62A4}"/>
    <cellStyle name="常规 8 2 14 2 2 5" xfId="25552" xr:uid="{85D8D77D-75B2-4740-BBB3-3A7F1CC945B4}"/>
    <cellStyle name="常规 8 2 14 2 2 6" xfId="25553" xr:uid="{CA2B707A-6DB6-433B-B2E6-3088E1EF7151}"/>
    <cellStyle name="常规 8 2 14 2 3" xfId="25554" xr:uid="{C944E8D0-A09D-41F7-B591-D0980C68A238}"/>
    <cellStyle name="常规 8 2 14 2 4" xfId="25555" xr:uid="{C979102D-9891-4AA5-AD37-4FDB9D6CDCBE}"/>
    <cellStyle name="常规 8 2 14 2 5" xfId="25556" xr:uid="{E7B5AD02-F48E-42A5-803A-CA38F6EF9D94}"/>
    <cellStyle name="常规 8 2 14 2 6" xfId="25557" xr:uid="{B23423E9-0FDB-4163-AA52-974991E2B662}"/>
    <cellStyle name="常规 8 2 14 2 7" xfId="25558" xr:uid="{3262927C-4366-4C72-B818-A6C80625E8EA}"/>
    <cellStyle name="常规 8 2 14 3" xfId="25559" xr:uid="{1F1EF525-CB42-4D87-ABCA-95DC1822D105}"/>
    <cellStyle name="常规 8 2 14 3 2" xfId="25560" xr:uid="{CC90E916-103B-4C97-A7BC-E46FC2DE42EE}"/>
    <cellStyle name="常规 8 2 14 3 3" xfId="25561" xr:uid="{AD4D703A-2577-4106-BEF1-016FFF0AB440}"/>
    <cellStyle name="常规 8 2 14 3 4" xfId="25562" xr:uid="{F5DC51F6-3702-40C7-AE51-68FB82B5843D}"/>
    <cellStyle name="常规 8 2 14 3 5" xfId="25563" xr:uid="{D1A2FDA9-32E4-4DA1-82A0-93C37DA018D3}"/>
    <cellStyle name="常规 8 2 14 3 6" xfId="25564" xr:uid="{24124DDE-F4D8-4913-ACE0-626C55E54D35}"/>
    <cellStyle name="常规 8 2 14 4" xfId="25565" xr:uid="{872C8FC9-73B9-4A78-9933-E3D9AB4F9ED6}"/>
    <cellStyle name="常规 8 2 14 5" xfId="25566" xr:uid="{FDFC6D9D-CC8A-41C5-9318-26ED930414F6}"/>
    <cellStyle name="常规 8 2 14 6" xfId="25567" xr:uid="{D0D7B8F4-A91C-4912-AA2C-39DCAA14FF41}"/>
    <cellStyle name="常规 8 2 14 7" xfId="25568" xr:uid="{0C902041-3046-49C1-9E7C-CB2FB7A635AB}"/>
    <cellStyle name="常规 8 2 14 8" xfId="25569" xr:uid="{6354959E-0187-4C64-B38B-1F97F3E9C793}"/>
    <cellStyle name="常规 8 2 15" xfId="25570" xr:uid="{6C866094-03E1-43BE-99C7-A716D0E7E207}"/>
    <cellStyle name="常规 8 2 15 2" xfId="25571" xr:uid="{BAE6A370-CDDA-4456-8AAE-3C16F5F3FCB9}"/>
    <cellStyle name="常规 8 2 15 2 2" xfId="25572" xr:uid="{DA3B89D9-0466-4092-B391-B8A070FD9468}"/>
    <cellStyle name="常规 8 2 15 2 2 2" xfId="25573" xr:uid="{DF8A5961-97C7-4F50-A572-3D9A55779901}"/>
    <cellStyle name="常规 8 2 15 2 2 3" xfId="25574" xr:uid="{4FBDB8A4-086F-49FE-96ED-74D44CC8B6CD}"/>
    <cellStyle name="常规 8 2 15 2 2 4" xfId="25575" xr:uid="{B2B015BE-9A49-4C1A-B42D-4FB51A7623EB}"/>
    <cellStyle name="常规 8 2 15 2 2 5" xfId="25576" xr:uid="{99D5184D-587E-4BB8-8310-92476418EE46}"/>
    <cellStyle name="常规 8 2 15 2 2 6" xfId="25577" xr:uid="{6BB1E4C7-D284-4203-8638-F98E771E1FEC}"/>
    <cellStyle name="常规 8 2 15 2 3" xfId="25578" xr:uid="{9DA3C21B-C7EA-4238-AA22-0828CF397A24}"/>
    <cellStyle name="常规 8 2 15 2 4" xfId="25579" xr:uid="{F46D3CD2-6120-458F-ADD7-49B4EBF45067}"/>
    <cellStyle name="常规 8 2 15 2 5" xfId="25580" xr:uid="{0CD7C3C4-86B4-4FA7-8447-3CB1DF69B704}"/>
    <cellStyle name="常规 8 2 15 2 6" xfId="25581" xr:uid="{7498260A-0BF9-4354-BECC-F002F97A0CFE}"/>
    <cellStyle name="常规 8 2 15 2 7" xfId="25582" xr:uid="{83679C28-FC61-4024-8F92-1CCC31D2C5A4}"/>
    <cellStyle name="常规 8 2 15 3" xfId="25583" xr:uid="{7740A696-0D8E-402D-B0B8-5563817B2A7D}"/>
    <cellStyle name="常规 8 2 15 3 2" xfId="25584" xr:uid="{1047E3B5-4E05-450C-9C61-4B1740935492}"/>
    <cellStyle name="常规 8 2 15 3 3" xfId="25585" xr:uid="{B0B1AC7B-D9F4-447A-ABE2-55BB5D92C81A}"/>
    <cellStyle name="常规 8 2 15 3 4" xfId="25586" xr:uid="{F5DAEACD-5390-4A63-BBBF-31EE6E40199F}"/>
    <cellStyle name="常规 8 2 15 3 5" xfId="25587" xr:uid="{A89DBE0C-86A9-44F6-A984-2B276BF4A809}"/>
    <cellStyle name="常规 8 2 15 3 6" xfId="25588" xr:uid="{E0DEEAED-CA96-4354-A441-7161BD902E14}"/>
    <cellStyle name="常规 8 2 15 4" xfId="25589" xr:uid="{58822C51-8FD7-4C48-AF0F-CC26C8BDDF00}"/>
    <cellStyle name="常规 8 2 15 5" xfId="25590" xr:uid="{62C82FDE-A462-45D6-BFC5-4F0DA91BB769}"/>
    <cellStyle name="常规 8 2 15 6" xfId="25591" xr:uid="{D931DDED-19EB-441F-BEE4-04D9F40A73B9}"/>
    <cellStyle name="常规 8 2 15 7" xfId="25592" xr:uid="{82CE4363-8AC4-4062-A1D4-A4A2DB902FA8}"/>
    <cellStyle name="常规 8 2 15 8" xfId="25593" xr:uid="{E5754D9D-4FCA-4333-8984-79763991BAC2}"/>
    <cellStyle name="常规 8 2 16" xfId="25594" xr:uid="{C0D26575-6D85-43EE-A196-6FFD817CD541}"/>
    <cellStyle name="常规 8 2 16 2" xfId="25595" xr:uid="{B83C86A0-0299-4CA9-B34C-64A972B235E4}"/>
    <cellStyle name="常规 8 2 16 2 2" xfId="25596" xr:uid="{6BD3E19D-B1AF-4743-98E0-32BB077D45D2}"/>
    <cellStyle name="常规 8 2 16 2 3" xfId="25597" xr:uid="{547BAFA3-E097-4C7B-9984-E832702CD465}"/>
    <cellStyle name="常规 8 2 16 2 4" xfId="25598" xr:uid="{CAE223E7-A359-48C8-9F24-9F345AA1C44F}"/>
    <cellStyle name="常规 8 2 16 2 5" xfId="25599" xr:uid="{49895246-B1DD-41C8-9D2B-7219A8149073}"/>
    <cellStyle name="常规 8 2 16 2 6" xfId="25600" xr:uid="{EE69F987-E124-4AED-836A-559A982FE69B}"/>
    <cellStyle name="常规 8 2 16 3" xfId="25601" xr:uid="{B0A74650-99C9-4C1D-B2D9-27210230D67C}"/>
    <cellStyle name="常规 8 2 16 4" xfId="25602" xr:uid="{5992BD97-B68C-4E4D-9448-62A636CF9AC0}"/>
    <cellStyle name="常规 8 2 16 5" xfId="25603" xr:uid="{FEFA8E4A-FEA7-4170-ABB9-AC6B4B984A50}"/>
    <cellStyle name="常规 8 2 16 6" xfId="25604" xr:uid="{19D2B7ED-2EF4-419A-8928-7F2A4456624A}"/>
    <cellStyle name="常规 8 2 16 7" xfId="25605" xr:uid="{DCDC49E8-81EB-4ADC-9F90-B700828934C9}"/>
    <cellStyle name="常规 8 2 17" xfId="25606" xr:uid="{25DD781B-3DEB-40E9-980F-4A6E2FCB9F19}"/>
    <cellStyle name="常规 8 2 17 2" xfId="25607" xr:uid="{779CE2B3-24FC-44B9-B542-815492B244EF}"/>
    <cellStyle name="常规 8 2 17 2 2" xfId="25608" xr:uid="{10DF70A2-32DD-4FD2-87A7-A21E543EBA78}"/>
    <cellStyle name="常规 8 2 17 2 3" xfId="25609" xr:uid="{2FE97F96-179A-4695-B98F-70AEDCEB3C7A}"/>
    <cellStyle name="常规 8 2 17 2 4" xfId="25610" xr:uid="{F6F02531-2594-4DDC-86D1-502AE303F266}"/>
    <cellStyle name="常规 8 2 17 2 5" xfId="25611" xr:uid="{82ACE225-1089-4861-B68A-E4B65979796D}"/>
    <cellStyle name="常规 8 2 17 2 6" xfId="25612" xr:uid="{DA70EAD1-C4B9-4950-BCE3-C055097E4CBC}"/>
    <cellStyle name="常规 8 2 17 3" xfId="25613" xr:uid="{2C63E783-19E7-4841-A46F-40664BA82E6E}"/>
    <cellStyle name="常规 8 2 17 4" xfId="25614" xr:uid="{7372C068-E318-40DE-968E-69EB58A08D31}"/>
    <cellStyle name="常规 8 2 17 5" xfId="25615" xr:uid="{49025293-1D5B-4B07-8DE9-6C926757D763}"/>
    <cellStyle name="常规 8 2 17 6" xfId="25616" xr:uid="{182A7F8C-CECA-4FAF-927A-74626F90A069}"/>
    <cellStyle name="常规 8 2 17 7" xfId="25617" xr:uid="{816A7C70-B9CD-4684-92C9-68C0F7B74DC8}"/>
    <cellStyle name="常规 8 2 18" xfId="25618" xr:uid="{DABAF4AA-98BE-4D0B-8056-7CD73DD4DF0C}"/>
    <cellStyle name="常规 8 2 18 2" xfId="25619" xr:uid="{8C06D3E1-E6CE-4ADD-94D2-57C0E13EB2F1}"/>
    <cellStyle name="常规 8 2 18 2 2" xfId="25620" xr:uid="{36D95F4F-D044-4E93-8D0E-685280DE2FA1}"/>
    <cellStyle name="常规 8 2 18 2 3" xfId="25621" xr:uid="{5DF5647C-7801-4D66-8C3C-C7BCDF3B7A0D}"/>
    <cellStyle name="常规 8 2 18 2 4" xfId="25622" xr:uid="{269B6784-55ED-45D3-AA26-53777869D807}"/>
    <cellStyle name="常规 8 2 18 2 5" xfId="25623" xr:uid="{446956B9-DE11-438A-9CAD-284A37927D53}"/>
    <cellStyle name="常规 8 2 18 2 6" xfId="25624" xr:uid="{9D013D02-8332-4D31-B9BD-EA8489131B5D}"/>
    <cellStyle name="常规 8 2 18 3" xfId="25625" xr:uid="{C28795D7-662F-4712-81A5-165F1E86C369}"/>
    <cellStyle name="常规 8 2 18 4" xfId="25626" xr:uid="{D67C8755-9D47-498B-9C43-AFF0BBD69A5E}"/>
    <cellStyle name="常规 8 2 18 5" xfId="25627" xr:uid="{27060CB1-4289-44CA-959A-7AB024081B10}"/>
    <cellStyle name="常规 8 2 18 6" xfId="25628" xr:uid="{55543985-3C74-40BD-9E78-38A50C0CBF82}"/>
    <cellStyle name="常规 8 2 18 7" xfId="25629" xr:uid="{426C1CCE-6665-4E6C-869D-7519001495FD}"/>
    <cellStyle name="常规 8 2 19" xfId="25630" xr:uid="{6C7DCA8B-EB6D-41D0-B034-11B1C1C24A29}"/>
    <cellStyle name="常规 8 2 19 2" xfId="25631" xr:uid="{F4510C19-144A-4A8E-9280-10F0A77C7998}"/>
    <cellStyle name="常规 8 2 19 3" xfId="25632" xr:uid="{52CD63B5-8BBC-4842-9340-10313DDA10DD}"/>
    <cellStyle name="常规 8 2 19 4" xfId="25633" xr:uid="{56B94000-0386-4DF1-8FC1-16A6B6600730}"/>
    <cellStyle name="常规 8 2 19 5" xfId="25634" xr:uid="{923057FE-2A0B-40A3-86C3-9E27048E943B}"/>
    <cellStyle name="常规 8 2 19 6" xfId="25635" xr:uid="{4C8321D2-F520-435A-AC1B-2DC4A9CF3C7F}"/>
    <cellStyle name="常规 8 2 2" xfId="25636" xr:uid="{2B978147-23CD-49FA-B996-BA92047E3CC9}"/>
    <cellStyle name="常规 8 2 2 10" xfId="25637" xr:uid="{2A421210-F037-412F-92DB-81ABAE26F4A5}"/>
    <cellStyle name="常规 8 2 2 10 2" xfId="25638" xr:uid="{D6C2B0D0-ABC9-43E7-8EEE-C1D8A1906987}"/>
    <cellStyle name="常规 8 2 2 10 2 2" xfId="25639" xr:uid="{8AB86A7A-A432-47F9-BE59-F7141B400C66}"/>
    <cellStyle name="常规 8 2 2 10 2 2 2" xfId="25640" xr:uid="{4FEB42CA-5DC8-40F0-9498-773FDE119001}"/>
    <cellStyle name="常规 8 2 2 10 2 2 3" xfId="25641" xr:uid="{4FE37F6E-4B4A-407A-A5F9-DDFD69843826}"/>
    <cellStyle name="常规 8 2 2 10 2 2 4" xfId="25642" xr:uid="{0C070C8D-BEEE-4F21-AF53-C52D810605BE}"/>
    <cellStyle name="常规 8 2 2 10 2 2 5" xfId="25643" xr:uid="{6A77AEC7-3F48-49F3-8117-682A7F248699}"/>
    <cellStyle name="常规 8 2 2 10 2 2 6" xfId="25644" xr:uid="{B3A699F9-1660-4C22-A54C-F8FD0BEACAC5}"/>
    <cellStyle name="常规 8 2 2 10 2 3" xfId="25645" xr:uid="{11A7A005-BEF0-4FF8-A2BD-6D05B47AC4CC}"/>
    <cellStyle name="常规 8 2 2 10 2 4" xfId="25646" xr:uid="{5ADD1E9A-62DB-4349-9B71-851A119BEB50}"/>
    <cellStyle name="常规 8 2 2 10 2 5" xfId="25647" xr:uid="{B8585C39-64D4-4B25-AB23-1B0A14E27C63}"/>
    <cellStyle name="常规 8 2 2 10 2 6" xfId="25648" xr:uid="{EE4F66D2-ED34-4D4D-AFA5-28A7C4876D1D}"/>
    <cellStyle name="常规 8 2 2 10 2 7" xfId="25649" xr:uid="{25C9DD94-1246-4AA2-89C9-B51AB737B8C3}"/>
    <cellStyle name="常规 8 2 2 10 3" xfId="25650" xr:uid="{853412B1-27F7-4A4D-BD9B-E25573FCB560}"/>
    <cellStyle name="常规 8 2 2 10 3 2" xfId="25651" xr:uid="{97C9AF79-414A-4ECC-A3C1-34917C281F2D}"/>
    <cellStyle name="常规 8 2 2 10 3 2 2" xfId="25652" xr:uid="{BC8B2ED3-8FFC-4302-A9D2-AF35A4431EB0}"/>
    <cellStyle name="常规 8 2 2 10 3 2 3" xfId="25653" xr:uid="{A29E2C6C-16AF-44A7-84E5-9651CCE3E4B5}"/>
    <cellStyle name="常规 8 2 2 10 3 2 4" xfId="25654" xr:uid="{907EA049-3519-4739-AF88-2A8E7D57E36C}"/>
    <cellStyle name="常规 8 2 2 10 3 2 5" xfId="25655" xr:uid="{7D5E9A6D-B0EB-4306-B731-A712530D95A7}"/>
    <cellStyle name="常规 8 2 2 10 3 2 6" xfId="25656" xr:uid="{E61AA57E-C4F0-48BC-B648-DFDDB5BAB039}"/>
    <cellStyle name="常规 8 2 2 10 3 3" xfId="25657" xr:uid="{0C52C673-AAA7-443B-8848-4F3F83E1E786}"/>
    <cellStyle name="常规 8 2 2 10 3 4" xfId="25658" xr:uid="{214E6B8D-84CD-4500-BD09-00519EB9563F}"/>
    <cellStyle name="常规 8 2 2 10 3 5" xfId="25659" xr:uid="{5A9F0783-02B1-4AB1-8E88-06526AEA199B}"/>
    <cellStyle name="常规 8 2 2 10 3 6" xfId="25660" xr:uid="{69775145-AF96-4B3B-ABE0-D68C0FD367F9}"/>
    <cellStyle name="常规 8 2 2 10 3 7" xfId="25661" xr:uid="{079D1952-32BD-44FD-B2FC-6B510F5DCCC5}"/>
    <cellStyle name="常规 8 2 2 10 4" xfId="25662" xr:uid="{B18E8D29-5B17-4A20-B4B7-3683E3D08392}"/>
    <cellStyle name="常规 8 2 2 10 4 2" xfId="25663" xr:uid="{3243D8A1-D57C-4FEC-A819-A4922777ADB0}"/>
    <cellStyle name="常规 8 2 2 10 4 3" xfId="25664" xr:uid="{7756E87C-0BC6-448A-B3C6-1D3F3626983A}"/>
    <cellStyle name="常规 8 2 2 10 4 4" xfId="25665" xr:uid="{B6F0AB77-5E28-41D6-BFB0-AD431466FC86}"/>
    <cellStyle name="常规 8 2 2 10 4 5" xfId="25666" xr:uid="{D9AA7742-8534-4866-8E0F-D1E20F779574}"/>
    <cellStyle name="常规 8 2 2 10 4 6" xfId="25667" xr:uid="{74F88E35-3AEC-4FBF-9079-8E33485E4AB5}"/>
    <cellStyle name="常规 8 2 2 10 5" xfId="25668" xr:uid="{A2E4DA90-FCBF-443F-B93A-CD2372CB3DD9}"/>
    <cellStyle name="常规 8 2 2 10 6" xfId="25669" xr:uid="{18D752A8-1C39-4DB8-B030-6A81D05DC7D0}"/>
    <cellStyle name="常规 8 2 2 10 7" xfId="25670" xr:uid="{AD1A7EC3-4B98-4892-8DEB-2DBB0CFBBB51}"/>
    <cellStyle name="常规 8 2 2 10 8" xfId="25671" xr:uid="{53BD658B-622E-40B9-87B8-9B192EBB6376}"/>
    <cellStyle name="常规 8 2 2 10 9" xfId="25672" xr:uid="{05930F58-A559-4F55-90C6-8F5464C98A31}"/>
    <cellStyle name="常规 8 2 2 11" xfId="25673" xr:uid="{334DC9A0-FBD4-468B-9C8F-9EE04CE2677E}"/>
    <cellStyle name="常规 8 2 2 11 2" xfId="25674" xr:uid="{1FB82BCE-3BD1-4AAE-AC20-DF5D4887965F}"/>
    <cellStyle name="常规 8 2 2 11 2 2" xfId="25675" xr:uid="{0D19484C-FBFE-40BE-9D89-ADF97CDB20FA}"/>
    <cellStyle name="常规 8 2 2 11 2 2 2" xfId="25676" xr:uid="{FF15AEF1-E601-480B-91A5-1AD66100033E}"/>
    <cellStyle name="常规 8 2 2 11 2 2 3" xfId="25677" xr:uid="{9BC9CA6B-9A02-4D67-8DED-43234AB5FE23}"/>
    <cellStyle name="常规 8 2 2 11 2 2 4" xfId="25678" xr:uid="{684A80DC-1A29-4E8E-9619-CFD9952F3EFC}"/>
    <cellStyle name="常规 8 2 2 11 2 2 5" xfId="25679" xr:uid="{C3A22B02-22B2-4FD6-AF30-F2E61EF628EA}"/>
    <cellStyle name="常规 8 2 2 11 2 2 6" xfId="25680" xr:uid="{DCC77BF8-9E94-47B7-BA20-08BD6E563B17}"/>
    <cellStyle name="常规 8 2 2 11 2 3" xfId="25681" xr:uid="{1AB530E7-7BC4-46E3-804B-51999C5BFE20}"/>
    <cellStyle name="常规 8 2 2 11 2 4" xfId="25682" xr:uid="{9F1FB0A2-C669-4F88-B5E4-C69D7DD53EC0}"/>
    <cellStyle name="常规 8 2 2 11 2 5" xfId="25683" xr:uid="{078B8EA1-8085-4B18-B077-C7667150A864}"/>
    <cellStyle name="常规 8 2 2 11 2 6" xfId="25684" xr:uid="{06B5806C-9908-4709-B208-423AACB1549C}"/>
    <cellStyle name="常规 8 2 2 11 2 7" xfId="25685" xr:uid="{41EBBD2A-BB16-4178-8A01-C6D83B4F3B88}"/>
    <cellStyle name="常规 8 2 2 11 3" xfId="25686" xr:uid="{3D0E74BB-C765-47D6-96CA-9BAB173E79DA}"/>
    <cellStyle name="常规 8 2 2 11 3 2" xfId="25687" xr:uid="{E2A6E963-5505-42B6-9286-BDCF05FEB7CF}"/>
    <cellStyle name="常规 8 2 2 11 3 3" xfId="25688" xr:uid="{3C855743-97D2-4FF1-9ED8-6C4E86A56912}"/>
    <cellStyle name="常规 8 2 2 11 3 4" xfId="25689" xr:uid="{730A0383-F116-4674-A7F7-6B94482277B8}"/>
    <cellStyle name="常规 8 2 2 11 3 5" xfId="25690" xr:uid="{6F976CF1-7FC7-40FD-81A4-15CEB579F60A}"/>
    <cellStyle name="常规 8 2 2 11 3 6" xfId="25691" xr:uid="{E349F0A1-9340-440B-B45E-EC96CBACD4AA}"/>
    <cellStyle name="常规 8 2 2 11 4" xfId="25692" xr:uid="{3A869E34-94B1-4027-B866-2E4D391F4027}"/>
    <cellStyle name="常规 8 2 2 11 5" xfId="25693" xr:uid="{FEA0821E-6226-478B-8799-838A23F2F261}"/>
    <cellStyle name="常规 8 2 2 11 6" xfId="25694" xr:uid="{2DAD9E45-DD9B-4313-9B39-2F838D52E721}"/>
    <cellStyle name="常规 8 2 2 11 7" xfId="25695" xr:uid="{D5179A7B-BB9F-4DCE-869E-6293D92F8312}"/>
    <cellStyle name="常规 8 2 2 11 8" xfId="25696" xr:uid="{2FD58648-436A-41AA-83D0-461B16CC1C55}"/>
    <cellStyle name="常规 8 2 2 12" xfId="25697" xr:uid="{5B34A03B-BA62-4262-9C7F-163E7461BEA3}"/>
    <cellStyle name="常规 8 2 2 12 2" xfId="25698" xr:uid="{6DAEB9C5-B38B-47E1-81AD-01C71C2F7866}"/>
    <cellStyle name="常规 8 2 2 12 2 2" xfId="25699" xr:uid="{3AF7C9CC-C752-43AD-8AB9-71EC9191892D}"/>
    <cellStyle name="常规 8 2 2 12 2 2 2" xfId="25700" xr:uid="{48364EE5-3987-4D54-B288-095DCDF20984}"/>
    <cellStyle name="常规 8 2 2 12 2 2 3" xfId="25701" xr:uid="{F1BEA74A-5756-4114-B1D0-C59F2A473465}"/>
    <cellStyle name="常规 8 2 2 12 2 2 4" xfId="25702" xr:uid="{76AB11BC-CFB1-4FDE-B3E3-FEFEA27D5CBD}"/>
    <cellStyle name="常规 8 2 2 12 2 2 5" xfId="25703" xr:uid="{D44DFEAB-D736-469B-B1E1-C5D3FDB15175}"/>
    <cellStyle name="常规 8 2 2 12 2 2 6" xfId="25704" xr:uid="{B8298C0C-D1D6-4A5A-9772-DC7FF7AB379E}"/>
    <cellStyle name="常规 8 2 2 12 2 3" xfId="25705" xr:uid="{CF7E5CE3-345C-4117-9AC6-57BA7E650B1A}"/>
    <cellStyle name="常规 8 2 2 12 2 4" xfId="25706" xr:uid="{582B9D6B-9752-40CA-B982-2F93EB1A1B9E}"/>
    <cellStyle name="常规 8 2 2 12 2 5" xfId="25707" xr:uid="{AB9A911F-2492-400E-991C-003E56609379}"/>
    <cellStyle name="常规 8 2 2 12 2 6" xfId="25708" xr:uid="{4448EB0E-E351-48A0-BBAD-E19D13F77807}"/>
    <cellStyle name="常规 8 2 2 12 2 7" xfId="25709" xr:uid="{045BAA39-A170-4ADE-A952-79C1F63F79BE}"/>
    <cellStyle name="常规 8 2 2 12 3" xfId="25710" xr:uid="{FF52AED3-2323-4E65-9312-BC7ED2F85ACA}"/>
    <cellStyle name="常规 8 2 2 12 3 2" xfId="25711" xr:uid="{D269BC9D-8944-4A67-BDB2-F8DC8923DC19}"/>
    <cellStyle name="常规 8 2 2 12 3 3" xfId="25712" xr:uid="{8FDA6372-5263-41A0-A2F2-16C3350A7644}"/>
    <cellStyle name="常规 8 2 2 12 3 4" xfId="25713" xr:uid="{64B91CC6-A4C4-40DB-86C9-1C1205B32535}"/>
    <cellStyle name="常规 8 2 2 12 3 5" xfId="25714" xr:uid="{2EE0303B-CDD1-4E38-9F7F-D5C790CD6C79}"/>
    <cellStyle name="常规 8 2 2 12 3 6" xfId="25715" xr:uid="{593CA1B5-257D-4205-B0AC-BC02FC8AC5E7}"/>
    <cellStyle name="常规 8 2 2 12 4" xfId="25716" xr:uid="{EF66D250-1C06-4808-955D-2C9A2ECD641C}"/>
    <cellStyle name="常规 8 2 2 12 5" xfId="25717" xr:uid="{374835B5-8361-43E1-B2B1-9CF3383B54B9}"/>
    <cellStyle name="常规 8 2 2 12 6" xfId="25718" xr:uid="{0756A2CE-AB00-461C-8233-4CB126B25D0D}"/>
    <cellStyle name="常规 8 2 2 12 7" xfId="25719" xr:uid="{283E2C4E-2ED2-481E-B000-34C4844DB2B7}"/>
    <cellStyle name="常规 8 2 2 12 8" xfId="25720" xr:uid="{B97532FE-1C92-4382-BDCE-73D0EEFCE8B7}"/>
    <cellStyle name="常规 8 2 2 13" xfId="25721" xr:uid="{7C16DA41-0718-4387-B581-7A2BF7F7F647}"/>
    <cellStyle name="常规 8 2 2 13 2" xfId="25722" xr:uid="{A77CFA1A-D2D7-447A-80A7-89CBBA52D279}"/>
    <cellStyle name="常规 8 2 2 13 2 2" xfId="25723" xr:uid="{A595C7EA-A9FB-4973-92EA-52509E1C8DFC}"/>
    <cellStyle name="常规 8 2 2 13 2 2 2" xfId="25724" xr:uid="{729F3AAB-2021-4579-88CA-9A16A7BEC44D}"/>
    <cellStyle name="常规 8 2 2 13 2 2 3" xfId="25725" xr:uid="{0BB971E4-8345-47B6-AAA7-2819CF10B715}"/>
    <cellStyle name="常规 8 2 2 13 2 2 4" xfId="25726" xr:uid="{BC238133-D891-478A-85E8-077D5C987479}"/>
    <cellStyle name="常规 8 2 2 13 2 2 5" xfId="25727" xr:uid="{4CBDA6DE-577A-4FC4-93B3-65F05CDEA424}"/>
    <cellStyle name="常规 8 2 2 13 2 2 6" xfId="25728" xr:uid="{990FEEDD-F1B2-401B-9405-09643EA08B1A}"/>
    <cellStyle name="常规 8 2 2 13 2 3" xfId="25729" xr:uid="{DE72507A-5D13-4C83-83A1-A75B193EC4BC}"/>
    <cellStyle name="常规 8 2 2 13 2 4" xfId="25730" xr:uid="{10D67A9A-E5A6-4C7F-87F3-A9D06863E65B}"/>
    <cellStyle name="常规 8 2 2 13 2 5" xfId="25731" xr:uid="{40D6D508-B676-4108-A3D4-9EB6513C4A3E}"/>
    <cellStyle name="常规 8 2 2 13 2 6" xfId="25732" xr:uid="{55D718C0-2F88-422D-91E2-E856CFF7D020}"/>
    <cellStyle name="常规 8 2 2 13 2 7" xfId="25733" xr:uid="{030CAD57-2AB2-466E-AEDE-7C962303CEDE}"/>
    <cellStyle name="常规 8 2 2 13 3" xfId="25734" xr:uid="{A234140B-5F78-4F4F-97A8-6EBB946CC2CF}"/>
    <cellStyle name="常规 8 2 2 13 3 2" xfId="25735" xr:uid="{488EE394-A12D-4C86-85FC-7BA2C9340BBE}"/>
    <cellStyle name="常规 8 2 2 13 3 3" xfId="25736" xr:uid="{C52461B4-BC60-4D38-9E7D-8233CEABB408}"/>
    <cellStyle name="常规 8 2 2 13 3 4" xfId="25737" xr:uid="{FF54149D-C66A-4073-A935-AD4A11BCE21E}"/>
    <cellStyle name="常规 8 2 2 13 3 5" xfId="25738" xr:uid="{4D9B6A76-A6A4-4864-B0D4-530E6D059ED4}"/>
    <cellStyle name="常规 8 2 2 13 3 6" xfId="25739" xr:uid="{6B8FE9A7-7118-42D4-8163-A397B6F1A0C1}"/>
    <cellStyle name="常规 8 2 2 13 4" xfId="25740" xr:uid="{4C6D0B14-3DC1-4A9E-9999-DB510B7CA5BC}"/>
    <cellStyle name="常规 8 2 2 13 5" xfId="25741" xr:uid="{B469B8D4-C5E0-4282-A36F-92F7B8F389EF}"/>
    <cellStyle name="常规 8 2 2 13 6" xfId="25742" xr:uid="{E2FC8076-F448-4D37-BF79-B26BD28B261C}"/>
    <cellStyle name="常规 8 2 2 13 7" xfId="25743" xr:uid="{52D30438-8F30-4385-8AF9-20C9A0580EF1}"/>
    <cellStyle name="常规 8 2 2 13 8" xfId="25744" xr:uid="{78C006C5-AD2C-4E06-91D7-3C417D9F12BF}"/>
    <cellStyle name="常规 8 2 2 14" xfId="25745" xr:uid="{C82BC914-324D-472C-9F94-342C625D1495}"/>
    <cellStyle name="常规 8 2 2 14 2" xfId="25746" xr:uid="{4B67B7C9-712E-48C7-AE6D-F4C3C64A907E}"/>
    <cellStyle name="常规 8 2 2 14 2 2" xfId="25747" xr:uid="{339BA6AA-F70B-467C-A98F-A4CCBAAB0983}"/>
    <cellStyle name="常规 8 2 2 14 2 2 2" xfId="25748" xr:uid="{F5D7A3E4-9FF4-45A0-9DF3-FE0140CDA490}"/>
    <cellStyle name="常规 8 2 2 14 2 2 3" xfId="25749" xr:uid="{D80FE171-E4A6-4B3E-B5E3-87131C8BF2D7}"/>
    <cellStyle name="常规 8 2 2 14 2 2 4" xfId="25750" xr:uid="{C812E6FA-E9E1-4FDC-8492-EDD22A603519}"/>
    <cellStyle name="常规 8 2 2 14 2 2 5" xfId="25751" xr:uid="{512A9FBF-5C62-484C-AC5E-5A296753A718}"/>
    <cellStyle name="常规 8 2 2 14 2 2 6" xfId="25752" xr:uid="{8E381CEF-341B-41CE-BA44-EC76925D4327}"/>
    <cellStyle name="常规 8 2 2 14 2 3" xfId="25753" xr:uid="{52CC2692-786F-4BE5-ABCA-573CC4C59239}"/>
    <cellStyle name="常规 8 2 2 14 2 4" xfId="25754" xr:uid="{3EED86EF-62E4-4F08-A63E-B83D8F7907CE}"/>
    <cellStyle name="常规 8 2 2 14 2 5" xfId="25755" xr:uid="{62E300BD-DA9A-46A9-A8B8-00DD7C9B2109}"/>
    <cellStyle name="常规 8 2 2 14 2 6" xfId="25756" xr:uid="{FF68A3C9-1AC7-4A9B-B25B-1CD5CCA42598}"/>
    <cellStyle name="常规 8 2 2 14 2 7" xfId="25757" xr:uid="{0EC5648B-49D8-49C9-86B5-D875D07EA0FA}"/>
    <cellStyle name="常规 8 2 2 14 3" xfId="25758" xr:uid="{5B469ABA-D370-4EE4-8A62-AFA300FB383E}"/>
    <cellStyle name="常规 8 2 2 14 3 2" xfId="25759" xr:uid="{B8E70879-2129-48E2-A3B3-CE0A69A43412}"/>
    <cellStyle name="常规 8 2 2 14 3 3" xfId="25760" xr:uid="{657148B3-C34A-4DAB-9297-CEC65DCCF27C}"/>
    <cellStyle name="常规 8 2 2 14 3 4" xfId="25761" xr:uid="{1DD9E02B-DC69-492D-BDE0-51538C63C516}"/>
    <cellStyle name="常规 8 2 2 14 3 5" xfId="25762" xr:uid="{7D6BAD14-0928-41A0-BC08-C9E6FFD205A6}"/>
    <cellStyle name="常规 8 2 2 14 3 6" xfId="25763" xr:uid="{6101C91F-9304-46F2-BF53-85B620271F91}"/>
    <cellStyle name="常规 8 2 2 14 4" xfId="25764" xr:uid="{E720E69E-7CF2-44E7-B75A-9285DEFA3771}"/>
    <cellStyle name="常规 8 2 2 14 5" xfId="25765" xr:uid="{58B97B30-2B04-4CC1-B94D-4DD68F4D80E3}"/>
    <cellStyle name="常规 8 2 2 14 6" xfId="25766" xr:uid="{70404884-61F9-40AD-B0A4-964D168F8A44}"/>
    <cellStyle name="常规 8 2 2 14 7" xfId="25767" xr:uid="{EF20D6A9-406A-4512-AA51-D6EC815AB914}"/>
    <cellStyle name="常规 8 2 2 14 8" xfId="25768" xr:uid="{16D390D7-6AF7-4980-95BD-479698ACFBA1}"/>
    <cellStyle name="常规 8 2 2 15" xfId="25769" xr:uid="{DCC2D41D-803B-4C34-BE3B-2DCE829870E1}"/>
    <cellStyle name="常规 8 2 2 15 2" xfId="25770" xr:uid="{56471ED9-484B-4A77-896F-20B76879AA70}"/>
    <cellStyle name="常规 8 2 2 15 2 2" xfId="25771" xr:uid="{DAA0FA8A-7434-4A05-AE74-A14417780388}"/>
    <cellStyle name="常规 8 2 2 15 2 3" xfId="25772" xr:uid="{70D9BF02-4E1E-4D27-9D40-D3D2DCC7BED3}"/>
    <cellStyle name="常规 8 2 2 15 2 4" xfId="25773" xr:uid="{5604D9C9-23FA-4C52-882C-8ED4B085FF85}"/>
    <cellStyle name="常规 8 2 2 15 2 5" xfId="25774" xr:uid="{B4CE630E-0179-4B2B-8F48-F085E6E2251E}"/>
    <cellStyle name="常规 8 2 2 15 2 6" xfId="25775" xr:uid="{1B2070A8-593B-40A0-9738-DE955D1BD3E5}"/>
    <cellStyle name="常规 8 2 2 15 3" xfId="25776" xr:uid="{D9901D16-8806-4531-9FD9-3B4F416D113D}"/>
    <cellStyle name="常规 8 2 2 15 4" xfId="25777" xr:uid="{3F37B5CE-E86E-45BD-A471-9E8182FEE25A}"/>
    <cellStyle name="常规 8 2 2 15 5" xfId="25778" xr:uid="{97FA0963-CA87-48DA-9544-B87823D9FF02}"/>
    <cellStyle name="常规 8 2 2 15 6" xfId="25779" xr:uid="{C883A2C3-121B-4EB2-A90D-C0D511571AE0}"/>
    <cellStyle name="常规 8 2 2 15 7" xfId="25780" xr:uid="{C8F6E1E6-D70F-4D44-B267-058D07D51873}"/>
    <cellStyle name="常规 8 2 2 16" xfId="25781" xr:uid="{076E7947-40B0-4E14-B79E-1D4C2D64E4DB}"/>
    <cellStyle name="常规 8 2 2 16 2" xfId="25782" xr:uid="{B1FB1CBE-DB4F-4563-BFE0-270E28444370}"/>
    <cellStyle name="常规 8 2 2 16 2 2" xfId="25783" xr:uid="{ABC39F43-1157-4CF3-BD8A-8BBDA3A5370B}"/>
    <cellStyle name="常规 8 2 2 16 2 3" xfId="25784" xr:uid="{626E045C-209B-4519-A430-F5C62F3D6A5D}"/>
    <cellStyle name="常规 8 2 2 16 2 4" xfId="25785" xr:uid="{6CF064D4-AFA9-41B2-AC32-9900D9431FCE}"/>
    <cellStyle name="常规 8 2 2 16 2 5" xfId="25786" xr:uid="{4DC3EF46-9ED3-492B-B8B9-556BE5BF139C}"/>
    <cellStyle name="常规 8 2 2 16 2 6" xfId="25787" xr:uid="{52810D0F-7D7B-47C3-B847-53C704F13E9B}"/>
    <cellStyle name="常规 8 2 2 16 3" xfId="25788" xr:uid="{2C1BE900-D5DF-432B-A1CD-C37E96E4E851}"/>
    <cellStyle name="常规 8 2 2 16 4" xfId="25789" xr:uid="{FDC07F1D-5128-45D0-A56A-0FE1A54F719D}"/>
    <cellStyle name="常规 8 2 2 16 5" xfId="25790" xr:uid="{669CD4D0-739A-48F3-B963-2FDC794EEE3E}"/>
    <cellStyle name="常规 8 2 2 16 6" xfId="25791" xr:uid="{8BC2972E-EC08-434A-A0A9-6F3AE2CC85EF}"/>
    <cellStyle name="常规 8 2 2 16 7" xfId="25792" xr:uid="{9C20AC10-A4D7-4D58-9021-D9831C92632B}"/>
    <cellStyle name="常规 8 2 2 17" xfId="25793" xr:uid="{B8F20B25-2309-433B-A4C5-95C047521CCF}"/>
    <cellStyle name="常规 8 2 2 17 2" xfId="25794" xr:uid="{744F8C98-66AA-485D-8839-76B131BEAA6E}"/>
    <cellStyle name="常规 8 2 2 17 3" xfId="25795" xr:uid="{CCEF9DF5-F66D-4CED-A530-DEDBAA1718DD}"/>
    <cellStyle name="常规 8 2 2 17 4" xfId="25796" xr:uid="{85A79F98-A26B-473C-8842-DF0AC6EEB0CD}"/>
    <cellStyle name="常规 8 2 2 17 5" xfId="25797" xr:uid="{94E500A7-B2AC-4A3F-8797-9BBCB0E0D29A}"/>
    <cellStyle name="常规 8 2 2 17 6" xfId="25798" xr:uid="{D07B299E-99E2-4508-9B80-5A7660763775}"/>
    <cellStyle name="常规 8 2 2 18" xfId="25799" xr:uid="{DBB17CBC-2152-4E75-ACB6-804991B5CB12}"/>
    <cellStyle name="常规 8 2 2 19" xfId="25800" xr:uid="{5524E9BB-5C82-4AFB-8B57-F34A9ABA2B59}"/>
    <cellStyle name="常规 8 2 2 2" xfId="25801" xr:uid="{B7B5471A-87B6-4970-B476-CC0BD670F172}"/>
    <cellStyle name="常规 8 2 2 2 10" xfId="25802" xr:uid="{1F887F2B-A2D8-4D4F-A029-987F421AFBA2}"/>
    <cellStyle name="常规 8 2 2 2 10 2" xfId="25803" xr:uid="{CF79052C-B759-41AC-A4FA-8BD9C2CDB286}"/>
    <cellStyle name="常规 8 2 2 2 10 2 2" xfId="25804" xr:uid="{EFBF1E0A-5466-487D-9AD4-AF3F6198398B}"/>
    <cellStyle name="常规 8 2 2 2 10 2 3" xfId="25805" xr:uid="{1A3FC982-F76B-4023-BD61-17E2E0F85F5B}"/>
    <cellStyle name="常规 8 2 2 2 10 2 4" xfId="25806" xr:uid="{E61C3F04-2AC5-4C1A-80C8-6D57597D6485}"/>
    <cellStyle name="常规 8 2 2 2 10 2 5" xfId="25807" xr:uid="{7333D4E6-D83F-4423-B7BC-E6910FA3229A}"/>
    <cellStyle name="常规 8 2 2 2 10 2 6" xfId="25808" xr:uid="{21AB3637-C0DE-4154-9DFE-672F4486274B}"/>
    <cellStyle name="常规 8 2 2 2 10 3" xfId="25809" xr:uid="{A7A0F8C6-FE46-4029-8B99-FD257113085A}"/>
    <cellStyle name="常规 8 2 2 2 10 4" xfId="25810" xr:uid="{2ABA2F1B-F4D6-45D3-9CA3-B942D0B698D7}"/>
    <cellStyle name="常规 8 2 2 2 10 5" xfId="25811" xr:uid="{E8D08010-5477-4856-BC1B-4D4F77716B38}"/>
    <cellStyle name="常规 8 2 2 2 10 6" xfId="25812" xr:uid="{1C732F60-857C-4286-A1D1-68C1C47EB3E9}"/>
    <cellStyle name="常规 8 2 2 2 10 7" xfId="25813" xr:uid="{1F4AF454-D0B1-4F4A-843C-FAFB2F9F4BF7}"/>
    <cellStyle name="常规 8 2 2 2 11" xfId="25814" xr:uid="{F147E6FE-560F-4613-A741-9486A946B21B}"/>
    <cellStyle name="常规 8 2 2 2 2" xfId="25815" xr:uid="{04418F52-704A-47C3-AC43-A71AF5550EBD}"/>
    <cellStyle name="常规 8 2 2 2 2 2" xfId="25816" xr:uid="{34F6FCA9-2B9D-4D6C-BA72-67DB82464C3D}"/>
    <cellStyle name="常规 8 2 2 2 2 2 2" xfId="25817" xr:uid="{52AA5EF5-19C7-4FAD-AA41-C66C04C582BC}"/>
    <cellStyle name="常规 8 2 2 2 2 2 3" xfId="25818" xr:uid="{9FE8A190-B11D-4920-A0C3-6DEA625D1EC3}"/>
    <cellStyle name="常规 8 2 2 2 2 2 4" xfId="25819" xr:uid="{D6B69CD4-3E1A-41EF-9AD8-CDD1D5DE59EA}"/>
    <cellStyle name="常规 8 2 2 2 2 2 5" xfId="25820" xr:uid="{34C25C45-5649-45CC-9A74-220D2C30CEF5}"/>
    <cellStyle name="常规 8 2 2 2 2 2 6" xfId="25821" xr:uid="{B95B322D-ACAB-4C17-BCD9-90EF8CCE7C63}"/>
    <cellStyle name="常规 8 2 2 2 2 2 7" xfId="25822" xr:uid="{DDE73627-B1B7-42EB-90A9-E5FB318EBC90}"/>
    <cellStyle name="常规 8 2 2 2 2 2 8" xfId="25823" xr:uid="{DB563640-8A21-494B-8ABA-1166B5FD0F5E}"/>
    <cellStyle name="常规 8 2 2 2 2 3" xfId="25824" xr:uid="{96B67F14-7084-4481-B3DE-BB1145E133DE}"/>
    <cellStyle name="常规 8 2 2 2 2 3 2" xfId="25825" xr:uid="{55B29A4F-FD58-4621-8B64-3067FC426E55}"/>
    <cellStyle name="常规 8 2 2 2 2 4" xfId="25826" xr:uid="{F3CFC461-5544-460A-82F2-DDAE931C504B}"/>
    <cellStyle name="常规 8 2 2 2 2 4 2" xfId="25827" xr:uid="{C5D8EF83-E7A0-44C6-8900-CF14AA1369F6}"/>
    <cellStyle name="常规 8 2 2 2 2 4 3" xfId="34604" xr:uid="{B6D1F87F-9407-4C4A-A1C7-4DE9BE76691D}"/>
    <cellStyle name="常规 8 2 2 2 2 5" xfId="25828" xr:uid="{486D5055-B73C-411B-BCC3-DB30B70E1A81}"/>
    <cellStyle name="常规 8 2 2 2 2 6" xfId="25829" xr:uid="{9143E22D-5BF2-4C85-8EC2-04DBD0E08428}"/>
    <cellStyle name="常规 8 2 2 2 2 7" xfId="25830" xr:uid="{3D040D9D-28CB-4BB6-9459-0B84282EFC28}"/>
    <cellStyle name="常规 8 2 2 2 2 8" xfId="25831" xr:uid="{4BE03618-740B-457B-895E-A0912C10DB2C}"/>
    <cellStyle name="常规 8 2 2 2 3" xfId="25832" xr:uid="{0FD6377A-AA80-495A-B32B-64CB60060EE9}"/>
    <cellStyle name="常规 8 2 2 2 3 2" xfId="25833" xr:uid="{817C0EC7-A51B-4A72-86E0-BB7CF057C542}"/>
    <cellStyle name="常规 8 2 2 2 3 2 2" xfId="25834" xr:uid="{7411F5F8-6FD4-44F9-86E0-3F19A60FD741}"/>
    <cellStyle name="常规 8 2 2 2 3 2 3" xfId="25835" xr:uid="{FE5791C4-8AE9-41A2-8EE1-E388456D07D3}"/>
    <cellStyle name="常规 8 2 2 2 3 2 4" xfId="25836" xr:uid="{B7EAF83E-D2F3-49EF-A299-4170FCCD9962}"/>
    <cellStyle name="常规 8 2 2 2 3 2 5" xfId="25837" xr:uid="{91BBF3F5-8FC7-4CE4-850D-FE55D0099DCA}"/>
    <cellStyle name="常规 8 2 2 2 3 2 6" xfId="25838" xr:uid="{ECDA2A38-5045-4006-8834-4E2DBD8B4455}"/>
    <cellStyle name="常规 8 2 2 2 3 2 7" xfId="25839" xr:uid="{63801D07-9CDD-4B69-A7A2-36464C0ECABC}"/>
    <cellStyle name="常规 8 2 2 2 3 2 8" xfId="25840" xr:uid="{2C84DAE7-CCAF-44E3-B68A-EDF26B6B5DDE}"/>
    <cellStyle name="常规 8 2 2 2 3 3" xfId="25841" xr:uid="{8C561312-4237-4952-89B5-0983C9F51D26}"/>
    <cellStyle name="常规 8 2 2 2 3 3 2" xfId="25842" xr:uid="{19C5F23C-7A43-4EE3-A719-DC767C57601C}"/>
    <cellStyle name="常规 8 2 2 2 3 4" xfId="25843" xr:uid="{7788E5C8-7BAA-491D-A388-60E7BD61345C}"/>
    <cellStyle name="常规 8 2 2 2 3 4 2" xfId="25844" xr:uid="{493E791F-8EA4-4D21-8628-F5A039A2186A}"/>
    <cellStyle name="常规 8 2 2 2 3 4 3" xfId="34605" xr:uid="{4313ECF9-21EA-4852-A89C-3C297B427850}"/>
    <cellStyle name="常规 8 2 2 2 3 5" xfId="25845" xr:uid="{362B6FF5-6E25-44B5-86A9-EA39AFF9893E}"/>
    <cellStyle name="常规 8 2 2 2 3 6" xfId="25846" xr:uid="{FBD8F903-4273-4AE3-B6CE-8AD7784A67E1}"/>
    <cellStyle name="常规 8 2 2 2 3 7" xfId="25847" xr:uid="{530CF85A-B142-4F9D-B711-0D4145DAB15A}"/>
    <cellStyle name="常规 8 2 2 2 3 8" xfId="25848" xr:uid="{32F0605D-50C6-4FBD-9122-29955F1BB6B9}"/>
    <cellStyle name="常规 8 2 2 2 4" xfId="25849" xr:uid="{7478338B-DDAD-41D2-BBF2-8C090D2AE551}"/>
    <cellStyle name="常规 8 2 2 2 4 2" xfId="25850" xr:uid="{1001BDB3-04B2-40C7-BD38-0F1B4B598FA0}"/>
    <cellStyle name="常规 8 2 2 2 4 2 2" xfId="25851" xr:uid="{ECCA1EE2-9003-42AA-AC0A-7014D3353780}"/>
    <cellStyle name="常规 8 2 2 2 4 2 3" xfId="25852" xr:uid="{3A336912-EBC1-41A2-B98C-70B2D7AAB0F3}"/>
    <cellStyle name="常规 8 2 2 2 4 2 4" xfId="25853" xr:uid="{D65D6B1C-8A36-494C-88BA-435C5D213A66}"/>
    <cellStyle name="常规 8 2 2 2 4 2 5" xfId="25854" xr:uid="{6F5A32F9-E154-4908-B2A3-1A9098ADC2D3}"/>
    <cellStyle name="常规 8 2 2 2 4 2 6" xfId="25855" xr:uid="{EBCE4F9C-2323-4090-85F3-0970818117DC}"/>
    <cellStyle name="常规 8 2 2 2 4 3" xfId="25856" xr:uid="{2FDD031F-DD0B-4E63-9578-DAE94635C4D5}"/>
    <cellStyle name="常规 8 2 2 2 4 4" xfId="25857" xr:uid="{B8F3F560-2124-4F6A-A3C0-EE6CC650A7DD}"/>
    <cellStyle name="常规 8 2 2 2 4 5" xfId="25858" xr:uid="{0F70523C-8C8D-46B5-A25A-DA27FDEB7704}"/>
    <cellStyle name="常规 8 2 2 2 4 6" xfId="25859" xr:uid="{A3699DAB-73CA-4448-BDB9-5507F1D6C71F}"/>
    <cellStyle name="常规 8 2 2 2 4 7" xfId="25860" xr:uid="{BE3BD173-8C1F-40AA-AA08-C1F60B77967D}"/>
    <cellStyle name="常规 8 2 2 2 4 8" xfId="25861" xr:uid="{3A630530-4CD3-4C1C-9734-72731E83F77B}"/>
    <cellStyle name="常规 8 2 2 2 4 9" xfId="25862" xr:uid="{EA4CCD4F-1A6B-4D18-AFF5-6C0902172926}"/>
    <cellStyle name="常规 8 2 2 2 5" xfId="25863" xr:uid="{4EC4451C-C12A-44DE-AD21-718FA379EBA1}"/>
    <cellStyle name="常规 8 2 2 2 5 2" xfId="25864" xr:uid="{50315735-D438-4956-8D7E-256C0703FC4E}"/>
    <cellStyle name="常规 8 2 2 2 5 2 2" xfId="25865" xr:uid="{5C5392C1-B4AF-4218-8E60-8DFC3F96F677}"/>
    <cellStyle name="常规 8 2 2 2 5 2 3" xfId="25866" xr:uid="{3AD29247-A1CE-4B17-B3D3-5E919522A85B}"/>
    <cellStyle name="常规 8 2 2 2 5 2 4" xfId="25867" xr:uid="{15AB2C88-2B47-41E1-9FB2-1190DB13B0A6}"/>
    <cellStyle name="常规 8 2 2 2 5 2 5" xfId="25868" xr:uid="{7894703E-9E0A-4296-A404-332F77D868B0}"/>
    <cellStyle name="常规 8 2 2 2 5 2 6" xfId="25869" xr:uid="{77235902-EF34-4693-9F02-53C6C17E8E5D}"/>
    <cellStyle name="常规 8 2 2 2 5 3" xfId="25870" xr:uid="{15828528-BE18-460A-B677-BC19ABB2FB2A}"/>
    <cellStyle name="常规 8 2 2 2 5 4" xfId="25871" xr:uid="{5E399EE8-AA3A-4EBA-8EB5-76F5687DCF1D}"/>
    <cellStyle name="常规 8 2 2 2 5 5" xfId="25872" xr:uid="{E5DA21E0-00E9-4A2C-B5B9-BE20517515A5}"/>
    <cellStyle name="常规 8 2 2 2 5 6" xfId="25873" xr:uid="{01844055-96EA-4627-A8E7-180966B65FCE}"/>
    <cellStyle name="常规 8 2 2 2 5 7" xfId="25874" xr:uid="{694E5169-15A1-492D-A2C9-BF99339231DB}"/>
    <cellStyle name="常规 8 2 2 2 5 8" xfId="25875" xr:uid="{15426078-E62B-464A-A2A8-1B40F280A1EB}"/>
    <cellStyle name="常规 8 2 2 2 6" xfId="25876" xr:uid="{842208DC-EC9B-453F-95C0-B28A41C813E0}"/>
    <cellStyle name="常规 8 2 2 2 6 2" xfId="25877" xr:uid="{FACA6D6E-4103-4403-9AD1-D2FB849ADD57}"/>
    <cellStyle name="常规 8 2 2 2 6 2 2" xfId="25878" xr:uid="{D2CA7ECA-7560-4BE3-9AA3-A75A6739BD0E}"/>
    <cellStyle name="常规 8 2 2 2 6 2 3" xfId="25879" xr:uid="{9C83C2E3-A5E1-47C1-80F3-2ABE4A1CE784}"/>
    <cellStyle name="常规 8 2 2 2 6 2 4" xfId="25880" xr:uid="{19A3649A-31EA-4A01-A05C-83115A268572}"/>
    <cellStyle name="常规 8 2 2 2 6 2 5" xfId="25881" xr:uid="{64C28A7A-935C-4E16-83D5-A80CC1F93A0B}"/>
    <cellStyle name="常规 8 2 2 2 6 2 6" xfId="25882" xr:uid="{08840E61-7488-4798-B459-14814B66583A}"/>
    <cellStyle name="常规 8 2 2 2 6 3" xfId="25883" xr:uid="{B3E50F2B-D0F1-4079-B819-CAE68BA28853}"/>
    <cellStyle name="常规 8 2 2 2 6 4" xfId="25884" xr:uid="{BA71181F-7CF9-46C3-A665-5E4B9CC287CA}"/>
    <cellStyle name="常规 8 2 2 2 6 5" xfId="25885" xr:uid="{3BDE7184-74C2-483D-8FFB-24C90366BEF9}"/>
    <cellStyle name="常规 8 2 2 2 6 6" xfId="25886" xr:uid="{79CC01A1-F4DE-47CD-9985-F6A277BBBB42}"/>
    <cellStyle name="常规 8 2 2 2 6 7" xfId="25887" xr:uid="{A5DDFE6C-75CC-477C-B607-E75057FE69CE}"/>
    <cellStyle name="常规 8 2 2 2 6 8" xfId="25888" xr:uid="{64360D4D-A780-4C7A-8B9E-B288D38BEF09}"/>
    <cellStyle name="常规 8 2 2 2 6 9" xfId="34606" xr:uid="{7C251769-A396-4EF6-8225-D9FDB6DD1AAA}"/>
    <cellStyle name="常规 8 2 2 2 7" xfId="25889" xr:uid="{F5F35BB4-17B0-4D2A-86EF-0D75BB381103}"/>
    <cellStyle name="常规 8 2 2 2 7 2" xfId="25890" xr:uid="{7D9761D3-7939-4B22-B69E-881C60E8E213}"/>
    <cellStyle name="常规 8 2 2 2 7 2 2" xfId="25891" xr:uid="{CB8B83C3-D7ED-4F44-937F-972E4B22A29D}"/>
    <cellStyle name="常规 8 2 2 2 7 2 3" xfId="25892" xr:uid="{ACCF7C1D-C287-4CD6-B3F8-CB75119BFA17}"/>
    <cellStyle name="常规 8 2 2 2 7 2 4" xfId="25893" xr:uid="{5C31FE9C-94F3-4BA9-ACA9-FE1643C961F0}"/>
    <cellStyle name="常规 8 2 2 2 7 2 5" xfId="25894" xr:uid="{1EDB2C8A-7505-4739-8E99-F9C6CC67E314}"/>
    <cellStyle name="常规 8 2 2 2 7 2 6" xfId="25895" xr:uid="{DC82DD8C-8055-4AF1-A482-14C28F889C9D}"/>
    <cellStyle name="常规 8 2 2 2 7 3" xfId="25896" xr:uid="{2066A7DA-B990-498D-9577-565332CC6117}"/>
    <cellStyle name="常规 8 2 2 2 7 4" xfId="25897" xr:uid="{50C6077C-DF77-466F-BBAD-963E09E29CAB}"/>
    <cellStyle name="常规 8 2 2 2 7 5" xfId="25898" xr:uid="{F3E724BC-D260-4EF2-A3FF-9752FBD60074}"/>
    <cellStyle name="常规 8 2 2 2 7 6" xfId="25899" xr:uid="{704596DD-E476-4A8D-B014-6C66AF7A7879}"/>
    <cellStyle name="常规 8 2 2 2 7 7" xfId="25900" xr:uid="{AC5804E9-F21F-4C29-9884-4247890B36AC}"/>
    <cellStyle name="常规 8 2 2 2 8" xfId="25901" xr:uid="{6284B103-81C6-4E26-A754-41BC77849C58}"/>
    <cellStyle name="常规 8 2 2 2 8 2" xfId="25902" xr:uid="{2C22871D-FC43-48AA-B567-E98C04766B27}"/>
    <cellStyle name="常规 8 2 2 2 8 2 2" xfId="25903" xr:uid="{E28F9B0C-BEBA-4369-83A4-3B2663250FB2}"/>
    <cellStyle name="常规 8 2 2 2 8 2 3" xfId="25904" xr:uid="{FA83811D-A99B-462F-98B9-C0EA6A1B601E}"/>
    <cellStyle name="常规 8 2 2 2 8 2 4" xfId="25905" xr:uid="{223565A0-3279-44C5-ADEB-7F34A1396268}"/>
    <cellStyle name="常规 8 2 2 2 8 2 5" xfId="25906" xr:uid="{E334DDB8-2670-4FE1-A963-41F61D732D4F}"/>
    <cellStyle name="常规 8 2 2 2 8 2 6" xfId="25907" xr:uid="{F724B760-E950-4051-888C-524E8E1DCA0F}"/>
    <cellStyle name="常规 8 2 2 2 8 3" xfId="25908" xr:uid="{BBAE4D30-7F3B-44F5-AECB-CEE5249D0367}"/>
    <cellStyle name="常规 8 2 2 2 8 4" xfId="25909" xr:uid="{5AFA7BFF-17C0-4521-8DB3-4324915D836D}"/>
    <cellStyle name="常规 8 2 2 2 8 5" xfId="25910" xr:uid="{E33DD108-2ACE-4189-BEEA-CC7E5AA68D98}"/>
    <cellStyle name="常规 8 2 2 2 8 6" xfId="25911" xr:uid="{A0228CCC-C631-48F4-BCB3-48D1CAF70D9A}"/>
    <cellStyle name="常规 8 2 2 2 8 7" xfId="25912" xr:uid="{9C7AA446-905A-4807-833E-220CAB9403BF}"/>
    <cellStyle name="常规 8 2 2 2 9" xfId="25913" xr:uid="{4BCAA58A-885A-4E90-8BED-3523016E2EC9}"/>
    <cellStyle name="常规 8 2 2 2 9 2" xfId="25914" xr:uid="{C5C74A5B-9D25-44B0-B02C-2906CDADC912}"/>
    <cellStyle name="常规 8 2 2 2 9 2 2" xfId="25915" xr:uid="{6FADB971-8753-413D-BC57-8D7FA776E574}"/>
    <cellStyle name="常规 8 2 2 2 9 2 3" xfId="25916" xr:uid="{76F12977-98E8-46EE-9660-05857623B1D2}"/>
    <cellStyle name="常规 8 2 2 2 9 2 4" xfId="25917" xr:uid="{BD79B5FB-D9CB-4DFD-A3F2-65BBA86E789E}"/>
    <cellStyle name="常规 8 2 2 2 9 2 5" xfId="25918" xr:uid="{69D3AE03-B850-4D20-972D-85101753C047}"/>
    <cellStyle name="常规 8 2 2 2 9 2 6" xfId="25919" xr:uid="{5262A87F-1175-439D-ABE3-1A815981E52E}"/>
    <cellStyle name="常规 8 2 2 2 9 3" xfId="25920" xr:uid="{33DD39D4-24E4-4548-BEC8-BBA1A4DA85ED}"/>
    <cellStyle name="常规 8 2 2 2 9 4" xfId="25921" xr:uid="{F73B2028-0015-423D-A859-1A9AA4D2825E}"/>
    <cellStyle name="常规 8 2 2 2 9 5" xfId="25922" xr:uid="{3CCE79EA-DA04-44C7-BC56-CD3C1D3218A9}"/>
    <cellStyle name="常规 8 2 2 2 9 6" xfId="25923" xr:uid="{F14868B2-7DFF-4D06-82FD-6DCF517A3464}"/>
    <cellStyle name="常规 8 2 2 2 9 7" xfId="25924" xr:uid="{1536CBD1-3C4A-4B27-9CCA-73F0C88AAED7}"/>
    <cellStyle name="常规 8 2 2 20" xfId="25925" xr:uid="{B4E2BEFE-9E3C-4BD6-A77B-616FCE4B2E71}"/>
    <cellStyle name="常规 8 2 2 21" xfId="25926" xr:uid="{401092DF-0A9F-4BE3-BE48-036CC1093C55}"/>
    <cellStyle name="常规 8 2 2 22" xfId="25927" xr:uid="{2ACE9B47-4771-45B3-A861-5779547C2DDE}"/>
    <cellStyle name="常规 8 2 2 23" xfId="25928" xr:uid="{5AAB594B-677A-4875-8A6D-42F2ACACE33F}"/>
    <cellStyle name="常规 8 2 2 24" xfId="25929" xr:uid="{96FA92F7-4415-4DDD-812A-C471F9718565}"/>
    <cellStyle name="常规 8 2 2 3" xfId="25930" xr:uid="{AFC868F4-C984-418F-B67D-E58FA4A864E6}"/>
    <cellStyle name="常规 8 2 2 3 10" xfId="25931" xr:uid="{67AACA3D-C081-4C8F-B10A-10C370D53961}"/>
    <cellStyle name="常规 8 2 2 3 10 2" xfId="25932" xr:uid="{BB785617-B3A4-41DB-A647-FB93559EF25F}"/>
    <cellStyle name="常规 8 2 2 3 10 3" xfId="25933" xr:uid="{3A8BAC1B-39A8-41E6-8A66-E2C5803D3809}"/>
    <cellStyle name="常规 8 2 2 3 10 4" xfId="25934" xr:uid="{69083168-1648-4158-B143-1026304F9FF0}"/>
    <cellStyle name="常规 8 2 2 3 10 5" xfId="25935" xr:uid="{617A4EC0-C8E9-4956-9C9F-D88E9EDAAD52}"/>
    <cellStyle name="常规 8 2 2 3 10 6" xfId="25936" xr:uid="{0D466501-CAA5-4D90-92D9-B853ED6C8620}"/>
    <cellStyle name="常规 8 2 2 3 11" xfId="25937" xr:uid="{CA26BD39-9DB6-4219-8322-B10E8CA20EB8}"/>
    <cellStyle name="常规 8 2 2 3 12" xfId="25938" xr:uid="{F04FEB27-1203-4085-B356-42061FA9417F}"/>
    <cellStyle name="常规 8 2 2 3 13" xfId="25939" xr:uid="{CECDAD35-FEC0-4E28-B3BC-ED02532C8EF2}"/>
    <cellStyle name="常规 8 2 2 3 14" xfId="25940" xr:uid="{80F9D2D4-3128-4923-8A56-9C2BA455C2B8}"/>
    <cellStyle name="常规 8 2 2 3 15" xfId="25941" xr:uid="{7551DF89-AE9D-4DFA-A63B-AEF347ADAB2D}"/>
    <cellStyle name="常规 8 2 2 3 16" xfId="25942" xr:uid="{C000684E-48C8-47CB-8A76-5BFD5C8499F9}"/>
    <cellStyle name="常规 8 2 2 3 2" xfId="25943" xr:uid="{8D92C150-E01D-4FE0-9C3E-599DD9D63174}"/>
    <cellStyle name="常规 8 2 2 3 2 2" xfId="25944" xr:uid="{F49F22DB-6157-4851-A038-C85007ECEF0F}"/>
    <cellStyle name="常规 8 2 2 3 2 2 2" xfId="25945" xr:uid="{28C2B2F5-17E6-4553-B89C-A331CC25E68C}"/>
    <cellStyle name="常规 8 2 2 3 2 2 3" xfId="25946" xr:uid="{705A40C1-6436-4038-B50D-0B52FA6DE42B}"/>
    <cellStyle name="常规 8 2 2 3 2 2 4" xfId="25947" xr:uid="{6AD5266E-6F82-4992-8D5D-B5908A918B30}"/>
    <cellStyle name="常规 8 2 2 3 2 2 5" xfId="25948" xr:uid="{56F37312-ADD9-47BD-8C62-78E0A6815EBE}"/>
    <cellStyle name="常规 8 2 2 3 2 2 6" xfId="25949" xr:uid="{0876ECC4-4225-4A25-8494-2E5EA04E5604}"/>
    <cellStyle name="常规 8 2 2 3 2 3" xfId="25950" xr:uid="{8E37945B-2F48-4EB5-915E-CFFFB23B0993}"/>
    <cellStyle name="常规 8 2 2 3 2 4" xfId="25951" xr:uid="{D47FFEB5-7CE4-40CB-BC16-0E631070A4F8}"/>
    <cellStyle name="常规 8 2 2 3 2 5" xfId="25952" xr:uid="{62B21963-3D44-4BE8-BF92-3BF59BBBAB79}"/>
    <cellStyle name="常规 8 2 2 3 2 6" xfId="25953" xr:uid="{8AD0AAF5-DAD6-4EE0-A9BE-4C9437034831}"/>
    <cellStyle name="常规 8 2 2 3 2 7" xfId="25954" xr:uid="{47F214F1-4BBE-45B6-A64F-20EF7CB92195}"/>
    <cellStyle name="常规 8 2 2 3 2 8" xfId="25955" xr:uid="{EC227981-8ADA-4A96-91F2-B8E05013239D}"/>
    <cellStyle name="常规 8 2 2 3 2 9" xfId="25956" xr:uid="{6D3724A8-631A-4CD7-A665-82C597BC4A13}"/>
    <cellStyle name="常规 8 2 2 3 3" xfId="25957" xr:uid="{C15FEB99-4611-4F60-886E-97202B466F94}"/>
    <cellStyle name="常规 8 2 2 3 3 2" xfId="25958" xr:uid="{8CEA46A5-3E7F-41CD-87CF-CBABB1FDD0A0}"/>
    <cellStyle name="常规 8 2 2 3 3 2 2" xfId="25959" xr:uid="{C20140A7-D3C1-4D85-B16B-3C195DAAD841}"/>
    <cellStyle name="常规 8 2 2 3 3 2 3" xfId="25960" xr:uid="{294E764B-6024-41B2-8A67-6BCB83BA048C}"/>
    <cellStyle name="常规 8 2 2 3 3 2 4" xfId="25961" xr:uid="{75F90DDB-3DF8-40FB-AFB9-F937193D1AFE}"/>
    <cellStyle name="常规 8 2 2 3 3 2 5" xfId="25962" xr:uid="{C3CD0517-25C4-4C75-BBED-E4F345B4584D}"/>
    <cellStyle name="常规 8 2 2 3 3 2 6" xfId="25963" xr:uid="{8B98C5B2-BDE3-4F53-AEF9-4D7E0C215D3B}"/>
    <cellStyle name="常规 8 2 2 3 3 3" xfId="25964" xr:uid="{A8E94E8A-2F9E-4AB2-8296-90BCB8DC1F2F}"/>
    <cellStyle name="常规 8 2 2 3 3 4" xfId="25965" xr:uid="{F0B195F1-E3A3-46E8-95F4-97E70C0D9C03}"/>
    <cellStyle name="常规 8 2 2 3 3 5" xfId="25966" xr:uid="{6055DA78-CE39-438B-BF07-BC2CEFBA3970}"/>
    <cellStyle name="常规 8 2 2 3 3 6" xfId="25967" xr:uid="{6B5F9E70-FE1B-4CDD-B7D6-A656088A81D4}"/>
    <cellStyle name="常规 8 2 2 3 3 7" xfId="25968" xr:uid="{E1057E0D-937D-4EAC-8A55-8782306B79A2}"/>
    <cellStyle name="常规 8 2 2 3 3 8" xfId="25969" xr:uid="{37967CFB-9519-4F6A-AAE4-318CBCC98AF0}"/>
    <cellStyle name="常规 8 2 2 3 4" xfId="25970" xr:uid="{077D3FAB-B2E9-4DDD-9FD1-D25CA8F383B5}"/>
    <cellStyle name="常规 8 2 2 3 4 2" xfId="25971" xr:uid="{CDE7EA99-C317-4E47-87A7-3F1AC138AEA9}"/>
    <cellStyle name="常规 8 2 2 3 4 2 2" xfId="25972" xr:uid="{81D9D078-AFF9-4312-8F4F-A45048BDACDD}"/>
    <cellStyle name="常规 8 2 2 3 4 2 3" xfId="25973" xr:uid="{4E692C44-28BF-4897-8CB0-77F03705F4BF}"/>
    <cellStyle name="常规 8 2 2 3 4 2 4" xfId="25974" xr:uid="{3F6A94E9-A3AA-4D6E-8A5F-5104A395A6F1}"/>
    <cellStyle name="常规 8 2 2 3 4 2 5" xfId="25975" xr:uid="{C8347A81-8666-4C6D-95D7-8A9F8F86DB36}"/>
    <cellStyle name="常规 8 2 2 3 4 2 6" xfId="25976" xr:uid="{CF05CAD2-C9DE-496E-B1B5-B38CD4949260}"/>
    <cellStyle name="常规 8 2 2 3 4 3" xfId="25977" xr:uid="{8EA717B1-EF62-4050-A1E8-A0446C13C5FB}"/>
    <cellStyle name="常规 8 2 2 3 4 4" xfId="25978" xr:uid="{9DCDDC37-0D27-4B93-80DF-CC7F64080AE6}"/>
    <cellStyle name="常规 8 2 2 3 4 5" xfId="25979" xr:uid="{528FB9B1-14FF-4B33-8C3E-F01E4208739B}"/>
    <cellStyle name="常规 8 2 2 3 4 6" xfId="25980" xr:uid="{97C32A31-BB27-4E2C-B306-FE0D8E5777DB}"/>
    <cellStyle name="常规 8 2 2 3 4 7" xfId="25981" xr:uid="{0C778051-80CB-403E-A870-F76EB0D13490}"/>
    <cellStyle name="常规 8 2 2 3 4 8" xfId="25982" xr:uid="{821063E8-A93F-484A-8A9B-C0AD38FF8134}"/>
    <cellStyle name="常规 8 2 2 3 4 9" xfId="34607" xr:uid="{0797FAE5-B45E-4CFF-9B8B-6976795C829C}"/>
    <cellStyle name="常规 8 2 2 3 5" xfId="25983" xr:uid="{AC3E33EC-850D-48D4-BAD2-6060A0AD33B8}"/>
    <cellStyle name="常规 8 2 2 3 5 2" xfId="25984" xr:uid="{46CA8331-08C3-4D07-92A0-0385BA3A36FA}"/>
    <cellStyle name="常规 8 2 2 3 5 2 2" xfId="25985" xr:uid="{39D4C01D-1634-4005-BF5E-15571AC605D1}"/>
    <cellStyle name="常规 8 2 2 3 5 2 3" xfId="25986" xr:uid="{55909E11-D446-4E26-B9A2-9DDBEC280B1E}"/>
    <cellStyle name="常规 8 2 2 3 5 2 4" xfId="25987" xr:uid="{773C24F7-F688-41BD-BD4E-549273326421}"/>
    <cellStyle name="常规 8 2 2 3 5 2 5" xfId="25988" xr:uid="{DF7CA760-2160-4CDF-BE78-3E64B377BA0E}"/>
    <cellStyle name="常规 8 2 2 3 5 2 6" xfId="25989" xr:uid="{4FFE5522-9C75-4C86-AF18-3A41690E343D}"/>
    <cellStyle name="常规 8 2 2 3 5 3" xfId="25990" xr:uid="{37D91813-49E8-4BDF-965C-CE652CDE397B}"/>
    <cellStyle name="常规 8 2 2 3 5 4" xfId="25991" xr:uid="{93AE754A-501B-4545-9672-5BDB350EFB8B}"/>
    <cellStyle name="常规 8 2 2 3 5 5" xfId="25992" xr:uid="{554B1DE6-0229-49BF-B609-3271750A5D9B}"/>
    <cellStyle name="常规 8 2 2 3 5 6" xfId="25993" xr:uid="{579423BA-F238-4521-86CE-9AF7DCE70146}"/>
    <cellStyle name="常规 8 2 2 3 5 7" xfId="25994" xr:uid="{F74082A9-F199-4999-9733-7A2C8A66A747}"/>
    <cellStyle name="常规 8 2 2 3 6" xfId="25995" xr:uid="{DA949472-FABB-4B6F-8661-7948F72F7554}"/>
    <cellStyle name="常规 8 2 2 3 6 2" xfId="25996" xr:uid="{0002D5B8-E41C-427F-8E75-26AD0DD692C6}"/>
    <cellStyle name="常规 8 2 2 3 6 2 2" xfId="25997" xr:uid="{1396D237-BDE2-44D2-8A8F-B8E3AAAED4A8}"/>
    <cellStyle name="常规 8 2 2 3 6 2 3" xfId="25998" xr:uid="{898D1F7B-0717-42CE-A654-94993B690AB0}"/>
    <cellStyle name="常规 8 2 2 3 6 2 4" xfId="25999" xr:uid="{CEABEB17-BB10-447F-988B-D486AC8AA57B}"/>
    <cellStyle name="常规 8 2 2 3 6 2 5" xfId="26000" xr:uid="{EBD2A113-54EA-43DF-BA3E-5AC59E15DB86}"/>
    <cellStyle name="常规 8 2 2 3 6 2 6" xfId="26001" xr:uid="{12F4DEEF-ABAB-4DD2-8AD7-08903CE81E7A}"/>
    <cellStyle name="常规 8 2 2 3 6 3" xfId="26002" xr:uid="{EC8EC962-93BE-415F-BB3C-82FD6F05AD2C}"/>
    <cellStyle name="常规 8 2 2 3 6 4" xfId="26003" xr:uid="{919E460E-CCB5-4FF3-B789-48149479FA44}"/>
    <cellStyle name="常规 8 2 2 3 6 5" xfId="26004" xr:uid="{96A436F4-B688-4819-8291-A6AD0D0A37D2}"/>
    <cellStyle name="常规 8 2 2 3 6 6" xfId="26005" xr:uid="{5A9033A0-ED82-49A2-B1CF-C0A789654DB8}"/>
    <cellStyle name="常规 8 2 2 3 6 7" xfId="26006" xr:uid="{C53FB18C-8462-4464-BAFC-65E45FE04DA6}"/>
    <cellStyle name="常规 8 2 2 3 7" xfId="26007" xr:uid="{14E1B106-1F58-425A-8383-9D963198C4E9}"/>
    <cellStyle name="常规 8 2 2 3 7 2" xfId="26008" xr:uid="{65BB64D5-E00E-4477-8D4E-408E69A64AFD}"/>
    <cellStyle name="常规 8 2 2 3 7 2 2" xfId="26009" xr:uid="{791A4D65-2BFE-4D94-A515-B0A6BDB12980}"/>
    <cellStyle name="常规 8 2 2 3 7 2 3" xfId="26010" xr:uid="{2A19B7AB-E154-430E-9A34-D2D6A3284B58}"/>
    <cellStyle name="常规 8 2 2 3 7 2 4" xfId="26011" xr:uid="{4A91CC35-1374-444B-9225-AC201B2F9339}"/>
    <cellStyle name="常规 8 2 2 3 7 2 5" xfId="26012" xr:uid="{650C553B-91CF-4736-9152-7E4C8DF99BB2}"/>
    <cellStyle name="常规 8 2 2 3 7 2 6" xfId="26013" xr:uid="{9BD7E0FB-EBF0-49A8-A68B-F83105FE406E}"/>
    <cellStyle name="常规 8 2 2 3 7 3" xfId="26014" xr:uid="{AB526726-3DC7-44A0-9F5B-49C9D8C1264C}"/>
    <cellStyle name="常规 8 2 2 3 7 4" xfId="26015" xr:uid="{536846F3-95FC-47BD-A632-4EEEB45F3EF7}"/>
    <cellStyle name="常规 8 2 2 3 7 5" xfId="26016" xr:uid="{C15C0DF3-0232-44EF-A939-E3129EE2E3F9}"/>
    <cellStyle name="常规 8 2 2 3 7 6" xfId="26017" xr:uid="{3CCF348A-E24F-4A70-914E-5FAF30B3008C}"/>
    <cellStyle name="常规 8 2 2 3 7 7" xfId="26018" xr:uid="{31B8197D-5069-4C03-8A02-217D11B05C75}"/>
    <cellStyle name="常规 8 2 2 3 8" xfId="26019" xr:uid="{C85E3241-56F4-4492-9D64-F9A5A7F2A502}"/>
    <cellStyle name="常规 8 2 2 3 8 2" xfId="26020" xr:uid="{A8D07B19-9957-4096-8C64-934ECC45A79C}"/>
    <cellStyle name="常规 8 2 2 3 8 2 2" xfId="26021" xr:uid="{80A6F4AB-C799-4564-9767-9B105B2FDFD2}"/>
    <cellStyle name="常规 8 2 2 3 8 2 3" xfId="26022" xr:uid="{2A733F09-EA5C-4E9B-8A79-DBB9EDD71FD4}"/>
    <cellStyle name="常规 8 2 2 3 8 2 4" xfId="26023" xr:uid="{3DBAE601-0CC4-4281-8102-5982D9E4BACC}"/>
    <cellStyle name="常规 8 2 2 3 8 2 5" xfId="26024" xr:uid="{A52D6073-71CB-41DA-9724-5290A8C83F30}"/>
    <cellStyle name="常规 8 2 2 3 8 2 6" xfId="26025" xr:uid="{03F45287-8F1C-4223-B2A8-AA925A7801B7}"/>
    <cellStyle name="常规 8 2 2 3 8 3" xfId="26026" xr:uid="{4A10BDC0-A301-4952-A208-C63D66ABE2F4}"/>
    <cellStyle name="常规 8 2 2 3 8 4" xfId="26027" xr:uid="{71180605-3628-4329-916E-53FA384BD601}"/>
    <cellStyle name="常规 8 2 2 3 8 5" xfId="26028" xr:uid="{7DBA2B1E-55E7-493D-8664-15BC942D9AD7}"/>
    <cellStyle name="常规 8 2 2 3 8 6" xfId="26029" xr:uid="{4AC2681F-1FCA-461B-A96E-542E2C6FE845}"/>
    <cellStyle name="常规 8 2 2 3 8 7" xfId="26030" xr:uid="{F30ABEAB-E19E-42A9-8B92-4545CA295C19}"/>
    <cellStyle name="常规 8 2 2 3 9" xfId="26031" xr:uid="{582FF8B0-B9B8-44BF-83A9-EBF86093932C}"/>
    <cellStyle name="常规 8 2 2 3 9 2" xfId="26032" xr:uid="{0862FE0B-A46A-4C8D-A5F4-4E61C9667741}"/>
    <cellStyle name="常规 8 2 2 3 9 2 2" xfId="26033" xr:uid="{2EC3CB57-C8F4-44D8-B2FA-3F52AD9E47AB}"/>
    <cellStyle name="常规 8 2 2 3 9 2 3" xfId="26034" xr:uid="{7F5F48BB-4642-4C84-A2EC-1E043A7D31B6}"/>
    <cellStyle name="常规 8 2 2 3 9 2 4" xfId="26035" xr:uid="{1176F94B-7216-421A-94D6-FE07541DF24B}"/>
    <cellStyle name="常规 8 2 2 3 9 2 5" xfId="26036" xr:uid="{141A59A2-7611-4970-970E-00F5B9A6EBB9}"/>
    <cellStyle name="常规 8 2 2 3 9 2 6" xfId="26037" xr:uid="{624A7E9C-6BEC-4B63-8361-CE60E63818D1}"/>
    <cellStyle name="常规 8 2 2 3 9 3" xfId="26038" xr:uid="{8034D68B-0BF3-4574-869C-5F95072ABDA3}"/>
    <cellStyle name="常规 8 2 2 3 9 4" xfId="26039" xr:uid="{A99BB53B-6D1D-44BE-80BB-1B86A60CB72B}"/>
    <cellStyle name="常规 8 2 2 3 9 5" xfId="26040" xr:uid="{C26AD7F7-4018-4653-B068-8CEF4EB2DF34}"/>
    <cellStyle name="常规 8 2 2 3 9 6" xfId="26041" xr:uid="{D557ACE3-70E0-42D8-9E45-585F98502AC9}"/>
    <cellStyle name="常规 8 2 2 3 9 7" xfId="26042" xr:uid="{A0FD9D06-8C5F-42C0-9CB0-92E3914FD847}"/>
    <cellStyle name="常规 8 2 2 4" xfId="26043" xr:uid="{7B943E38-37E0-4717-950E-E0E83ABD6FA1}"/>
    <cellStyle name="常规 8 2 2 4 10" xfId="26044" xr:uid="{C11A7E18-12E3-422C-B579-8C569D8ECAAE}"/>
    <cellStyle name="常规 8 2 2 4 10 2" xfId="26045" xr:uid="{FBFB1CB5-A441-494B-8D15-0927789CA876}"/>
    <cellStyle name="常规 8 2 2 4 10 3" xfId="26046" xr:uid="{AFA2A2FC-07A5-4E9C-9AAF-1CAF1CA8CCF6}"/>
    <cellStyle name="常规 8 2 2 4 10 4" xfId="26047" xr:uid="{96F79E2B-11CC-45EB-A415-CAF762244710}"/>
    <cellStyle name="常规 8 2 2 4 10 5" xfId="26048" xr:uid="{DAF16679-5C86-48F2-8377-76A114813576}"/>
    <cellStyle name="常规 8 2 2 4 10 6" xfId="26049" xr:uid="{80ADDC5B-5B48-455C-94E9-082F56101776}"/>
    <cellStyle name="常规 8 2 2 4 11" xfId="26050" xr:uid="{71EDFD7D-ADD5-4AF6-A15C-35EDBBD22D86}"/>
    <cellStyle name="常规 8 2 2 4 12" xfId="26051" xr:uid="{E382421E-8849-4903-9ED6-A6FB37AB66EE}"/>
    <cellStyle name="常规 8 2 2 4 13" xfId="26052" xr:uid="{8D874258-05AB-4B48-8E5E-B7330396B2A1}"/>
    <cellStyle name="常规 8 2 2 4 14" xfId="26053" xr:uid="{AAC87B50-4BE6-4C73-BA44-A1269C0DB8BC}"/>
    <cellStyle name="常规 8 2 2 4 15" xfId="26054" xr:uid="{8F1FBC4C-11FA-4830-8EBC-29DC547899D2}"/>
    <cellStyle name="常规 8 2 2 4 16" xfId="26055" xr:uid="{D08F1E67-97EE-41AC-932E-3BF59CF4BD59}"/>
    <cellStyle name="常规 8 2 2 4 2" xfId="26056" xr:uid="{E29EBC0C-51E9-4142-9401-C6E8FA007746}"/>
    <cellStyle name="常规 8 2 2 4 2 2" xfId="26057" xr:uid="{3D9D2A17-079F-461D-A2C5-6FD463981B7B}"/>
    <cellStyle name="常规 8 2 2 4 2 2 2" xfId="26058" xr:uid="{47C6DE30-3AFB-43EB-8550-41EA8CBE172C}"/>
    <cellStyle name="常规 8 2 2 4 2 2 3" xfId="26059" xr:uid="{FCB7E3E0-367D-453C-8DD8-BCC47F82D4EC}"/>
    <cellStyle name="常规 8 2 2 4 2 2 4" xfId="26060" xr:uid="{4FDD9EFA-EB8A-488B-B1A9-12FE4614C6C9}"/>
    <cellStyle name="常规 8 2 2 4 2 2 5" xfId="26061" xr:uid="{831B1AAC-E06D-494A-85F4-7867EB8C9816}"/>
    <cellStyle name="常规 8 2 2 4 2 2 6" xfId="26062" xr:uid="{D0F2900B-7B30-4980-B1D5-A1D07F93DF2B}"/>
    <cellStyle name="常规 8 2 2 4 2 3" xfId="26063" xr:uid="{9AAE58E0-B4D9-4121-A257-0B09360EB4F7}"/>
    <cellStyle name="常规 8 2 2 4 2 4" xfId="26064" xr:uid="{02B33976-4F9A-4A42-9A70-6367DBE68CEB}"/>
    <cellStyle name="常规 8 2 2 4 2 5" xfId="26065" xr:uid="{E6645EB5-8219-45E6-88C3-D78026D3A485}"/>
    <cellStyle name="常规 8 2 2 4 2 6" xfId="26066" xr:uid="{063A3689-D9A7-443A-AF3B-6193ECEF095C}"/>
    <cellStyle name="常规 8 2 2 4 2 7" xfId="26067" xr:uid="{D5A98A67-8C82-456B-8887-74A2A3EF913E}"/>
    <cellStyle name="常规 8 2 2 4 2 8" xfId="26068" xr:uid="{4621B3E0-6F72-4554-A181-4C0EB7E3056C}"/>
    <cellStyle name="常规 8 2 2 4 2 9" xfId="26069" xr:uid="{E4EB5387-378B-4278-952E-7CDF3C118134}"/>
    <cellStyle name="常规 8 2 2 4 3" xfId="26070" xr:uid="{665538E3-15D5-4C38-9F33-143103596E3E}"/>
    <cellStyle name="常规 8 2 2 4 3 2" xfId="26071" xr:uid="{D2F51D93-2500-42C7-AA35-80A0056E989C}"/>
    <cellStyle name="常规 8 2 2 4 3 2 2" xfId="26072" xr:uid="{FD58AC05-C94A-4962-9C35-74EC1CB89248}"/>
    <cellStyle name="常规 8 2 2 4 3 2 3" xfId="26073" xr:uid="{7108F6D9-7162-4A75-956B-08F38C6ACDA0}"/>
    <cellStyle name="常规 8 2 2 4 3 2 4" xfId="26074" xr:uid="{8C1777D8-70C4-4BA8-94CB-97AFE2223EEB}"/>
    <cellStyle name="常规 8 2 2 4 3 2 5" xfId="26075" xr:uid="{F3A71F7D-8901-4947-A08F-0F21A9B1F9A4}"/>
    <cellStyle name="常规 8 2 2 4 3 2 6" xfId="26076" xr:uid="{4F9DF712-F13C-497B-A3F8-0BF0E0A0241E}"/>
    <cellStyle name="常规 8 2 2 4 3 3" xfId="26077" xr:uid="{AD172B94-E7C8-45B0-82A3-C020DCAF3359}"/>
    <cellStyle name="常规 8 2 2 4 3 4" xfId="26078" xr:uid="{CC728302-DD34-4B63-B2FC-AF15EBC5F3CB}"/>
    <cellStyle name="常规 8 2 2 4 3 5" xfId="26079" xr:uid="{74237EFD-A0DE-4619-A100-DFE3864E976E}"/>
    <cellStyle name="常规 8 2 2 4 3 6" xfId="26080" xr:uid="{C10D282F-6A18-4181-B5C9-2193C6D56D6C}"/>
    <cellStyle name="常规 8 2 2 4 3 7" xfId="26081" xr:uid="{9E571A4F-4CF0-4CB3-9756-98A3A557854F}"/>
    <cellStyle name="常规 8 2 2 4 3 8" xfId="26082" xr:uid="{DDBD32E0-B3E8-40E4-94FF-AF99A540C902}"/>
    <cellStyle name="常规 8 2 2 4 4" xfId="26083" xr:uid="{9C3A4946-E31E-404D-95C1-7F7EA3E08957}"/>
    <cellStyle name="常规 8 2 2 4 4 2" xfId="26084" xr:uid="{384C1016-320C-466E-A52E-B2B53A5ED244}"/>
    <cellStyle name="常规 8 2 2 4 4 2 2" xfId="26085" xr:uid="{DC1F1F51-CA6A-4006-8B33-B3D083E14A69}"/>
    <cellStyle name="常规 8 2 2 4 4 2 3" xfId="26086" xr:uid="{1E60C3A1-3C25-4252-95FF-14F4AEE2810D}"/>
    <cellStyle name="常规 8 2 2 4 4 2 4" xfId="26087" xr:uid="{236BDE6F-DFBC-45EB-9737-DE65AED53F61}"/>
    <cellStyle name="常规 8 2 2 4 4 2 5" xfId="26088" xr:uid="{84DDC644-A4CD-4B86-A34B-F5E50EF56F51}"/>
    <cellStyle name="常规 8 2 2 4 4 2 6" xfId="26089" xr:uid="{4334B01B-77DD-4C79-98EC-176A2E1FA95F}"/>
    <cellStyle name="常规 8 2 2 4 4 3" xfId="26090" xr:uid="{F3B1F4C2-2A2C-40FF-A041-5AF89328929A}"/>
    <cellStyle name="常规 8 2 2 4 4 4" xfId="26091" xr:uid="{3F842743-9C5B-4C9D-A020-4342FC4ACEC9}"/>
    <cellStyle name="常规 8 2 2 4 4 5" xfId="26092" xr:uid="{87FADD6C-CF13-4018-B62A-F7B069511143}"/>
    <cellStyle name="常规 8 2 2 4 4 6" xfId="26093" xr:uid="{23EDEC0C-FFCE-45B9-8CE2-D5B6BCB0DAA5}"/>
    <cellStyle name="常规 8 2 2 4 4 7" xfId="26094" xr:uid="{174933FE-FA93-44EA-8185-476403D2F37C}"/>
    <cellStyle name="常规 8 2 2 4 4 8" xfId="26095" xr:uid="{3462DAEF-E3F1-4431-A6CE-E41B877DB357}"/>
    <cellStyle name="常规 8 2 2 4 4 9" xfId="34608" xr:uid="{BD617824-F30C-44F6-9041-7E78AF72B41B}"/>
    <cellStyle name="常规 8 2 2 4 5" xfId="26096" xr:uid="{6D5D2A63-9A5B-4D22-8A47-54079BB9B2BE}"/>
    <cellStyle name="常规 8 2 2 4 5 2" xfId="26097" xr:uid="{74FB872B-4D9D-4454-B48F-7505DD1A3256}"/>
    <cellStyle name="常规 8 2 2 4 5 2 2" xfId="26098" xr:uid="{690EA6B6-DC74-452F-8647-62C45AF20DDB}"/>
    <cellStyle name="常规 8 2 2 4 5 2 3" xfId="26099" xr:uid="{081EBA1D-11FD-4368-B921-EFA0D2EBD27E}"/>
    <cellStyle name="常规 8 2 2 4 5 2 4" xfId="26100" xr:uid="{F6037D95-5124-4C61-BF46-DFC6AD06717D}"/>
    <cellStyle name="常规 8 2 2 4 5 2 5" xfId="26101" xr:uid="{FB308841-27ED-411D-9BA0-F2F526229777}"/>
    <cellStyle name="常规 8 2 2 4 5 2 6" xfId="26102" xr:uid="{7126DC14-92C8-4D6E-B41A-7A2CD9045262}"/>
    <cellStyle name="常规 8 2 2 4 5 3" xfId="26103" xr:uid="{F20DD813-3CAB-4DCE-9171-AA8E1436D92F}"/>
    <cellStyle name="常规 8 2 2 4 5 4" xfId="26104" xr:uid="{EE3E1F90-DBF6-45E6-886A-B1E1A18CB62A}"/>
    <cellStyle name="常规 8 2 2 4 5 5" xfId="26105" xr:uid="{7A07B0E4-49E4-48D7-A6F0-8D536F9AE3A2}"/>
    <cellStyle name="常规 8 2 2 4 5 6" xfId="26106" xr:uid="{DDFB2DB3-F37E-4DD9-902B-C156331C71F7}"/>
    <cellStyle name="常规 8 2 2 4 5 7" xfId="26107" xr:uid="{746C78C1-63D3-4B07-A1A8-F22972F632A0}"/>
    <cellStyle name="常规 8 2 2 4 6" xfId="26108" xr:uid="{972402EE-3C35-4759-A805-26841136F264}"/>
    <cellStyle name="常规 8 2 2 4 6 2" xfId="26109" xr:uid="{F37316E2-AA48-463A-8424-10DAF52D99D9}"/>
    <cellStyle name="常规 8 2 2 4 6 2 2" xfId="26110" xr:uid="{364CF22A-DB5B-4B2B-9772-F0B491E9CAD7}"/>
    <cellStyle name="常规 8 2 2 4 6 2 3" xfId="26111" xr:uid="{FEC207FB-BFC8-4FE4-8637-D792A51C5A76}"/>
    <cellStyle name="常规 8 2 2 4 6 2 4" xfId="26112" xr:uid="{F4A0C2FD-7F99-483D-AC21-B45CFBA25870}"/>
    <cellStyle name="常规 8 2 2 4 6 2 5" xfId="26113" xr:uid="{7AA194A5-7ECA-4D70-8B6D-69E0E89F9506}"/>
    <cellStyle name="常规 8 2 2 4 6 2 6" xfId="26114" xr:uid="{656CEEAB-FE99-4CE7-819A-3A5A72BB5B3E}"/>
    <cellStyle name="常规 8 2 2 4 6 3" xfId="26115" xr:uid="{C3B2AC7A-C663-451A-BDF2-7580F6975FC1}"/>
    <cellStyle name="常规 8 2 2 4 6 4" xfId="26116" xr:uid="{DAB7D6CF-0A9A-4832-AB5C-3B80A0EF190A}"/>
    <cellStyle name="常规 8 2 2 4 6 5" xfId="26117" xr:uid="{FB99A52B-BEBD-407A-B198-AA462C72C8CA}"/>
    <cellStyle name="常规 8 2 2 4 6 6" xfId="26118" xr:uid="{CC9420C5-FC12-4DCA-9D80-390992D006F3}"/>
    <cellStyle name="常规 8 2 2 4 6 7" xfId="26119" xr:uid="{43D95227-80C0-4534-85B4-D8D85DE38D05}"/>
    <cellStyle name="常规 8 2 2 4 7" xfId="26120" xr:uid="{F8D2946D-C850-451A-AFDE-214700BF501D}"/>
    <cellStyle name="常规 8 2 2 4 7 2" xfId="26121" xr:uid="{41F74086-6DEE-4648-A71F-5533F043F81E}"/>
    <cellStyle name="常规 8 2 2 4 7 2 2" xfId="26122" xr:uid="{6388CB1A-165B-4822-B70E-98E1856052EE}"/>
    <cellStyle name="常规 8 2 2 4 7 2 3" xfId="26123" xr:uid="{02F3A054-E8F5-4C7A-B9AB-78AD98ED8ACD}"/>
    <cellStyle name="常规 8 2 2 4 7 2 4" xfId="26124" xr:uid="{A4F1C863-E213-4279-9E25-5304537371B3}"/>
    <cellStyle name="常规 8 2 2 4 7 2 5" xfId="26125" xr:uid="{6814FB84-549B-41CB-9CA7-67DDE92D1A22}"/>
    <cellStyle name="常规 8 2 2 4 7 2 6" xfId="26126" xr:uid="{3BE12211-C76A-4854-8AAA-701B98790388}"/>
    <cellStyle name="常规 8 2 2 4 7 3" xfId="26127" xr:uid="{B0D47697-D6BC-4D24-A9B8-A9CC115A9F18}"/>
    <cellStyle name="常规 8 2 2 4 7 4" xfId="26128" xr:uid="{4A9E960C-73E0-4C5C-B855-8F820DF8BC52}"/>
    <cellStyle name="常规 8 2 2 4 7 5" xfId="26129" xr:uid="{B10C613B-C1BB-480E-92AD-2B46C8A443B1}"/>
    <cellStyle name="常规 8 2 2 4 7 6" xfId="26130" xr:uid="{9A2AB103-2BCB-4830-AB7D-35FB024DF25F}"/>
    <cellStyle name="常规 8 2 2 4 7 7" xfId="26131" xr:uid="{AA05DAEF-AFAB-432F-918A-838EB84C8F71}"/>
    <cellStyle name="常规 8 2 2 4 8" xfId="26132" xr:uid="{6503BBFD-3807-47C9-981E-88EF7CD44C85}"/>
    <cellStyle name="常规 8 2 2 4 8 2" xfId="26133" xr:uid="{F1E79802-9FB3-4FBF-B0F5-F9FD44BB7B39}"/>
    <cellStyle name="常规 8 2 2 4 8 2 2" xfId="26134" xr:uid="{9254C241-264F-44C7-8099-430CF731A042}"/>
    <cellStyle name="常规 8 2 2 4 8 2 3" xfId="26135" xr:uid="{3AD3BA8E-82F3-4D93-B61A-2812C96B706C}"/>
    <cellStyle name="常规 8 2 2 4 8 2 4" xfId="26136" xr:uid="{CB22C92F-2235-4F92-8CD2-51A7AAFAF09C}"/>
    <cellStyle name="常规 8 2 2 4 8 2 5" xfId="26137" xr:uid="{F8C46805-993D-4F02-86C1-DAF26EFFCFEE}"/>
    <cellStyle name="常规 8 2 2 4 8 2 6" xfId="26138" xr:uid="{F0927948-B3F5-49A2-93DC-518B878035B2}"/>
    <cellStyle name="常规 8 2 2 4 8 3" xfId="26139" xr:uid="{7B72FE1E-4331-4EF2-B34D-2FFED486B764}"/>
    <cellStyle name="常规 8 2 2 4 8 4" xfId="26140" xr:uid="{4776C947-D386-4274-90E5-1AB6F4301485}"/>
    <cellStyle name="常规 8 2 2 4 8 5" xfId="26141" xr:uid="{07C77C92-C4A5-435F-A7A2-439CBE758C0D}"/>
    <cellStyle name="常规 8 2 2 4 8 6" xfId="26142" xr:uid="{BF8E0ABD-51F2-4491-B892-1FAC74892EBF}"/>
    <cellStyle name="常规 8 2 2 4 8 7" xfId="26143" xr:uid="{FA887A6E-36F1-4BAE-BD04-CD267CF37257}"/>
    <cellStyle name="常规 8 2 2 4 9" xfId="26144" xr:uid="{1065DE3B-DCAD-477B-815E-BF7244FC1C60}"/>
    <cellStyle name="常规 8 2 2 4 9 2" xfId="26145" xr:uid="{78CA7029-F325-44FE-A15A-652FF009CD7D}"/>
    <cellStyle name="常规 8 2 2 4 9 2 2" xfId="26146" xr:uid="{EFE4031E-2CD0-4E0D-A3C6-031CDAE50C72}"/>
    <cellStyle name="常规 8 2 2 4 9 2 3" xfId="26147" xr:uid="{E675C0E6-A4DE-48DF-8CFC-D17790D016D6}"/>
    <cellStyle name="常规 8 2 2 4 9 2 4" xfId="26148" xr:uid="{0D8CF7F4-6BBC-4079-8DC3-F5C6AD59FE24}"/>
    <cellStyle name="常规 8 2 2 4 9 2 5" xfId="26149" xr:uid="{7B815AD6-C6C2-463D-B23A-C2CB8E4E5184}"/>
    <cellStyle name="常规 8 2 2 4 9 2 6" xfId="26150" xr:uid="{7681AD84-12CD-4207-BB96-BB432BAA1F50}"/>
    <cellStyle name="常规 8 2 2 4 9 3" xfId="26151" xr:uid="{1F818F08-F0EF-4B39-840F-F6F993AA40E3}"/>
    <cellStyle name="常规 8 2 2 4 9 4" xfId="26152" xr:uid="{7DB6AE38-DF0E-4057-AEF1-AFEBC027C561}"/>
    <cellStyle name="常规 8 2 2 4 9 5" xfId="26153" xr:uid="{0E8E69A5-CEA7-44AB-B8AE-31224199988D}"/>
    <cellStyle name="常规 8 2 2 4 9 6" xfId="26154" xr:uid="{E7D688D2-05C2-4894-81EA-07169E3B9540}"/>
    <cellStyle name="常规 8 2 2 4 9 7" xfId="26155" xr:uid="{B1461864-D37B-4E6D-BDAD-06D253BA7FA3}"/>
    <cellStyle name="常规 8 2 2 5" xfId="26156" xr:uid="{30E8C0C7-CC68-4D3F-B524-2EA83D9A34EA}"/>
    <cellStyle name="常规 8 2 2 5 10" xfId="26157" xr:uid="{69151663-9D98-4DDF-BC0A-9F75E561F364}"/>
    <cellStyle name="常规 8 2 2 5 11" xfId="26158" xr:uid="{B76D2917-FEA9-4833-9F9F-825EEE831581}"/>
    <cellStyle name="常规 8 2 2 5 12" xfId="26159" xr:uid="{5C7FF693-E9EA-43E4-8F10-157DA51B805B}"/>
    <cellStyle name="常规 8 2 2 5 13" xfId="26160" xr:uid="{715646B3-BC30-47C5-9B7F-FCC41B65AB4B}"/>
    <cellStyle name="常规 8 2 2 5 14" xfId="26161" xr:uid="{BE64BCB0-FF18-4DDB-B170-154509B824AA}"/>
    <cellStyle name="常规 8 2 2 5 15" xfId="26162" xr:uid="{111B0DE8-05A1-4B57-8FC6-982F72DEF41A}"/>
    <cellStyle name="常规 8 2 2 5 16" xfId="26163" xr:uid="{557E82AD-F2CC-4AB5-A593-F6E7911282CD}"/>
    <cellStyle name="常规 8 2 2 5 2" xfId="26164" xr:uid="{272A01A4-5EE3-421C-BF19-02B8C20348BE}"/>
    <cellStyle name="常规 8 2 2 5 2 2" xfId="26165" xr:uid="{99399A02-3134-4C52-8661-49D34AC50A90}"/>
    <cellStyle name="常规 8 2 2 5 2 2 2" xfId="26166" xr:uid="{C8C76A13-52F0-45A2-8601-3F5E0A8D9D66}"/>
    <cellStyle name="常规 8 2 2 5 2 2 3" xfId="26167" xr:uid="{8B30FF22-0DD3-469B-BD10-0D123644968B}"/>
    <cellStyle name="常规 8 2 2 5 2 2 4" xfId="26168" xr:uid="{CC296878-A165-4403-B22E-6D2B264CD15F}"/>
    <cellStyle name="常规 8 2 2 5 2 2 5" xfId="26169" xr:uid="{6E90AA94-CEC8-437B-B64C-06632959A956}"/>
    <cellStyle name="常规 8 2 2 5 2 2 6" xfId="26170" xr:uid="{6E2E14EE-3FCE-4559-9A55-BCD79529F232}"/>
    <cellStyle name="常规 8 2 2 5 2 3" xfId="26171" xr:uid="{2FC14509-C14D-499D-AEDE-9380D45DBCD5}"/>
    <cellStyle name="常规 8 2 2 5 2 4" xfId="26172" xr:uid="{DA7CFFD4-B2BB-45B8-98EC-CE3CBE605222}"/>
    <cellStyle name="常规 8 2 2 5 2 5" xfId="26173" xr:uid="{BBECCC1C-7252-4D47-BB37-116CC975A7C2}"/>
    <cellStyle name="常规 8 2 2 5 2 6" xfId="26174" xr:uid="{8C0A2EF8-849B-43FA-B6F5-4C79DC5B6037}"/>
    <cellStyle name="常规 8 2 2 5 2 7" xfId="26175" xr:uid="{20748475-C0AB-497A-9EBD-5AEA0BC7867A}"/>
    <cellStyle name="常规 8 2 2 5 3" xfId="26176" xr:uid="{2A129ACB-2E91-45E1-805F-B6EEB0DBB811}"/>
    <cellStyle name="常规 8 2 2 5 3 2" xfId="26177" xr:uid="{374F646C-7290-4379-80F9-4148774549F8}"/>
    <cellStyle name="常规 8 2 2 5 3 2 2" xfId="26178" xr:uid="{47AB722E-A786-4034-B25D-A486994DAF2A}"/>
    <cellStyle name="常规 8 2 2 5 3 2 3" xfId="26179" xr:uid="{BD9B02FC-A22E-44F9-BBCB-BD5E8CBBF630}"/>
    <cellStyle name="常规 8 2 2 5 3 2 4" xfId="26180" xr:uid="{3C2A09E0-D060-48C1-A5F3-BDD9579A1FD1}"/>
    <cellStyle name="常规 8 2 2 5 3 2 5" xfId="26181" xr:uid="{B0703903-46A9-4FCB-8428-97C789669447}"/>
    <cellStyle name="常规 8 2 2 5 3 2 6" xfId="26182" xr:uid="{245EEF24-3DC8-45E8-B9F1-D2DAFF827928}"/>
    <cellStyle name="常规 8 2 2 5 3 3" xfId="26183" xr:uid="{0B5A73CD-B35F-4D88-B796-908762CAD4EC}"/>
    <cellStyle name="常规 8 2 2 5 3 4" xfId="26184" xr:uid="{63F3D20C-E750-406D-858B-DA7AA15B3D59}"/>
    <cellStyle name="常规 8 2 2 5 3 5" xfId="26185" xr:uid="{81E44743-25B6-4367-AB28-1E425C6FFF2E}"/>
    <cellStyle name="常规 8 2 2 5 3 6" xfId="26186" xr:uid="{1F61A580-B728-4E2D-ABD5-1F1F237021FF}"/>
    <cellStyle name="常规 8 2 2 5 3 7" xfId="26187" xr:uid="{F327568A-CD26-4238-919C-AF735426ECE8}"/>
    <cellStyle name="常规 8 2 2 5 4" xfId="26188" xr:uid="{4B95A815-9BB6-4D00-B17D-E032817A0F74}"/>
    <cellStyle name="常规 8 2 2 5 4 2" xfId="26189" xr:uid="{0A829E66-8FF2-403C-9C36-47E3C1B249A7}"/>
    <cellStyle name="常规 8 2 2 5 4 2 2" xfId="26190" xr:uid="{7933AD59-E0DF-445E-A3D3-FE5C21067C25}"/>
    <cellStyle name="常规 8 2 2 5 4 2 3" xfId="26191" xr:uid="{F74F10A1-678E-4F4F-A5FF-7104DE107549}"/>
    <cellStyle name="常规 8 2 2 5 4 2 4" xfId="26192" xr:uid="{9742EB89-D05D-4112-A9AD-6E20BB7BD9C1}"/>
    <cellStyle name="常规 8 2 2 5 4 2 5" xfId="26193" xr:uid="{CB9DCAA7-7A24-4EE6-8B35-04E6B9B2B83F}"/>
    <cellStyle name="常规 8 2 2 5 4 2 6" xfId="26194" xr:uid="{BFEBFB7D-EEFA-4EA2-84F5-86994233763E}"/>
    <cellStyle name="常规 8 2 2 5 4 3" xfId="26195" xr:uid="{3F0DB51D-18FE-41CE-A3B0-022F161ED78A}"/>
    <cellStyle name="常规 8 2 2 5 4 4" xfId="26196" xr:uid="{C9489E7B-D2A0-4F84-8800-4A3ED51EEBE6}"/>
    <cellStyle name="常规 8 2 2 5 4 5" xfId="26197" xr:uid="{FA408B16-D5FB-45E7-BE21-1B9A667191C3}"/>
    <cellStyle name="常规 8 2 2 5 4 6" xfId="26198" xr:uid="{38E7A506-2B39-4603-9FFE-8C86D214AAD0}"/>
    <cellStyle name="常规 8 2 2 5 4 7" xfId="26199" xr:uid="{84FD2396-0351-4E54-B387-3CCADFB6AF1E}"/>
    <cellStyle name="常规 8 2 2 5 5" xfId="26200" xr:uid="{B0019A11-FD87-4C7D-B81B-A21A1C205D68}"/>
    <cellStyle name="常规 8 2 2 5 5 2" xfId="26201" xr:uid="{189F0D02-17C5-4A21-ACF7-017CE081C84E}"/>
    <cellStyle name="常规 8 2 2 5 5 2 2" xfId="26202" xr:uid="{0C729D34-0F48-4DB9-8A6E-939F424B9D0D}"/>
    <cellStyle name="常规 8 2 2 5 5 2 3" xfId="26203" xr:uid="{D9FA6E61-8AF4-47D4-BFF3-94427334DF86}"/>
    <cellStyle name="常规 8 2 2 5 5 2 4" xfId="26204" xr:uid="{3B3EA323-8197-47C8-8BF3-BD95045F4703}"/>
    <cellStyle name="常规 8 2 2 5 5 2 5" xfId="26205" xr:uid="{20AC4466-5E4E-4EB5-9C84-EE3B86E984B2}"/>
    <cellStyle name="常规 8 2 2 5 5 2 6" xfId="26206" xr:uid="{74326C83-605C-4C01-9DA1-6844FFE4CEF8}"/>
    <cellStyle name="常规 8 2 2 5 5 3" xfId="26207" xr:uid="{1537FFEC-BB7B-4BEA-BE27-6578C33601E7}"/>
    <cellStyle name="常规 8 2 2 5 5 4" xfId="26208" xr:uid="{FF4D2C06-B96C-4D17-98D6-BBA9D6C8C5BE}"/>
    <cellStyle name="常规 8 2 2 5 5 5" xfId="26209" xr:uid="{9FCF99DA-9A22-4B52-A108-55322878BDAF}"/>
    <cellStyle name="常规 8 2 2 5 5 6" xfId="26210" xr:uid="{F7E6F387-828E-4F26-B77A-6B2A0D6AA3CE}"/>
    <cellStyle name="常规 8 2 2 5 5 7" xfId="26211" xr:uid="{B6863ABB-3476-45A8-AD2B-F9CCCC521391}"/>
    <cellStyle name="常规 8 2 2 5 6" xfId="26212" xr:uid="{5EEFAB14-4692-4895-88EC-6503A2987A20}"/>
    <cellStyle name="常规 8 2 2 5 6 2" xfId="26213" xr:uid="{4311D189-E035-4D6D-8DEC-7447EF53AA34}"/>
    <cellStyle name="常规 8 2 2 5 6 2 2" xfId="26214" xr:uid="{8EE7CA1A-C63B-4062-AF7E-A738604FDCE3}"/>
    <cellStyle name="常规 8 2 2 5 6 2 3" xfId="26215" xr:uid="{23EB880A-B9B9-4842-B27B-9BE20BCE4990}"/>
    <cellStyle name="常规 8 2 2 5 6 2 4" xfId="26216" xr:uid="{C005BFCC-433F-4EB3-90C4-D0CFCC43FC0B}"/>
    <cellStyle name="常规 8 2 2 5 6 2 5" xfId="26217" xr:uid="{21EDE723-C9F4-4945-ACDB-5116CFA895B9}"/>
    <cellStyle name="常规 8 2 2 5 6 2 6" xfId="26218" xr:uid="{3C046588-3671-4728-B64A-7D63F10A1378}"/>
    <cellStyle name="常规 8 2 2 5 6 3" xfId="26219" xr:uid="{776009FF-C4AB-41EB-8941-135825E42FF1}"/>
    <cellStyle name="常规 8 2 2 5 6 4" xfId="26220" xr:uid="{22EBA8AE-E174-435C-811B-3E99E6DB59D1}"/>
    <cellStyle name="常规 8 2 2 5 6 5" xfId="26221" xr:uid="{E1D420E3-A022-462B-B664-C0D95572618C}"/>
    <cellStyle name="常规 8 2 2 5 6 6" xfId="26222" xr:uid="{8119F6B0-A77F-445C-8C28-B2E8EC65ACB5}"/>
    <cellStyle name="常规 8 2 2 5 6 7" xfId="26223" xr:uid="{310E8B1C-670C-440C-A3E4-A3C73EC0A8F6}"/>
    <cellStyle name="常规 8 2 2 5 7" xfId="26224" xr:uid="{8E2BEDCF-B321-4CCF-ACEE-07DB6B3D3214}"/>
    <cellStyle name="常规 8 2 2 5 7 2" xfId="26225" xr:uid="{A5390322-E24F-4451-9A85-6813F9C4210A}"/>
    <cellStyle name="常规 8 2 2 5 7 2 2" xfId="26226" xr:uid="{AB90B041-7F25-4FAB-B726-CBD5333A20D6}"/>
    <cellStyle name="常规 8 2 2 5 7 2 3" xfId="26227" xr:uid="{02C9B7CE-6885-433D-95EC-9BC3D6A8EE92}"/>
    <cellStyle name="常规 8 2 2 5 7 2 4" xfId="26228" xr:uid="{BF4C83BF-AF2F-4DD3-9990-CE709D26C35C}"/>
    <cellStyle name="常规 8 2 2 5 7 2 5" xfId="26229" xr:uid="{0567A1C1-2590-465B-90E1-FB791D90E693}"/>
    <cellStyle name="常规 8 2 2 5 7 2 6" xfId="26230" xr:uid="{F15C3459-8306-45F0-8742-6E5CB94E8019}"/>
    <cellStyle name="常规 8 2 2 5 7 3" xfId="26231" xr:uid="{29B11087-34AA-4388-88E7-92759CEACC72}"/>
    <cellStyle name="常规 8 2 2 5 7 4" xfId="26232" xr:uid="{C2B71F84-7EA0-4815-8EDE-AF692E728142}"/>
    <cellStyle name="常规 8 2 2 5 7 5" xfId="26233" xr:uid="{BF3374FC-048F-481E-97C3-0E707057EA72}"/>
    <cellStyle name="常规 8 2 2 5 7 6" xfId="26234" xr:uid="{F58D7F69-E656-4A19-98FF-79D0F1F5269A}"/>
    <cellStyle name="常规 8 2 2 5 7 7" xfId="26235" xr:uid="{EE5B1F07-AE3A-4B1B-A98D-FE5AC8421358}"/>
    <cellStyle name="常规 8 2 2 5 8" xfId="26236" xr:uid="{AF607697-0537-4F64-9A82-3322C957461F}"/>
    <cellStyle name="常规 8 2 2 5 8 2" xfId="26237" xr:uid="{32A46B9F-5199-4855-A37E-08D91B268887}"/>
    <cellStyle name="常规 8 2 2 5 8 2 2" xfId="26238" xr:uid="{B29DF7EF-E73A-40D3-A45C-8ADEDA0785E9}"/>
    <cellStyle name="常规 8 2 2 5 8 2 3" xfId="26239" xr:uid="{7346120E-E200-44C5-A073-5484339577A1}"/>
    <cellStyle name="常规 8 2 2 5 8 2 4" xfId="26240" xr:uid="{9C77BE5F-B4DA-469E-B684-E16F7151EE7A}"/>
    <cellStyle name="常规 8 2 2 5 8 2 5" xfId="26241" xr:uid="{54D596DD-12C7-491E-B735-CB36B26D0714}"/>
    <cellStyle name="常规 8 2 2 5 8 2 6" xfId="26242" xr:uid="{2298C47D-998E-4450-9949-9A28015409BE}"/>
    <cellStyle name="常规 8 2 2 5 8 3" xfId="26243" xr:uid="{7A0C1B18-C6DC-4753-B15A-1AB844C4DF5A}"/>
    <cellStyle name="常规 8 2 2 5 8 4" xfId="26244" xr:uid="{D665B3FB-CD86-48BC-9B45-FC1C96D6C0E0}"/>
    <cellStyle name="常规 8 2 2 5 8 5" xfId="26245" xr:uid="{38DB3A5C-0F28-4DB5-B507-91921EEFB914}"/>
    <cellStyle name="常规 8 2 2 5 8 6" xfId="26246" xr:uid="{1F419EE5-9AD4-4A12-87A2-6CA322B42844}"/>
    <cellStyle name="常规 8 2 2 5 8 7" xfId="26247" xr:uid="{93CEA6BD-E1B6-4F22-B81F-5823C670E819}"/>
    <cellStyle name="常规 8 2 2 5 9" xfId="26248" xr:uid="{B118DEB3-2E5B-4B73-96A6-DF3020F21CB8}"/>
    <cellStyle name="常规 8 2 2 5 9 2" xfId="26249" xr:uid="{5CEC7F38-A30F-4C39-AE3B-DD54B8442248}"/>
    <cellStyle name="常规 8 2 2 5 9 3" xfId="26250" xr:uid="{6F0E1256-2E7F-467A-87E3-7758E5C23EB1}"/>
    <cellStyle name="常规 8 2 2 5 9 4" xfId="26251" xr:uid="{94A1FBD2-F389-43FB-A00F-495820E49F8F}"/>
    <cellStyle name="常规 8 2 2 5 9 5" xfId="26252" xr:uid="{D9CBC742-4AC5-48A1-A6F5-FC64B67B3527}"/>
    <cellStyle name="常规 8 2 2 5 9 6" xfId="26253" xr:uid="{96C8C493-A6D7-4BB3-8638-36C7A9638D65}"/>
    <cellStyle name="常规 8 2 2 6" xfId="26254" xr:uid="{DD7BFEA4-6B05-4196-BFA2-F0EC989F0AEC}"/>
    <cellStyle name="常规 8 2 2 6 10" xfId="26255" xr:uid="{1F9AF5D4-4117-4CB4-BAD0-3BB8EA172BA0}"/>
    <cellStyle name="常规 8 2 2 6 11" xfId="26256" xr:uid="{528DD30E-1AF2-4C28-993F-33F4F1F2C370}"/>
    <cellStyle name="常规 8 2 2 6 12" xfId="26257" xr:uid="{18B5D484-4296-43C1-8EFC-CE8B7460FB8B}"/>
    <cellStyle name="常规 8 2 2 6 13" xfId="26258" xr:uid="{DA5C6C36-73A0-4504-BF75-0C11AC2D0ACD}"/>
    <cellStyle name="常规 8 2 2 6 14" xfId="26259" xr:uid="{1AD748E3-037E-4C98-8892-E1901AFD5423}"/>
    <cellStyle name="常规 8 2 2 6 2" xfId="26260" xr:uid="{47C8C88F-049A-4221-ADF7-DFB2A6B95D62}"/>
    <cellStyle name="常规 8 2 2 6 2 2" xfId="26261" xr:uid="{F53E7A8A-ED7C-4E8F-A400-FFAC1D892C96}"/>
    <cellStyle name="常规 8 2 2 6 2 2 2" xfId="26262" xr:uid="{2D5EC8D0-781A-4FDC-9B18-4153CEF06DE5}"/>
    <cellStyle name="常规 8 2 2 6 2 2 3" xfId="26263" xr:uid="{0DEC3D7A-4783-4594-AC2C-232B84FF174E}"/>
    <cellStyle name="常规 8 2 2 6 2 2 4" xfId="26264" xr:uid="{7ADA42AA-11A8-43A1-8088-9A99D735402E}"/>
    <cellStyle name="常规 8 2 2 6 2 2 5" xfId="26265" xr:uid="{88338046-69E8-431D-A802-3884A6AC093B}"/>
    <cellStyle name="常规 8 2 2 6 2 2 6" xfId="26266" xr:uid="{BDAB78CB-DAF5-4980-8F69-4BBB5A57F7DE}"/>
    <cellStyle name="常规 8 2 2 6 2 3" xfId="26267" xr:uid="{51C0FA2B-E15B-485F-AFD5-49F301CDC09A}"/>
    <cellStyle name="常规 8 2 2 6 2 4" xfId="26268" xr:uid="{68D803D7-113F-4A1B-8769-7FB3D57326DD}"/>
    <cellStyle name="常规 8 2 2 6 2 5" xfId="26269" xr:uid="{D8E337C0-78E3-4AB8-BAFD-1362DF105D13}"/>
    <cellStyle name="常规 8 2 2 6 2 6" xfId="26270" xr:uid="{2D053C7B-DF45-4ADE-BA39-17620771D7A3}"/>
    <cellStyle name="常规 8 2 2 6 2 7" xfId="26271" xr:uid="{FEE91371-B025-4FEF-9CD7-AC9FD8F7E20C}"/>
    <cellStyle name="常规 8 2 2 6 3" xfId="26272" xr:uid="{FB307CEE-553D-402F-A03B-1F20CBE922AD}"/>
    <cellStyle name="常规 8 2 2 6 3 2" xfId="26273" xr:uid="{F5C1671F-1942-4AC8-A649-AE7CBB368729}"/>
    <cellStyle name="常规 8 2 2 6 3 2 2" xfId="26274" xr:uid="{637E7615-C59D-4A09-960B-4C23646306B1}"/>
    <cellStyle name="常规 8 2 2 6 3 2 3" xfId="26275" xr:uid="{E233D84F-6B0A-404B-85F2-649030C3FF44}"/>
    <cellStyle name="常规 8 2 2 6 3 2 4" xfId="26276" xr:uid="{496085A1-C8A8-422B-85F4-970E9AAA09F6}"/>
    <cellStyle name="常规 8 2 2 6 3 2 5" xfId="26277" xr:uid="{97C37527-93AD-4D78-B3D2-12F39C6E8C79}"/>
    <cellStyle name="常规 8 2 2 6 3 2 6" xfId="26278" xr:uid="{193A4DA5-422F-40D5-BA3D-38298D25238E}"/>
    <cellStyle name="常规 8 2 2 6 3 3" xfId="26279" xr:uid="{07973067-6EE4-4852-B7FD-CA708AA384A1}"/>
    <cellStyle name="常规 8 2 2 6 3 4" xfId="26280" xr:uid="{5B5EC2BA-479E-43DC-981D-00035A1677D5}"/>
    <cellStyle name="常规 8 2 2 6 3 5" xfId="26281" xr:uid="{28827098-F86E-40D5-BD53-0D7BB2417107}"/>
    <cellStyle name="常规 8 2 2 6 3 6" xfId="26282" xr:uid="{2D960D06-7EA5-4FD9-8B6A-BD0D140B4266}"/>
    <cellStyle name="常规 8 2 2 6 3 7" xfId="26283" xr:uid="{62F02834-3337-4640-A892-5A9B73E3EC3E}"/>
    <cellStyle name="常规 8 2 2 6 4" xfId="26284" xr:uid="{76821848-A0A6-4A84-86CA-45CE1F0841FD}"/>
    <cellStyle name="常规 8 2 2 6 4 2" xfId="26285" xr:uid="{2C2D6BE7-D562-4CAB-9C51-2FF273A8EAF9}"/>
    <cellStyle name="常规 8 2 2 6 4 2 2" xfId="26286" xr:uid="{9CB1380E-EF2D-4028-83CB-2B264BD06098}"/>
    <cellStyle name="常规 8 2 2 6 4 2 3" xfId="26287" xr:uid="{A7A78C80-A876-4B04-B603-56878574EB1C}"/>
    <cellStyle name="常规 8 2 2 6 4 2 4" xfId="26288" xr:uid="{A73B38CC-A6BE-44CD-A4E1-D61BB074A2A7}"/>
    <cellStyle name="常规 8 2 2 6 4 2 5" xfId="26289" xr:uid="{604157B2-7305-4EA8-ACF9-DED6AC8E3336}"/>
    <cellStyle name="常规 8 2 2 6 4 2 6" xfId="26290" xr:uid="{C94886CE-F21C-4445-A129-2A757603F69D}"/>
    <cellStyle name="常规 8 2 2 6 4 3" xfId="26291" xr:uid="{5E179D01-83FE-47DE-A96F-4D13CE299D34}"/>
    <cellStyle name="常规 8 2 2 6 4 4" xfId="26292" xr:uid="{810AF9F1-2F0A-4D25-A46B-47CE016ADDE0}"/>
    <cellStyle name="常规 8 2 2 6 4 5" xfId="26293" xr:uid="{8BC3F633-B6B0-4EF9-B49C-682E18477E56}"/>
    <cellStyle name="常规 8 2 2 6 4 6" xfId="26294" xr:uid="{05384502-8AF7-408E-AF75-0096D99AAD4C}"/>
    <cellStyle name="常规 8 2 2 6 4 7" xfId="26295" xr:uid="{24338212-8690-46BC-8F2B-2A1506F46715}"/>
    <cellStyle name="常规 8 2 2 6 5" xfId="26296" xr:uid="{4821880B-35E0-4449-84C1-7A93F2BA3177}"/>
    <cellStyle name="常规 8 2 2 6 5 2" xfId="26297" xr:uid="{4198A4E0-DDAD-4442-89B9-62ABB3146256}"/>
    <cellStyle name="常规 8 2 2 6 5 2 2" xfId="26298" xr:uid="{5FEBAB87-24BC-48CC-9A46-A47E58E7403A}"/>
    <cellStyle name="常规 8 2 2 6 5 2 3" xfId="26299" xr:uid="{6A6E78B6-34A3-43C5-908F-966C6051F2F2}"/>
    <cellStyle name="常规 8 2 2 6 5 2 4" xfId="26300" xr:uid="{BD8C9B9F-514A-4EAC-860D-E31E9DF2BFA2}"/>
    <cellStyle name="常规 8 2 2 6 5 2 5" xfId="26301" xr:uid="{5D136B4E-4230-46FD-9748-5EB40E97D14E}"/>
    <cellStyle name="常规 8 2 2 6 5 2 6" xfId="26302" xr:uid="{18ADC1A7-C65D-4B48-940D-06B3E745CDF8}"/>
    <cellStyle name="常规 8 2 2 6 5 3" xfId="26303" xr:uid="{BEFBC528-9C3F-451E-A3FE-C835B5954F5A}"/>
    <cellStyle name="常规 8 2 2 6 5 4" xfId="26304" xr:uid="{7F6BDDEA-D0AC-4932-A409-E3D00D1FCF1B}"/>
    <cellStyle name="常规 8 2 2 6 5 5" xfId="26305" xr:uid="{3A3EEFE4-F89A-4ADA-8C82-536E767877C2}"/>
    <cellStyle name="常规 8 2 2 6 5 6" xfId="26306" xr:uid="{A5862DB6-5FE6-4B0C-B32A-C34CCA55B6F0}"/>
    <cellStyle name="常规 8 2 2 6 5 7" xfId="26307" xr:uid="{322DA3E1-6623-4EF6-BDF0-93B6A27693AF}"/>
    <cellStyle name="常规 8 2 2 6 6" xfId="26308" xr:uid="{05E1EB65-EF3F-4919-A76B-FA16DA8F7722}"/>
    <cellStyle name="常规 8 2 2 6 6 2" xfId="26309" xr:uid="{BD81EB0E-BE3A-44D9-9EB4-253084C505E6}"/>
    <cellStyle name="常规 8 2 2 6 6 2 2" xfId="26310" xr:uid="{7205AB48-5FE4-437F-8744-61488ECDFAD4}"/>
    <cellStyle name="常规 8 2 2 6 6 2 3" xfId="26311" xr:uid="{A16F401B-EA86-4900-B27E-EC6845967672}"/>
    <cellStyle name="常规 8 2 2 6 6 2 4" xfId="26312" xr:uid="{7F1E1515-ADD5-4782-86C1-1B5721E67752}"/>
    <cellStyle name="常规 8 2 2 6 6 2 5" xfId="26313" xr:uid="{E53E4779-EA7A-450E-A340-7887ACC74A70}"/>
    <cellStyle name="常规 8 2 2 6 6 2 6" xfId="26314" xr:uid="{8CF65096-A922-4401-A8D1-194E31693E42}"/>
    <cellStyle name="常规 8 2 2 6 6 3" xfId="26315" xr:uid="{2335B64F-3833-4068-90D9-B678D0C3DA76}"/>
    <cellStyle name="常规 8 2 2 6 6 4" xfId="26316" xr:uid="{781913DA-85AE-424D-8B0D-B48C66E2DFAD}"/>
    <cellStyle name="常规 8 2 2 6 6 5" xfId="26317" xr:uid="{EE0F7E76-0353-4B89-AB60-24F5100F50CC}"/>
    <cellStyle name="常规 8 2 2 6 6 6" xfId="26318" xr:uid="{B8D02BF6-98E4-4747-A37D-38A4E7785423}"/>
    <cellStyle name="常规 8 2 2 6 6 7" xfId="26319" xr:uid="{AEE2DB8E-57E0-44FA-997C-FFC742446489}"/>
    <cellStyle name="常规 8 2 2 6 7" xfId="26320" xr:uid="{FAD61FDD-15CD-4DCD-9F9D-BA38FD1C2EB3}"/>
    <cellStyle name="常规 8 2 2 6 7 2" xfId="26321" xr:uid="{92EDE28C-D8D2-401D-B155-46E70E5A4CDB}"/>
    <cellStyle name="常规 8 2 2 6 7 2 2" xfId="26322" xr:uid="{8427E60A-4BA5-4E42-938D-EA63ACC58E5D}"/>
    <cellStyle name="常规 8 2 2 6 7 2 3" xfId="26323" xr:uid="{73547F12-EC48-4948-A040-3B377BF83296}"/>
    <cellStyle name="常规 8 2 2 6 7 2 4" xfId="26324" xr:uid="{8AC493ED-D616-48C3-8519-4E1A7D6C43D5}"/>
    <cellStyle name="常规 8 2 2 6 7 2 5" xfId="26325" xr:uid="{E7D68232-2002-4586-BB90-769E844A2AB6}"/>
    <cellStyle name="常规 8 2 2 6 7 2 6" xfId="26326" xr:uid="{85AA72E0-EC53-484E-BA8C-A6CD8FE0A187}"/>
    <cellStyle name="常规 8 2 2 6 7 3" xfId="26327" xr:uid="{D1F6D68A-A2C2-48B8-BE21-19BD337BC4A0}"/>
    <cellStyle name="常规 8 2 2 6 7 4" xfId="26328" xr:uid="{F91A6FB5-05E8-4699-BAA0-34A57AEEE67C}"/>
    <cellStyle name="常规 8 2 2 6 7 5" xfId="26329" xr:uid="{E448DDC9-736D-43B4-B7D7-2E14C75A4424}"/>
    <cellStyle name="常规 8 2 2 6 7 6" xfId="26330" xr:uid="{8FA5F107-F5D8-4100-B118-FA518BF45286}"/>
    <cellStyle name="常规 8 2 2 6 7 7" xfId="26331" xr:uid="{8FB3E1FC-68F4-4139-ACBF-EB0747C615B2}"/>
    <cellStyle name="常规 8 2 2 6 8" xfId="26332" xr:uid="{0755E3BF-A515-471B-A7AA-EB7D8101931B}"/>
    <cellStyle name="常规 8 2 2 6 8 2" xfId="26333" xr:uid="{BAB1C890-55DB-4FCF-B4D1-A60040A39375}"/>
    <cellStyle name="常规 8 2 2 6 8 3" xfId="26334" xr:uid="{8196C563-5823-4CEE-983C-339281226860}"/>
    <cellStyle name="常规 8 2 2 6 8 4" xfId="26335" xr:uid="{36FB4C5E-07F4-4DAD-9CBA-F9A6554FA2D5}"/>
    <cellStyle name="常规 8 2 2 6 8 5" xfId="26336" xr:uid="{70861055-77B3-4B85-97F0-212272AAA461}"/>
    <cellStyle name="常规 8 2 2 6 8 6" xfId="26337" xr:uid="{827A9CDA-2374-4C76-A88F-959562B46060}"/>
    <cellStyle name="常规 8 2 2 6 9" xfId="26338" xr:uid="{54D2C7EA-42D0-482D-8066-B95A31534458}"/>
    <cellStyle name="常规 8 2 2 7" xfId="26339" xr:uid="{256DFCD5-9288-4E11-B0E2-A2E9DF40C8CC}"/>
    <cellStyle name="常规 8 2 2 7 10" xfId="26340" xr:uid="{11D391D1-B574-4F0D-A7A8-CD4EB5007DEE}"/>
    <cellStyle name="常规 8 2 2 7 11" xfId="26341" xr:uid="{26852E3A-CB90-479E-B816-92C7BAC9F4C9}"/>
    <cellStyle name="常规 8 2 2 7 12" xfId="26342" xr:uid="{D1886E23-4609-4315-B70B-B7A496537C3F}"/>
    <cellStyle name="常规 8 2 2 7 13" xfId="26343" xr:uid="{917D28EB-6FC7-434A-A70C-D0649B2A3193}"/>
    <cellStyle name="常规 8 2 2 7 14" xfId="34609" xr:uid="{DE2C01EB-DDD1-4ACA-9BAE-E9C2FC503886}"/>
    <cellStyle name="常规 8 2 2 7 2" xfId="26344" xr:uid="{A632AE52-7C41-4C68-8474-F6C8B10A3423}"/>
    <cellStyle name="常规 8 2 2 7 2 2" xfId="26345" xr:uid="{9319E6C8-6FD0-4D4D-85FA-81111E8C5746}"/>
    <cellStyle name="常规 8 2 2 7 2 2 2" xfId="26346" xr:uid="{3E3E551E-D9F2-4EAC-821B-72C0562CA1E6}"/>
    <cellStyle name="常规 8 2 2 7 2 2 3" xfId="26347" xr:uid="{69F22630-434C-4102-BB3A-85B6320CC31C}"/>
    <cellStyle name="常规 8 2 2 7 2 2 4" xfId="26348" xr:uid="{3CC16038-457C-4DA5-9E7E-46F179A2BA67}"/>
    <cellStyle name="常规 8 2 2 7 2 2 5" xfId="26349" xr:uid="{03C566F8-31C9-4E3C-B8A7-3BD116F1DE36}"/>
    <cellStyle name="常规 8 2 2 7 2 2 6" xfId="26350" xr:uid="{E403546B-BEE6-4F39-BA5C-D4DD504A6D68}"/>
    <cellStyle name="常规 8 2 2 7 2 3" xfId="26351" xr:uid="{26B1E44B-839A-42B3-8A5E-C4FD617FBC91}"/>
    <cellStyle name="常规 8 2 2 7 2 4" xfId="26352" xr:uid="{EA3C09FB-6BFF-4436-BDFF-0EEB8FB0EF99}"/>
    <cellStyle name="常规 8 2 2 7 2 5" xfId="26353" xr:uid="{9558F9EB-59D6-40F4-8E99-AF142E1B3A1E}"/>
    <cellStyle name="常规 8 2 2 7 2 6" xfId="26354" xr:uid="{B321A4B4-5720-4226-9FA2-A93C16A0A22F}"/>
    <cellStyle name="常规 8 2 2 7 2 7" xfId="26355" xr:uid="{6A575493-F3BD-4EC6-B5BD-389ABB726BE9}"/>
    <cellStyle name="常规 8 2 2 7 3" xfId="26356" xr:uid="{8DA4E482-32E7-4BF6-92D4-31CC4C967E0F}"/>
    <cellStyle name="常规 8 2 2 7 3 2" xfId="26357" xr:uid="{8BCC0487-C3E7-417A-8B40-0D543813ADB0}"/>
    <cellStyle name="常规 8 2 2 7 3 2 2" xfId="26358" xr:uid="{C05E97BF-B061-4AC9-BF3D-ACE8D6073853}"/>
    <cellStyle name="常规 8 2 2 7 3 2 3" xfId="26359" xr:uid="{247DE8CB-6AD3-4B35-98F6-AA9E9B0AC8CA}"/>
    <cellStyle name="常规 8 2 2 7 3 2 4" xfId="26360" xr:uid="{F91C9236-5F5D-4E0D-9213-121FEF5CF45F}"/>
    <cellStyle name="常规 8 2 2 7 3 2 5" xfId="26361" xr:uid="{4D659E39-257A-414B-A4A8-220034028600}"/>
    <cellStyle name="常规 8 2 2 7 3 2 6" xfId="26362" xr:uid="{E95F5213-D660-4853-940C-76F9FAB6692C}"/>
    <cellStyle name="常规 8 2 2 7 3 3" xfId="26363" xr:uid="{60F19FB0-C222-43B1-A59F-7A3782DE489E}"/>
    <cellStyle name="常规 8 2 2 7 3 4" xfId="26364" xr:uid="{28CFBF1B-9EF7-4BDF-9467-CA33F5730863}"/>
    <cellStyle name="常规 8 2 2 7 3 5" xfId="26365" xr:uid="{BECF67F0-B5E5-4518-84DF-A96A5E0F9E60}"/>
    <cellStyle name="常规 8 2 2 7 3 6" xfId="26366" xr:uid="{51AD3F1D-FF75-4EF5-BA50-1B25F3DFAD6B}"/>
    <cellStyle name="常规 8 2 2 7 3 7" xfId="26367" xr:uid="{B8370FB1-4E12-4760-B6DF-AD44D07A36B8}"/>
    <cellStyle name="常规 8 2 2 7 4" xfId="26368" xr:uid="{0CB6E4DD-0973-4F50-9FFA-9868C3695448}"/>
    <cellStyle name="常规 8 2 2 7 4 2" xfId="26369" xr:uid="{1C96FCCE-FA72-40F9-926E-22009C7D84C6}"/>
    <cellStyle name="常规 8 2 2 7 4 2 2" xfId="26370" xr:uid="{7EC53526-135E-4A82-AA91-242D8053F43D}"/>
    <cellStyle name="常规 8 2 2 7 4 2 3" xfId="26371" xr:uid="{8D60AD42-E683-4043-976A-037072482ACD}"/>
    <cellStyle name="常规 8 2 2 7 4 2 4" xfId="26372" xr:uid="{6F44825A-96CB-41E5-94E0-2093D50EF9C0}"/>
    <cellStyle name="常规 8 2 2 7 4 2 5" xfId="26373" xr:uid="{F5A57B82-8950-457B-8E30-69E69276B2DB}"/>
    <cellStyle name="常规 8 2 2 7 4 2 6" xfId="26374" xr:uid="{3895E045-B756-4ECD-8DB9-00F4FB8B271E}"/>
    <cellStyle name="常规 8 2 2 7 4 3" xfId="26375" xr:uid="{667032D9-A39D-46D6-BD2B-7218C1D63034}"/>
    <cellStyle name="常规 8 2 2 7 4 4" xfId="26376" xr:uid="{468C395F-8E95-43A1-AB3A-242A77EEC35F}"/>
    <cellStyle name="常规 8 2 2 7 4 5" xfId="26377" xr:uid="{1CE0B723-6CC9-4F52-A578-CC946BC4F9D5}"/>
    <cellStyle name="常规 8 2 2 7 4 6" xfId="26378" xr:uid="{77A27634-F95A-439E-AFCE-D63C09FB8FF0}"/>
    <cellStyle name="常规 8 2 2 7 4 7" xfId="26379" xr:uid="{2915B747-F77E-47EB-9EAD-0DDE8BD586B2}"/>
    <cellStyle name="常规 8 2 2 7 5" xfId="26380" xr:uid="{2B9C6A26-88EC-4845-A564-0D8BD184772E}"/>
    <cellStyle name="常规 8 2 2 7 5 2" xfId="26381" xr:uid="{19F5981B-70A6-4EFE-9E9E-2674B1ADA595}"/>
    <cellStyle name="常规 8 2 2 7 5 2 2" xfId="26382" xr:uid="{D5659BB0-3E93-4DBE-8E6E-71D1714F5711}"/>
    <cellStyle name="常规 8 2 2 7 5 2 3" xfId="26383" xr:uid="{597C3483-3220-4E20-AFB9-299BC1D866BE}"/>
    <cellStyle name="常规 8 2 2 7 5 2 4" xfId="26384" xr:uid="{EBD48070-02A8-4676-872C-5962601B85FB}"/>
    <cellStyle name="常规 8 2 2 7 5 2 5" xfId="26385" xr:uid="{DB802741-3DB1-40E9-9085-165505F91CBE}"/>
    <cellStyle name="常规 8 2 2 7 5 2 6" xfId="26386" xr:uid="{940578D3-0FE0-44BC-A750-A9072727A98A}"/>
    <cellStyle name="常规 8 2 2 7 5 3" xfId="26387" xr:uid="{4786FF7E-F81E-4C19-B621-CF0845D7D1CC}"/>
    <cellStyle name="常规 8 2 2 7 5 4" xfId="26388" xr:uid="{7E930BB5-4095-477A-9500-8E2B43BF65A5}"/>
    <cellStyle name="常规 8 2 2 7 5 5" xfId="26389" xr:uid="{42CA1352-0943-4BFA-BFBD-B5C7DAB66D47}"/>
    <cellStyle name="常规 8 2 2 7 5 6" xfId="26390" xr:uid="{777233DB-5716-4EDC-BA0F-D4FBA1E81CC2}"/>
    <cellStyle name="常规 8 2 2 7 5 7" xfId="26391" xr:uid="{E47C2E80-08A3-4B96-BD22-381BEA783BE5}"/>
    <cellStyle name="常规 8 2 2 7 6" xfId="26392" xr:uid="{ACE407A5-DBBC-4046-95BC-219192A070A4}"/>
    <cellStyle name="常规 8 2 2 7 6 2" xfId="26393" xr:uid="{62B0B16B-CDE2-45A8-B156-4147B2F6C983}"/>
    <cellStyle name="常规 8 2 2 7 6 2 2" xfId="26394" xr:uid="{BAF1EB16-C2F1-458A-90F0-8BE3952D640D}"/>
    <cellStyle name="常规 8 2 2 7 6 2 3" xfId="26395" xr:uid="{6A8C45DB-D7A1-48FB-B0EA-FF90FD8F08BC}"/>
    <cellStyle name="常规 8 2 2 7 6 2 4" xfId="26396" xr:uid="{DA2AC959-2869-4FC5-8970-5224B49F3DA8}"/>
    <cellStyle name="常规 8 2 2 7 6 2 5" xfId="26397" xr:uid="{7BC995AC-7233-4654-BE20-FA71F4604A6F}"/>
    <cellStyle name="常规 8 2 2 7 6 2 6" xfId="26398" xr:uid="{E7F66934-B819-4572-87B1-BA7A0C2FD5C4}"/>
    <cellStyle name="常规 8 2 2 7 6 3" xfId="26399" xr:uid="{CA453F42-BE9D-4FF6-8A9A-FE880928FA58}"/>
    <cellStyle name="常规 8 2 2 7 6 4" xfId="26400" xr:uid="{C0944BC7-11D3-48B5-9B35-D2710674F942}"/>
    <cellStyle name="常规 8 2 2 7 6 5" xfId="26401" xr:uid="{0274FD7C-990F-4D43-919F-5A92E8E4F66F}"/>
    <cellStyle name="常规 8 2 2 7 6 6" xfId="26402" xr:uid="{2D22591B-ACA8-4E4B-8640-FC0966B7EAD0}"/>
    <cellStyle name="常规 8 2 2 7 6 7" xfId="26403" xr:uid="{D3F8EB55-346D-489F-A85E-99822769BC1D}"/>
    <cellStyle name="常规 8 2 2 7 7" xfId="26404" xr:uid="{3C0EE399-ACDE-4A69-8967-AB52E45A07F2}"/>
    <cellStyle name="常规 8 2 2 7 7 2" xfId="26405" xr:uid="{A48CFBCB-887F-4E8D-9B04-C1695D5642F9}"/>
    <cellStyle name="常规 8 2 2 7 7 3" xfId="26406" xr:uid="{B8DC438E-735E-46EC-9350-DC58838D93B2}"/>
    <cellStyle name="常规 8 2 2 7 7 4" xfId="26407" xr:uid="{83D443E1-7B70-4F79-8B12-AFC7005E46AF}"/>
    <cellStyle name="常规 8 2 2 7 7 5" xfId="26408" xr:uid="{CA9AF48C-F65F-4BE3-8524-5A5B1682F295}"/>
    <cellStyle name="常规 8 2 2 7 7 6" xfId="26409" xr:uid="{94ED3B02-20F5-43A5-96E4-858291745CEE}"/>
    <cellStyle name="常规 8 2 2 7 8" xfId="26410" xr:uid="{DCA7AC5A-4905-4127-A16A-050EE80C4326}"/>
    <cellStyle name="常规 8 2 2 7 9" xfId="26411" xr:uid="{995B2955-7491-499F-8AD7-9A9ACA608A0C}"/>
    <cellStyle name="常规 8 2 2 8" xfId="26412" xr:uid="{6A960CCD-62C6-4CAD-B17C-320F2AE2E75F}"/>
    <cellStyle name="常规 8 2 2 8 10" xfId="26413" xr:uid="{C80072E8-F951-4F62-9EC9-4D84CA176A8A}"/>
    <cellStyle name="常规 8 2 2 8 11" xfId="26414" xr:uid="{312EF377-5D0F-4832-927E-FEA6568A9F49}"/>
    <cellStyle name="常规 8 2 2 8 2" xfId="26415" xr:uid="{E6C2FEB3-B538-4E41-AD99-AE587BCBEC33}"/>
    <cellStyle name="常规 8 2 2 8 2 2" xfId="26416" xr:uid="{E6D0E2F5-F5F4-4503-812F-8D8D96D0C194}"/>
    <cellStyle name="常规 8 2 2 8 2 2 2" xfId="26417" xr:uid="{35752F3B-B66F-4A12-A9DC-B02517748DDB}"/>
    <cellStyle name="常规 8 2 2 8 2 2 3" xfId="26418" xr:uid="{DFC21104-EE3B-4013-B312-CD79EE791AE4}"/>
    <cellStyle name="常规 8 2 2 8 2 2 4" xfId="26419" xr:uid="{BD40FC58-204A-4942-8129-7B870258A2ED}"/>
    <cellStyle name="常规 8 2 2 8 2 2 5" xfId="26420" xr:uid="{8A8B8A60-7605-4DE2-97CE-EB5309FBD513}"/>
    <cellStyle name="常规 8 2 2 8 2 2 6" xfId="26421" xr:uid="{326C4124-2192-4D1C-9518-D5B6883ECFE5}"/>
    <cellStyle name="常规 8 2 2 8 2 3" xfId="26422" xr:uid="{8BE68BD5-EB11-4EE7-A04B-E11FBF77AE5F}"/>
    <cellStyle name="常规 8 2 2 8 2 4" xfId="26423" xr:uid="{01F804D8-7697-474D-8A25-9037B2D13412}"/>
    <cellStyle name="常规 8 2 2 8 2 5" xfId="26424" xr:uid="{89EC05CE-A192-4B4D-A1C2-F5AB3662084B}"/>
    <cellStyle name="常规 8 2 2 8 2 6" xfId="26425" xr:uid="{5C49DB3B-49C2-4828-9AB7-1377D6E2A7AE}"/>
    <cellStyle name="常规 8 2 2 8 2 7" xfId="26426" xr:uid="{1D366BF6-FB37-4EB0-871B-7DA9BDE197D5}"/>
    <cellStyle name="常规 8 2 2 8 3" xfId="26427" xr:uid="{B9D1BEF8-3547-404C-96B0-2EC9BBB48E83}"/>
    <cellStyle name="常规 8 2 2 8 3 2" xfId="26428" xr:uid="{105CB660-4C88-43DF-8898-94F5EAFAE122}"/>
    <cellStyle name="常规 8 2 2 8 3 2 2" xfId="26429" xr:uid="{CDED1FD2-DEB8-4E98-AB6B-C431FDFDC4DA}"/>
    <cellStyle name="常规 8 2 2 8 3 2 3" xfId="26430" xr:uid="{DD068A96-BDA7-4A27-B5FC-53812CD80C3A}"/>
    <cellStyle name="常规 8 2 2 8 3 2 4" xfId="26431" xr:uid="{F02C0E40-8602-4E80-974D-EE613F361D0E}"/>
    <cellStyle name="常规 8 2 2 8 3 2 5" xfId="26432" xr:uid="{1C621A6C-17FD-408F-AA3A-D79BDDE4AD3C}"/>
    <cellStyle name="常规 8 2 2 8 3 2 6" xfId="26433" xr:uid="{DB75EF5E-4A26-41BA-BDE5-633F07B55B48}"/>
    <cellStyle name="常规 8 2 2 8 3 3" xfId="26434" xr:uid="{32CF2FB9-DC75-49CB-8B50-84EDE6246210}"/>
    <cellStyle name="常规 8 2 2 8 3 4" xfId="26435" xr:uid="{0BFBD60A-2585-4BB1-9DF4-A34EA51BBD11}"/>
    <cellStyle name="常规 8 2 2 8 3 5" xfId="26436" xr:uid="{70BD8ACC-6D3A-406F-B9DB-E7B51C53085F}"/>
    <cellStyle name="常规 8 2 2 8 3 6" xfId="26437" xr:uid="{F71E2913-4267-4DE8-9149-8A4EC906D972}"/>
    <cellStyle name="常规 8 2 2 8 3 7" xfId="26438" xr:uid="{55C71C0E-7C17-4B3D-9F99-3A3F573079BF}"/>
    <cellStyle name="常规 8 2 2 8 4" xfId="26439" xr:uid="{B16F43E4-6AC9-4854-AA73-F0C0C4978E17}"/>
    <cellStyle name="常规 8 2 2 8 4 2" xfId="26440" xr:uid="{30842E93-6861-42A9-B5B3-F1760AF17319}"/>
    <cellStyle name="常规 8 2 2 8 4 2 2" xfId="26441" xr:uid="{E73E6737-181A-441A-BDBA-FAC1D007478F}"/>
    <cellStyle name="常规 8 2 2 8 4 2 3" xfId="26442" xr:uid="{32870381-AF66-4097-ADC3-41D8AF6993D1}"/>
    <cellStyle name="常规 8 2 2 8 4 2 4" xfId="26443" xr:uid="{CC9204BC-2E9A-41AA-A556-90040487BA96}"/>
    <cellStyle name="常规 8 2 2 8 4 2 5" xfId="26444" xr:uid="{7928CF22-667C-4177-8F13-2798F88E9067}"/>
    <cellStyle name="常规 8 2 2 8 4 2 6" xfId="26445" xr:uid="{C905658E-52D4-4583-83F1-A763F09DBEFC}"/>
    <cellStyle name="常规 8 2 2 8 4 3" xfId="26446" xr:uid="{D55BCEEE-A285-4DBA-AD21-BA7F3D4D5DBE}"/>
    <cellStyle name="常规 8 2 2 8 4 4" xfId="26447" xr:uid="{8FA17B51-205F-489A-958C-D22863BECC3F}"/>
    <cellStyle name="常规 8 2 2 8 4 5" xfId="26448" xr:uid="{1F80BD50-80AF-41A1-99E1-5A92623AE8B2}"/>
    <cellStyle name="常规 8 2 2 8 4 6" xfId="26449" xr:uid="{463C52E0-971E-440A-89CD-EE505DF5E15C}"/>
    <cellStyle name="常规 8 2 2 8 4 7" xfId="26450" xr:uid="{741D7D42-521E-49DE-8624-EA2F9F14654A}"/>
    <cellStyle name="常规 8 2 2 8 5" xfId="26451" xr:uid="{27B6A516-4D4B-47D9-B386-67741EE0D504}"/>
    <cellStyle name="常规 8 2 2 8 5 2" xfId="26452" xr:uid="{2120BC8A-6B01-4C3A-BC94-4CE3FDFF2978}"/>
    <cellStyle name="常规 8 2 2 8 5 2 2" xfId="26453" xr:uid="{E197150B-B0EF-4992-B015-D25FE066CF19}"/>
    <cellStyle name="常规 8 2 2 8 5 2 3" xfId="26454" xr:uid="{957481B1-C089-41C4-BE67-3AE3672FD455}"/>
    <cellStyle name="常规 8 2 2 8 5 2 4" xfId="26455" xr:uid="{A85B249A-31DF-4C06-8F40-8A15C4AD8493}"/>
    <cellStyle name="常规 8 2 2 8 5 2 5" xfId="26456" xr:uid="{CA6456AB-0FA2-4A31-B1F5-1649733BDD79}"/>
    <cellStyle name="常规 8 2 2 8 5 2 6" xfId="26457" xr:uid="{F04F8E11-2720-4546-9846-6CD84CCDF4E9}"/>
    <cellStyle name="常规 8 2 2 8 5 3" xfId="26458" xr:uid="{179FB0B5-A08A-4EE6-A684-0BF2A6C05AB8}"/>
    <cellStyle name="常规 8 2 2 8 5 4" xfId="26459" xr:uid="{4A531D43-672F-492C-B027-7399DABBC3C9}"/>
    <cellStyle name="常规 8 2 2 8 5 5" xfId="26460" xr:uid="{255C84E5-8DFF-44A2-982D-7752323A6122}"/>
    <cellStyle name="常规 8 2 2 8 5 6" xfId="26461" xr:uid="{3E214077-43A9-410E-8A88-EF0DEA3BC66E}"/>
    <cellStyle name="常规 8 2 2 8 5 7" xfId="26462" xr:uid="{6844227C-41B8-4B41-B5CF-3B05EA21ECF8}"/>
    <cellStyle name="常规 8 2 2 8 6" xfId="26463" xr:uid="{868DA9AC-ED69-4654-8275-F7AAFBC3CDFB}"/>
    <cellStyle name="常规 8 2 2 8 6 2" xfId="26464" xr:uid="{26095C31-8159-4494-B0ED-913E1F9EE1BC}"/>
    <cellStyle name="常规 8 2 2 8 6 3" xfId="26465" xr:uid="{F0968B1C-39EF-4CF3-A995-7597C5FDC857}"/>
    <cellStyle name="常规 8 2 2 8 6 4" xfId="26466" xr:uid="{883E172E-72C5-4D01-B7E4-91F68FD73AAF}"/>
    <cellStyle name="常规 8 2 2 8 6 5" xfId="26467" xr:uid="{AD6B6910-94EB-490A-B32F-C97D20AF8A45}"/>
    <cellStyle name="常规 8 2 2 8 6 6" xfId="26468" xr:uid="{1F09D14C-1B61-43B9-B8C5-1AE1ABEB04DA}"/>
    <cellStyle name="常规 8 2 2 8 7" xfId="26469" xr:uid="{2AB6E9DD-0F57-4A44-948B-F1EB4DEA189B}"/>
    <cellStyle name="常规 8 2 2 8 8" xfId="26470" xr:uid="{1BBE564A-7749-4644-AC39-D4672822ADC2}"/>
    <cellStyle name="常规 8 2 2 8 9" xfId="26471" xr:uid="{EEA3935C-D4A5-435F-BE46-73BBE954545E}"/>
    <cellStyle name="常规 8 2 2 9" xfId="26472" xr:uid="{9C64BE89-6F76-4A99-88AB-CD782DF67B0D}"/>
    <cellStyle name="常规 8 2 2 9 10" xfId="26473" xr:uid="{304B0525-2118-4F52-B64F-3338555E7E11}"/>
    <cellStyle name="常规 8 2 2 9 2" xfId="26474" xr:uid="{39FB7A41-1908-4F15-AC14-1C72EF9E3A5E}"/>
    <cellStyle name="常规 8 2 2 9 2 2" xfId="26475" xr:uid="{2CE07D1C-ADCD-4022-813D-0C27E6E91885}"/>
    <cellStyle name="常规 8 2 2 9 2 2 2" xfId="26476" xr:uid="{01BC3B4E-A17B-4EF3-A4D7-A3AAAAEA884F}"/>
    <cellStyle name="常规 8 2 2 9 2 2 3" xfId="26477" xr:uid="{C402C204-1475-45F8-997F-DDCD872C98DA}"/>
    <cellStyle name="常规 8 2 2 9 2 2 4" xfId="26478" xr:uid="{A216A6DC-332B-4165-9A44-3E79CBE26A9A}"/>
    <cellStyle name="常规 8 2 2 9 2 2 5" xfId="26479" xr:uid="{6F7FDDC2-4772-4483-85CC-065B733513B2}"/>
    <cellStyle name="常规 8 2 2 9 2 2 6" xfId="26480" xr:uid="{8136E800-C804-4ADF-AB16-FD475A4062BB}"/>
    <cellStyle name="常规 8 2 2 9 2 3" xfId="26481" xr:uid="{C7B8D738-F661-4EB3-B9D1-0156E531D7D3}"/>
    <cellStyle name="常规 8 2 2 9 2 4" xfId="26482" xr:uid="{7AFF1E43-1B87-45FB-9BA7-589E88C69522}"/>
    <cellStyle name="常规 8 2 2 9 2 5" xfId="26483" xr:uid="{B71AD63B-9C57-4ED9-9A67-232B48DED458}"/>
    <cellStyle name="常规 8 2 2 9 2 6" xfId="26484" xr:uid="{94681A83-235C-4908-A75C-A5ADDF2578F2}"/>
    <cellStyle name="常规 8 2 2 9 2 7" xfId="26485" xr:uid="{BF2EC6BE-F3BF-4DF2-B697-2C18AFBFAE9C}"/>
    <cellStyle name="常规 8 2 2 9 3" xfId="26486" xr:uid="{8E41CFFF-242F-43D7-BDDC-40D79C0F4DE0}"/>
    <cellStyle name="常规 8 2 2 9 3 2" xfId="26487" xr:uid="{733289E4-A5CF-427D-8BA3-4717146FC5E2}"/>
    <cellStyle name="常规 8 2 2 9 3 2 2" xfId="26488" xr:uid="{F1A0A0CE-52E8-43B7-81E7-0E965358DE38}"/>
    <cellStyle name="常规 8 2 2 9 3 2 3" xfId="26489" xr:uid="{648E50D5-BE01-4DC1-8FF5-79E643C842A5}"/>
    <cellStyle name="常规 8 2 2 9 3 2 4" xfId="26490" xr:uid="{549D107F-A57C-48E6-9F36-985672881FFE}"/>
    <cellStyle name="常规 8 2 2 9 3 2 5" xfId="26491" xr:uid="{326630B4-EB3C-4CB9-88C8-A1F488E80930}"/>
    <cellStyle name="常规 8 2 2 9 3 2 6" xfId="26492" xr:uid="{D501A3F1-D965-41CE-BC05-74EC04347193}"/>
    <cellStyle name="常规 8 2 2 9 3 3" xfId="26493" xr:uid="{FC1B7CCA-C88F-4C04-97C6-0B2A8747B072}"/>
    <cellStyle name="常规 8 2 2 9 3 4" xfId="26494" xr:uid="{8E6C7690-54E9-4F45-8367-45D07DB7FF79}"/>
    <cellStyle name="常规 8 2 2 9 3 5" xfId="26495" xr:uid="{B1BCCE4D-1B18-4424-AEDB-7AC8335D7D0B}"/>
    <cellStyle name="常规 8 2 2 9 3 6" xfId="26496" xr:uid="{3D409ED8-986B-41CA-8F60-C91635141A8C}"/>
    <cellStyle name="常规 8 2 2 9 3 7" xfId="26497" xr:uid="{542D0372-2A2A-4F4B-81E5-57D1309FF293}"/>
    <cellStyle name="常规 8 2 2 9 4" xfId="26498" xr:uid="{CEA6134E-0C3D-4E40-8682-4722CE865837}"/>
    <cellStyle name="常规 8 2 2 9 4 2" xfId="26499" xr:uid="{7BACBA39-703D-4954-A1EA-06549572B7F7}"/>
    <cellStyle name="常规 8 2 2 9 4 2 2" xfId="26500" xr:uid="{EFE1FF4A-1E52-4910-8AA2-C026010DBD13}"/>
    <cellStyle name="常规 8 2 2 9 4 2 3" xfId="26501" xr:uid="{CD2AF5CF-DCAD-4E9B-BC9F-A7D10B16B209}"/>
    <cellStyle name="常规 8 2 2 9 4 2 4" xfId="26502" xr:uid="{A20AEA36-000C-4FBC-931D-2428A9972232}"/>
    <cellStyle name="常规 8 2 2 9 4 2 5" xfId="26503" xr:uid="{F4ADB996-53CC-4C01-A7A8-68D169CFCE66}"/>
    <cellStyle name="常规 8 2 2 9 4 2 6" xfId="26504" xr:uid="{9DD5E646-2A6A-46A7-84BD-0F319E39E747}"/>
    <cellStyle name="常规 8 2 2 9 4 3" xfId="26505" xr:uid="{F8D9774F-5720-4AE8-B165-2BC2D6377B7D}"/>
    <cellStyle name="常规 8 2 2 9 4 4" xfId="26506" xr:uid="{B53643AB-D438-4CFE-B9AE-65A10DCCC4A0}"/>
    <cellStyle name="常规 8 2 2 9 4 5" xfId="26507" xr:uid="{F078D8AB-F5C5-43E4-A356-1E35D7609126}"/>
    <cellStyle name="常规 8 2 2 9 4 6" xfId="26508" xr:uid="{A48F1A7D-33A9-41F2-9887-0E8AB04B70A2}"/>
    <cellStyle name="常规 8 2 2 9 4 7" xfId="26509" xr:uid="{2E620FD3-24FF-4574-AB08-8259F8FCEEE6}"/>
    <cellStyle name="常规 8 2 2 9 5" xfId="26510" xr:uid="{185B6B92-E3D8-4935-9718-6F5E9B59A645}"/>
    <cellStyle name="常规 8 2 2 9 5 2" xfId="26511" xr:uid="{451BDA0E-F042-4EBC-B47E-A096964398E2}"/>
    <cellStyle name="常规 8 2 2 9 5 3" xfId="26512" xr:uid="{BBBEB907-72D4-45EC-8AB8-D35314F4F806}"/>
    <cellStyle name="常规 8 2 2 9 5 4" xfId="26513" xr:uid="{93D06795-A9F7-4317-8F1D-BE645324A6FB}"/>
    <cellStyle name="常规 8 2 2 9 5 5" xfId="26514" xr:uid="{F2698C30-DBDB-4A94-A111-65CBF14A4859}"/>
    <cellStyle name="常规 8 2 2 9 5 6" xfId="26515" xr:uid="{901419BF-EFF6-426D-B1B6-87039717D1D2}"/>
    <cellStyle name="常规 8 2 2 9 6" xfId="26516" xr:uid="{E5ABE4B5-5977-4192-B6D2-86D6F89AE14D}"/>
    <cellStyle name="常规 8 2 2 9 7" xfId="26517" xr:uid="{9611225C-006A-42D4-A495-5447BAE4C512}"/>
    <cellStyle name="常规 8 2 2 9 8" xfId="26518" xr:uid="{CF29DB87-ECF2-4BD5-B347-25B6945EE96D}"/>
    <cellStyle name="常规 8 2 2 9 9" xfId="26519" xr:uid="{097DDAAA-49C9-4E5F-98F4-C569D09C73E5}"/>
    <cellStyle name="常规 8 2 20" xfId="26520" xr:uid="{8F146DFE-E86C-4F01-AB38-F1E4A3FA4062}"/>
    <cellStyle name="常规 8 2 21" xfId="26521" xr:uid="{1F18F505-4AC5-4720-8137-3CB44D909F05}"/>
    <cellStyle name="常规 8 2 22" xfId="26522" xr:uid="{8BD4AD91-D1D8-4107-B2DD-3681AA3A24DF}"/>
    <cellStyle name="常规 8 2 23" xfId="26523" xr:uid="{8A1C03C0-16C9-4865-B9CC-FACAD3FD3647}"/>
    <cellStyle name="常规 8 2 24" xfId="26524" xr:uid="{A8D3279A-52AF-470A-869C-B8845AA31DA4}"/>
    <cellStyle name="常规 8 2 25" xfId="26525" xr:uid="{CF42673C-0250-485A-B2A2-FE0401E30FF0}"/>
    <cellStyle name="常规 8 2 26" xfId="26526" xr:uid="{80E97495-F0B0-42D0-85BE-2CB94A941B13}"/>
    <cellStyle name="常规 8 2 27" xfId="26527" xr:uid="{86ADD75A-3114-423C-A21F-8989A3A14186}"/>
    <cellStyle name="常规 8 2 28" xfId="34610" xr:uid="{6C65E576-7E53-4FC4-99D7-CEF6FE62B47F}"/>
    <cellStyle name="常规 8 2 3" xfId="26528" xr:uid="{5369B848-E354-498F-941D-2A3289DA5F7E}"/>
    <cellStyle name="常规 8 2 3 10" xfId="26529" xr:uid="{65F63B1D-5EE0-43C3-9E22-44590631A764}"/>
    <cellStyle name="常规 8 2 3 10 2" xfId="26530" xr:uid="{14E4F2F7-E49A-40D7-B603-AD655DA5FFD2}"/>
    <cellStyle name="常规 8 2 3 10 2 2" xfId="26531" xr:uid="{FC73948E-4792-42D8-947E-A4A6B6A166A6}"/>
    <cellStyle name="常规 8 2 3 10 2 3" xfId="26532" xr:uid="{BCD3B4E3-1DA6-4C00-A56B-636BC3D927D0}"/>
    <cellStyle name="常规 8 2 3 10 2 4" xfId="26533" xr:uid="{CCFE5C58-ECDE-4C2E-880B-19855F348021}"/>
    <cellStyle name="常规 8 2 3 10 2 5" xfId="26534" xr:uid="{4B20D69C-8CFF-4473-84FC-D6DEF84963CE}"/>
    <cellStyle name="常规 8 2 3 10 2 6" xfId="26535" xr:uid="{6CBF46B8-1F3D-45DE-9443-1935A4D3CDCA}"/>
    <cellStyle name="常规 8 2 3 10 3" xfId="26536" xr:uid="{00AC4180-8E08-4E36-84FF-6A7A9C34AFE3}"/>
    <cellStyle name="常规 8 2 3 10 4" xfId="26537" xr:uid="{06BBAC47-1493-418F-B3D5-29E805536FD9}"/>
    <cellStyle name="常规 8 2 3 10 5" xfId="26538" xr:uid="{BB4272A0-78C7-44A2-A6CE-4A5EDD755B71}"/>
    <cellStyle name="常规 8 2 3 10 6" xfId="26539" xr:uid="{C39E60CB-F9E0-4A32-964B-0A534E1B6B81}"/>
    <cellStyle name="常规 8 2 3 10 7" xfId="26540" xr:uid="{7A68C186-8E62-4F70-8DCE-143AF6367214}"/>
    <cellStyle name="常规 8 2 3 11" xfId="26541" xr:uid="{4ED1BE9E-ED52-43B9-A830-F86FA7B900A6}"/>
    <cellStyle name="常规 8 2 3 2" xfId="26542" xr:uid="{0A0C5F6A-B2B9-41DE-972B-7A8733A62A82}"/>
    <cellStyle name="常规 8 2 3 2 2" xfId="26543" xr:uid="{504FBAE5-6831-476B-992E-C0819C0A5EFD}"/>
    <cellStyle name="常规 8 2 3 2 2 2" xfId="26544" xr:uid="{4D3AEB2A-0CB8-4FB6-8FB5-D8A0598F960A}"/>
    <cellStyle name="常规 8 2 3 2 2 3" xfId="26545" xr:uid="{89385D20-A5AC-46BC-B5AC-2402F4B9754C}"/>
    <cellStyle name="常规 8 2 3 2 2 4" xfId="26546" xr:uid="{72AA889F-EEA1-400D-9CB3-4714364F73E0}"/>
    <cellStyle name="常规 8 2 3 2 2 5" xfId="26547" xr:uid="{A9E88090-D9B8-4907-B28F-1F28776BBA81}"/>
    <cellStyle name="常规 8 2 3 2 2 6" xfId="26548" xr:uid="{1915F086-6572-4888-8D4A-E1DF3664D71B}"/>
    <cellStyle name="常规 8 2 3 2 2 7" xfId="26549" xr:uid="{1F9A73EC-74A4-4370-8D31-A5BA7752F86A}"/>
    <cellStyle name="常规 8 2 3 2 2 8" xfId="26550" xr:uid="{5D095FC4-17CC-49FE-B091-B38536795768}"/>
    <cellStyle name="常规 8 2 3 2 3" xfId="26551" xr:uid="{C7FD0A1C-AF10-4EE6-8955-00E811AFB2E1}"/>
    <cellStyle name="常规 8 2 3 2 3 2" xfId="26552" xr:uid="{5B99D427-88E4-4F4D-881D-010924C0F356}"/>
    <cellStyle name="常规 8 2 3 2 4" xfId="26553" xr:uid="{FE21E961-76C1-4414-8C61-77B7E442123E}"/>
    <cellStyle name="常规 8 2 3 2 4 2" xfId="26554" xr:uid="{E036450A-B21F-48CF-8480-01090C4AF6CB}"/>
    <cellStyle name="常规 8 2 3 2 4 3" xfId="34611" xr:uid="{46AC8574-A3A5-49CF-AD6E-4E73F8606B38}"/>
    <cellStyle name="常规 8 2 3 2 5" xfId="26555" xr:uid="{169E7F5F-7075-4C5F-B252-BA0B05E8B5DC}"/>
    <cellStyle name="常规 8 2 3 2 6" xfId="26556" xr:uid="{E2EBA2DB-580D-44B2-A221-8653C4D9D78A}"/>
    <cellStyle name="常规 8 2 3 2 7" xfId="26557" xr:uid="{73F8C62B-8F69-4B6D-B4A5-FD1DAC4567E6}"/>
    <cellStyle name="常规 8 2 3 2 8" xfId="26558" xr:uid="{3C2B406D-F4CD-4895-85E2-1C69417913F3}"/>
    <cellStyle name="常规 8 2 3 3" xfId="26559" xr:uid="{36249FD5-8EE9-4CAE-ABF7-58F231AE43E5}"/>
    <cellStyle name="常规 8 2 3 3 2" xfId="26560" xr:uid="{FC4EDC16-F5C6-43BD-B8AC-1FF252258DE7}"/>
    <cellStyle name="常规 8 2 3 3 2 2" xfId="26561" xr:uid="{9190F464-16C4-45AC-BD4D-A27BEC73113D}"/>
    <cellStyle name="常规 8 2 3 3 2 3" xfId="26562" xr:uid="{41869264-EF57-49E0-9833-B64CC4B87F1F}"/>
    <cellStyle name="常规 8 2 3 3 2 4" xfId="26563" xr:uid="{7A3F6B1C-480E-448E-9A51-576E0D2BBD93}"/>
    <cellStyle name="常规 8 2 3 3 2 5" xfId="26564" xr:uid="{C0846D72-A6A3-45F8-B831-F6210B0FE53C}"/>
    <cellStyle name="常规 8 2 3 3 2 6" xfId="26565" xr:uid="{91AF4A2D-0859-41C8-BD29-7A88FB8511EA}"/>
    <cellStyle name="常规 8 2 3 3 2 7" xfId="26566" xr:uid="{4E9C9D1C-7D45-48B9-ABBD-5FDCCDD478DA}"/>
    <cellStyle name="常规 8 2 3 3 2 8" xfId="26567" xr:uid="{AC0760A8-9E75-4651-87E5-779E81409909}"/>
    <cellStyle name="常规 8 2 3 3 3" xfId="26568" xr:uid="{AF7EC078-B3CF-40D6-952A-17CABFAAE0E1}"/>
    <cellStyle name="常规 8 2 3 3 3 2" xfId="26569" xr:uid="{62C07110-3D5D-41F7-8DE2-EAC17BA97948}"/>
    <cellStyle name="常规 8 2 3 3 4" xfId="26570" xr:uid="{981683DA-36BF-4C6A-96D5-6F2D652E4A5C}"/>
    <cellStyle name="常规 8 2 3 3 4 2" xfId="26571" xr:uid="{B3887D98-32D4-4DC2-923E-7813A215F104}"/>
    <cellStyle name="常规 8 2 3 3 4 3" xfId="34612" xr:uid="{2D27EAE4-85AF-4BC5-B10F-73EF91D77F66}"/>
    <cellStyle name="常规 8 2 3 3 5" xfId="26572" xr:uid="{1E384D81-8D3A-4192-94F9-9AB546A43CA3}"/>
    <cellStyle name="常规 8 2 3 3 6" xfId="26573" xr:uid="{B4680762-EEC7-49BA-A643-BAC428E8C215}"/>
    <cellStyle name="常规 8 2 3 3 7" xfId="26574" xr:uid="{147F3024-DF00-40D9-9C50-8893D55F92B2}"/>
    <cellStyle name="常规 8 2 3 3 8" xfId="26575" xr:uid="{A6F9AB4A-4E35-425B-98E0-D4A4DE646FBB}"/>
    <cellStyle name="常规 8 2 3 4" xfId="26576" xr:uid="{FC7452CB-71D0-4387-AE3D-3E37A93579C5}"/>
    <cellStyle name="常规 8 2 3 4 2" xfId="26577" xr:uid="{B27B8F3A-CF5F-4AF1-8DF7-379034641CBD}"/>
    <cellStyle name="常规 8 2 3 4 2 2" xfId="26578" xr:uid="{3D3B6E5B-AC11-4AC3-8579-EA2AAB171BF5}"/>
    <cellStyle name="常规 8 2 3 4 2 3" xfId="26579" xr:uid="{DE071A05-DD33-4384-8E1D-FA1090CE92EE}"/>
    <cellStyle name="常规 8 2 3 4 2 4" xfId="26580" xr:uid="{271F680B-F4AF-4037-B5AC-11B98F6A0854}"/>
    <cellStyle name="常规 8 2 3 4 2 5" xfId="26581" xr:uid="{B4AC9B88-AC1C-4E8B-8605-17FCE9F55271}"/>
    <cellStyle name="常规 8 2 3 4 2 6" xfId="26582" xr:uid="{0183E06E-8FE4-4677-8231-46EDC3862F77}"/>
    <cellStyle name="常规 8 2 3 4 3" xfId="26583" xr:uid="{F9D9786C-3A7F-4F48-9663-DA5BDC615793}"/>
    <cellStyle name="常规 8 2 3 4 4" xfId="26584" xr:uid="{85003510-7667-4F45-913D-A20A8C13A265}"/>
    <cellStyle name="常规 8 2 3 4 5" xfId="26585" xr:uid="{22EFF6CE-4E89-40F4-AC8B-CF21334EF79F}"/>
    <cellStyle name="常规 8 2 3 4 6" xfId="26586" xr:uid="{4D8F3C60-73CB-4312-A5A0-7BC330DED1A7}"/>
    <cellStyle name="常规 8 2 3 4 7" xfId="26587" xr:uid="{B530710A-26DB-43AD-BAC5-62779E833D63}"/>
    <cellStyle name="常规 8 2 3 4 8" xfId="26588" xr:uid="{24E68232-1B98-4742-A2C7-479653DF8ECD}"/>
    <cellStyle name="常规 8 2 3 4 9" xfId="26589" xr:uid="{929FDB97-F106-4F90-8358-7E5CF2CA8D5E}"/>
    <cellStyle name="常规 8 2 3 5" xfId="26590" xr:uid="{F24D66E1-2D42-4CC0-AF38-0B3C707BD757}"/>
    <cellStyle name="常规 8 2 3 5 2" xfId="26591" xr:uid="{AF0623CB-0BA2-43DF-8D20-AFADABD7DB77}"/>
    <cellStyle name="常规 8 2 3 5 2 2" xfId="26592" xr:uid="{8D878BF3-6BAB-4112-8907-FE050BD2A8C4}"/>
    <cellStyle name="常规 8 2 3 5 2 3" xfId="26593" xr:uid="{10176238-A56C-4F7E-8793-85F091D31C9E}"/>
    <cellStyle name="常规 8 2 3 5 2 4" xfId="26594" xr:uid="{3C1D1FD6-358F-4190-9849-356DD732A731}"/>
    <cellStyle name="常规 8 2 3 5 2 5" xfId="26595" xr:uid="{50C757C8-9C51-4431-96A8-7BB3DBAF491F}"/>
    <cellStyle name="常规 8 2 3 5 2 6" xfId="26596" xr:uid="{563C8C96-965C-4369-98E4-B50836AAAEB8}"/>
    <cellStyle name="常规 8 2 3 5 3" xfId="26597" xr:uid="{FDCD2766-B85C-4778-BAFE-54387CB23DF4}"/>
    <cellStyle name="常规 8 2 3 5 4" xfId="26598" xr:uid="{ADDD32C2-6C13-4EF0-AFF7-00C462ACCAF6}"/>
    <cellStyle name="常规 8 2 3 5 5" xfId="26599" xr:uid="{0F5D27A7-92DC-4DAD-8EE5-F5402533833E}"/>
    <cellStyle name="常规 8 2 3 5 6" xfId="26600" xr:uid="{23C46118-5503-43FA-AE21-FC2EBB536AED}"/>
    <cellStyle name="常规 8 2 3 5 7" xfId="26601" xr:uid="{B0D1C068-8F3F-4EED-80D3-00FF4D9AFB77}"/>
    <cellStyle name="常规 8 2 3 5 8" xfId="26602" xr:uid="{280EA0D0-AC9F-4102-8D42-C0BE67C867B7}"/>
    <cellStyle name="常规 8 2 3 6" xfId="26603" xr:uid="{93DCE443-44F9-435C-B6F2-76B2DE0C30B2}"/>
    <cellStyle name="常规 8 2 3 6 2" xfId="26604" xr:uid="{FD83CB80-6916-4755-B91A-834E0DC4F4A9}"/>
    <cellStyle name="常规 8 2 3 6 2 2" xfId="26605" xr:uid="{805A9156-33A3-4BE0-A3E1-D89D4A6B2DB8}"/>
    <cellStyle name="常规 8 2 3 6 2 3" xfId="26606" xr:uid="{15662064-9AB4-48DE-ADF4-7A182376CDF7}"/>
    <cellStyle name="常规 8 2 3 6 2 4" xfId="26607" xr:uid="{4A3A61B3-F25F-4251-8862-5C17FC799101}"/>
    <cellStyle name="常规 8 2 3 6 2 5" xfId="26608" xr:uid="{65C861DB-E216-4BD4-BF03-1FA7FEB3F05C}"/>
    <cellStyle name="常规 8 2 3 6 2 6" xfId="26609" xr:uid="{359A621D-1E3D-4F64-BD9D-9F3CFCEB9FB6}"/>
    <cellStyle name="常规 8 2 3 6 3" xfId="26610" xr:uid="{56D64BBF-95CB-4195-8BB6-F2A7FFCE0439}"/>
    <cellStyle name="常规 8 2 3 6 4" xfId="26611" xr:uid="{4742D784-CE04-41FD-B5A1-803DD47A3C05}"/>
    <cellStyle name="常规 8 2 3 6 5" xfId="26612" xr:uid="{B8B700BE-3613-45C4-A327-D2677A260191}"/>
    <cellStyle name="常规 8 2 3 6 6" xfId="26613" xr:uid="{F55DFE02-ED15-409F-BFFB-B2EEA2FE6FB1}"/>
    <cellStyle name="常规 8 2 3 6 7" xfId="26614" xr:uid="{23BF42FB-6D8E-4064-941F-8DC907EDD782}"/>
    <cellStyle name="常规 8 2 3 6 8" xfId="26615" xr:uid="{9253EBF9-144C-44DF-94FC-918CF83C46AC}"/>
    <cellStyle name="常规 8 2 3 6 9" xfId="34613" xr:uid="{332E6A6C-51C9-4559-A8F0-C3E8DD2C5244}"/>
    <cellStyle name="常规 8 2 3 7" xfId="26616" xr:uid="{462E8865-D56F-49C0-B7E8-EE0562E78CB9}"/>
    <cellStyle name="常规 8 2 3 7 2" xfId="26617" xr:uid="{72C5FB39-659A-4330-B693-753E4294992B}"/>
    <cellStyle name="常规 8 2 3 7 2 2" xfId="26618" xr:uid="{19261514-1D34-4D19-91EB-864A8AF3427D}"/>
    <cellStyle name="常规 8 2 3 7 2 3" xfId="26619" xr:uid="{5FC3A433-E51D-469A-82B6-545AFAF5E46F}"/>
    <cellStyle name="常规 8 2 3 7 2 4" xfId="26620" xr:uid="{0E256B90-8A68-46BF-A629-32CCD333A017}"/>
    <cellStyle name="常规 8 2 3 7 2 5" xfId="26621" xr:uid="{8BCEFBF8-DB1A-4BEB-AE75-4291C3A5920B}"/>
    <cellStyle name="常规 8 2 3 7 2 6" xfId="26622" xr:uid="{6135F19E-1792-4365-874B-9568D44B715E}"/>
    <cellStyle name="常规 8 2 3 7 3" xfId="26623" xr:uid="{A1FFF331-9122-4638-9366-010672803460}"/>
    <cellStyle name="常规 8 2 3 7 4" xfId="26624" xr:uid="{7171056E-01E9-4FED-B0D5-F68A58CD2BF2}"/>
    <cellStyle name="常规 8 2 3 7 5" xfId="26625" xr:uid="{D7F22580-D19D-4AE5-9286-593563F59DC3}"/>
    <cellStyle name="常规 8 2 3 7 6" xfId="26626" xr:uid="{49F98CB0-6998-4395-9BFA-D7D5C88E6FA8}"/>
    <cellStyle name="常规 8 2 3 7 7" xfId="26627" xr:uid="{52ED4929-1E91-443C-B2FA-843AB80F399B}"/>
    <cellStyle name="常规 8 2 3 8" xfId="26628" xr:uid="{EBBD4DF1-1EC8-4F2F-90C7-79FA782212E0}"/>
    <cellStyle name="常规 8 2 3 8 2" xfId="26629" xr:uid="{28D493AB-2E5D-4E7A-A05D-E5AD53044D4B}"/>
    <cellStyle name="常规 8 2 3 8 2 2" xfId="26630" xr:uid="{8356DFF9-B735-404E-BB51-911D5E81AD3B}"/>
    <cellStyle name="常规 8 2 3 8 2 3" xfId="26631" xr:uid="{2C52148E-1FAE-4EE1-B9EF-CA0C50AEA00F}"/>
    <cellStyle name="常规 8 2 3 8 2 4" xfId="26632" xr:uid="{C9A3A9C2-87FE-4C65-A462-1A12BE3EE02F}"/>
    <cellStyle name="常规 8 2 3 8 2 5" xfId="26633" xr:uid="{5591D924-338E-44C0-AB67-33312628F50B}"/>
    <cellStyle name="常规 8 2 3 8 2 6" xfId="26634" xr:uid="{CF450A6B-FDCE-40E5-8377-2BC95EA578B5}"/>
    <cellStyle name="常规 8 2 3 8 3" xfId="26635" xr:uid="{EF1618C4-29CB-4ED3-AA57-9105D6102BA3}"/>
    <cellStyle name="常规 8 2 3 8 4" xfId="26636" xr:uid="{B6947E0C-E472-49A0-A92A-43F2F2FB4B6D}"/>
    <cellStyle name="常规 8 2 3 8 5" xfId="26637" xr:uid="{DC6010BC-E9FD-45C5-8C6F-B484B68D625E}"/>
    <cellStyle name="常规 8 2 3 8 6" xfId="26638" xr:uid="{8AA84E0B-1E4B-4F65-AFAF-C908B6859A9B}"/>
    <cellStyle name="常规 8 2 3 8 7" xfId="26639" xr:uid="{A4603439-89BC-4EA5-9BBC-562C24D0D754}"/>
    <cellStyle name="常规 8 2 3 9" xfId="26640" xr:uid="{3426436C-E1DB-4070-AA77-166BA2C9C784}"/>
    <cellStyle name="常规 8 2 3 9 2" xfId="26641" xr:uid="{24534286-8739-4753-BC1A-4C7FE59BBEF2}"/>
    <cellStyle name="常规 8 2 3 9 2 2" xfId="26642" xr:uid="{9E5110B4-375C-4F2E-8793-592241B94B9F}"/>
    <cellStyle name="常规 8 2 3 9 2 3" xfId="26643" xr:uid="{C824580E-9247-46BB-80AB-39F2CBBD8CF8}"/>
    <cellStyle name="常规 8 2 3 9 2 4" xfId="26644" xr:uid="{E9E9CE09-EDB6-4603-99ED-6AC7D90D2BAC}"/>
    <cellStyle name="常规 8 2 3 9 2 5" xfId="26645" xr:uid="{EEE913ED-5BC9-4172-B4E0-67745D2628ED}"/>
    <cellStyle name="常规 8 2 3 9 2 6" xfId="26646" xr:uid="{40DB75C6-AB01-4287-9548-A5FFF50C8529}"/>
    <cellStyle name="常规 8 2 3 9 3" xfId="26647" xr:uid="{927D7DAA-7E5C-401F-8427-80BD5C42CBD3}"/>
    <cellStyle name="常规 8 2 3 9 4" xfId="26648" xr:uid="{310BD279-B7E9-46C3-969E-0029B40FB180}"/>
    <cellStyle name="常规 8 2 3 9 5" xfId="26649" xr:uid="{C0B1AD75-C517-48C9-AEF7-F489D968545D}"/>
    <cellStyle name="常规 8 2 3 9 6" xfId="26650" xr:uid="{1F9224A9-C8D0-4D6C-9246-10A08376D873}"/>
    <cellStyle name="常规 8 2 3 9 7" xfId="26651" xr:uid="{A2EF7BC7-9505-437C-8356-086F8C797E34}"/>
    <cellStyle name="常规 8 2 4" xfId="26652" xr:uid="{47F34ABB-D3D4-4426-AF01-D5DC406615EC}"/>
    <cellStyle name="常规 8 2 4 10" xfId="26653" xr:uid="{9AC98274-BF91-4D94-A7C8-3DDA49665CDA}"/>
    <cellStyle name="常规 8 2 4 10 2" xfId="26654" xr:uid="{D8BB5824-1DA6-41D2-9C88-E00725E18E57}"/>
    <cellStyle name="常规 8 2 4 10 3" xfId="26655" xr:uid="{E7DB37B8-3AAE-43E7-9A81-12280BC3A75E}"/>
    <cellStyle name="常规 8 2 4 10 4" xfId="26656" xr:uid="{85841281-836B-4B65-9CD6-1285760F3999}"/>
    <cellStyle name="常规 8 2 4 10 5" xfId="26657" xr:uid="{727EB852-B5C5-48D7-8510-05A7ECD9D605}"/>
    <cellStyle name="常规 8 2 4 10 6" xfId="26658" xr:uid="{0DB2EB8D-809F-4F8C-914B-3ED07970A07F}"/>
    <cellStyle name="常规 8 2 4 11" xfId="26659" xr:uid="{99361667-7510-4121-B0F0-A114B1163517}"/>
    <cellStyle name="常规 8 2 4 12" xfId="26660" xr:uid="{B9DCCFFB-E9A8-458A-91C7-73591639F78A}"/>
    <cellStyle name="常规 8 2 4 13" xfId="26661" xr:uid="{C2027C25-FBBD-4EC1-9E89-EA3EF60BE34D}"/>
    <cellStyle name="常规 8 2 4 14" xfId="26662" xr:uid="{DF595708-91F0-4930-BA09-8397B7ACC824}"/>
    <cellStyle name="常规 8 2 4 15" xfId="26663" xr:uid="{47CE59AC-3BB2-453F-9708-0A5D20D93F74}"/>
    <cellStyle name="常规 8 2 4 16" xfId="26664" xr:uid="{41605DE6-64B8-4FCC-BD4F-60BA8E0AE69C}"/>
    <cellStyle name="常规 8 2 4 2" xfId="26665" xr:uid="{60BBEECC-D91A-4720-B824-E525F48850CA}"/>
    <cellStyle name="常规 8 2 4 2 2" xfId="26666" xr:uid="{2E349884-5474-4D2B-BFF0-180040571DDA}"/>
    <cellStyle name="常规 8 2 4 2 2 2" xfId="26667" xr:uid="{EB5B77DC-C860-49B7-B406-95829147CD19}"/>
    <cellStyle name="常规 8 2 4 2 2 3" xfId="26668" xr:uid="{022AA0F1-8FDF-401E-8721-27AE142BDFF3}"/>
    <cellStyle name="常规 8 2 4 2 2 4" xfId="26669" xr:uid="{E6B87859-C2B4-43E0-9DB9-FE7542F7B09F}"/>
    <cellStyle name="常规 8 2 4 2 2 5" xfId="26670" xr:uid="{9E826176-92D7-4F40-BF50-024618DA9A0A}"/>
    <cellStyle name="常规 8 2 4 2 2 6" xfId="26671" xr:uid="{0423DEDA-4EC9-4C9C-9B8A-3D8BE18D05A6}"/>
    <cellStyle name="常规 8 2 4 2 3" xfId="26672" xr:uid="{A21CDA25-41A9-4117-908C-D99348A4006F}"/>
    <cellStyle name="常规 8 2 4 2 4" xfId="26673" xr:uid="{B0410C0A-5DAC-4F9B-803E-32AE3868C2F6}"/>
    <cellStyle name="常规 8 2 4 2 5" xfId="26674" xr:uid="{5558DE7C-C413-4D33-BA1D-1EB098D05FDD}"/>
    <cellStyle name="常规 8 2 4 2 6" xfId="26675" xr:uid="{9A734905-F194-415A-A7E0-D90A0FEDAC37}"/>
    <cellStyle name="常规 8 2 4 2 7" xfId="26676" xr:uid="{B9C24E29-FC83-40FD-9289-174C71FECBB5}"/>
    <cellStyle name="常规 8 2 4 2 8" xfId="26677" xr:uid="{BFD731F3-DB0E-41D3-89AC-96C8849F64AE}"/>
    <cellStyle name="常规 8 2 4 2 9" xfId="26678" xr:uid="{BA3B7F58-B93A-42E5-94F5-84BB7264DF6B}"/>
    <cellStyle name="常规 8 2 4 3" xfId="26679" xr:uid="{93FB1AF0-E961-4825-A331-E6A0DBEEC736}"/>
    <cellStyle name="常规 8 2 4 3 2" xfId="26680" xr:uid="{547C7E31-E94D-49F9-B49E-D43C04702452}"/>
    <cellStyle name="常规 8 2 4 3 2 2" xfId="26681" xr:uid="{AAB87B77-C4B2-44B8-924E-FA4223C3BBF2}"/>
    <cellStyle name="常规 8 2 4 3 2 3" xfId="26682" xr:uid="{037E31DA-AF9C-427B-AA51-DE416A84DBE1}"/>
    <cellStyle name="常规 8 2 4 3 2 4" xfId="26683" xr:uid="{5E0E223A-42C1-4840-8F06-4723F6AAE897}"/>
    <cellStyle name="常规 8 2 4 3 2 5" xfId="26684" xr:uid="{A6177B66-FBF8-4142-9B1D-E9382647B3B3}"/>
    <cellStyle name="常规 8 2 4 3 2 6" xfId="26685" xr:uid="{5CC6647D-10F8-4D9B-98F0-0A2C031A852D}"/>
    <cellStyle name="常规 8 2 4 3 3" xfId="26686" xr:uid="{A4509A71-5901-4578-A7E0-5410FFCBAF6D}"/>
    <cellStyle name="常规 8 2 4 3 4" xfId="26687" xr:uid="{2C396C66-434E-4929-974B-C0EDC377EF46}"/>
    <cellStyle name="常规 8 2 4 3 5" xfId="26688" xr:uid="{10FAC99E-02A2-46F5-8837-19343C802C51}"/>
    <cellStyle name="常规 8 2 4 3 6" xfId="26689" xr:uid="{4AF7A049-EDA0-4D62-B01A-071B8884C6A5}"/>
    <cellStyle name="常规 8 2 4 3 7" xfId="26690" xr:uid="{0B3673B0-1B0E-4EE8-B3DA-78D230FAF184}"/>
    <cellStyle name="常规 8 2 4 3 8" xfId="26691" xr:uid="{BA001AB3-FB02-4B51-9D8F-AE7C626CEEC4}"/>
    <cellStyle name="常规 8 2 4 4" xfId="26692" xr:uid="{16DBA8AD-017F-44DE-AA60-337EC0BC7CEF}"/>
    <cellStyle name="常规 8 2 4 4 2" xfId="26693" xr:uid="{2C207969-F738-4AE2-90F4-7846B8F49A58}"/>
    <cellStyle name="常规 8 2 4 4 2 2" xfId="26694" xr:uid="{A289D046-88D8-4D73-BDE6-FA8AFDFE3BB4}"/>
    <cellStyle name="常规 8 2 4 4 2 3" xfId="26695" xr:uid="{B3E45F99-94A7-46DD-BCE8-BF23180FAE09}"/>
    <cellStyle name="常规 8 2 4 4 2 4" xfId="26696" xr:uid="{2FBB6848-0733-4C72-9020-82D8906542AF}"/>
    <cellStyle name="常规 8 2 4 4 2 5" xfId="26697" xr:uid="{F9DF2583-B293-42FB-8D9E-8D1EB1866C09}"/>
    <cellStyle name="常规 8 2 4 4 2 6" xfId="26698" xr:uid="{8458E885-CC02-4AC8-94F3-DB88029E77D2}"/>
    <cellStyle name="常规 8 2 4 4 3" xfId="26699" xr:uid="{958D0A37-8BC7-4EE6-A370-59C4BF24633B}"/>
    <cellStyle name="常规 8 2 4 4 4" xfId="26700" xr:uid="{97213425-C466-4C2B-A523-2DDF09EFF16C}"/>
    <cellStyle name="常规 8 2 4 4 5" xfId="26701" xr:uid="{88BBEE9E-EA1E-4836-BD26-EB751D3A0882}"/>
    <cellStyle name="常规 8 2 4 4 6" xfId="26702" xr:uid="{DC471E11-F29B-4923-9898-7AA5AC9488C7}"/>
    <cellStyle name="常规 8 2 4 4 7" xfId="26703" xr:uid="{D88855CA-2703-4D4B-AC01-1A7636D83281}"/>
    <cellStyle name="常规 8 2 4 4 8" xfId="26704" xr:uid="{75BDC191-CB12-4AF1-BA3B-2EC5495D65A5}"/>
    <cellStyle name="常规 8 2 4 4 9" xfId="34614" xr:uid="{76C715EF-C0D0-4798-9516-EA21F693AC2C}"/>
    <cellStyle name="常规 8 2 4 5" xfId="26705" xr:uid="{59606C09-00BC-411D-9DDB-47AEAE59D70A}"/>
    <cellStyle name="常规 8 2 4 5 2" xfId="26706" xr:uid="{FB5F63E2-A900-418B-80FF-8BE56352B7B4}"/>
    <cellStyle name="常规 8 2 4 5 2 2" xfId="26707" xr:uid="{A6C596C7-52C5-4865-B307-4F0297A57F65}"/>
    <cellStyle name="常规 8 2 4 5 2 3" xfId="26708" xr:uid="{09B0B309-3DD8-4E59-A443-1745A7A0B405}"/>
    <cellStyle name="常规 8 2 4 5 2 4" xfId="26709" xr:uid="{126D34C9-E0E9-46CC-A561-C9FDAC651D8E}"/>
    <cellStyle name="常规 8 2 4 5 2 5" xfId="26710" xr:uid="{CC6B3DAD-417B-430A-9100-F76BCACFA659}"/>
    <cellStyle name="常规 8 2 4 5 2 6" xfId="26711" xr:uid="{FC52BC6F-5F7A-4F62-B06D-3D0B30A6A4DD}"/>
    <cellStyle name="常规 8 2 4 5 3" xfId="26712" xr:uid="{192B91D8-C7AD-40E9-A96B-082B5B5A6788}"/>
    <cellStyle name="常规 8 2 4 5 4" xfId="26713" xr:uid="{C81C9853-B9B7-43B6-9FCF-B687096E3812}"/>
    <cellStyle name="常规 8 2 4 5 5" xfId="26714" xr:uid="{031C5576-02A2-4C28-8418-FFFF654B7F3C}"/>
    <cellStyle name="常规 8 2 4 5 6" xfId="26715" xr:uid="{90EB570C-D8B6-43DE-89C6-15A0FB605D21}"/>
    <cellStyle name="常规 8 2 4 5 7" xfId="26716" xr:uid="{CC29A687-C482-4D66-B998-6C2A46D9A798}"/>
    <cellStyle name="常规 8 2 4 6" xfId="26717" xr:uid="{FAF529F7-E49E-4EF0-A2A8-27449D7B0D35}"/>
    <cellStyle name="常规 8 2 4 6 2" xfId="26718" xr:uid="{05312352-D1E9-4746-BDD3-8D9EBD3CCE05}"/>
    <cellStyle name="常规 8 2 4 6 2 2" xfId="26719" xr:uid="{BB13D403-EF96-4349-B981-4A12E0FF68CD}"/>
    <cellStyle name="常规 8 2 4 6 2 3" xfId="26720" xr:uid="{BF5184BE-58FC-40F5-9F98-5FD8D3F6F0A9}"/>
    <cellStyle name="常规 8 2 4 6 2 4" xfId="26721" xr:uid="{86924D2B-2ECC-4282-939B-468A15406802}"/>
    <cellStyle name="常规 8 2 4 6 2 5" xfId="26722" xr:uid="{E412150C-25CE-454B-8C2D-BC8816131763}"/>
    <cellStyle name="常规 8 2 4 6 2 6" xfId="26723" xr:uid="{5CF3DC40-CD55-4136-9B23-AC5F8A47DBA8}"/>
    <cellStyle name="常规 8 2 4 6 3" xfId="26724" xr:uid="{2FB9BFA7-46DF-4D3E-824F-35AE9AFB72E7}"/>
    <cellStyle name="常规 8 2 4 6 4" xfId="26725" xr:uid="{5B1C9457-3055-4B4E-BF00-AE98BB5F111F}"/>
    <cellStyle name="常规 8 2 4 6 5" xfId="26726" xr:uid="{A013BB94-97E7-47FF-84A5-4CE4C769382A}"/>
    <cellStyle name="常规 8 2 4 6 6" xfId="26727" xr:uid="{2CDEFE73-7C08-4961-8D9E-7B675D9C0F22}"/>
    <cellStyle name="常规 8 2 4 6 7" xfId="26728" xr:uid="{7466B6A0-0429-48AE-BEE3-00E82DF01C5A}"/>
    <cellStyle name="常规 8 2 4 7" xfId="26729" xr:uid="{C3B07AD5-2FD2-4417-A497-D72AC9B3BDC9}"/>
    <cellStyle name="常规 8 2 4 7 2" xfId="26730" xr:uid="{761802C6-28AC-4D71-82B8-AAC879CE79E4}"/>
    <cellStyle name="常规 8 2 4 7 2 2" xfId="26731" xr:uid="{E34F31DD-02F7-4C9D-BC50-9B04CBF68BEB}"/>
    <cellStyle name="常规 8 2 4 7 2 3" xfId="26732" xr:uid="{32CD40B8-34EB-4038-8976-EC774CDE4F9C}"/>
    <cellStyle name="常规 8 2 4 7 2 4" xfId="26733" xr:uid="{B050EBB0-5F69-47D5-8330-20A5482C766A}"/>
    <cellStyle name="常规 8 2 4 7 2 5" xfId="26734" xr:uid="{2F4F3BCA-185A-4EDC-BA3A-FD8F0D8FCFDB}"/>
    <cellStyle name="常规 8 2 4 7 2 6" xfId="26735" xr:uid="{3434D634-81F2-44D6-882E-7D1D1EEA3E34}"/>
    <cellStyle name="常规 8 2 4 7 3" xfId="26736" xr:uid="{5843793A-024B-45BA-AA29-3E2C984CAC46}"/>
    <cellStyle name="常规 8 2 4 7 4" xfId="26737" xr:uid="{FF53B866-7EF0-44B8-A1F4-00419AC7960C}"/>
    <cellStyle name="常规 8 2 4 7 5" xfId="26738" xr:uid="{FD32468B-E29C-4A8F-A279-FB9400287D0D}"/>
    <cellStyle name="常规 8 2 4 7 6" xfId="26739" xr:uid="{EDDF62C8-745E-42BF-8EA4-3671596F89F2}"/>
    <cellStyle name="常规 8 2 4 7 7" xfId="26740" xr:uid="{C59CA091-0B72-41CD-A29D-65BEF7CFF2A0}"/>
    <cellStyle name="常规 8 2 4 8" xfId="26741" xr:uid="{35B7F5C1-248A-4315-85DA-4A7268530E9D}"/>
    <cellStyle name="常规 8 2 4 8 2" xfId="26742" xr:uid="{752CB766-A39F-456A-ABA8-AEFF03740D29}"/>
    <cellStyle name="常规 8 2 4 8 2 2" xfId="26743" xr:uid="{B9AE37AB-437B-4EE0-B462-2A73B9835327}"/>
    <cellStyle name="常规 8 2 4 8 2 3" xfId="26744" xr:uid="{2901FE82-FB21-4C39-ADA2-23CF12C92EE4}"/>
    <cellStyle name="常规 8 2 4 8 2 4" xfId="26745" xr:uid="{14C90660-FD5A-41E9-BAA9-7183188B7C2E}"/>
    <cellStyle name="常规 8 2 4 8 2 5" xfId="26746" xr:uid="{90034F23-AB83-4177-A4D0-0C3B2224A87E}"/>
    <cellStyle name="常规 8 2 4 8 2 6" xfId="26747" xr:uid="{4FD8B076-B09A-437D-B663-202C358E5346}"/>
    <cellStyle name="常规 8 2 4 8 3" xfId="26748" xr:uid="{17D3D47F-50E2-407E-A578-C9308E15E562}"/>
    <cellStyle name="常规 8 2 4 8 4" xfId="26749" xr:uid="{5783A202-1BBF-457E-B2E7-50B82DC13F03}"/>
    <cellStyle name="常规 8 2 4 8 5" xfId="26750" xr:uid="{AA719A6B-C007-4093-8104-32D15B51B297}"/>
    <cellStyle name="常规 8 2 4 8 6" xfId="26751" xr:uid="{8E0886C2-17ED-437E-B5D0-1EAD81D7B39F}"/>
    <cellStyle name="常规 8 2 4 8 7" xfId="26752" xr:uid="{DA779AB0-2E27-4084-92A3-BB9B694DCC16}"/>
    <cellStyle name="常规 8 2 4 9" xfId="26753" xr:uid="{6C3CF4A0-E88D-4245-8A14-9AB9C3A25AA9}"/>
    <cellStyle name="常规 8 2 4 9 2" xfId="26754" xr:uid="{239E1719-FDFD-41E8-9340-8530DAA5531B}"/>
    <cellStyle name="常规 8 2 4 9 2 2" xfId="26755" xr:uid="{8246E947-5BA9-4749-B084-DF90E6D55C04}"/>
    <cellStyle name="常规 8 2 4 9 2 3" xfId="26756" xr:uid="{3E8139DA-40BF-493A-9E05-6DD2A9FF02B3}"/>
    <cellStyle name="常规 8 2 4 9 2 4" xfId="26757" xr:uid="{1041AA32-51EE-43FE-B438-0CC0BD59D54D}"/>
    <cellStyle name="常规 8 2 4 9 2 5" xfId="26758" xr:uid="{6252AA55-F577-4129-964D-75A55C5FFF68}"/>
    <cellStyle name="常规 8 2 4 9 2 6" xfId="26759" xr:uid="{2A47B0AE-738D-4080-A4BD-AE1AEA6FE611}"/>
    <cellStyle name="常规 8 2 4 9 3" xfId="26760" xr:uid="{18BD478F-A159-4220-BE1A-E5E263113400}"/>
    <cellStyle name="常规 8 2 4 9 4" xfId="26761" xr:uid="{E01EBA16-87CF-48F7-A96E-C26498B3C56F}"/>
    <cellStyle name="常规 8 2 4 9 5" xfId="26762" xr:uid="{2090A786-BC52-4D33-B75F-EFDDA28DDC92}"/>
    <cellStyle name="常规 8 2 4 9 6" xfId="26763" xr:uid="{52B0A014-D4BD-450E-B8ED-AA21C7556466}"/>
    <cellStyle name="常规 8 2 4 9 7" xfId="26764" xr:uid="{43C1499E-4A49-449A-A3E9-6994DB1DDAC8}"/>
    <cellStyle name="常规 8 2 5" xfId="26765" xr:uid="{8B3F57A8-DB5F-4B15-9691-18369FDE63E1}"/>
    <cellStyle name="常规 8 2 5 10" xfId="26766" xr:uid="{E97D953C-FF61-4FEA-868B-33C777CE5399}"/>
    <cellStyle name="常规 8 2 5 10 2" xfId="26767" xr:uid="{37E626C0-2E40-44D2-8B5D-C908E98789D6}"/>
    <cellStyle name="常规 8 2 5 10 3" xfId="26768" xr:uid="{6C899B15-E3BC-44C8-ADB2-4DD9BDFFAB3B}"/>
    <cellStyle name="常规 8 2 5 10 4" xfId="26769" xr:uid="{953961B8-3326-485C-BC74-EF846F20B290}"/>
    <cellStyle name="常规 8 2 5 10 5" xfId="26770" xr:uid="{AC5D9B02-E3F1-4A1C-BFD9-49914ABB1F63}"/>
    <cellStyle name="常规 8 2 5 10 6" xfId="26771" xr:uid="{B45E521B-C088-43EA-A9BF-B9E1085DEB9D}"/>
    <cellStyle name="常规 8 2 5 11" xfId="26772" xr:uid="{0BA9204B-1B21-4926-AB51-C12FABCEAB39}"/>
    <cellStyle name="常规 8 2 5 12" xfId="26773" xr:uid="{D9283895-C282-4B99-85F7-EF4F158534C8}"/>
    <cellStyle name="常规 8 2 5 13" xfId="26774" xr:uid="{8A82C9FB-0177-4B5D-96CB-D927C117F7F1}"/>
    <cellStyle name="常规 8 2 5 14" xfId="26775" xr:uid="{7B1865EA-502F-4D6E-8870-0F46077A88EE}"/>
    <cellStyle name="常规 8 2 5 15" xfId="26776" xr:uid="{45791590-A320-4D38-B2BB-F0F591F55CFA}"/>
    <cellStyle name="常规 8 2 5 16" xfId="26777" xr:uid="{ECC500C9-F708-4E87-A773-799C436C3318}"/>
    <cellStyle name="常规 8 2 5 2" xfId="26778" xr:uid="{F37387FA-847C-41D8-9BED-737668D76B56}"/>
    <cellStyle name="常规 8 2 5 2 2" xfId="26779" xr:uid="{218E0B95-043B-4417-82E8-988B3AC14916}"/>
    <cellStyle name="常规 8 2 5 2 2 2" xfId="26780" xr:uid="{68AE7297-A71F-41B1-9DDB-C2E8E566EA12}"/>
    <cellStyle name="常规 8 2 5 2 2 3" xfId="26781" xr:uid="{CE358049-5F8B-4D13-A980-D85032609D76}"/>
    <cellStyle name="常规 8 2 5 2 2 4" xfId="26782" xr:uid="{F5F24037-A8B7-4CE9-8192-2B8702E57EB8}"/>
    <cellStyle name="常规 8 2 5 2 2 5" xfId="26783" xr:uid="{AF8B574B-31AE-4506-AC48-777AC5BF6125}"/>
    <cellStyle name="常规 8 2 5 2 2 6" xfId="26784" xr:uid="{27199C49-4879-47D1-8D1B-24C41BEB87A9}"/>
    <cellStyle name="常规 8 2 5 2 3" xfId="26785" xr:uid="{13E61C0E-DBFC-4091-859B-C295936F9450}"/>
    <cellStyle name="常规 8 2 5 2 4" xfId="26786" xr:uid="{35785FF5-6501-471F-B03F-36D958E704EB}"/>
    <cellStyle name="常规 8 2 5 2 5" xfId="26787" xr:uid="{AF98C92C-079D-4E87-BA92-C6CD4A75535B}"/>
    <cellStyle name="常规 8 2 5 2 6" xfId="26788" xr:uid="{769D27CC-5CA6-445B-B053-D36801A811FA}"/>
    <cellStyle name="常规 8 2 5 2 7" xfId="26789" xr:uid="{C1E5B247-5322-4E48-8F09-B7D9A41785D5}"/>
    <cellStyle name="常规 8 2 5 2 8" xfId="26790" xr:uid="{780DD4B8-CADB-45A5-9518-FA79DF1EDD09}"/>
    <cellStyle name="常规 8 2 5 2 9" xfId="26791" xr:uid="{88BA81F9-F1DB-4C5E-B157-A242D7FE8690}"/>
    <cellStyle name="常规 8 2 5 3" xfId="26792" xr:uid="{0C038104-AF03-4390-A274-B3C89C598EC2}"/>
    <cellStyle name="常规 8 2 5 3 2" xfId="26793" xr:uid="{945EC819-5FCC-406E-A366-0AC67FEB1D08}"/>
    <cellStyle name="常规 8 2 5 3 2 2" xfId="26794" xr:uid="{8BA99389-E37D-4CF9-A6A8-6CFCAC195387}"/>
    <cellStyle name="常规 8 2 5 3 2 3" xfId="26795" xr:uid="{D6EF3940-8092-49D8-984B-AB0ACB65A716}"/>
    <cellStyle name="常规 8 2 5 3 2 4" xfId="26796" xr:uid="{8BCD2C5B-E999-43CC-9174-2F9858BF05CF}"/>
    <cellStyle name="常规 8 2 5 3 2 5" xfId="26797" xr:uid="{3EE04F8D-1D11-4480-A041-CF94F5381BD8}"/>
    <cellStyle name="常规 8 2 5 3 2 6" xfId="26798" xr:uid="{EAB38847-AF31-4A33-9872-E007D8AF83DA}"/>
    <cellStyle name="常规 8 2 5 3 3" xfId="26799" xr:uid="{B0FC128C-BC73-4672-8BC9-406652C94113}"/>
    <cellStyle name="常规 8 2 5 3 4" xfId="26800" xr:uid="{BB55703A-86E4-476C-961A-A73A1E1B2958}"/>
    <cellStyle name="常规 8 2 5 3 5" xfId="26801" xr:uid="{B14E14B7-E50F-4599-A5E2-938366A0AB43}"/>
    <cellStyle name="常规 8 2 5 3 6" xfId="26802" xr:uid="{5881C835-1E59-454C-8D0C-45D6A55DCF0B}"/>
    <cellStyle name="常规 8 2 5 3 7" xfId="26803" xr:uid="{323EFC4A-EE2F-4164-B4E0-49EA9AD483F0}"/>
    <cellStyle name="常规 8 2 5 3 8" xfId="26804" xr:uid="{FF792ECA-F8CF-407E-B196-761DE1B60BB7}"/>
    <cellStyle name="常规 8 2 5 4" xfId="26805" xr:uid="{F03E0A7A-165E-4CD9-ACE0-28AF735985B7}"/>
    <cellStyle name="常规 8 2 5 4 2" xfId="26806" xr:uid="{E706773A-9AC4-4FC7-8A80-2F73E0D86289}"/>
    <cellStyle name="常规 8 2 5 4 2 2" xfId="26807" xr:uid="{7BCB0A55-838B-4112-BC06-11400F14CD66}"/>
    <cellStyle name="常规 8 2 5 4 2 3" xfId="26808" xr:uid="{20E9A77E-5852-403D-AFA8-0604E52D8DC1}"/>
    <cellStyle name="常规 8 2 5 4 2 4" xfId="26809" xr:uid="{933308F5-5B5B-4F2A-A9DA-6436D607A264}"/>
    <cellStyle name="常规 8 2 5 4 2 5" xfId="26810" xr:uid="{654A6256-F915-4E30-9FAF-2027755622BE}"/>
    <cellStyle name="常规 8 2 5 4 2 6" xfId="26811" xr:uid="{C01D39FB-7EFF-4C63-B1D9-839D1883CE20}"/>
    <cellStyle name="常规 8 2 5 4 3" xfId="26812" xr:uid="{45FFB82D-93EC-44CF-BBA4-B497C00F7279}"/>
    <cellStyle name="常规 8 2 5 4 4" xfId="26813" xr:uid="{32A05FB6-F30D-4D25-8391-953E0CC51A28}"/>
    <cellStyle name="常规 8 2 5 4 5" xfId="26814" xr:uid="{17DB3ACC-6839-47A8-B0EE-F6EE15E12536}"/>
    <cellStyle name="常规 8 2 5 4 6" xfId="26815" xr:uid="{DDC08883-6071-468F-A97B-760A7DFFAED1}"/>
    <cellStyle name="常规 8 2 5 4 7" xfId="26816" xr:uid="{64295CFF-4E92-4717-BC9C-9123EF56CE2D}"/>
    <cellStyle name="常规 8 2 5 4 8" xfId="26817" xr:uid="{7BDB5282-C319-4C6B-B5BC-46E3FB63E5A7}"/>
    <cellStyle name="常规 8 2 5 4 9" xfId="34615" xr:uid="{16250586-9A96-48C1-9E28-8EA21A144421}"/>
    <cellStyle name="常规 8 2 5 5" xfId="26818" xr:uid="{0B1686FD-C888-4D0D-AA73-F04E8417AAC0}"/>
    <cellStyle name="常规 8 2 5 5 2" xfId="26819" xr:uid="{A093873E-177D-4800-955E-8F650A7523F0}"/>
    <cellStyle name="常规 8 2 5 5 2 2" xfId="26820" xr:uid="{81CB615F-FA2F-4FDF-B2D7-633FBD329CD1}"/>
    <cellStyle name="常规 8 2 5 5 2 3" xfId="26821" xr:uid="{D6BF84D3-EF7C-4C07-82BF-999ABA51B56A}"/>
    <cellStyle name="常规 8 2 5 5 2 4" xfId="26822" xr:uid="{FD17B9C2-9EAC-49BF-99B0-9682061A6749}"/>
    <cellStyle name="常规 8 2 5 5 2 5" xfId="26823" xr:uid="{F6AA2421-5645-4FCF-8D89-A2DB32DCA466}"/>
    <cellStyle name="常规 8 2 5 5 2 6" xfId="26824" xr:uid="{410C7FE8-5B64-46FC-B3E1-46E37AB4C857}"/>
    <cellStyle name="常规 8 2 5 5 3" xfId="26825" xr:uid="{A9E23120-E887-4659-A3AC-812214C36B1B}"/>
    <cellStyle name="常规 8 2 5 5 4" xfId="26826" xr:uid="{81070B18-E085-4EC0-92EC-DAEC75D94E9D}"/>
    <cellStyle name="常规 8 2 5 5 5" xfId="26827" xr:uid="{23F53D34-FE8C-4D50-BC76-434905315A10}"/>
    <cellStyle name="常规 8 2 5 5 6" xfId="26828" xr:uid="{2C977B03-ECE2-4B50-8F7C-463D05C2C32D}"/>
    <cellStyle name="常规 8 2 5 5 7" xfId="26829" xr:uid="{A6B45F0F-BE69-4E36-AD74-0351DF29020E}"/>
    <cellStyle name="常规 8 2 5 6" xfId="26830" xr:uid="{75D6E4CE-B42D-4213-B02C-6294B0252AA8}"/>
    <cellStyle name="常规 8 2 5 6 2" xfId="26831" xr:uid="{4052E1EB-B927-488C-8C76-6D8B88A31BBF}"/>
    <cellStyle name="常规 8 2 5 6 2 2" xfId="26832" xr:uid="{988D6129-1597-4F2A-90CE-3F3074DAEAB2}"/>
    <cellStyle name="常规 8 2 5 6 2 3" xfId="26833" xr:uid="{F9790D42-8C53-4899-8173-B4F16B6C10AE}"/>
    <cellStyle name="常规 8 2 5 6 2 4" xfId="26834" xr:uid="{4EA3F3F3-4DD1-4F60-B19F-56E32422B74C}"/>
    <cellStyle name="常规 8 2 5 6 2 5" xfId="26835" xr:uid="{A49990DC-1E83-46EB-8078-929A5034EF64}"/>
    <cellStyle name="常规 8 2 5 6 2 6" xfId="26836" xr:uid="{7889E968-578F-40A7-9B9B-1284A5341861}"/>
    <cellStyle name="常规 8 2 5 6 3" xfId="26837" xr:uid="{001E7936-860A-455C-9365-5CA1AB58BC30}"/>
    <cellStyle name="常规 8 2 5 6 4" xfId="26838" xr:uid="{91BC8BE1-171C-4929-B039-CF0CC29B9DC0}"/>
    <cellStyle name="常规 8 2 5 6 5" xfId="26839" xr:uid="{4633F1B1-C70F-4F81-819D-81A6EA7AF271}"/>
    <cellStyle name="常规 8 2 5 6 6" xfId="26840" xr:uid="{88BA52C3-8F5C-43D2-BA56-C7846464F006}"/>
    <cellStyle name="常规 8 2 5 6 7" xfId="26841" xr:uid="{F9F2C487-17AA-408D-B998-E20661662E4E}"/>
    <cellStyle name="常规 8 2 5 7" xfId="26842" xr:uid="{A92CD564-BC91-497E-A89D-74BA8C8844BD}"/>
    <cellStyle name="常规 8 2 5 7 2" xfId="26843" xr:uid="{7E5F97BA-653A-40F2-B2C3-20630FCC7481}"/>
    <cellStyle name="常规 8 2 5 7 2 2" xfId="26844" xr:uid="{17EC537F-A216-41B3-96DF-D6262A6F614F}"/>
    <cellStyle name="常规 8 2 5 7 2 3" xfId="26845" xr:uid="{B3CC6B3F-AF81-40E0-9716-62F1EC273BB1}"/>
    <cellStyle name="常规 8 2 5 7 2 4" xfId="26846" xr:uid="{27CEDA44-0936-412E-8205-F234C674C34A}"/>
    <cellStyle name="常规 8 2 5 7 2 5" xfId="26847" xr:uid="{1C195866-8DBD-4B04-A54C-DCBE3DB236C0}"/>
    <cellStyle name="常规 8 2 5 7 2 6" xfId="26848" xr:uid="{F1BDD201-0441-40E1-AB0C-202C73C5C218}"/>
    <cellStyle name="常规 8 2 5 7 3" xfId="26849" xr:uid="{30424B9C-ECEE-4B03-BE76-C7139242BEB1}"/>
    <cellStyle name="常规 8 2 5 7 4" xfId="26850" xr:uid="{6AF48C28-3C41-4CD1-AF1F-38D0316473AF}"/>
    <cellStyle name="常规 8 2 5 7 5" xfId="26851" xr:uid="{58E868F2-AFEE-4FFB-8F17-23CA4F03FF58}"/>
    <cellStyle name="常规 8 2 5 7 6" xfId="26852" xr:uid="{461F9F22-F170-44D0-82C8-11231F3C6156}"/>
    <cellStyle name="常规 8 2 5 7 7" xfId="26853" xr:uid="{0192CC31-8A2F-4607-9DC4-3437D4B54E5D}"/>
    <cellStyle name="常规 8 2 5 8" xfId="26854" xr:uid="{2208ABBE-6857-48D9-8758-BB41556E258A}"/>
    <cellStyle name="常规 8 2 5 8 2" xfId="26855" xr:uid="{4D856433-45B8-484C-8E32-C9B2BD410D15}"/>
    <cellStyle name="常规 8 2 5 8 2 2" xfId="26856" xr:uid="{4F27C214-EB3C-4A72-9075-D942965BAF9D}"/>
    <cellStyle name="常规 8 2 5 8 2 3" xfId="26857" xr:uid="{8BA65BD0-CA0F-44D8-B1A3-CFF26FD16D47}"/>
    <cellStyle name="常规 8 2 5 8 2 4" xfId="26858" xr:uid="{6106D3E1-C5CA-4BF9-A3F5-C3ACB1047448}"/>
    <cellStyle name="常规 8 2 5 8 2 5" xfId="26859" xr:uid="{6EE3639F-0938-466D-9A3E-00D8B26631BC}"/>
    <cellStyle name="常规 8 2 5 8 2 6" xfId="26860" xr:uid="{63D2B8FA-DA43-49B1-AA84-2E15D47B7DAD}"/>
    <cellStyle name="常规 8 2 5 8 3" xfId="26861" xr:uid="{1E3676AD-313F-4B57-8440-7968C0E72C73}"/>
    <cellStyle name="常规 8 2 5 8 4" xfId="26862" xr:uid="{E54D73F4-7104-4F94-956E-CA908C29D11A}"/>
    <cellStyle name="常规 8 2 5 8 5" xfId="26863" xr:uid="{F615AC50-45AE-4B48-9E15-139829BFC2AE}"/>
    <cellStyle name="常规 8 2 5 8 6" xfId="26864" xr:uid="{F72367B5-755F-4EEB-A2EB-9FD6427DAD88}"/>
    <cellStyle name="常规 8 2 5 8 7" xfId="26865" xr:uid="{CE8CAC4C-9849-40EB-8060-93093CC8BC5B}"/>
    <cellStyle name="常规 8 2 5 9" xfId="26866" xr:uid="{B65C7F8A-7B53-4E42-8EDC-8C1066EACE7B}"/>
    <cellStyle name="常规 8 2 5 9 2" xfId="26867" xr:uid="{4090649C-041A-48D3-B617-FCB49D1F573A}"/>
    <cellStyle name="常规 8 2 5 9 2 2" xfId="26868" xr:uid="{03088D92-F726-40F6-9C83-74533E63D6F7}"/>
    <cellStyle name="常规 8 2 5 9 2 3" xfId="26869" xr:uid="{ACD2CA99-76C5-4A1A-AB6C-8D0C450879AF}"/>
    <cellStyle name="常规 8 2 5 9 2 4" xfId="26870" xr:uid="{0EF91261-8EC8-4C27-AD2A-F75DBFFF7108}"/>
    <cellStyle name="常规 8 2 5 9 2 5" xfId="26871" xr:uid="{B171A9F6-F93E-46CC-B3FA-43A0C6F0344E}"/>
    <cellStyle name="常规 8 2 5 9 2 6" xfId="26872" xr:uid="{AEABC44E-FE35-4049-BA65-4EE8CC383B30}"/>
    <cellStyle name="常规 8 2 5 9 3" xfId="26873" xr:uid="{6DB885CF-5F09-430F-A2FC-43D6E301116A}"/>
    <cellStyle name="常规 8 2 5 9 4" xfId="26874" xr:uid="{2B1AC5C3-B46F-46B6-A241-2F2B38FCB761}"/>
    <cellStyle name="常规 8 2 5 9 5" xfId="26875" xr:uid="{A87A3ECD-FF19-4531-BE7D-4EB02D5072A6}"/>
    <cellStyle name="常规 8 2 5 9 6" xfId="26876" xr:uid="{453EA97B-471C-4934-A37A-50F76D8F18AC}"/>
    <cellStyle name="常规 8 2 5 9 7" xfId="26877" xr:uid="{A10B7A63-DB29-48A7-95CE-48EA1CDC372C}"/>
    <cellStyle name="常规 8 2 6" xfId="26878" xr:uid="{4C74FE3D-F873-4DC3-B0BE-6AEC20372830}"/>
    <cellStyle name="常规 8 2 6 10" xfId="26879" xr:uid="{ECE94EC4-34BC-41C1-94D1-C4D24131524E}"/>
    <cellStyle name="常规 8 2 6 11" xfId="26880" xr:uid="{A501AEDE-4052-4918-96A6-8ED8E213D281}"/>
    <cellStyle name="常规 8 2 6 12" xfId="26881" xr:uid="{2A0A3715-7A9B-4F84-8E2D-5F2FEA97B1BD}"/>
    <cellStyle name="常规 8 2 6 13" xfId="26882" xr:uid="{694A0046-1C71-4616-B1D4-4D03B9D2B9CE}"/>
    <cellStyle name="常规 8 2 6 14" xfId="26883" xr:uid="{E11B5D67-D5F5-42E3-9978-8FA6F99946D2}"/>
    <cellStyle name="常规 8 2 6 15" xfId="26884" xr:uid="{0E07D834-801B-46CB-9E00-B50B25714052}"/>
    <cellStyle name="常规 8 2 6 16" xfId="26885" xr:uid="{081C8ED6-1477-45DE-B0C3-A1029764E370}"/>
    <cellStyle name="常规 8 2 6 2" xfId="26886" xr:uid="{1F07C7FE-E7BD-4039-8703-E9F7496B2D1F}"/>
    <cellStyle name="常规 8 2 6 2 2" xfId="26887" xr:uid="{5FE5E545-E6A9-4A8A-837D-1A647CB6B947}"/>
    <cellStyle name="常规 8 2 6 2 2 2" xfId="26888" xr:uid="{68BD567E-A694-4C89-9B85-552C16168884}"/>
    <cellStyle name="常规 8 2 6 2 2 3" xfId="26889" xr:uid="{5D973093-2D3A-45A4-A719-19AB81A093CE}"/>
    <cellStyle name="常规 8 2 6 2 2 4" xfId="26890" xr:uid="{05742062-5EAB-4207-B11F-E0E07A6FBE4D}"/>
    <cellStyle name="常规 8 2 6 2 2 5" xfId="26891" xr:uid="{8B9000B5-6F2A-489F-BA90-0636E7B7E2B2}"/>
    <cellStyle name="常规 8 2 6 2 2 6" xfId="26892" xr:uid="{A4BF4ACA-B36C-4A6D-A7E2-3F083C052574}"/>
    <cellStyle name="常规 8 2 6 2 3" xfId="26893" xr:uid="{FF7256FE-9E6E-4326-81D5-50EDBB4B2832}"/>
    <cellStyle name="常规 8 2 6 2 4" xfId="26894" xr:uid="{17F7E238-EE74-466F-BF8B-A5FEA0574C06}"/>
    <cellStyle name="常规 8 2 6 2 5" xfId="26895" xr:uid="{D6CA06CC-BFED-4B89-A257-D714B8694483}"/>
    <cellStyle name="常规 8 2 6 2 6" xfId="26896" xr:uid="{89B400CE-4746-44ED-A29E-FD23BDE4860C}"/>
    <cellStyle name="常规 8 2 6 2 7" xfId="26897" xr:uid="{46C14BC4-069D-4C6E-95A8-6968561C4D50}"/>
    <cellStyle name="常规 8 2 6 3" xfId="26898" xr:uid="{F0AAD109-BD1D-49EA-A8F0-A4BC607FD9D1}"/>
    <cellStyle name="常规 8 2 6 3 2" xfId="26899" xr:uid="{D6807449-707F-4252-BD46-85B606853DBD}"/>
    <cellStyle name="常规 8 2 6 3 2 2" xfId="26900" xr:uid="{EC2038FF-E74A-4DCA-BBE1-18CE43435F0D}"/>
    <cellStyle name="常规 8 2 6 3 2 3" xfId="26901" xr:uid="{0EA6CF0E-06CC-45B1-BF8D-6D04A9F0CC36}"/>
    <cellStyle name="常规 8 2 6 3 2 4" xfId="26902" xr:uid="{7FCB6E74-61E2-43DA-8CFE-AAFAA716F502}"/>
    <cellStyle name="常规 8 2 6 3 2 5" xfId="26903" xr:uid="{050FD6F0-409F-4C30-B46F-F97C8140BD88}"/>
    <cellStyle name="常规 8 2 6 3 2 6" xfId="26904" xr:uid="{17A68C4A-390B-4EF8-B7D1-AB6AE5D67802}"/>
    <cellStyle name="常规 8 2 6 3 3" xfId="26905" xr:uid="{54413D5E-B0D5-4163-9FE5-0724E3367882}"/>
    <cellStyle name="常规 8 2 6 3 4" xfId="26906" xr:uid="{1422E577-40E3-44AF-8E4B-75A017CF70E6}"/>
    <cellStyle name="常规 8 2 6 3 5" xfId="26907" xr:uid="{6A76A414-1BB5-4D36-9FC5-CAF359949A2F}"/>
    <cellStyle name="常规 8 2 6 3 6" xfId="26908" xr:uid="{C45EB5A9-1543-4CE8-B5D6-CF471CE76CF6}"/>
    <cellStyle name="常规 8 2 6 3 7" xfId="26909" xr:uid="{6A8B3A4E-60BA-442B-9690-717DDD5A4536}"/>
    <cellStyle name="常规 8 2 6 4" xfId="26910" xr:uid="{81A48C3B-A201-4831-B6DE-5C2221124F3C}"/>
    <cellStyle name="常规 8 2 6 4 2" xfId="26911" xr:uid="{DABA4D40-AD78-42DE-8F1F-1E32A922AD3E}"/>
    <cellStyle name="常规 8 2 6 4 2 2" xfId="26912" xr:uid="{C6DF07BF-4AAC-43CD-B3E4-D0C9539A184F}"/>
    <cellStyle name="常规 8 2 6 4 2 3" xfId="26913" xr:uid="{5703A31C-7BB7-4557-95D5-73A28C802CE9}"/>
    <cellStyle name="常规 8 2 6 4 2 4" xfId="26914" xr:uid="{ED3B04E7-E76F-4472-B7FF-97E08ADB9418}"/>
    <cellStyle name="常规 8 2 6 4 2 5" xfId="26915" xr:uid="{C707B0D8-07D2-4E89-9266-16F08423CD07}"/>
    <cellStyle name="常规 8 2 6 4 2 6" xfId="26916" xr:uid="{79BF831D-F641-45CD-B516-1A50A3397411}"/>
    <cellStyle name="常规 8 2 6 4 3" xfId="26917" xr:uid="{4315DC47-B2DB-4CA8-8827-6E3E2FFDDF25}"/>
    <cellStyle name="常规 8 2 6 4 4" xfId="26918" xr:uid="{15FDF110-D700-48F8-A1F1-D2B8593A6DBE}"/>
    <cellStyle name="常规 8 2 6 4 5" xfId="26919" xr:uid="{DF668B19-DD63-4919-BA49-D030555C4F00}"/>
    <cellStyle name="常规 8 2 6 4 6" xfId="26920" xr:uid="{61698B0F-E4A1-4548-A060-F5D0F4F318A0}"/>
    <cellStyle name="常规 8 2 6 4 7" xfId="26921" xr:uid="{3E8AA9F4-B702-4DB5-B35B-7AB7522EEFE9}"/>
    <cellStyle name="常规 8 2 6 5" xfId="26922" xr:uid="{A42F728B-3E7D-4224-9ECB-91C3E5FF90F6}"/>
    <cellStyle name="常规 8 2 6 5 2" xfId="26923" xr:uid="{05150792-8FA6-485C-8B64-DECD2D1CC509}"/>
    <cellStyle name="常规 8 2 6 5 2 2" xfId="26924" xr:uid="{F5607A11-AC2F-4150-97E1-66C8EB9ED91A}"/>
    <cellStyle name="常规 8 2 6 5 2 3" xfId="26925" xr:uid="{F3AD9EEE-6FB0-4C7A-AB60-4048EF27EE50}"/>
    <cellStyle name="常规 8 2 6 5 2 4" xfId="26926" xr:uid="{A0A13529-3FF5-468E-AB62-7847A6506EB2}"/>
    <cellStyle name="常规 8 2 6 5 2 5" xfId="26927" xr:uid="{A8E4C334-6A06-4768-A2AC-40CDB38CA11D}"/>
    <cellStyle name="常规 8 2 6 5 2 6" xfId="26928" xr:uid="{4C2D286A-62D4-4458-915A-577A60B9F70A}"/>
    <cellStyle name="常规 8 2 6 5 3" xfId="26929" xr:uid="{AC06B27F-4251-4760-8D98-2788ED5E65F3}"/>
    <cellStyle name="常规 8 2 6 5 4" xfId="26930" xr:uid="{1509EDDA-EDC2-45A5-9469-652924A61977}"/>
    <cellStyle name="常规 8 2 6 5 5" xfId="26931" xr:uid="{971432D8-FFE5-4316-B48A-2ABD1D1FA8BE}"/>
    <cellStyle name="常规 8 2 6 5 6" xfId="26932" xr:uid="{8582F0B9-16BB-4E8C-A370-C4936622B95E}"/>
    <cellStyle name="常规 8 2 6 5 7" xfId="26933" xr:uid="{A57ABBDF-B723-4FF3-9471-A14773FBD913}"/>
    <cellStyle name="常规 8 2 6 6" xfId="26934" xr:uid="{1E7E7B99-BD0D-4BBD-969B-416817F804AE}"/>
    <cellStyle name="常规 8 2 6 6 2" xfId="26935" xr:uid="{DD89DF3F-06CF-4248-892B-AAE9EF4314C2}"/>
    <cellStyle name="常规 8 2 6 6 2 2" xfId="26936" xr:uid="{8541BD60-DF58-46D2-915E-DC06A656B556}"/>
    <cellStyle name="常规 8 2 6 6 2 3" xfId="26937" xr:uid="{536407E4-73F6-49E0-8BF5-7A84C6E2409F}"/>
    <cellStyle name="常规 8 2 6 6 2 4" xfId="26938" xr:uid="{7EB16A65-B097-4032-B893-A54EC6D5665C}"/>
    <cellStyle name="常规 8 2 6 6 2 5" xfId="26939" xr:uid="{19908F34-B4A8-4291-AAEF-939FDADD555B}"/>
    <cellStyle name="常规 8 2 6 6 2 6" xfId="26940" xr:uid="{53AE9757-827B-492F-93A5-88D3D3E2AD76}"/>
    <cellStyle name="常规 8 2 6 6 3" xfId="26941" xr:uid="{37EFA279-221F-4829-94C3-C6C580437625}"/>
    <cellStyle name="常规 8 2 6 6 4" xfId="26942" xr:uid="{ACF562C9-197E-4B6D-9DE5-147175415471}"/>
    <cellStyle name="常规 8 2 6 6 5" xfId="26943" xr:uid="{7101B88D-EE96-4DC4-B9E7-1051A4830B1A}"/>
    <cellStyle name="常规 8 2 6 6 6" xfId="26944" xr:uid="{85958E02-E270-463C-BA1E-F0563BB64AF7}"/>
    <cellStyle name="常规 8 2 6 6 7" xfId="26945" xr:uid="{1B71255E-FCEA-4B17-BD32-3F01503F0585}"/>
    <cellStyle name="常规 8 2 6 7" xfId="26946" xr:uid="{F509CC15-3685-4EE4-9A96-311C53E2F6BC}"/>
    <cellStyle name="常规 8 2 6 7 2" xfId="26947" xr:uid="{BB55BE50-C28D-41DD-81A2-D8B9990BC8A4}"/>
    <cellStyle name="常规 8 2 6 7 2 2" xfId="26948" xr:uid="{AD83B46F-1867-4271-8F06-A2B5ACD3DBB5}"/>
    <cellStyle name="常规 8 2 6 7 2 3" xfId="26949" xr:uid="{FECB275F-3F73-419C-A775-E2ED03325B2F}"/>
    <cellStyle name="常规 8 2 6 7 2 4" xfId="26950" xr:uid="{79782AD4-386A-4143-BDAB-2A2E7B9C0A48}"/>
    <cellStyle name="常规 8 2 6 7 2 5" xfId="26951" xr:uid="{242F1383-7874-4E9B-BDAF-D97F78D72071}"/>
    <cellStyle name="常规 8 2 6 7 2 6" xfId="26952" xr:uid="{10CF1A28-6BFA-48BC-BA89-DA34D54184DE}"/>
    <cellStyle name="常规 8 2 6 7 3" xfId="26953" xr:uid="{1DA8046A-653E-41C1-AEC4-B0CEB67556E4}"/>
    <cellStyle name="常规 8 2 6 7 4" xfId="26954" xr:uid="{72FD6D5E-7D27-4E77-972D-5FFC8B4A3BB8}"/>
    <cellStyle name="常规 8 2 6 7 5" xfId="26955" xr:uid="{82782FF4-7D12-40EF-B6D2-0611FF9D1BF5}"/>
    <cellStyle name="常规 8 2 6 7 6" xfId="26956" xr:uid="{AD0EA76E-0C56-4426-9988-CEDB8EE7DDB4}"/>
    <cellStyle name="常规 8 2 6 7 7" xfId="26957" xr:uid="{8D9723EE-2B9C-48B1-AEBC-E150964D6B71}"/>
    <cellStyle name="常规 8 2 6 8" xfId="26958" xr:uid="{9D1A1B90-FD77-4A7E-A7D2-0EEABB135B7F}"/>
    <cellStyle name="常规 8 2 6 8 2" xfId="26959" xr:uid="{18DA6F41-5430-4163-AE3A-A5846C674B83}"/>
    <cellStyle name="常规 8 2 6 8 2 2" xfId="26960" xr:uid="{35728088-0D95-46A8-93DD-CEDF528B31CF}"/>
    <cellStyle name="常规 8 2 6 8 2 3" xfId="26961" xr:uid="{9E83FC7B-9D78-4A95-A62A-3EFE7A674C71}"/>
    <cellStyle name="常规 8 2 6 8 2 4" xfId="26962" xr:uid="{554F8017-193B-410E-A7BF-448020A5C571}"/>
    <cellStyle name="常规 8 2 6 8 2 5" xfId="26963" xr:uid="{6027AEE7-04D7-446D-A8EB-1341DBA1B744}"/>
    <cellStyle name="常规 8 2 6 8 2 6" xfId="26964" xr:uid="{4C7E601E-533B-4DCE-A1B9-B8672EB903AF}"/>
    <cellStyle name="常规 8 2 6 8 3" xfId="26965" xr:uid="{5A07B2AB-21C0-4BBD-8A29-D84BF049179E}"/>
    <cellStyle name="常规 8 2 6 8 4" xfId="26966" xr:uid="{E989D70B-2866-48BB-9B1C-6A4A2EBE39AA}"/>
    <cellStyle name="常规 8 2 6 8 5" xfId="26967" xr:uid="{03E0F50E-F3FF-499F-99E8-F08C1D12AD16}"/>
    <cellStyle name="常规 8 2 6 8 6" xfId="26968" xr:uid="{D35190B4-DF3F-42DA-A060-089808863819}"/>
    <cellStyle name="常规 8 2 6 8 7" xfId="26969" xr:uid="{92DD07E3-627F-4934-AB83-9F77A82BA9F2}"/>
    <cellStyle name="常规 8 2 6 9" xfId="26970" xr:uid="{46B342F1-F4DD-4AE9-9372-5B1AAB28202D}"/>
    <cellStyle name="常规 8 2 6 9 2" xfId="26971" xr:uid="{32F471B8-56FD-41C8-B959-2A44C5AC5F48}"/>
    <cellStyle name="常规 8 2 6 9 3" xfId="26972" xr:uid="{2740252F-0117-4044-933A-47E248FE663B}"/>
    <cellStyle name="常规 8 2 6 9 4" xfId="26973" xr:uid="{9E36F9A1-7CDA-4778-BF0E-35A5AD053EDE}"/>
    <cellStyle name="常规 8 2 6 9 5" xfId="26974" xr:uid="{B2107E44-C67E-474E-A3EF-B8D9B76CB6B9}"/>
    <cellStyle name="常规 8 2 6 9 6" xfId="26975" xr:uid="{2A901BF5-842B-4A3F-B5E1-C8A1671F3754}"/>
    <cellStyle name="常规 8 2 7" xfId="26976" xr:uid="{6B806A5B-A57D-419F-864D-028D2D012666}"/>
    <cellStyle name="常规 8 2 7 10" xfId="26977" xr:uid="{651C96A1-6FFA-43B5-B956-A9D761EBDF46}"/>
    <cellStyle name="常规 8 2 7 11" xfId="26978" xr:uid="{AC9D4A37-51B7-46CB-ABC6-45CC5FAF8653}"/>
    <cellStyle name="常规 8 2 7 12" xfId="26979" xr:uid="{34D5EE52-876C-4B5B-8C7C-286B339FA84C}"/>
    <cellStyle name="常规 8 2 7 13" xfId="26980" xr:uid="{71E6E5EE-0E50-4B1F-82A9-6C93C38E99C7}"/>
    <cellStyle name="常规 8 2 7 14" xfId="26981" xr:uid="{DBE27D55-C74A-4BC0-9F08-BB18BC919ECD}"/>
    <cellStyle name="常规 8 2 7 2" xfId="26982" xr:uid="{9503971D-0012-471C-AC68-C08FC685F932}"/>
    <cellStyle name="常规 8 2 7 2 2" xfId="26983" xr:uid="{B949E093-F31D-4A0E-A8E1-27F614AB065C}"/>
    <cellStyle name="常规 8 2 7 2 2 2" xfId="26984" xr:uid="{4A0DB3B0-8608-488D-89C1-F80389BBE25D}"/>
    <cellStyle name="常规 8 2 7 2 2 3" xfId="26985" xr:uid="{329372A9-7F3C-445F-BE72-70C554EAAB22}"/>
    <cellStyle name="常规 8 2 7 2 2 4" xfId="26986" xr:uid="{AAADEDE7-0EFD-4D09-99C0-9E9B14C176B9}"/>
    <cellStyle name="常规 8 2 7 2 2 5" xfId="26987" xr:uid="{E7073E44-0487-40E3-A9BF-DFB0F27FA18F}"/>
    <cellStyle name="常规 8 2 7 2 2 6" xfId="26988" xr:uid="{DFAAD54F-6CF4-40F8-AB78-FE107CF4C611}"/>
    <cellStyle name="常规 8 2 7 2 3" xfId="26989" xr:uid="{F23E42F7-F6EB-45FC-B49D-0D6E094E1B6A}"/>
    <cellStyle name="常规 8 2 7 2 4" xfId="26990" xr:uid="{93BED0EE-97FE-41FD-B3AE-C8871C7E3D10}"/>
    <cellStyle name="常规 8 2 7 2 5" xfId="26991" xr:uid="{0036B76F-CEDF-4AB0-B123-AE651AFD9D85}"/>
    <cellStyle name="常规 8 2 7 2 6" xfId="26992" xr:uid="{6FEEA8DC-29AB-49FD-8005-02C80014BFA3}"/>
    <cellStyle name="常规 8 2 7 2 7" xfId="26993" xr:uid="{0BD8F630-B537-490A-BE41-3F919F0AB9FB}"/>
    <cellStyle name="常规 8 2 7 3" xfId="26994" xr:uid="{92225241-0CC6-4CDF-8DB0-D235489434C9}"/>
    <cellStyle name="常规 8 2 7 3 2" xfId="26995" xr:uid="{570464BA-9A46-4744-BF6B-D818677DD96B}"/>
    <cellStyle name="常规 8 2 7 3 2 2" xfId="26996" xr:uid="{EF451395-BF38-47CE-AA3A-16E57B57DE70}"/>
    <cellStyle name="常规 8 2 7 3 2 3" xfId="26997" xr:uid="{220B9A63-8484-415E-B77C-61055992084D}"/>
    <cellStyle name="常规 8 2 7 3 2 4" xfId="26998" xr:uid="{DD2BDB56-16F2-48F4-9277-6EC6CC55D260}"/>
    <cellStyle name="常规 8 2 7 3 2 5" xfId="26999" xr:uid="{EAA84CF7-61F6-43B1-B67A-E03BB5D426DA}"/>
    <cellStyle name="常规 8 2 7 3 2 6" xfId="27000" xr:uid="{D77FECE9-40BE-439A-8D4A-665D659B75B7}"/>
    <cellStyle name="常规 8 2 7 3 3" xfId="27001" xr:uid="{DCDC4CBA-92FF-4C2F-A4AB-0AC0E904212E}"/>
    <cellStyle name="常规 8 2 7 3 4" xfId="27002" xr:uid="{01C17F0E-932B-45F7-BA44-90D2501E4F20}"/>
    <cellStyle name="常规 8 2 7 3 5" xfId="27003" xr:uid="{028D87DD-B4EC-4FE5-9847-F566D71E157C}"/>
    <cellStyle name="常规 8 2 7 3 6" xfId="27004" xr:uid="{27E9B69D-3B80-421B-B357-351CF359B2BD}"/>
    <cellStyle name="常规 8 2 7 3 7" xfId="27005" xr:uid="{9DFBFBE8-A32D-4647-AC48-35BD4B0107F7}"/>
    <cellStyle name="常规 8 2 7 4" xfId="27006" xr:uid="{E896AA48-C220-4541-953D-52EC93120728}"/>
    <cellStyle name="常规 8 2 7 4 2" xfId="27007" xr:uid="{A9120A8F-1B7D-499A-893D-056521EB822D}"/>
    <cellStyle name="常规 8 2 7 4 2 2" xfId="27008" xr:uid="{677953FA-1D3B-490F-8F54-74275C6223A5}"/>
    <cellStyle name="常规 8 2 7 4 2 3" xfId="27009" xr:uid="{FE6E10EF-1F9F-4DC7-8EF9-EF6D6809FEC1}"/>
    <cellStyle name="常规 8 2 7 4 2 4" xfId="27010" xr:uid="{17C91C36-D04F-43D9-9386-FABCB926FD18}"/>
    <cellStyle name="常规 8 2 7 4 2 5" xfId="27011" xr:uid="{CC890C74-8BF6-4533-8F05-F5173A340494}"/>
    <cellStyle name="常规 8 2 7 4 2 6" xfId="27012" xr:uid="{3FC399A1-F22B-442A-857B-823356A97A38}"/>
    <cellStyle name="常规 8 2 7 4 3" xfId="27013" xr:uid="{58CAD3F3-D7BC-4999-B791-D349AE138962}"/>
    <cellStyle name="常规 8 2 7 4 4" xfId="27014" xr:uid="{1E27E82B-78FB-4743-AB05-BD14462C0EE5}"/>
    <cellStyle name="常规 8 2 7 4 5" xfId="27015" xr:uid="{EBBB5A67-B338-45DA-B928-EEB9C8906C7A}"/>
    <cellStyle name="常规 8 2 7 4 6" xfId="27016" xr:uid="{7EFDE091-6A19-4B8E-8374-139A6EB4F5D5}"/>
    <cellStyle name="常规 8 2 7 4 7" xfId="27017" xr:uid="{DB794E6F-D8B8-48E1-8F0F-9D188B866243}"/>
    <cellStyle name="常规 8 2 7 5" xfId="27018" xr:uid="{829612A3-003D-406A-AFF3-2677246DDE95}"/>
    <cellStyle name="常规 8 2 7 5 2" xfId="27019" xr:uid="{F5F13C42-C62D-4FF3-BEF6-303CDA09B3B6}"/>
    <cellStyle name="常规 8 2 7 5 2 2" xfId="27020" xr:uid="{1D684D6F-4D15-4520-B29C-C350B80C0D64}"/>
    <cellStyle name="常规 8 2 7 5 2 3" xfId="27021" xr:uid="{1444F460-BA61-497D-9EA7-F3CED2F2000F}"/>
    <cellStyle name="常规 8 2 7 5 2 4" xfId="27022" xr:uid="{CA0A272D-CA4E-4061-AA2C-0ADA2CEFE9AF}"/>
    <cellStyle name="常规 8 2 7 5 2 5" xfId="27023" xr:uid="{738DEF1B-6274-4BC6-85F0-684FCC56D0F0}"/>
    <cellStyle name="常规 8 2 7 5 2 6" xfId="27024" xr:uid="{A7274971-9340-4136-B319-F20750BFABB7}"/>
    <cellStyle name="常规 8 2 7 5 3" xfId="27025" xr:uid="{96AD7C25-3BD5-49CC-BA93-EBD204F3D5E2}"/>
    <cellStyle name="常规 8 2 7 5 4" xfId="27026" xr:uid="{68E18A15-B44A-4A3E-8FBF-C3491C584CFB}"/>
    <cellStyle name="常规 8 2 7 5 5" xfId="27027" xr:uid="{223B29F5-AB1C-4895-A841-77C8AC3970FB}"/>
    <cellStyle name="常规 8 2 7 5 6" xfId="27028" xr:uid="{B6C391DE-E9FA-4AF8-8056-2AD1DA9FD185}"/>
    <cellStyle name="常规 8 2 7 5 7" xfId="27029" xr:uid="{7E95478C-1C3E-4B6F-BA30-8ED2319B9960}"/>
    <cellStyle name="常规 8 2 7 6" xfId="27030" xr:uid="{FCAC2852-B090-4A39-8A5E-BA35AC30F791}"/>
    <cellStyle name="常规 8 2 7 6 2" xfId="27031" xr:uid="{A648F7B0-44A4-492F-B7E1-A0F9EC10F07E}"/>
    <cellStyle name="常规 8 2 7 6 2 2" xfId="27032" xr:uid="{6B039AC4-6731-46D1-8720-1FCEB7126C95}"/>
    <cellStyle name="常规 8 2 7 6 2 3" xfId="27033" xr:uid="{978C753C-E28B-4C59-B23C-77FAEA92A07E}"/>
    <cellStyle name="常规 8 2 7 6 2 4" xfId="27034" xr:uid="{3146A88B-E93F-4479-8C7C-9E3EA5C54AF9}"/>
    <cellStyle name="常规 8 2 7 6 2 5" xfId="27035" xr:uid="{E9A94A48-A9AE-475A-B643-466CC1DAF155}"/>
    <cellStyle name="常规 8 2 7 6 2 6" xfId="27036" xr:uid="{1B4408DE-9B1E-48EA-A654-9E4D52C6F4FE}"/>
    <cellStyle name="常规 8 2 7 6 3" xfId="27037" xr:uid="{A15D369A-F74C-43DC-9D57-3B35C1D8D4EF}"/>
    <cellStyle name="常规 8 2 7 6 4" xfId="27038" xr:uid="{C283E6A7-1754-4F91-9173-C5533B689121}"/>
    <cellStyle name="常规 8 2 7 6 5" xfId="27039" xr:uid="{1E162561-9EC4-419D-893E-E82C57232989}"/>
    <cellStyle name="常规 8 2 7 6 6" xfId="27040" xr:uid="{28A31CAB-3B27-4A6F-9000-57870EF39DA1}"/>
    <cellStyle name="常规 8 2 7 6 7" xfId="27041" xr:uid="{9265A1A3-4EB1-472E-97A0-933CC5B26830}"/>
    <cellStyle name="常规 8 2 7 7" xfId="27042" xr:uid="{B4C3DD4D-16D8-46B4-9F08-33593621EA57}"/>
    <cellStyle name="常规 8 2 7 7 2" xfId="27043" xr:uid="{99E9B466-7EA6-4050-8FB0-BB19FF1BEB9A}"/>
    <cellStyle name="常规 8 2 7 7 2 2" xfId="27044" xr:uid="{40E27D21-8346-49C5-9E50-6699B9106D2B}"/>
    <cellStyle name="常规 8 2 7 7 2 3" xfId="27045" xr:uid="{66EDE1C7-AB14-4BA5-8A9A-CD098756BEB0}"/>
    <cellStyle name="常规 8 2 7 7 2 4" xfId="27046" xr:uid="{B14D2B34-4B36-41B8-804A-757499B5B90C}"/>
    <cellStyle name="常规 8 2 7 7 2 5" xfId="27047" xr:uid="{532114BB-49DA-4100-AC47-F5E67D2ECB95}"/>
    <cellStyle name="常规 8 2 7 7 2 6" xfId="27048" xr:uid="{DDE4A458-3EFB-494B-9E98-9E73639344D7}"/>
    <cellStyle name="常规 8 2 7 7 3" xfId="27049" xr:uid="{A90E898F-3C58-4A10-B083-ADC081DE5BF6}"/>
    <cellStyle name="常规 8 2 7 7 4" xfId="27050" xr:uid="{8169FD98-4A39-4A91-B4BC-DD6282811439}"/>
    <cellStyle name="常规 8 2 7 7 5" xfId="27051" xr:uid="{7779FFFC-AFFF-49E3-8AED-51604E992F5E}"/>
    <cellStyle name="常规 8 2 7 7 6" xfId="27052" xr:uid="{D1E28127-0231-43A3-A3D2-14303E1833B5}"/>
    <cellStyle name="常规 8 2 7 7 7" xfId="27053" xr:uid="{979E6EAF-3992-4E3F-B892-D4A9BCF475F2}"/>
    <cellStyle name="常规 8 2 7 8" xfId="27054" xr:uid="{E626EEE1-9F5D-4E3D-85A5-03803CB3ECDE}"/>
    <cellStyle name="常规 8 2 7 8 2" xfId="27055" xr:uid="{0318DA01-AAA5-4E96-A350-1B6E952028BB}"/>
    <cellStyle name="常规 8 2 7 8 3" xfId="27056" xr:uid="{450426FB-72C1-4FA7-8483-D309812F7606}"/>
    <cellStyle name="常规 8 2 7 8 4" xfId="27057" xr:uid="{3C9F88F6-4265-42E9-B6B5-4F897D2F005F}"/>
    <cellStyle name="常规 8 2 7 8 5" xfId="27058" xr:uid="{D8F3D182-F245-4982-AEC4-B94022233BEA}"/>
    <cellStyle name="常规 8 2 7 8 6" xfId="27059" xr:uid="{790D1B5E-9C7A-4BDE-8837-8035B55BE311}"/>
    <cellStyle name="常规 8 2 7 9" xfId="27060" xr:uid="{14DECDD2-B5FE-4605-ACB3-59ED4692E19D}"/>
    <cellStyle name="常规 8 2 8" xfId="27061" xr:uid="{82B1CD1D-3AD6-4578-B17C-79DCADA27DD0}"/>
    <cellStyle name="常规 8 2 8 10" xfId="27062" xr:uid="{D8E516AE-F76C-478D-92F2-142ED9AECE73}"/>
    <cellStyle name="常规 8 2 8 11" xfId="27063" xr:uid="{B597F415-8DE7-4FCF-B66D-1FB08BB66873}"/>
    <cellStyle name="常规 8 2 8 12" xfId="27064" xr:uid="{B422CEFF-DD9F-438C-B34C-958732FD2210}"/>
    <cellStyle name="常规 8 2 8 13" xfId="27065" xr:uid="{E4FD5D99-4543-4DF1-A000-6873EA120F02}"/>
    <cellStyle name="常规 8 2 8 14" xfId="34616" xr:uid="{515AD874-F8C1-4B9D-8DF8-39441875C527}"/>
    <cellStyle name="常规 8 2 8 2" xfId="27066" xr:uid="{97A7DD7C-797E-4997-8896-7D8957AB4AAD}"/>
    <cellStyle name="常规 8 2 8 2 2" xfId="27067" xr:uid="{26A90AD6-FC3D-4BDC-B7B5-A176EC58E31C}"/>
    <cellStyle name="常规 8 2 8 2 2 2" xfId="27068" xr:uid="{9DF4EBF3-99B8-4391-A954-312846256B4F}"/>
    <cellStyle name="常规 8 2 8 2 2 3" xfId="27069" xr:uid="{AA6B5C82-629E-4A88-9AB8-E45ED02F5180}"/>
    <cellStyle name="常规 8 2 8 2 2 4" xfId="27070" xr:uid="{7D5419B2-4224-4535-960B-E8CD4EE04257}"/>
    <cellStyle name="常规 8 2 8 2 2 5" xfId="27071" xr:uid="{D8B7BB50-CAB6-4720-ADF6-25BB4FF9706C}"/>
    <cellStyle name="常规 8 2 8 2 2 6" xfId="27072" xr:uid="{DD6CAF6F-77B6-417A-844F-3576AB0EDCBD}"/>
    <cellStyle name="常规 8 2 8 2 3" xfId="27073" xr:uid="{5E3B2F65-EE21-47DD-9172-B6481CEDA293}"/>
    <cellStyle name="常规 8 2 8 2 4" xfId="27074" xr:uid="{8E1A8A57-898D-473C-9911-51466C961155}"/>
    <cellStyle name="常规 8 2 8 2 5" xfId="27075" xr:uid="{BC156862-DF0A-4412-84F2-23F0FBD2DD18}"/>
    <cellStyle name="常规 8 2 8 2 6" xfId="27076" xr:uid="{8AFB931A-9356-4424-9A1B-701F008AD362}"/>
    <cellStyle name="常规 8 2 8 2 7" xfId="27077" xr:uid="{E23B53E3-7BE5-452D-921C-809AFA2DC63E}"/>
    <cellStyle name="常规 8 2 8 3" xfId="27078" xr:uid="{77F91F96-2396-4F80-8CE0-D7F10BC3AF80}"/>
    <cellStyle name="常规 8 2 8 3 2" xfId="27079" xr:uid="{7294083A-CBD4-4189-803B-7F0C9437E1B8}"/>
    <cellStyle name="常规 8 2 8 3 2 2" xfId="27080" xr:uid="{B8DC6B05-1EC1-4798-A63C-77DC7BEE0000}"/>
    <cellStyle name="常规 8 2 8 3 2 3" xfId="27081" xr:uid="{92631A50-C32D-4607-9A32-DBD93D5B191D}"/>
    <cellStyle name="常规 8 2 8 3 2 4" xfId="27082" xr:uid="{56106AD8-A2C8-4481-9F0E-F30C1E9CBF01}"/>
    <cellStyle name="常规 8 2 8 3 2 5" xfId="27083" xr:uid="{FE09060B-54D9-4784-8524-99A05BC55DA3}"/>
    <cellStyle name="常规 8 2 8 3 2 6" xfId="27084" xr:uid="{C82FD6B6-C248-42A1-8408-17E2DABC57ED}"/>
    <cellStyle name="常规 8 2 8 3 3" xfId="27085" xr:uid="{804D960C-2978-44BB-B2F8-1BCE3DC30BE2}"/>
    <cellStyle name="常规 8 2 8 3 4" xfId="27086" xr:uid="{D995D008-AAA9-4321-8E5D-137A5CE3E817}"/>
    <cellStyle name="常规 8 2 8 3 5" xfId="27087" xr:uid="{CDB8D96E-7F31-4606-9523-02FD0D7ECDE9}"/>
    <cellStyle name="常规 8 2 8 3 6" xfId="27088" xr:uid="{3AECAE4F-3907-4C67-B542-E606048B19F6}"/>
    <cellStyle name="常规 8 2 8 3 7" xfId="27089" xr:uid="{E8FEA070-48EE-4D8D-9E6E-1AE297743009}"/>
    <cellStyle name="常规 8 2 8 4" xfId="27090" xr:uid="{E9CB35FF-3D18-4D16-9DA9-7C108A0B758C}"/>
    <cellStyle name="常规 8 2 8 4 2" xfId="27091" xr:uid="{9400E605-FB56-4A48-9BAB-064953D7C0E0}"/>
    <cellStyle name="常规 8 2 8 4 2 2" xfId="27092" xr:uid="{3F9B0EB8-EFCD-485C-AF4E-A572B915CC4C}"/>
    <cellStyle name="常规 8 2 8 4 2 3" xfId="27093" xr:uid="{F4248481-FBB4-4212-9C30-D4F3D4EEE8FC}"/>
    <cellStyle name="常规 8 2 8 4 2 4" xfId="27094" xr:uid="{F42E2923-3523-41F4-8894-354F965B0D9A}"/>
    <cellStyle name="常规 8 2 8 4 2 5" xfId="27095" xr:uid="{9801BFDB-8A06-409C-A196-D61399ED2B82}"/>
    <cellStyle name="常规 8 2 8 4 2 6" xfId="27096" xr:uid="{5AEDCAA6-78E8-44D9-8830-8C9866B0F3E7}"/>
    <cellStyle name="常规 8 2 8 4 3" xfId="27097" xr:uid="{B43403AB-1028-42D1-BD84-936EC784B85C}"/>
    <cellStyle name="常规 8 2 8 4 4" xfId="27098" xr:uid="{AED9F575-028C-4218-A020-39B89010E36E}"/>
    <cellStyle name="常规 8 2 8 4 5" xfId="27099" xr:uid="{F6F0079A-ED98-4237-9046-1EA42D5FD3F6}"/>
    <cellStyle name="常规 8 2 8 4 6" xfId="27100" xr:uid="{4C0F8986-FB36-4370-805E-D01C0CF2452B}"/>
    <cellStyle name="常规 8 2 8 4 7" xfId="27101" xr:uid="{DC35955D-35E6-4FDD-997A-94B6FBAEA738}"/>
    <cellStyle name="常规 8 2 8 5" xfId="27102" xr:uid="{EAE53EE8-E70E-4570-A58B-7CC6A49BA28B}"/>
    <cellStyle name="常规 8 2 8 5 2" xfId="27103" xr:uid="{E6EAE064-C90A-4494-9370-4CC250C268F8}"/>
    <cellStyle name="常规 8 2 8 5 2 2" xfId="27104" xr:uid="{F9175AD2-C860-4FDC-AAE1-BA0058293796}"/>
    <cellStyle name="常规 8 2 8 5 2 3" xfId="27105" xr:uid="{34840C1C-5130-457A-A463-D6429FFCC16C}"/>
    <cellStyle name="常规 8 2 8 5 2 4" xfId="27106" xr:uid="{183525C7-0D31-4894-BF79-5C23401FAE71}"/>
    <cellStyle name="常规 8 2 8 5 2 5" xfId="27107" xr:uid="{5DC9ED73-7065-4C1A-9CBF-FC1F813D49B2}"/>
    <cellStyle name="常规 8 2 8 5 2 6" xfId="27108" xr:uid="{02AD3984-A918-4052-9C00-BCCDD9BFA2E3}"/>
    <cellStyle name="常规 8 2 8 5 3" xfId="27109" xr:uid="{0644A263-CD86-41C9-956D-83C8A5FB70AA}"/>
    <cellStyle name="常规 8 2 8 5 4" xfId="27110" xr:uid="{98DC6078-ED5B-402A-96CC-B8350501299B}"/>
    <cellStyle name="常规 8 2 8 5 5" xfId="27111" xr:uid="{52D1D4DF-A3A4-4023-AD5A-B029B27D2C74}"/>
    <cellStyle name="常规 8 2 8 5 6" xfId="27112" xr:uid="{F8D85D58-F67B-4DFE-BA6F-2F9861A324B7}"/>
    <cellStyle name="常规 8 2 8 5 7" xfId="27113" xr:uid="{FC651D86-BDCB-4EE4-952E-10BE81D26E32}"/>
    <cellStyle name="常规 8 2 8 6" xfId="27114" xr:uid="{06E93F11-F128-4926-BA1F-1D493B3DF8AE}"/>
    <cellStyle name="常规 8 2 8 6 2" xfId="27115" xr:uid="{9CF558C3-B837-476D-A4AC-FC37583D68B4}"/>
    <cellStyle name="常规 8 2 8 6 2 2" xfId="27116" xr:uid="{8BF107DD-2E1C-4CC2-AD83-236293F9E4BC}"/>
    <cellStyle name="常规 8 2 8 6 2 3" xfId="27117" xr:uid="{DBFC6347-9ADD-49E5-AB76-50DA4CC632C9}"/>
    <cellStyle name="常规 8 2 8 6 2 4" xfId="27118" xr:uid="{B7A6BD8B-153A-41A0-B101-567C6B62FBD2}"/>
    <cellStyle name="常规 8 2 8 6 2 5" xfId="27119" xr:uid="{3C57676A-4EF6-43D9-960C-019344535210}"/>
    <cellStyle name="常规 8 2 8 6 2 6" xfId="27120" xr:uid="{19E44057-E869-4017-A72C-EA8EA800A7DB}"/>
    <cellStyle name="常规 8 2 8 6 3" xfId="27121" xr:uid="{0A2E1063-0983-4AE1-B066-F838617B07A8}"/>
    <cellStyle name="常规 8 2 8 6 4" xfId="27122" xr:uid="{86AC6FFF-79D3-49E9-ADE4-B302BA1AA375}"/>
    <cellStyle name="常规 8 2 8 6 5" xfId="27123" xr:uid="{E2D32B5C-8759-4F95-8B7D-6708DD51D81B}"/>
    <cellStyle name="常规 8 2 8 6 6" xfId="27124" xr:uid="{F9D0D9AB-0A72-47C4-B17F-34FCD4878F60}"/>
    <cellStyle name="常规 8 2 8 6 7" xfId="27125" xr:uid="{112DEE27-FEF3-428D-B845-92BAC1072758}"/>
    <cellStyle name="常规 8 2 8 7" xfId="27126" xr:uid="{5CCC2322-3285-4576-9D30-04ADB6E55328}"/>
    <cellStyle name="常规 8 2 8 7 2" xfId="27127" xr:uid="{DB56805D-693D-440E-98C4-233568B278DF}"/>
    <cellStyle name="常规 8 2 8 7 3" xfId="27128" xr:uid="{CB2D6C9F-3FBF-4E91-B87C-61839E95C368}"/>
    <cellStyle name="常规 8 2 8 7 4" xfId="27129" xr:uid="{36C61DF1-73D4-4983-87D3-342A48D6A1BE}"/>
    <cellStyle name="常规 8 2 8 7 5" xfId="27130" xr:uid="{5A27A30B-994F-42DE-9E7D-D337048EEC47}"/>
    <cellStyle name="常规 8 2 8 7 6" xfId="27131" xr:uid="{D7EFEC57-A7E2-49C2-A055-3F0885F59647}"/>
    <cellStyle name="常规 8 2 8 8" xfId="27132" xr:uid="{78C103BB-7A57-4EBF-83FA-896D417067C7}"/>
    <cellStyle name="常规 8 2 8 9" xfId="27133" xr:uid="{29430BB6-C40A-4B20-8B64-C3B9CDA822AE}"/>
    <cellStyle name="常规 8 2 9" xfId="27134" xr:uid="{6A4C5BE5-BDBE-4285-8D71-EA10BAF180A5}"/>
    <cellStyle name="常规 8 2 9 10" xfId="27135" xr:uid="{075A8EA2-DF2C-47A7-BF92-0B06045E077C}"/>
    <cellStyle name="常规 8 2 9 11" xfId="27136" xr:uid="{4C47D28B-E4D5-47CA-BC31-4A0747DF2B81}"/>
    <cellStyle name="常规 8 2 9 12" xfId="27137" xr:uid="{9B396B75-E74B-4650-9BDB-5E95D97375C8}"/>
    <cellStyle name="常规 8 2 9 2" xfId="27138" xr:uid="{0FB28B95-6DFE-4DB2-A3CF-531041B7CD99}"/>
    <cellStyle name="常规 8 2 9 2 2" xfId="27139" xr:uid="{50D145C1-E381-42CD-8E3E-ED0447526153}"/>
    <cellStyle name="常规 8 2 9 2 2 2" xfId="27140" xr:uid="{C6BB84EC-4A5B-4423-80A5-985A77449111}"/>
    <cellStyle name="常规 8 2 9 2 2 3" xfId="27141" xr:uid="{6A8D1972-827C-499A-A5BE-B6DF4624A301}"/>
    <cellStyle name="常规 8 2 9 2 2 4" xfId="27142" xr:uid="{F47B32AE-67B5-46BA-BE08-DB9A1C23A48F}"/>
    <cellStyle name="常规 8 2 9 2 2 5" xfId="27143" xr:uid="{D82719E5-A4D9-433B-8ED2-03CE8C36F7A8}"/>
    <cellStyle name="常规 8 2 9 2 2 6" xfId="27144" xr:uid="{E14ED46C-B9C1-433E-98CF-786BB13BEAC7}"/>
    <cellStyle name="常规 8 2 9 2 3" xfId="27145" xr:uid="{570B1449-F0F5-4BA7-AC7C-87B9A19ACFAC}"/>
    <cellStyle name="常规 8 2 9 2 4" xfId="27146" xr:uid="{493D7861-CFA9-4430-B9F1-ABD10BDF700B}"/>
    <cellStyle name="常规 8 2 9 2 5" xfId="27147" xr:uid="{6A2B24E9-A528-4EF7-A195-9E88536164A0}"/>
    <cellStyle name="常规 8 2 9 2 6" xfId="27148" xr:uid="{5AB7F10E-8183-4A2B-9146-C545155C51F6}"/>
    <cellStyle name="常规 8 2 9 2 7" xfId="27149" xr:uid="{FA07BC20-063E-453A-BCD0-37D91648BC8C}"/>
    <cellStyle name="常规 8 2 9 3" xfId="27150" xr:uid="{FE14A9B1-CF1B-434A-B390-6A8F7553833E}"/>
    <cellStyle name="常规 8 2 9 3 2" xfId="27151" xr:uid="{EB50EB24-DDED-4FB6-A089-68249DCFAF52}"/>
    <cellStyle name="常规 8 2 9 3 2 2" xfId="27152" xr:uid="{1030438A-8780-458E-BDB9-A868A3A6672D}"/>
    <cellStyle name="常规 8 2 9 3 2 3" xfId="27153" xr:uid="{E4D72EE9-B3B1-49B9-8A42-DD1D8A2D5322}"/>
    <cellStyle name="常规 8 2 9 3 2 4" xfId="27154" xr:uid="{FA1C088F-90DD-423B-A82E-CEB084E5AAC0}"/>
    <cellStyle name="常规 8 2 9 3 2 5" xfId="27155" xr:uid="{062EEECF-4A3D-468E-AF24-5BF73AF2581B}"/>
    <cellStyle name="常规 8 2 9 3 2 6" xfId="27156" xr:uid="{5E0518B0-8D39-4A79-B3C0-C3C9F3ED3667}"/>
    <cellStyle name="常规 8 2 9 3 3" xfId="27157" xr:uid="{20495E43-28DD-4550-BB95-5BFC0A4319DC}"/>
    <cellStyle name="常规 8 2 9 3 4" xfId="27158" xr:uid="{92AF9AAB-1562-4983-ACC6-75FA3C383663}"/>
    <cellStyle name="常规 8 2 9 3 5" xfId="27159" xr:uid="{368220E8-D761-4F91-A795-E28C175E5269}"/>
    <cellStyle name="常规 8 2 9 3 6" xfId="27160" xr:uid="{D2E55C7E-04CF-438D-9680-E2839BB5EE48}"/>
    <cellStyle name="常规 8 2 9 3 7" xfId="27161" xr:uid="{C880063B-4552-43DA-9EC2-91D5EBB026C8}"/>
    <cellStyle name="常规 8 2 9 4" xfId="27162" xr:uid="{C6413EDB-B854-4576-BC79-F854820F185E}"/>
    <cellStyle name="常规 8 2 9 4 2" xfId="27163" xr:uid="{77DF064E-50CB-4451-925E-CC942A6D6A12}"/>
    <cellStyle name="常规 8 2 9 4 2 2" xfId="27164" xr:uid="{E8B059EB-622F-474C-A52E-5499BBF0B43F}"/>
    <cellStyle name="常规 8 2 9 4 2 3" xfId="27165" xr:uid="{99B30120-DC49-49BC-BD72-9A18C913174A}"/>
    <cellStyle name="常规 8 2 9 4 2 4" xfId="27166" xr:uid="{047F3449-85BD-407C-9B7B-E8BFFC0513A5}"/>
    <cellStyle name="常规 8 2 9 4 2 5" xfId="27167" xr:uid="{8D09D2B4-9EFF-47AB-939A-B2791747CA3A}"/>
    <cellStyle name="常规 8 2 9 4 2 6" xfId="27168" xr:uid="{638E9DCD-A6D4-48D5-8544-A58D997B4F68}"/>
    <cellStyle name="常规 8 2 9 4 3" xfId="27169" xr:uid="{4B2B064E-1A3F-44FF-9750-28CF9990AE26}"/>
    <cellStyle name="常规 8 2 9 4 4" xfId="27170" xr:uid="{ED3BEAA4-4E4D-4B14-A276-1EBE27E17E02}"/>
    <cellStyle name="常规 8 2 9 4 5" xfId="27171" xr:uid="{F8431FF0-B3A6-4AA9-B0BE-4DA4711F88D1}"/>
    <cellStyle name="常规 8 2 9 4 6" xfId="27172" xr:uid="{49385500-3179-470C-BA0D-BC4169A376DF}"/>
    <cellStyle name="常规 8 2 9 4 7" xfId="27173" xr:uid="{3032CE39-50ED-43FD-9304-262FF0259C49}"/>
    <cellStyle name="常规 8 2 9 5" xfId="27174" xr:uid="{9168BA8C-A9E5-4FB9-AD07-0BDD0A9A047A}"/>
    <cellStyle name="常规 8 2 9 5 2" xfId="27175" xr:uid="{CC7BFD07-25F7-4EA1-A00A-8B03A0CDABCB}"/>
    <cellStyle name="常规 8 2 9 5 2 2" xfId="27176" xr:uid="{B0720029-CE7A-4B7E-83CF-6ED2871F7C04}"/>
    <cellStyle name="常规 8 2 9 5 2 3" xfId="27177" xr:uid="{C6CF2B4E-F08C-4A19-A3B9-AEA0C5F1644D}"/>
    <cellStyle name="常规 8 2 9 5 2 4" xfId="27178" xr:uid="{2310B91E-4773-4BEE-A49C-DBE97A789A63}"/>
    <cellStyle name="常规 8 2 9 5 2 5" xfId="27179" xr:uid="{F31CBBD1-B2C5-47F8-A993-C789C9A84F4C}"/>
    <cellStyle name="常规 8 2 9 5 2 6" xfId="27180" xr:uid="{8535B178-D4EA-4A97-A433-11A1DF602AAB}"/>
    <cellStyle name="常规 8 2 9 5 3" xfId="27181" xr:uid="{72866141-C33F-4516-8338-351C9CE16EF8}"/>
    <cellStyle name="常规 8 2 9 5 4" xfId="27182" xr:uid="{68815788-9C86-48DA-BE90-F6FBA2A42A27}"/>
    <cellStyle name="常规 8 2 9 5 5" xfId="27183" xr:uid="{6E108F14-67DC-49F2-BD6C-5E9FC0EA76C0}"/>
    <cellStyle name="常规 8 2 9 5 6" xfId="27184" xr:uid="{BF9FFBDE-B1BA-4E86-A08D-70CA2EA6C539}"/>
    <cellStyle name="常规 8 2 9 5 7" xfId="27185" xr:uid="{91BD80DD-2569-4B58-B261-F716E0D354F9}"/>
    <cellStyle name="常规 8 2 9 6" xfId="27186" xr:uid="{4B72115F-9AF6-4AF7-A2DB-9B2B92B4C0BB}"/>
    <cellStyle name="常规 8 2 9 6 2" xfId="27187" xr:uid="{97FDA117-C996-428F-9E02-5B18B45890DD}"/>
    <cellStyle name="常规 8 2 9 6 3" xfId="27188" xr:uid="{15214C2C-8EB4-4E30-8A10-C83D9A959E0F}"/>
    <cellStyle name="常规 8 2 9 6 4" xfId="27189" xr:uid="{9F13E7EC-2060-40D4-A31C-6A54D7C4339D}"/>
    <cellStyle name="常规 8 2 9 6 5" xfId="27190" xr:uid="{FC7BB700-3E46-4F8F-9025-87EE8CA7F06F}"/>
    <cellStyle name="常规 8 2 9 6 6" xfId="27191" xr:uid="{5F68E469-E984-4D9D-9B06-EBF86081DE53}"/>
    <cellStyle name="常规 8 2 9 7" xfId="27192" xr:uid="{1C4CE6A0-6908-48E9-AA43-4EE31E8704EB}"/>
    <cellStyle name="常规 8 2 9 8" xfId="27193" xr:uid="{6C6D1540-F227-4DC0-B44F-98172C546A5D}"/>
    <cellStyle name="常规 8 2 9 9" xfId="27194" xr:uid="{77EFEFCF-4523-49D7-BD0A-9F35D686088C}"/>
    <cellStyle name="常规 8 20" xfId="27195" xr:uid="{B62D5823-EF24-4F46-BE05-A0F55FA8B84C}"/>
    <cellStyle name="常规 8 20 2" xfId="27196" xr:uid="{8F089A4E-2C30-4563-8F39-7B01718300EC}"/>
    <cellStyle name="常规 8 20 2 2" xfId="27197" xr:uid="{3EBEF5C2-8341-47E8-96A1-DD0EAD00FD0B}"/>
    <cellStyle name="常规 8 20 2 3" xfId="27198" xr:uid="{5C0DB341-8EA9-4B3E-9578-DA736435FEC0}"/>
    <cellStyle name="常规 8 20 2 4" xfId="27199" xr:uid="{6AA5F083-0ADC-45C9-8232-6045DDB340DA}"/>
    <cellStyle name="常规 8 20 2 5" xfId="27200" xr:uid="{E974C32B-01C6-4579-9AC3-2BBD59757DB0}"/>
    <cellStyle name="常规 8 20 2 6" xfId="27201" xr:uid="{EC81FDC3-7C31-4BFB-8AA7-AF13767CD6A6}"/>
    <cellStyle name="常规 8 20 3" xfId="27202" xr:uid="{C8524D10-DB14-4F49-914E-21781340D5E8}"/>
    <cellStyle name="常规 8 20 4" xfId="27203" xr:uid="{5EA6C478-5A22-4AC8-BF32-84D8464B0BC0}"/>
    <cellStyle name="常规 8 20 5" xfId="27204" xr:uid="{3BB62C76-B91B-4397-B1D7-B99BCD102553}"/>
    <cellStyle name="常规 8 20 6" xfId="27205" xr:uid="{074E614B-A0BD-4D33-8322-85B1DC0C5D1F}"/>
    <cellStyle name="常规 8 20 7" xfId="27206" xr:uid="{638A3E72-6050-4A58-BD93-CBC13CEB1175}"/>
    <cellStyle name="常规 8 21" xfId="27207" xr:uid="{BB33DE8A-8530-4C3E-BBA6-ABEDFAB30DC0}"/>
    <cellStyle name="常规 8 21 2" xfId="27208" xr:uid="{4D72BB85-7A97-4BC5-8D9C-72C6553BDC20}"/>
    <cellStyle name="常规 8 21 3" xfId="27209" xr:uid="{0ED577B7-E3A1-4D21-B3B9-A026D076BE06}"/>
    <cellStyle name="常规 8 21 4" xfId="27210" xr:uid="{1F672DD8-252D-4D89-ACD5-1E96FF107AFE}"/>
    <cellStyle name="常规 8 21 5" xfId="27211" xr:uid="{1A4B3B2A-BB83-4724-A7AA-8DFA0E93EC3C}"/>
    <cellStyle name="常规 8 21 6" xfId="27212" xr:uid="{472EE181-72E6-4ACE-9D53-7BD5FBE48E70}"/>
    <cellStyle name="常规 8 22" xfId="27213" xr:uid="{D92214D7-F9CC-44A5-BF17-C09DE4A0C22A}"/>
    <cellStyle name="常规 8 22 2" xfId="27214" xr:uid="{E604456D-9FA5-4ADD-96E1-59AC037FDD8C}"/>
    <cellStyle name="常规 8 22 3" xfId="27215" xr:uid="{425C3306-2FD6-43F9-8436-4D0640608759}"/>
    <cellStyle name="常规 8 22 4" xfId="27216" xr:uid="{20DFF12B-0671-4607-A309-1C27A31AA656}"/>
    <cellStyle name="常规 8 22 5" xfId="27217" xr:uid="{9C878FA8-2B5B-4F22-B92D-BAC9B48BFEF4}"/>
    <cellStyle name="常规 8 22 6" xfId="27218" xr:uid="{22C29F1C-217F-4B11-A9FB-5E1879140F3A}"/>
    <cellStyle name="常规 8 23" xfId="27219" xr:uid="{14563A35-D159-4681-94C4-B01BB75FC532}"/>
    <cellStyle name="常规 8 24" xfId="27220" xr:uid="{59E12003-54F8-4433-9371-258C8F2FDDE5}"/>
    <cellStyle name="常规 8 25" xfId="27221" xr:uid="{E31DCE17-9E6C-43E1-83C4-6B7AE3A0789A}"/>
    <cellStyle name="常规 8 26" xfId="27222" xr:uid="{4C22E791-6C53-449C-B084-586B05D0D69B}"/>
    <cellStyle name="常规 8 27" xfId="27223" xr:uid="{10E2447C-88B7-4840-A85A-76FD835EDC65}"/>
    <cellStyle name="常规 8 28" xfId="27224" xr:uid="{C83F50C8-A33F-4E05-8515-13CBC7C7A006}"/>
    <cellStyle name="常规 8 29" xfId="27225" xr:uid="{C9927B22-FB1C-4714-9FF3-F013AAC6503B}"/>
    <cellStyle name="常规 8 3" xfId="27226" xr:uid="{9A4B786F-1030-4B2D-B2F3-58D76F99D203}"/>
    <cellStyle name="常规 8 3 10" xfId="27227" xr:uid="{C7BAFC1D-0337-434E-9FA7-3FD6D95F4C3D}"/>
    <cellStyle name="常规 8 3 10 2" xfId="27228" xr:uid="{207FE194-BDCF-4DC6-A32D-9E78E913FB6A}"/>
    <cellStyle name="常规 8 3 10 2 2" xfId="27229" xr:uid="{62B06156-2098-47C8-96D5-8BF09EBE6B61}"/>
    <cellStyle name="常规 8 3 10 2 2 2" xfId="27230" xr:uid="{D598806D-360C-447E-BF1F-0958C4F53C37}"/>
    <cellStyle name="常规 8 3 10 2 2 3" xfId="27231" xr:uid="{1AF6F2BB-06E0-4646-9C89-9DEB98841A35}"/>
    <cellStyle name="常规 8 3 10 2 2 4" xfId="27232" xr:uid="{BE514BB1-2473-4BC4-82A0-3D49F832AE82}"/>
    <cellStyle name="常规 8 3 10 2 2 5" xfId="27233" xr:uid="{495ADAD5-1AF5-4649-B12C-6F885AF2E84B}"/>
    <cellStyle name="常规 8 3 10 2 2 6" xfId="27234" xr:uid="{B2E0186D-FCDC-4D60-9307-BBF49DABCF7F}"/>
    <cellStyle name="常规 8 3 10 2 3" xfId="27235" xr:uid="{9C135023-708F-4A18-91F7-1D07125EF90A}"/>
    <cellStyle name="常规 8 3 10 2 4" xfId="27236" xr:uid="{8D0FB686-5A40-41A5-B6A5-9BD7FFA83579}"/>
    <cellStyle name="常规 8 3 10 2 5" xfId="27237" xr:uid="{4D3B873C-ACEE-4CF7-BE8E-ABBFCE379023}"/>
    <cellStyle name="常规 8 3 10 2 6" xfId="27238" xr:uid="{177289D1-43BE-4C4F-9D9B-AF2E7778FE55}"/>
    <cellStyle name="常规 8 3 10 2 7" xfId="27239" xr:uid="{26C42ED8-0E29-45BC-92C2-5E54129C192A}"/>
    <cellStyle name="常规 8 3 10 3" xfId="27240" xr:uid="{C2818CD1-6828-4877-B08C-A4FAAA6EFC7C}"/>
    <cellStyle name="常规 8 3 10 3 2" xfId="27241" xr:uid="{47E667C0-8A06-4974-B107-2F7B4D7B5723}"/>
    <cellStyle name="常规 8 3 10 3 2 2" xfId="27242" xr:uid="{193BDF26-4BF8-410D-BB93-38CFC4A58C31}"/>
    <cellStyle name="常规 8 3 10 3 2 3" xfId="27243" xr:uid="{BDDEE9F8-303B-4541-BB97-596AEC6B3E6F}"/>
    <cellStyle name="常规 8 3 10 3 2 4" xfId="27244" xr:uid="{E129B094-F6DC-4319-877B-C34AFF07ADF8}"/>
    <cellStyle name="常规 8 3 10 3 2 5" xfId="27245" xr:uid="{EBA141FA-BB5C-4EB1-A8F4-E11A4A5D8F51}"/>
    <cellStyle name="常规 8 3 10 3 2 6" xfId="27246" xr:uid="{644AD83B-5137-47C9-9D91-9BD409B362E2}"/>
    <cellStyle name="常规 8 3 10 3 3" xfId="27247" xr:uid="{B3EE142E-C223-45F4-83F0-8658FE5845CB}"/>
    <cellStyle name="常规 8 3 10 3 4" xfId="27248" xr:uid="{F8D5CC36-1EF2-46FD-B478-854CC0516E0F}"/>
    <cellStyle name="常规 8 3 10 3 5" xfId="27249" xr:uid="{57D5799E-C79F-4FCC-8A06-4B62C0F2DE38}"/>
    <cellStyle name="常规 8 3 10 3 6" xfId="27250" xr:uid="{DCD9E4D6-D3BB-47BA-B2F2-5F88238A9908}"/>
    <cellStyle name="常规 8 3 10 3 7" xfId="27251" xr:uid="{7A9FE601-EF52-4065-8EF4-E9F198632D52}"/>
    <cellStyle name="常规 8 3 10 4" xfId="27252" xr:uid="{4B724E03-BFCE-4F25-A47A-05ECEA10B13B}"/>
    <cellStyle name="常规 8 3 10 4 2" xfId="27253" xr:uid="{53EE6DFC-BA81-4581-9F4F-5BBDEA3F8331}"/>
    <cellStyle name="常规 8 3 10 4 3" xfId="27254" xr:uid="{B8D3EA6B-F8E6-478C-99C8-35D823BA93FA}"/>
    <cellStyle name="常规 8 3 10 4 4" xfId="27255" xr:uid="{2A8A8201-A208-498C-A629-2CAE3023405E}"/>
    <cellStyle name="常规 8 3 10 4 5" xfId="27256" xr:uid="{EF993AB6-7290-4273-9169-3A311E0CA3B9}"/>
    <cellStyle name="常规 8 3 10 4 6" xfId="27257" xr:uid="{497A5F7D-3DE2-4F98-BDE0-617A66784916}"/>
    <cellStyle name="常规 8 3 10 5" xfId="27258" xr:uid="{1D7050AE-D26E-401A-9ACD-79C0FF68FF06}"/>
    <cellStyle name="常规 8 3 10 6" xfId="27259" xr:uid="{F8BE863A-8F9B-4773-B07D-E93E7B7FB523}"/>
    <cellStyle name="常规 8 3 10 7" xfId="27260" xr:uid="{CA4FD7CB-1548-4D23-8B4F-783161245D9A}"/>
    <cellStyle name="常规 8 3 10 8" xfId="27261" xr:uid="{F27BDE95-6B66-4027-8CDC-F06063CD547E}"/>
    <cellStyle name="常规 8 3 10 9" xfId="27262" xr:uid="{6C8D0333-3AC0-4045-93F1-81539FC68C3B}"/>
    <cellStyle name="常规 8 3 11" xfId="27263" xr:uid="{804C0012-4E2F-4CFC-B88D-535E37250560}"/>
    <cellStyle name="常规 8 3 11 2" xfId="27264" xr:uid="{72CF0493-6F55-436C-8DB6-C23402CE0AA6}"/>
    <cellStyle name="常规 8 3 11 2 2" xfId="27265" xr:uid="{5388DC60-CBD6-48FB-9022-322DE4A3F36F}"/>
    <cellStyle name="常规 8 3 11 2 2 2" xfId="27266" xr:uid="{FD750778-5F57-4A6F-9E2E-37C9DAD1CFA3}"/>
    <cellStyle name="常规 8 3 11 2 2 3" xfId="27267" xr:uid="{2834041C-2F94-4147-B5AB-C636FDACE8D6}"/>
    <cellStyle name="常规 8 3 11 2 2 4" xfId="27268" xr:uid="{1A451243-3BAE-4B44-A4B7-4B4A3A1BE86D}"/>
    <cellStyle name="常规 8 3 11 2 2 5" xfId="27269" xr:uid="{F1160142-1FFC-4FCE-893C-D86AC2AA9EC9}"/>
    <cellStyle name="常规 8 3 11 2 2 6" xfId="27270" xr:uid="{161E4E4C-2363-4739-A24A-436DB53D6D8F}"/>
    <cellStyle name="常规 8 3 11 2 3" xfId="27271" xr:uid="{B43583ED-5B30-40BE-91D5-38959592E513}"/>
    <cellStyle name="常规 8 3 11 2 4" xfId="27272" xr:uid="{DD5904D8-A85E-4029-8D6B-6408D02830B2}"/>
    <cellStyle name="常规 8 3 11 2 5" xfId="27273" xr:uid="{37C0467D-E7BB-4756-9863-430E9C56BAFD}"/>
    <cellStyle name="常规 8 3 11 2 6" xfId="27274" xr:uid="{A787DEC8-EF1B-4A55-9054-D0C4FA779A09}"/>
    <cellStyle name="常规 8 3 11 2 7" xfId="27275" xr:uid="{E8932C76-97A6-4896-9B93-DBF2FD12553F}"/>
    <cellStyle name="常规 8 3 11 3" xfId="27276" xr:uid="{0671561A-B436-4013-9122-5474FF096658}"/>
    <cellStyle name="常规 8 3 11 3 2" xfId="27277" xr:uid="{8F3A7AA6-64AE-44B4-BBB0-6D80FF973C3E}"/>
    <cellStyle name="常规 8 3 11 3 3" xfId="27278" xr:uid="{6C88D2CC-F11E-42DC-8A7E-31922857CF96}"/>
    <cellStyle name="常规 8 3 11 3 4" xfId="27279" xr:uid="{9C691A50-82BA-436A-8C04-3F11B37054A0}"/>
    <cellStyle name="常规 8 3 11 3 5" xfId="27280" xr:uid="{52E3F4D7-E3C4-4953-9BF7-EF4E0FCD4C6A}"/>
    <cellStyle name="常规 8 3 11 3 6" xfId="27281" xr:uid="{ACA16AF6-6664-41CD-8431-A98C148DEEDB}"/>
    <cellStyle name="常规 8 3 11 4" xfId="27282" xr:uid="{2F1BA432-441A-4B7F-9787-CF349700B492}"/>
    <cellStyle name="常规 8 3 11 5" xfId="27283" xr:uid="{BDB197C8-49AD-45C3-B902-C3E850A31444}"/>
    <cellStyle name="常规 8 3 11 6" xfId="27284" xr:uid="{865E806E-2633-447F-A44F-4EBE55896551}"/>
    <cellStyle name="常规 8 3 11 7" xfId="27285" xr:uid="{8885C92A-7DA9-4B6B-9E26-9CF8E94840F2}"/>
    <cellStyle name="常规 8 3 11 8" xfId="27286" xr:uid="{42990B30-00B4-4D37-B2E4-76BC3C09A92D}"/>
    <cellStyle name="常规 8 3 12" xfId="27287" xr:uid="{F479FDEE-F8CE-40A8-8B4A-609C8ABB1DB0}"/>
    <cellStyle name="常规 8 3 12 2" xfId="27288" xr:uid="{71D4A8BA-A5B2-490E-BA7B-82C076B15277}"/>
    <cellStyle name="常规 8 3 12 2 2" xfId="27289" xr:uid="{0C15E78E-58DF-4285-8751-60F1193222C6}"/>
    <cellStyle name="常规 8 3 12 2 2 2" xfId="27290" xr:uid="{0884D34A-0FB2-492E-B428-A913A82E50E2}"/>
    <cellStyle name="常规 8 3 12 2 2 3" xfId="27291" xr:uid="{4EA1373C-CAA5-4583-AF99-08FC0F511D47}"/>
    <cellStyle name="常规 8 3 12 2 2 4" xfId="27292" xr:uid="{D6B730FB-2497-4F6E-8B1A-A8C6EFF90A51}"/>
    <cellStyle name="常规 8 3 12 2 2 5" xfId="27293" xr:uid="{B5811A8E-5DBD-4C1B-9E18-663CA4BC2166}"/>
    <cellStyle name="常规 8 3 12 2 2 6" xfId="27294" xr:uid="{81376CBB-2C0D-4436-A2CB-EAE8E6D2FC1D}"/>
    <cellStyle name="常规 8 3 12 2 3" xfId="27295" xr:uid="{CDC6D66A-19FF-412C-84C1-462B03B6A6BC}"/>
    <cellStyle name="常规 8 3 12 2 4" xfId="27296" xr:uid="{1B73027F-BF9B-493B-9A35-71B8A31EA985}"/>
    <cellStyle name="常规 8 3 12 2 5" xfId="27297" xr:uid="{220B75BD-79E1-45A8-BB68-9553B80A24B2}"/>
    <cellStyle name="常规 8 3 12 2 6" xfId="27298" xr:uid="{C93C8B9E-06FD-4379-9143-042EBA877CA4}"/>
    <cellStyle name="常规 8 3 12 2 7" xfId="27299" xr:uid="{03B854F6-1782-44C9-899C-98130DC19A91}"/>
    <cellStyle name="常规 8 3 12 3" xfId="27300" xr:uid="{254F91F3-70AE-496E-9B67-51D4A724EF69}"/>
    <cellStyle name="常规 8 3 12 3 2" xfId="27301" xr:uid="{1438A3C5-14E3-4D5C-9B54-AD84910C4483}"/>
    <cellStyle name="常规 8 3 12 3 3" xfId="27302" xr:uid="{65F7FBAE-3947-4672-8958-F4F682DBF085}"/>
    <cellStyle name="常规 8 3 12 3 4" xfId="27303" xr:uid="{307780F7-3F20-473C-891A-CA77FE4FC410}"/>
    <cellStyle name="常规 8 3 12 3 5" xfId="27304" xr:uid="{E0701FCC-28A1-4668-8D17-431E99F29780}"/>
    <cellStyle name="常规 8 3 12 3 6" xfId="27305" xr:uid="{4C5633D9-7F7B-4088-9A98-10550074AAE2}"/>
    <cellStyle name="常规 8 3 12 4" xfId="27306" xr:uid="{08AEC471-AACD-431A-A73F-E8C5784B373A}"/>
    <cellStyle name="常规 8 3 12 5" xfId="27307" xr:uid="{2A0B28D6-78D3-481E-95B6-E5BFDA06758F}"/>
    <cellStyle name="常规 8 3 12 6" xfId="27308" xr:uid="{0E99A890-1532-4EA1-BDC3-5AE0F6ED7C55}"/>
    <cellStyle name="常规 8 3 12 7" xfId="27309" xr:uid="{3D6E5FA8-B154-47BC-8B15-46AA3AB51382}"/>
    <cellStyle name="常规 8 3 12 8" xfId="27310" xr:uid="{002E4AAA-04DA-43A3-825E-06FF4DEB32AE}"/>
    <cellStyle name="常规 8 3 13" xfId="27311" xr:uid="{B15DF60B-6333-4525-BA1E-AC8315358412}"/>
    <cellStyle name="常规 8 3 13 2" xfId="27312" xr:uid="{9C690D26-8CA8-4723-8BB0-6D44C46E1523}"/>
    <cellStyle name="常规 8 3 13 2 2" xfId="27313" xr:uid="{17F6C50B-62D4-447F-ACED-7B5E77F914C4}"/>
    <cellStyle name="常规 8 3 13 2 2 2" xfId="27314" xr:uid="{0F4ED465-23F7-490A-8963-30CF2D1BD93C}"/>
    <cellStyle name="常规 8 3 13 2 2 3" xfId="27315" xr:uid="{369443E9-F198-40F7-A239-5444FC3B0980}"/>
    <cellStyle name="常规 8 3 13 2 2 4" xfId="27316" xr:uid="{A42544A0-36F6-4FF9-B5E0-545F057BB16E}"/>
    <cellStyle name="常规 8 3 13 2 2 5" xfId="27317" xr:uid="{DEADF9A3-1464-45E0-9ADC-4D9FA76DFD05}"/>
    <cellStyle name="常规 8 3 13 2 2 6" xfId="27318" xr:uid="{1C9ACE98-58E0-425E-9A3C-45A896053B2B}"/>
    <cellStyle name="常规 8 3 13 2 3" xfId="27319" xr:uid="{8ED51DF6-68DA-43E8-858B-67EF618DF3B4}"/>
    <cellStyle name="常规 8 3 13 2 4" xfId="27320" xr:uid="{7BF73024-E87E-4ED0-97A1-36E7F7F926BF}"/>
    <cellStyle name="常规 8 3 13 2 5" xfId="27321" xr:uid="{73837029-B528-46A2-A8FC-56C9B1305AE1}"/>
    <cellStyle name="常规 8 3 13 2 6" xfId="27322" xr:uid="{B048CFBE-E74B-4306-B654-8A83AED4C280}"/>
    <cellStyle name="常规 8 3 13 2 7" xfId="27323" xr:uid="{CF0A080B-8A00-4275-844E-64726FE46EA6}"/>
    <cellStyle name="常规 8 3 13 3" xfId="27324" xr:uid="{F1618489-B83A-458B-B627-BAD5753DC467}"/>
    <cellStyle name="常规 8 3 13 3 2" xfId="27325" xr:uid="{A943E2A7-70E1-44EC-B3F8-051E3F3CAAA1}"/>
    <cellStyle name="常规 8 3 13 3 3" xfId="27326" xr:uid="{1D5E00B1-CB1C-4461-8E6F-0C4F5E2EC53D}"/>
    <cellStyle name="常规 8 3 13 3 4" xfId="27327" xr:uid="{1D97BBF5-7FD5-4C01-A992-B4ECF7D03196}"/>
    <cellStyle name="常规 8 3 13 3 5" xfId="27328" xr:uid="{5CC1F5F1-525F-497F-A384-1E73F943F625}"/>
    <cellStyle name="常规 8 3 13 3 6" xfId="27329" xr:uid="{62013DA5-8EF3-4F56-8126-C339197CF2D7}"/>
    <cellStyle name="常规 8 3 13 4" xfId="27330" xr:uid="{2733082C-D8CA-4C08-99F7-C1784D08BD81}"/>
    <cellStyle name="常规 8 3 13 5" xfId="27331" xr:uid="{B3D839E1-8977-447C-AAA2-7D84FC8DD2EE}"/>
    <cellStyle name="常规 8 3 13 6" xfId="27332" xr:uid="{A7564B98-329E-4064-A61A-011F3FA64C51}"/>
    <cellStyle name="常规 8 3 13 7" xfId="27333" xr:uid="{1564BB59-FEB8-4006-B9DF-88C71A244AB4}"/>
    <cellStyle name="常规 8 3 13 8" xfId="27334" xr:uid="{43DC8BD6-88BA-4F2D-8995-E8B3861E7604}"/>
    <cellStyle name="常规 8 3 14" xfId="27335" xr:uid="{6402932B-8B4B-4821-957E-148AEDC919D6}"/>
    <cellStyle name="常规 8 3 14 2" xfId="27336" xr:uid="{0940BA07-BE46-438D-94E8-4F7EBCE12482}"/>
    <cellStyle name="常规 8 3 14 2 2" xfId="27337" xr:uid="{10E6D383-0920-4882-9B70-41462E60D49A}"/>
    <cellStyle name="常规 8 3 14 2 2 2" xfId="27338" xr:uid="{47ABDC3C-859C-4849-A184-D15EB33EDC4A}"/>
    <cellStyle name="常规 8 3 14 2 2 3" xfId="27339" xr:uid="{A604D393-65BC-4683-BAB0-88875AD9E555}"/>
    <cellStyle name="常规 8 3 14 2 2 4" xfId="27340" xr:uid="{61ADDCA6-253A-4519-88AE-B69C06B5A1DF}"/>
    <cellStyle name="常规 8 3 14 2 2 5" xfId="27341" xr:uid="{0099FDA4-3F31-4393-8501-C95977F566CF}"/>
    <cellStyle name="常规 8 3 14 2 2 6" xfId="27342" xr:uid="{EA08B2AE-D351-4465-95CA-988BEA35C380}"/>
    <cellStyle name="常规 8 3 14 2 3" xfId="27343" xr:uid="{79C9D90F-2B10-4782-8FD2-0306D76D1687}"/>
    <cellStyle name="常规 8 3 14 2 4" xfId="27344" xr:uid="{699EA760-D618-44A9-B8AA-328EEC93E8C6}"/>
    <cellStyle name="常规 8 3 14 2 5" xfId="27345" xr:uid="{1D527186-C563-4148-A722-6ED970A684AF}"/>
    <cellStyle name="常规 8 3 14 2 6" xfId="27346" xr:uid="{40DFAC2B-C149-4022-925A-4638DF6C17D1}"/>
    <cellStyle name="常规 8 3 14 2 7" xfId="27347" xr:uid="{B4B61D1F-8B39-4668-BBAB-6E04AD990921}"/>
    <cellStyle name="常规 8 3 14 3" xfId="27348" xr:uid="{C34F1CF4-88C3-47D2-9419-50F7DC0328A1}"/>
    <cellStyle name="常规 8 3 14 3 2" xfId="27349" xr:uid="{0B037E50-B686-41FC-BB26-D435DA397B7C}"/>
    <cellStyle name="常规 8 3 14 3 3" xfId="27350" xr:uid="{B4929BC8-A654-4D72-B516-0A0F2409F31F}"/>
    <cellStyle name="常规 8 3 14 3 4" xfId="27351" xr:uid="{EEAF5885-1D2E-47F5-A239-58FD49941E48}"/>
    <cellStyle name="常规 8 3 14 3 5" xfId="27352" xr:uid="{1F885A36-9F70-44C5-B438-93399B3A7DE1}"/>
    <cellStyle name="常规 8 3 14 3 6" xfId="27353" xr:uid="{94C25BEE-A396-4429-9FB6-79B9BA640B23}"/>
    <cellStyle name="常规 8 3 14 4" xfId="27354" xr:uid="{8D026C74-9DE1-4E00-968D-F86D949032EC}"/>
    <cellStyle name="常规 8 3 14 5" xfId="27355" xr:uid="{B475EF57-5383-47E7-820D-499C6B618164}"/>
    <cellStyle name="常规 8 3 14 6" xfId="27356" xr:uid="{A35A7F09-93D9-4F16-8CBB-1B421758FBFD}"/>
    <cellStyle name="常规 8 3 14 7" xfId="27357" xr:uid="{60B3CA4F-237F-4838-B98D-0B2F5C58BAA0}"/>
    <cellStyle name="常规 8 3 14 8" xfId="27358" xr:uid="{9390AA9E-F52A-4C04-977A-10CD96E00B9A}"/>
    <cellStyle name="常规 8 3 15" xfId="27359" xr:uid="{326787C4-5917-4C32-A6A1-B9ACE98CDDB2}"/>
    <cellStyle name="常规 8 3 15 2" xfId="27360" xr:uid="{0BEF3EAE-3BF2-41D0-AC71-8BECD3EC7891}"/>
    <cellStyle name="常规 8 3 15 2 2" xfId="27361" xr:uid="{84A40A2C-1BC5-4D3A-BA4D-21C5DAB5A8BC}"/>
    <cellStyle name="常规 8 3 15 2 3" xfId="27362" xr:uid="{19EBC276-A16A-4F6D-917A-DFA11F4C0848}"/>
    <cellStyle name="常规 8 3 15 2 4" xfId="27363" xr:uid="{63956F82-B7C6-45B9-AB83-1ED30F2E504E}"/>
    <cellStyle name="常规 8 3 15 2 5" xfId="27364" xr:uid="{919E7EE3-9416-44A8-AE26-96AF6913E715}"/>
    <cellStyle name="常规 8 3 15 2 6" xfId="27365" xr:uid="{EA14196C-FA5F-419A-81BA-51991F275EDC}"/>
    <cellStyle name="常规 8 3 15 3" xfId="27366" xr:uid="{CF893A3E-49B5-405E-8395-C5265CA88B79}"/>
    <cellStyle name="常规 8 3 15 4" xfId="27367" xr:uid="{E0C90B50-B6FE-43D1-80D9-A748E88CD148}"/>
    <cellStyle name="常规 8 3 15 5" xfId="27368" xr:uid="{573A4BAF-F51F-4FAA-A79D-EFF47176BA23}"/>
    <cellStyle name="常规 8 3 15 6" xfId="27369" xr:uid="{99844307-5233-47DC-AE08-5A29ABC7C1AC}"/>
    <cellStyle name="常规 8 3 15 7" xfId="27370" xr:uid="{5A1CB027-50C1-4C63-9380-2945C7B661BD}"/>
    <cellStyle name="常规 8 3 16" xfId="27371" xr:uid="{16A8CBCC-A27B-4185-A800-A42F591B965E}"/>
    <cellStyle name="常规 8 3 16 2" xfId="27372" xr:uid="{36D81F3F-1F72-4D6B-8B70-D7D334F3754A}"/>
    <cellStyle name="常规 8 3 16 2 2" xfId="27373" xr:uid="{CCE7C306-87F7-4580-AA9E-5E4DE6F7CE4E}"/>
    <cellStyle name="常规 8 3 16 2 3" xfId="27374" xr:uid="{AF3E97CD-66F9-496E-81F8-69E705CC44A1}"/>
    <cellStyle name="常规 8 3 16 2 4" xfId="27375" xr:uid="{C3DF6A47-9D6F-4A7D-A2F6-848148F3167F}"/>
    <cellStyle name="常规 8 3 16 2 5" xfId="27376" xr:uid="{5B7F5469-EF5A-460E-BF75-813D9C1E1777}"/>
    <cellStyle name="常规 8 3 16 2 6" xfId="27377" xr:uid="{3C5B6D22-13A6-42FF-AE75-B92728CC5BBE}"/>
    <cellStyle name="常规 8 3 16 3" xfId="27378" xr:uid="{77D3ED40-C333-4C1D-AF86-3EC99BFEA3FD}"/>
    <cellStyle name="常规 8 3 16 4" xfId="27379" xr:uid="{A4FE6249-AAD7-4757-BBDA-4E5FC6390623}"/>
    <cellStyle name="常规 8 3 16 5" xfId="27380" xr:uid="{3C381828-B2B2-40C6-BE6C-77C16464F7CF}"/>
    <cellStyle name="常规 8 3 16 6" xfId="27381" xr:uid="{84DE2EAD-5AC3-47C1-8FD7-C381277DC702}"/>
    <cellStyle name="常规 8 3 16 7" xfId="27382" xr:uid="{270C06B6-F08D-4C9C-82BE-FE774665C2F3}"/>
    <cellStyle name="常规 8 3 17" xfId="27383" xr:uid="{0F8A8B41-5893-4604-B94C-68D449205E4D}"/>
    <cellStyle name="常规 8 3 17 2" xfId="27384" xr:uid="{3105DD0D-4697-48AA-B059-6CF3B3615158}"/>
    <cellStyle name="常规 8 3 17 2 2" xfId="27385" xr:uid="{1EA539AC-EAA6-4335-BB03-5C0DDE8A062A}"/>
    <cellStyle name="常规 8 3 17 2 3" xfId="27386" xr:uid="{AEC1451E-6081-4375-B78D-9CE638712F97}"/>
    <cellStyle name="常规 8 3 17 2 4" xfId="27387" xr:uid="{59DDBFFA-4A72-4E60-93D4-98F372278047}"/>
    <cellStyle name="常规 8 3 17 2 5" xfId="27388" xr:uid="{2D9E20AF-95B2-4F9C-8401-5738AAE30A87}"/>
    <cellStyle name="常规 8 3 17 2 6" xfId="27389" xr:uid="{B70FD873-E56A-4FCC-B22C-11E2DE72E45A}"/>
    <cellStyle name="常规 8 3 17 3" xfId="27390" xr:uid="{AFDC73CE-EC14-47DE-86C0-E5D79E4F0A34}"/>
    <cellStyle name="常规 8 3 17 4" xfId="27391" xr:uid="{456D1200-2D04-474B-954C-F9997F19A2F6}"/>
    <cellStyle name="常规 8 3 17 5" xfId="27392" xr:uid="{C1E2383B-D9FC-49EE-B339-444FB3981A2C}"/>
    <cellStyle name="常规 8 3 17 6" xfId="27393" xr:uid="{365D79C7-4AE6-432A-84F3-9944AABDA444}"/>
    <cellStyle name="常规 8 3 17 7" xfId="27394" xr:uid="{8F509D30-82CE-470A-AD53-810E3ACD20E3}"/>
    <cellStyle name="常规 8 3 18" xfId="27395" xr:uid="{AB84787D-CCF6-4F85-BE00-5A74568750AC}"/>
    <cellStyle name="常规 8 3 18 2" xfId="27396" xr:uid="{D0744182-7C73-479A-9983-065860B80655}"/>
    <cellStyle name="常规 8 3 18 3" xfId="27397" xr:uid="{625EBD29-5889-4C3F-A5BF-205311764D2F}"/>
    <cellStyle name="常规 8 3 18 4" xfId="27398" xr:uid="{339DE2A2-FC63-4C45-935C-A58E8D60AAC4}"/>
    <cellStyle name="常规 8 3 18 5" xfId="27399" xr:uid="{C3725DFA-92D2-408E-A79A-EB05763D4E4A}"/>
    <cellStyle name="常规 8 3 18 6" xfId="27400" xr:uid="{994CBDD5-74C4-4306-B843-49BEB61DA074}"/>
    <cellStyle name="常规 8 3 19" xfId="27401" xr:uid="{D814E389-C589-4036-A90C-2FDABDE4A23D}"/>
    <cellStyle name="常规 8 3 2" xfId="27402" xr:uid="{D6F20A38-3F8A-4DD3-84E1-739461F19631}"/>
    <cellStyle name="常规 8 3 2 10" xfId="27403" xr:uid="{3723A0BF-48F6-44FF-8DCA-BB7915F3DB2A}"/>
    <cellStyle name="常规 8 3 2 10 2" xfId="27404" xr:uid="{CF334CDB-F31C-45CF-8B85-BD2303733718}"/>
    <cellStyle name="常规 8 3 2 10 2 2" xfId="27405" xr:uid="{53A648EF-E41F-407B-891C-45B1F26B1B87}"/>
    <cellStyle name="常规 8 3 2 10 2 3" xfId="27406" xr:uid="{F7F3DEB3-EC76-4204-A1C1-C1DAF4CE947D}"/>
    <cellStyle name="常规 8 3 2 10 2 4" xfId="27407" xr:uid="{A2596237-EAA6-454F-901F-A60761575EEA}"/>
    <cellStyle name="常规 8 3 2 10 2 5" xfId="27408" xr:uid="{26ABF936-6B90-4E88-B7CC-6EFB7813780F}"/>
    <cellStyle name="常规 8 3 2 10 2 6" xfId="27409" xr:uid="{6399E718-2228-4323-BDBB-45494CCEB871}"/>
    <cellStyle name="常规 8 3 2 10 3" xfId="27410" xr:uid="{34EE11D6-0DCD-487A-82A9-F1D65642A76C}"/>
    <cellStyle name="常规 8 3 2 10 4" xfId="27411" xr:uid="{EB832780-A4EA-483F-8541-29464454120A}"/>
    <cellStyle name="常规 8 3 2 10 5" xfId="27412" xr:uid="{0EBECD42-4E7C-4398-A419-B002727EF47C}"/>
    <cellStyle name="常规 8 3 2 10 6" xfId="27413" xr:uid="{5307801E-4EAA-4934-AB5E-6B2274654BF0}"/>
    <cellStyle name="常规 8 3 2 10 7" xfId="27414" xr:uid="{6038BB62-5BFC-4591-8946-BFCC7CF186E8}"/>
    <cellStyle name="常规 8 3 2 11" xfId="27415" xr:uid="{EF879406-FE9A-4952-BD9D-81C5F56A6B04}"/>
    <cellStyle name="常规 8 3 2 11 2" xfId="27416" xr:uid="{0EFDF3AB-D203-434B-962F-65CE0EB9E655}"/>
    <cellStyle name="常规 8 3 2 11 2 2" xfId="27417" xr:uid="{6D121B05-3E75-45EB-9F4E-F11C823F15D9}"/>
    <cellStyle name="常规 8 3 2 11 2 3" xfId="27418" xr:uid="{81EF5962-26C7-408E-BC5C-C0FCD490642D}"/>
    <cellStyle name="常规 8 3 2 11 2 4" xfId="27419" xr:uid="{6137E5FD-54B4-4FA4-852D-259FDC2F5E30}"/>
    <cellStyle name="常规 8 3 2 11 2 5" xfId="27420" xr:uid="{2691FE42-67EB-4665-A6A9-38C350131EB5}"/>
    <cellStyle name="常规 8 3 2 11 2 6" xfId="27421" xr:uid="{3AEB1831-D957-46A4-9E89-8BB2E72443E4}"/>
    <cellStyle name="常规 8 3 2 11 3" xfId="27422" xr:uid="{DACBBA86-8F8B-42C5-B991-0DC176A809F2}"/>
    <cellStyle name="常规 8 3 2 11 4" xfId="27423" xr:uid="{A3C35436-4DDD-43BF-AA8E-E2E0D2A1860F}"/>
    <cellStyle name="常规 8 3 2 11 5" xfId="27424" xr:uid="{19BD67A8-6EF1-4839-AD4B-244B9B4E5D3F}"/>
    <cellStyle name="常规 8 3 2 11 6" xfId="27425" xr:uid="{59762058-A55E-424F-80CA-FAC0374DE8C2}"/>
    <cellStyle name="常规 8 3 2 11 7" xfId="27426" xr:uid="{750556AC-F5CC-4DD6-ADFC-8BF07D655348}"/>
    <cellStyle name="常规 8 3 2 12" xfId="27427" xr:uid="{D0F9407B-44B9-4FDC-87AF-222F1F4D64FB}"/>
    <cellStyle name="常规 8 3 2 12 2" xfId="27428" xr:uid="{B2E70B85-708E-4B91-B760-49357B435CF1}"/>
    <cellStyle name="常规 8 3 2 12 3" xfId="27429" xr:uid="{9A50A12D-5015-411C-A796-CE1903C974CB}"/>
    <cellStyle name="常规 8 3 2 12 4" xfId="27430" xr:uid="{40A3F5FC-337F-4EE3-A35E-F65AC7C8254D}"/>
    <cellStyle name="常规 8 3 2 12 5" xfId="27431" xr:uid="{9B4A6518-BF28-4AD3-ACB5-65AE75CA4E5F}"/>
    <cellStyle name="常规 8 3 2 12 6" xfId="27432" xr:uid="{B0EA87D7-83C9-4170-9C33-35137CADC5C0}"/>
    <cellStyle name="常规 8 3 2 13" xfId="27433" xr:uid="{7E8E5F43-371A-479B-ACA9-8D461EC2D97C}"/>
    <cellStyle name="常规 8 3 2 14" xfId="27434" xr:uid="{D95332E5-F3E7-44D4-9ABE-CA9E26C2EFF5}"/>
    <cellStyle name="常规 8 3 2 15" xfId="27435" xr:uid="{BB60A7F0-4C77-41B1-B470-AB188640EE6E}"/>
    <cellStyle name="常规 8 3 2 16" xfId="27436" xr:uid="{B1127F7B-01D5-4E6E-A44B-3F47EAE41FD7}"/>
    <cellStyle name="常规 8 3 2 17" xfId="27437" xr:uid="{EE2FC06B-9B87-4143-9A46-B736B5E3A152}"/>
    <cellStyle name="常规 8 3 2 18" xfId="27438" xr:uid="{9A1621DD-D8D4-4DC8-AE5C-F0EC78BD50BC}"/>
    <cellStyle name="常规 8 3 2 2" xfId="27439" xr:uid="{FC8449DA-A39B-4A12-B52B-C48A9D009912}"/>
    <cellStyle name="常规 8 3 2 2 2" xfId="27440" xr:uid="{4B4B8FF0-5BE5-428C-B147-0A1239B80070}"/>
    <cellStyle name="常规 8 3 2 2 2 2" xfId="27441" xr:uid="{D537AD86-1FE6-4EF1-9B14-2FC56DD99E85}"/>
    <cellStyle name="常规 8 3 2 2 2 2 2" xfId="27442" xr:uid="{E53B901C-2E4B-49F0-8046-905521D5EDEF}"/>
    <cellStyle name="常规 8 3 2 2 2 3" xfId="27443" xr:uid="{C86D0DFE-EF45-49F8-BA2D-E9484553B9F9}"/>
    <cellStyle name="常规 8 3 2 2 2 4" xfId="27444" xr:uid="{9A6EA177-B958-458A-A769-709A415D96E1}"/>
    <cellStyle name="常规 8 3 2 2 2 4 2" xfId="34617" xr:uid="{16B62059-C7DD-45D3-8EC6-4D4AAA5B0BDD}"/>
    <cellStyle name="常规 8 3 2 2 3" xfId="27445" xr:uid="{0A27F20C-577E-479C-9B13-F901A570DEF6}"/>
    <cellStyle name="常规 8 3 2 2 3 2" xfId="27446" xr:uid="{622EAEBA-0F42-493F-AFEF-2D013532287C}"/>
    <cellStyle name="常规 8 3 2 2 4" xfId="27447" xr:uid="{320E9CB5-B896-4830-9F66-2C47DEAF87FF}"/>
    <cellStyle name="常规 8 3 2 2 5" xfId="27448" xr:uid="{BDDFA5B1-0753-441F-99F2-9BE7B4AA903F}"/>
    <cellStyle name="常规 8 3 2 2 5 2" xfId="34618" xr:uid="{5FF23F6E-223E-4BBD-A0F9-3051E69A28B9}"/>
    <cellStyle name="常规 8 3 2 2 6" xfId="27449" xr:uid="{D8B02AC0-A643-41F5-A35C-9C98391B88A9}"/>
    <cellStyle name="常规 8 3 2 3" xfId="27450" xr:uid="{09FE7A28-03A7-4EE1-A211-7054F5C59297}"/>
    <cellStyle name="常规 8 3 2 3 2" xfId="27451" xr:uid="{30BBFBAA-49A4-4221-9B95-3BDE34E23774}"/>
    <cellStyle name="常规 8 3 2 3 2 2" xfId="27452" xr:uid="{1512AC9D-A8C9-457C-836A-96DB6E4C8F8A}"/>
    <cellStyle name="常规 8 3 2 3 2 3" xfId="27453" xr:uid="{734F3E05-644F-4437-9DB1-7844721F72C9}"/>
    <cellStyle name="常规 8 3 2 3 2 4" xfId="27454" xr:uid="{BE982ED2-E721-4D59-8187-3C6E19357820}"/>
    <cellStyle name="常规 8 3 2 3 2 5" xfId="27455" xr:uid="{BD9F49DF-F510-4E8B-8806-F46B2125CE6E}"/>
    <cellStyle name="常规 8 3 2 3 2 6" xfId="27456" xr:uid="{AA45F4DD-DAB9-432A-AA56-45F455FB9700}"/>
    <cellStyle name="常规 8 3 2 3 2 7" xfId="27457" xr:uid="{48774BB7-6A32-49AF-9F50-E330A51BE953}"/>
    <cellStyle name="常规 8 3 2 3 2 8" xfId="27458" xr:uid="{BC41EF29-D9EE-4E70-808E-47EEE161ED6D}"/>
    <cellStyle name="常规 8 3 2 3 3" xfId="27459" xr:uid="{F87C8B5B-E291-4BA9-ABE9-CE874A0BB17F}"/>
    <cellStyle name="常规 8 3 2 3 3 2" xfId="27460" xr:uid="{465BF01C-9744-4D6E-AAFC-06DD82313350}"/>
    <cellStyle name="常规 8 3 2 3 4" xfId="27461" xr:uid="{E06C22F3-29F1-4B84-9341-BFBF85D7A5E8}"/>
    <cellStyle name="常规 8 3 2 3 4 2" xfId="27462" xr:uid="{860D4F73-B4E2-4B1A-9F5D-610C42B26B30}"/>
    <cellStyle name="常规 8 3 2 3 4 3" xfId="34619" xr:uid="{5C0EB44D-8C03-4B04-BC11-DC73A93132BA}"/>
    <cellStyle name="常规 8 3 2 3 5" xfId="27463" xr:uid="{B20DAB98-4A9F-4458-BAC2-9A8E4D45F22F}"/>
    <cellStyle name="常规 8 3 2 3 6" xfId="27464" xr:uid="{666EB4E6-3E6F-4D75-8839-13520458915E}"/>
    <cellStyle name="常规 8 3 2 3 7" xfId="27465" xr:uid="{58328D7F-A236-4FBF-A248-D967B4A44489}"/>
    <cellStyle name="常规 8 3 2 3 8" xfId="27466" xr:uid="{C597AA9A-69E9-4C31-8CCC-36420A3E796B}"/>
    <cellStyle name="常规 8 3 2 4" xfId="27467" xr:uid="{2EAC7098-81A8-4563-BC14-FECEC8508A0F}"/>
    <cellStyle name="常规 8 3 2 4 2" xfId="27468" xr:uid="{1A2AD108-CED1-4D66-8960-A840FED421CC}"/>
    <cellStyle name="常规 8 3 2 4 2 2" xfId="27469" xr:uid="{58D7EB14-1D8B-47B8-BE30-4A2C66970D34}"/>
    <cellStyle name="常规 8 3 2 4 2 3" xfId="27470" xr:uid="{CE65E9FB-EE9C-4877-8B32-017BDAFA2A57}"/>
    <cellStyle name="常规 8 3 2 4 2 4" xfId="27471" xr:uid="{209AAE66-665A-4768-81AA-75F47A0BE8B3}"/>
    <cellStyle name="常规 8 3 2 4 2 5" xfId="27472" xr:uid="{FEAD0ED5-EAAD-4192-8024-BB7D82C3D268}"/>
    <cellStyle name="常规 8 3 2 4 2 6" xfId="27473" xr:uid="{090FCA5C-A2A5-44E1-AB51-CEC9E3C04BFE}"/>
    <cellStyle name="常规 8 3 2 4 3" xfId="27474" xr:uid="{3297541D-7E50-4BB7-9C76-D7304561306C}"/>
    <cellStyle name="常规 8 3 2 4 4" xfId="27475" xr:uid="{7662CFA5-7F6C-421A-A60E-0106F24198D3}"/>
    <cellStyle name="常规 8 3 2 4 5" xfId="27476" xr:uid="{BC321FC8-230D-4F4D-9696-C044133D8B13}"/>
    <cellStyle name="常规 8 3 2 4 6" xfId="27477" xr:uid="{A3B1D57F-10DC-4484-BC39-44345B240AB3}"/>
    <cellStyle name="常规 8 3 2 4 7" xfId="27478" xr:uid="{F3E7889A-B53E-4FFB-B175-C7F7E69105E7}"/>
    <cellStyle name="常规 8 3 2 4 8" xfId="27479" xr:uid="{5691689E-EF3B-4F9C-8656-8D51F427E2A8}"/>
    <cellStyle name="常规 8 3 2 4 9" xfId="27480" xr:uid="{AACE888A-577A-42AA-84B2-5E9296FFA36A}"/>
    <cellStyle name="常规 8 3 2 5" xfId="27481" xr:uid="{7FBAB2D1-AF17-4558-93B8-1BB618626826}"/>
    <cellStyle name="常规 8 3 2 5 2" xfId="27482" xr:uid="{73B09033-AB2E-435E-B974-0A576FD08B66}"/>
    <cellStyle name="常规 8 3 2 5 2 2" xfId="27483" xr:uid="{D8DA22A5-F7CC-4930-BD33-979D1A295276}"/>
    <cellStyle name="常规 8 3 2 5 2 3" xfId="27484" xr:uid="{78FD630A-2F9E-4CA3-AFD6-966231E8D013}"/>
    <cellStyle name="常规 8 3 2 5 2 4" xfId="27485" xr:uid="{46690640-4856-4C89-937F-6F9C0A9B3883}"/>
    <cellStyle name="常规 8 3 2 5 2 5" xfId="27486" xr:uid="{276B9D26-F148-4DD9-8106-F02F5094D4F4}"/>
    <cellStyle name="常规 8 3 2 5 2 6" xfId="27487" xr:uid="{49B35BA3-B322-4EFA-8179-BC2DB2923A33}"/>
    <cellStyle name="常规 8 3 2 5 3" xfId="27488" xr:uid="{A68AB388-4F15-4BA3-8D69-F6B3165037AD}"/>
    <cellStyle name="常规 8 3 2 5 4" xfId="27489" xr:uid="{31633F12-5146-419E-930C-8F7084B47064}"/>
    <cellStyle name="常规 8 3 2 5 5" xfId="27490" xr:uid="{3ED22AB9-71DF-4BF8-B45C-8AE391F95B72}"/>
    <cellStyle name="常规 8 3 2 5 6" xfId="27491" xr:uid="{2189F7BD-882D-4CED-8046-EFF6DB1F69C9}"/>
    <cellStyle name="常规 8 3 2 5 7" xfId="27492" xr:uid="{07C228F1-B693-462D-8786-E39B01C7DA1C}"/>
    <cellStyle name="常规 8 3 2 5 8" xfId="27493" xr:uid="{4755D598-D5D1-43F1-8096-ABDBDEDD82E6}"/>
    <cellStyle name="常规 8 3 2 6" xfId="27494" xr:uid="{0357051B-0951-48CE-8403-0F288D9CAA2E}"/>
    <cellStyle name="常规 8 3 2 6 2" xfId="27495" xr:uid="{D131F14D-8DB8-4A14-A448-DBE136BB1FF5}"/>
    <cellStyle name="常规 8 3 2 6 2 2" xfId="27496" xr:uid="{6E242802-FF0D-4AB5-A90D-3922CEE1C23B}"/>
    <cellStyle name="常规 8 3 2 6 2 3" xfId="27497" xr:uid="{C73B6725-41F8-42C5-9B5F-20A589B0DD7F}"/>
    <cellStyle name="常规 8 3 2 6 2 4" xfId="27498" xr:uid="{A16244EF-68A9-405C-AF64-141A01F799B2}"/>
    <cellStyle name="常规 8 3 2 6 2 5" xfId="27499" xr:uid="{EA66AC50-330D-45BE-9427-0C1D79640EDA}"/>
    <cellStyle name="常规 8 3 2 6 2 6" xfId="27500" xr:uid="{E9581A9B-FF18-4F2F-996B-913CF52A5FFF}"/>
    <cellStyle name="常规 8 3 2 6 3" xfId="27501" xr:uid="{3F8D5797-B1E1-4518-8709-B21B4359CB6F}"/>
    <cellStyle name="常规 8 3 2 6 4" xfId="27502" xr:uid="{FEE50BFD-6FBF-47C5-99F3-A4D6F0F18450}"/>
    <cellStyle name="常规 8 3 2 6 5" xfId="27503" xr:uid="{398D70FA-38FD-4DD3-8798-13639493640D}"/>
    <cellStyle name="常规 8 3 2 6 6" xfId="27504" xr:uid="{A3021212-A809-44EB-AC5E-B44AD2A92A56}"/>
    <cellStyle name="常规 8 3 2 6 7" xfId="27505" xr:uid="{E05957E5-3680-4A82-A9F6-31E03D058A7E}"/>
    <cellStyle name="常规 8 3 2 6 8" xfId="27506" xr:uid="{3BB5B629-A11E-43B6-8383-F1A38A5EBE46}"/>
    <cellStyle name="常规 8 3 2 6 9" xfId="34620" xr:uid="{EB299D3B-CCD8-4BC9-B686-FA680FADB082}"/>
    <cellStyle name="常规 8 3 2 7" xfId="27507" xr:uid="{FEFEAE03-5D1D-4B15-B690-382CDBAD8DF7}"/>
    <cellStyle name="常规 8 3 2 7 2" xfId="27508" xr:uid="{48B38BE1-0B0D-4CAF-9DE5-D9B05E0D3533}"/>
    <cellStyle name="常规 8 3 2 7 2 2" xfId="27509" xr:uid="{F7314A58-2D85-4222-A4F2-42BB11B6972E}"/>
    <cellStyle name="常规 8 3 2 7 2 3" xfId="27510" xr:uid="{0E71224F-A3A2-4A08-83ED-45E8BF950FEF}"/>
    <cellStyle name="常规 8 3 2 7 2 4" xfId="27511" xr:uid="{C6A8C96C-4787-47FE-8B79-5E978E9B8900}"/>
    <cellStyle name="常规 8 3 2 7 2 5" xfId="27512" xr:uid="{6B0F3873-2329-4A18-8B89-5A58484819A7}"/>
    <cellStyle name="常规 8 3 2 7 2 6" xfId="27513" xr:uid="{0C98B83D-699C-4E23-9A33-A9EBA986BC7A}"/>
    <cellStyle name="常规 8 3 2 7 3" xfId="27514" xr:uid="{60162135-B7A1-4B1E-961A-85FB23D49224}"/>
    <cellStyle name="常规 8 3 2 7 4" xfId="27515" xr:uid="{EE7CC65B-CF44-4829-8FD3-D5CD2F174673}"/>
    <cellStyle name="常规 8 3 2 7 5" xfId="27516" xr:uid="{CEC93FE9-D90F-4257-9682-167EA04E71A9}"/>
    <cellStyle name="常规 8 3 2 7 6" xfId="27517" xr:uid="{6B38F89D-75C7-4008-A74C-C1C57125DE8C}"/>
    <cellStyle name="常规 8 3 2 7 7" xfId="27518" xr:uid="{FAD4E25A-BDED-4DB7-837F-112823EB2EF8}"/>
    <cellStyle name="常规 8 3 2 8" xfId="27519" xr:uid="{52DDF869-0C52-48AD-A84A-5D8D13B49298}"/>
    <cellStyle name="常规 8 3 2 8 2" xfId="27520" xr:uid="{CA7B37B8-8C80-48C1-92DA-3873CA66FFC8}"/>
    <cellStyle name="常规 8 3 2 8 2 2" xfId="27521" xr:uid="{12A76504-5B41-45E1-9A02-4602B56A12C7}"/>
    <cellStyle name="常规 8 3 2 8 2 3" xfId="27522" xr:uid="{FBE1BAAC-B9C9-4298-9F73-ADB637396560}"/>
    <cellStyle name="常规 8 3 2 8 2 4" xfId="27523" xr:uid="{5946A8E1-5425-4EF8-AFEF-8889B18C8E38}"/>
    <cellStyle name="常规 8 3 2 8 2 5" xfId="27524" xr:uid="{78389600-6956-47F5-90E4-2F60373BD702}"/>
    <cellStyle name="常规 8 3 2 8 2 6" xfId="27525" xr:uid="{E3AB3B85-FDEF-4694-AA25-989576DE9037}"/>
    <cellStyle name="常规 8 3 2 8 3" xfId="27526" xr:uid="{1C6B9E1D-C3E8-40CD-A7E9-013BF66C74B2}"/>
    <cellStyle name="常规 8 3 2 8 4" xfId="27527" xr:uid="{C2D6F221-C642-4AD1-A077-6CBFC7A5CC55}"/>
    <cellStyle name="常规 8 3 2 8 5" xfId="27528" xr:uid="{AA25D540-EE8C-4D83-B891-C3EAC68520BB}"/>
    <cellStyle name="常规 8 3 2 8 6" xfId="27529" xr:uid="{51DF2B47-AAC8-480F-AF39-061A0F8AE18B}"/>
    <cellStyle name="常规 8 3 2 8 7" xfId="27530" xr:uid="{3E8C8277-A40C-4F4C-BE3A-0546E4BCCD97}"/>
    <cellStyle name="常规 8 3 2 9" xfId="27531" xr:uid="{CBA28514-3864-459A-AFB0-A049B63C26F2}"/>
    <cellStyle name="常规 8 3 2 9 2" xfId="27532" xr:uid="{1914842B-472F-47A8-A6E1-EB2BAC40DDE3}"/>
    <cellStyle name="常规 8 3 2 9 2 2" xfId="27533" xr:uid="{83635FFE-F056-4227-BFD1-8ADA8430494B}"/>
    <cellStyle name="常规 8 3 2 9 2 3" xfId="27534" xr:uid="{8E2FB99C-4E7B-414B-B95B-980481618055}"/>
    <cellStyle name="常规 8 3 2 9 2 4" xfId="27535" xr:uid="{004461FD-10CC-4508-B0C3-19B7C32C8383}"/>
    <cellStyle name="常规 8 3 2 9 2 5" xfId="27536" xr:uid="{7AA5138B-0DDD-4524-A686-29D30C35019C}"/>
    <cellStyle name="常规 8 3 2 9 2 6" xfId="27537" xr:uid="{20A886F3-0E18-4400-BBF1-423C0DD9AE86}"/>
    <cellStyle name="常规 8 3 2 9 3" xfId="27538" xr:uid="{723D8104-DEEF-4AB7-B144-2E96BD133A2D}"/>
    <cellStyle name="常规 8 3 2 9 4" xfId="27539" xr:uid="{3374E1FA-BACE-40FC-AA07-3229DFBA04ED}"/>
    <cellStyle name="常规 8 3 2 9 5" xfId="27540" xr:uid="{A8BD7D16-A6CC-4A96-BEF8-2B66B7B5A4A8}"/>
    <cellStyle name="常规 8 3 2 9 6" xfId="27541" xr:uid="{406CC695-8FD4-4FB0-A8D7-7FC7F7C93C3D}"/>
    <cellStyle name="常规 8 3 2 9 7" xfId="27542" xr:uid="{D96BFF45-4E94-49DB-A6E0-56EF7BA417B8}"/>
    <cellStyle name="常规 8 3 20" xfId="27543" xr:uid="{60B6B5C5-0998-4D00-B7E7-C522EE0BFF86}"/>
    <cellStyle name="常规 8 3 21" xfId="27544" xr:uid="{5C5CD27D-5B92-4784-A620-CEE8ED4A8AE4}"/>
    <cellStyle name="常规 8 3 22" xfId="27545" xr:uid="{0BFCAA66-0B12-4897-AC4C-421C6DEC7043}"/>
    <cellStyle name="常规 8 3 23" xfId="27546" xr:uid="{7E489C8B-E373-4F2C-AF5D-6A99D5DF9160}"/>
    <cellStyle name="常规 8 3 24" xfId="27547" xr:uid="{47AEA768-70C0-4FEE-A77D-EE83710321EE}"/>
    <cellStyle name="常规 8 3 25" xfId="27548" xr:uid="{5E22ACA9-EA24-4625-AC1E-19C8EC90A11F}"/>
    <cellStyle name="常规 8 3 3" xfId="27549" xr:uid="{A220271E-201A-4217-A2D8-830F01FC8DC0}"/>
    <cellStyle name="常规 8 3 3 10" xfId="27550" xr:uid="{2D53FEB2-8695-45CF-9470-CB95ED7885E4}"/>
    <cellStyle name="常规 8 3 3 10 2" xfId="27551" xr:uid="{89ADFF35-E2DA-476C-B1CC-35E543746F95}"/>
    <cellStyle name="常规 8 3 3 10 3" xfId="27552" xr:uid="{7C786EA6-6482-40CD-A54E-30BABD51F9C9}"/>
    <cellStyle name="常规 8 3 3 10 4" xfId="27553" xr:uid="{567E4294-B892-4E92-BEDB-4D5848524986}"/>
    <cellStyle name="常规 8 3 3 10 5" xfId="27554" xr:uid="{D517F646-8B93-442B-8A76-F82656C2B705}"/>
    <cellStyle name="常规 8 3 3 10 6" xfId="27555" xr:uid="{22290064-E740-4951-8138-DFA0ACFD7D8D}"/>
    <cellStyle name="常规 8 3 3 11" xfId="27556" xr:uid="{5522040D-EBD4-4EDF-B329-DDD11B0AC87B}"/>
    <cellStyle name="常规 8 3 3 12" xfId="27557" xr:uid="{36B7F366-44B5-43C2-BB69-9230A6A9F9E4}"/>
    <cellStyle name="常规 8 3 3 13" xfId="27558" xr:uid="{E7BB969D-FF8D-4FE0-9421-03AD9F6565CC}"/>
    <cellStyle name="常规 8 3 3 14" xfId="27559" xr:uid="{F75BDFED-C873-4DAB-9EEC-90B685B253ED}"/>
    <cellStyle name="常规 8 3 3 15" xfId="27560" xr:uid="{3C99C6D3-E58B-4DC6-8F59-8686A02D8CFA}"/>
    <cellStyle name="常规 8 3 3 16" xfId="27561" xr:uid="{74F9FDA6-FC7B-47A6-BD91-C1F9A4D70A44}"/>
    <cellStyle name="常规 8 3 3 2" xfId="27562" xr:uid="{1476915C-9BB3-4015-BF10-50C5A06E22B8}"/>
    <cellStyle name="常规 8 3 3 2 2" xfId="27563" xr:uid="{5BE6FA87-8F62-48A9-943D-A1179EAB66E6}"/>
    <cellStyle name="常规 8 3 3 2 2 2" xfId="27564" xr:uid="{B51B45C7-1187-40B4-A948-67AE9EFA8397}"/>
    <cellStyle name="常规 8 3 3 2 2 3" xfId="27565" xr:uid="{DB8130D6-FEE6-41F8-85EC-7941CC7B336B}"/>
    <cellStyle name="常规 8 3 3 2 2 4" xfId="27566" xr:uid="{16810752-65E6-42EA-961E-9A4F84AD2134}"/>
    <cellStyle name="常规 8 3 3 2 2 5" xfId="27567" xr:uid="{7A522B75-8974-41E9-B195-114DAB417161}"/>
    <cellStyle name="常规 8 3 3 2 2 6" xfId="27568" xr:uid="{2EB2432F-6E3B-499C-AA36-421178C3CDD0}"/>
    <cellStyle name="常规 8 3 3 2 2 7" xfId="27569" xr:uid="{8C49D8CF-AFBC-499C-93D8-D31D92596C44}"/>
    <cellStyle name="常规 8 3 3 2 2 8" xfId="27570" xr:uid="{FD4B0853-B30C-449C-8D93-B95DC11BF135}"/>
    <cellStyle name="常规 8 3 3 2 3" xfId="27571" xr:uid="{DCC7AE76-92F9-4424-B509-E477942F1124}"/>
    <cellStyle name="常规 8 3 3 2 3 2" xfId="27572" xr:uid="{8DB2BBC5-A02F-4046-BC05-6A597F0F2467}"/>
    <cellStyle name="常规 8 3 3 2 4" xfId="27573" xr:uid="{94C23B0D-7994-4C0B-A4CC-0492D4E54D9B}"/>
    <cellStyle name="常规 8 3 3 2 4 2" xfId="27574" xr:uid="{4D13E198-F496-4DFC-A2A0-206935A0DF39}"/>
    <cellStyle name="常规 8 3 3 2 4 3" xfId="34621" xr:uid="{4CB671CF-9953-49DC-8A56-88344F779F48}"/>
    <cellStyle name="常规 8 3 3 2 5" xfId="27575" xr:uid="{C3924870-F326-43C9-A04B-1DB41A8C38E3}"/>
    <cellStyle name="常规 8 3 3 2 6" xfId="27576" xr:uid="{59B071B5-33B1-47BD-A311-1AB3B8A10079}"/>
    <cellStyle name="常规 8 3 3 2 7" xfId="27577" xr:uid="{B85F9EC1-62A7-419D-ABCE-9528517B319D}"/>
    <cellStyle name="常规 8 3 3 2 8" xfId="27578" xr:uid="{C3EAE743-F23C-46CB-BCF1-471328343598}"/>
    <cellStyle name="常规 8 3 3 3" xfId="27579" xr:uid="{083DD660-68B5-43D1-A3E0-4B39EEDF6AC5}"/>
    <cellStyle name="常规 8 3 3 3 2" xfId="27580" xr:uid="{88E6DF5F-398F-400A-9A77-0D6471AE7390}"/>
    <cellStyle name="常规 8 3 3 3 2 2" xfId="27581" xr:uid="{F7C6E30C-6C0B-422F-8A8A-1BA0FB1DBC7B}"/>
    <cellStyle name="常规 8 3 3 3 2 3" xfId="27582" xr:uid="{83DE72CE-BC12-49F5-BE71-CE282C356A05}"/>
    <cellStyle name="常规 8 3 3 3 2 4" xfId="27583" xr:uid="{620B9F10-41AF-405E-9B5B-1863E0336BC9}"/>
    <cellStyle name="常规 8 3 3 3 2 5" xfId="27584" xr:uid="{315FCBCE-D22E-493D-AF2A-54AE427A8B6A}"/>
    <cellStyle name="常规 8 3 3 3 2 6" xfId="27585" xr:uid="{9E8DAEB2-AD2E-4CD7-B649-F190E913F964}"/>
    <cellStyle name="常规 8 3 3 3 2 7" xfId="27586" xr:uid="{312EE0A5-0DA4-4292-8EE6-56511C00BF82}"/>
    <cellStyle name="常规 8 3 3 3 2 8" xfId="27587" xr:uid="{380DB58F-56A3-41FC-92AF-F15911231175}"/>
    <cellStyle name="常规 8 3 3 3 3" xfId="27588" xr:uid="{D282E6E5-CA03-4585-81D6-F2E68F433F88}"/>
    <cellStyle name="常规 8 3 3 3 3 2" xfId="27589" xr:uid="{55D34738-C0A0-44B2-BE24-6CA536B00951}"/>
    <cellStyle name="常规 8 3 3 3 4" xfId="27590" xr:uid="{C5117DE1-707E-459B-BFB6-394CEDCD596C}"/>
    <cellStyle name="常规 8 3 3 3 4 2" xfId="27591" xr:uid="{8CE7BCC0-CCE2-49FE-8C4C-FDFE8C257D07}"/>
    <cellStyle name="常规 8 3 3 3 4 3" xfId="34622" xr:uid="{4756ADC5-3C45-4870-A839-A331AF2B1DD6}"/>
    <cellStyle name="常规 8 3 3 3 5" xfId="27592" xr:uid="{104F721F-B159-4342-828C-91BB7F240874}"/>
    <cellStyle name="常规 8 3 3 3 6" xfId="27593" xr:uid="{FB01B15E-40B6-4FD1-A6D5-AE5FB7222B02}"/>
    <cellStyle name="常规 8 3 3 3 7" xfId="27594" xr:uid="{11B1BC7F-CA9B-455A-82B9-632D699F901E}"/>
    <cellStyle name="常规 8 3 3 3 8" xfId="27595" xr:uid="{E9107ED4-8107-4A5F-A691-4C68F8D32F3F}"/>
    <cellStyle name="常规 8 3 3 4" xfId="27596" xr:uid="{910D3C96-48BB-4C15-B01A-146715C5B37C}"/>
    <cellStyle name="常规 8 3 3 4 2" xfId="27597" xr:uid="{6C0950FC-8B6D-404F-B990-4075E33E6B46}"/>
    <cellStyle name="常规 8 3 3 4 2 2" xfId="27598" xr:uid="{EEAAAC1E-93A2-4739-AB68-9FBFDE131A03}"/>
    <cellStyle name="常规 8 3 3 4 2 3" xfId="27599" xr:uid="{2C7AF948-B3C5-404D-9C5E-4B48BB661E10}"/>
    <cellStyle name="常规 8 3 3 4 2 4" xfId="27600" xr:uid="{535957D5-40ED-452A-9DE5-A324E6AC3E4C}"/>
    <cellStyle name="常规 8 3 3 4 2 5" xfId="27601" xr:uid="{CBC992B0-653D-4DE1-A002-22795FD5D1B8}"/>
    <cellStyle name="常规 8 3 3 4 2 6" xfId="27602" xr:uid="{4F267684-ADEE-4610-86F8-3D61D2D3BEE0}"/>
    <cellStyle name="常规 8 3 3 4 3" xfId="27603" xr:uid="{C327C653-A2EC-4D31-AD3D-60B5479DE0B5}"/>
    <cellStyle name="常规 8 3 3 4 4" xfId="27604" xr:uid="{B7AEAFC2-3658-4CF9-8BA5-C67A70B7A55F}"/>
    <cellStyle name="常规 8 3 3 4 5" xfId="27605" xr:uid="{AF6A7B4A-DF08-44F2-9A3E-12749D90C703}"/>
    <cellStyle name="常规 8 3 3 4 6" xfId="27606" xr:uid="{9E16F9A1-BCD1-44E4-8B2E-8CBC8A5C40DB}"/>
    <cellStyle name="常规 8 3 3 4 7" xfId="27607" xr:uid="{2E1079B5-0C2D-46A0-B427-27FE9C8666E4}"/>
    <cellStyle name="常规 8 3 3 4 8" xfId="27608" xr:uid="{3C0D79DB-1AC8-4D6A-8D1A-2E2689B16589}"/>
    <cellStyle name="常规 8 3 3 4 9" xfId="27609" xr:uid="{7BC972CA-8459-4C40-9D76-B4A7E0251938}"/>
    <cellStyle name="常规 8 3 3 5" xfId="27610" xr:uid="{BFFE315E-A0CF-459E-86B3-E37D793E325F}"/>
    <cellStyle name="常规 8 3 3 5 2" xfId="27611" xr:uid="{0ADE0671-F71C-4BD1-9F74-B405D2423333}"/>
    <cellStyle name="常规 8 3 3 5 2 2" xfId="27612" xr:uid="{653D5638-3FCC-47C3-89BB-20C3CCCB4DCD}"/>
    <cellStyle name="常规 8 3 3 5 2 3" xfId="27613" xr:uid="{D52EFB62-05E3-48C1-AD90-E0D51FE99C8E}"/>
    <cellStyle name="常规 8 3 3 5 2 4" xfId="27614" xr:uid="{D72ED100-D3B7-4C01-A537-61602A8CA92D}"/>
    <cellStyle name="常规 8 3 3 5 2 5" xfId="27615" xr:uid="{7C68BCED-DABA-45A9-A2BB-875191D3AD46}"/>
    <cellStyle name="常规 8 3 3 5 2 6" xfId="27616" xr:uid="{EE45FB15-AD10-4AA6-89A2-346157D24B71}"/>
    <cellStyle name="常规 8 3 3 5 3" xfId="27617" xr:uid="{69F3410D-49BE-4E2E-B164-8591A007FF58}"/>
    <cellStyle name="常规 8 3 3 5 4" xfId="27618" xr:uid="{A9288CCB-B49C-46D3-B9CE-B53D2EB18F86}"/>
    <cellStyle name="常规 8 3 3 5 5" xfId="27619" xr:uid="{C6EBE324-E69D-4708-8D11-233BB837312B}"/>
    <cellStyle name="常规 8 3 3 5 6" xfId="27620" xr:uid="{9D1014DE-0348-4AE6-8EEB-B97B866090AF}"/>
    <cellStyle name="常规 8 3 3 5 7" xfId="27621" xr:uid="{31F5C12D-3197-4324-9412-81117AA76A20}"/>
    <cellStyle name="常规 8 3 3 5 8" xfId="27622" xr:uid="{ED329EB3-898D-43E6-B235-2B9BDC55024F}"/>
    <cellStyle name="常规 8 3 3 6" xfId="27623" xr:uid="{21301CBB-F552-41AA-A8CA-2BD2F43B596A}"/>
    <cellStyle name="常规 8 3 3 6 2" xfId="27624" xr:uid="{118EF1B2-3DB1-45E4-8884-38EF73318379}"/>
    <cellStyle name="常规 8 3 3 6 2 2" xfId="27625" xr:uid="{935024AF-B7FA-4DFB-8847-A4C3CA63F4CB}"/>
    <cellStyle name="常规 8 3 3 6 2 3" xfId="27626" xr:uid="{F2F94FAD-A64C-4245-B8E2-4DB9C01AB04F}"/>
    <cellStyle name="常规 8 3 3 6 2 4" xfId="27627" xr:uid="{34E7EA32-3A8C-4442-A65C-D6F6ECAB65CA}"/>
    <cellStyle name="常规 8 3 3 6 2 5" xfId="27628" xr:uid="{A0E85EEB-DA70-4203-AB38-2292699530B0}"/>
    <cellStyle name="常规 8 3 3 6 2 6" xfId="27629" xr:uid="{B0C9A884-5D52-4D28-AF7D-5C99A22DAFE8}"/>
    <cellStyle name="常规 8 3 3 6 3" xfId="27630" xr:uid="{326BA3B8-11D6-48C0-8405-A24B8B208D3F}"/>
    <cellStyle name="常规 8 3 3 6 4" xfId="27631" xr:uid="{153970A3-83AF-4823-9E7F-B432BFAE72B7}"/>
    <cellStyle name="常规 8 3 3 6 5" xfId="27632" xr:uid="{843026BB-4010-4C3C-982E-C5CACA2ECCE6}"/>
    <cellStyle name="常规 8 3 3 6 6" xfId="27633" xr:uid="{F0B13241-1944-49E2-828F-0223474D1A7B}"/>
    <cellStyle name="常规 8 3 3 6 7" xfId="27634" xr:uid="{5771B4E7-97E6-419D-8970-01A83C3DCD66}"/>
    <cellStyle name="常规 8 3 3 6 8" xfId="27635" xr:uid="{EE75C877-6A2E-4A9A-AD7B-985C5BD9BE66}"/>
    <cellStyle name="常规 8 3 3 6 9" xfId="34623" xr:uid="{05DACAE5-AB8D-462E-8FD2-A9475AB2436D}"/>
    <cellStyle name="常规 8 3 3 7" xfId="27636" xr:uid="{4055344A-7D88-474E-9526-AD1B038D6D46}"/>
    <cellStyle name="常规 8 3 3 7 2" xfId="27637" xr:uid="{C854956F-B22D-419F-B066-07C05F538480}"/>
    <cellStyle name="常规 8 3 3 7 2 2" xfId="27638" xr:uid="{12DB852D-0F38-4794-9BA6-445DA1001647}"/>
    <cellStyle name="常规 8 3 3 7 2 3" xfId="27639" xr:uid="{266B1D74-D430-47CA-B001-3D800C49A884}"/>
    <cellStyle name="常规 8 3 3 7 2 4" xfId="27640" xr:uid="{FC6033F2-1BA7-4D3D-B748-9613A90DB5EA}"/>
    <cellStyle name="常规 8 3 3 7 2 5" xfId="27641" xr:uid="{95D2F586-EA58-41CA-932D-84E30C912F8D}"/>
    <cellStyle name="常规 8 3 3 7 2 6" xfId="27642" xr:uid="{7FA1B853-F1E5-4CDC-826F-A18A59CE6DFD}"/>
    <cellStyle name="常规 8 3 3 7 3" xfId="27643" xr:uid="{6ACABDA2-45EA-47F6-B811-6160C290E3A8}"/>
    <cellStyle name="常规 8 3 3 7 4" xfId="27644" xr:uid="{59418758-0DD3-498A-9540-05E0037227B7}"/>
    <cellStyle name="常规 8 3 3 7 5" xfId="27645" xr:uid="{603CDEF0-6640-4575-83DC-0C5F0AD9FD56}"/>
    <cellStyle name="常规 8 3 3 7 6" xfId="27646" xr:uid="{D74E633C-5A96-4158-AAE5-E9F9E54A8196}"/>
    <cellStyle name="常规 8 3 3 7 7" xfId="27647" xr:uid="{D128DFD1-8015-4D00-9C25-6CA562F3F7DC}"/>
    <cellStyle name="常规 8 3 3 8" xfId="27648" xr:uid="{32621699-B47A-40F1-B0A3-7FA6741BEB9A}"/>
    <cellStyle name="常规 8 3 3 8 2" xfId="27649" xr:uid="{C250ED67-9495-489F-B208-ED42906D7372}"/>
    <cellStyle name="常规 8 3 3 8 2 2" xfId="27650" xr:uid="{990A4693-1FFD-4BA7-A64F-161F02481861}"/>
    <cellStyle name="常规 8 3 3 8 2 3" xfId="27651" xr:uid="{B9B3C069-41DA-4D9F-9398-182C6902A391}"/>
    <cellStyle name="常规 8 3 3 8 2 4" xfId="27652" xr:uid="{F731A848-5190-47CE-96C0-47B6F476F0DB}"/>
    <cellStyle name="常规 8 3 3 8 2 5" xfId="27653" xr:uid="{012B1BA0-5FBC-4282-B70F-8FDCDF19EE8F}"/>
    <cellStyle name="常规 8 3 3 8 2 6" xfId="27654" xr:uid="{31271CBB-1C1C-47EA-8EBB-8B78082FF3E8}"/>
    <cellStyle name="常规 8 3 3 8 3" xfId="27655" xr:uid="{4BB87DA6-3471-45CE-9815-D72748531D43}"/>
    <cellStyle name="常规 8 3 3 8 4" xfId="27656" xr:uid="{5C3EE5BB-92E2-4296-AF68-2F95EDD2C7F5}"/>
    <cellStyle name="常规 8 3 3 8 5" xfId="27657" xr:uid="{703245EA-4830-4581-BE40-5612A350F76D}"/>
    <cellStyle name="常规 8 3 3 8 6" xfId="27658" xr:uid="{3B75C6CA-A2F1-438B-955D-171A1255919C}"/>
    <cellStyle name="常规 8 3 3 8 7" xfId="27659" xr:uid="{DEA5988F-D7BA-490D-892F-2F26146746EC}"/>
    <cellStyle name="常规 8 3 3 9" xfId="27660" xr:uid="{95892CED-616F-4B8F-A956-4B30304769F9}"/>
    <cellStyle name="常规 8 3 3 9 2" xfId="27661" xr:uid="{BE422945-AFC3-463D-AB75-41BC2C23F676}"/>
    <cellStyle name="常规 8 3 3 9 2 2" xfId="27662" xr:uid="{24BC4FA5-5012-4E9C-A9F6-F4753135A665}"/>
    <cellStyle name="常规 8 3 3 9 2 3" xfId="27663" xr:uid="{3CC15AC9-A7BF-49A3-97D9-801A755887CE}"/>
    <cellStyle name="常规 8 3 3 9 2 4" xfId="27664" xr:uid="{A07D92A7-8D5C-4706-9989-71C9DFB4B4BE}"/>
    <cellStyle name="常规 8 3 3 9 2 5" xfId="27665" xr:uid="{4E1F1600-5C4B-4DA5-8360-ADB2AE42A079}"/>
    <cellStyle name="常规 8 3 3 9 2 6" xfId="27666" xr:uid="{A3C60915-B681-493E-BA83-88F245DDDB88}"/>
    <cellStyle name="常规 8 3 3 9 3" xfId="27667" xr:uid="{AC2ABA77-FC90-4B37-8EB7-04209F653777}"/>
    <cellStyle name="常规 8 3 3 9 4" xfId="27668" xr:uid="{A00C2046-DA28-4852-B791-6F9C7CDB0822}"/>
    <cellStyle name="常规 8 3 3 9 5" xfId="27669" xr:uid="{2506335C-C3DD-4D33-A638-D646873C9940}"/>
    <cellStyle name="常规 8 3 3 9 6" xfId="27670" xr:uid="{B1C04222-29ED-41DE-B295-65BD378DBF4C}"/>
    <cellStyle name="常规 8 3 3 9 7" xfId="27671" xr:uid="{6D96663A-2C8E-4D9D-8240-E066F80A1F9C}"/>
    <cellStyle name="常规 8 3 4" xfId="27672" xr:uid="{EE0E6CD1-7AA9-4055-9185-AAB19249DD23}"/>
    <cellStyle name="常规 8 3 4 10" xfId="27673" xr:uid="{1C3EAE52-1596-41CD-AF79-DA5FD34C7831}"/>
    <cellStyle name="常规 8 3 4 10 2" xfId="27674" xr:uid="{1818C45B-F879-4F39-B242-AFB28602C3CD}"/>
    <cellStyle name="常规 8 3 4 10 3" xfId="27675" xr:uid="{9393F862-1D48-4242-9636-970EA55D54AC}"/>
    <cellStyle name="常规 8 3 4 10 4" xfId="27676" xr:uid="{FA481860-F9B9-4DD7-BA81-11BF81BE8A77}"/>
    <cellStyle name="常规 8 3 4 10 5" xfId="27677" xr:uid="{4AC1CB3A-EC3A-4313-BEFB-CC8603ABB9EE}"/>
    <cellStyle name="常规 8 3 4 10 6" xfId="27678" xr:uid="{CF242F66-2394-4892-9B18-0419CD470B0C}"/>
    <cellStyle name="常规 8 3 4 11" xfId="27679" xr:uid="{C38576AA-F2AF-4995-96EB-A1EB254A861A}"/>
    <cellStyle name="常规 8 3 4 12" xfId="27680" xr:uid="{31EC0CC5-0F93-41ED-8B27-EF04EF7E2F8B}"/>
    <cellStyle name="常规 8 3 4 13" xfId="27681" xr:uid="{611ED1CD-1A2E-438B-9EB9-C0AC54824799}"/>
    <cellStyle name="常规 8 3 4 14" xfId="27682" xr:uid="{159A898F-48FD-474D-BBB7-13D3E59889B1}"/>
    <cellStyle name="常规 8 3 4 15" xfId="27683" xr:uid="{1E37C5AE-7253-48CC-809B-E0270E15DA7D}"/>
    <cellStyle name="常规 8 3 4 16" xfId="27684" xr:uid="{74A1B2D1-3934-4182-9281-CDF8DABD7EC2}"/>
    <cellStyle name="常规 8 3 4 2" xfId="27685" xr:uid="{1584DC59-6D82-4369-ABCC-396953608E12}"/>
    <cellStyle name="常规 8 3 4 2 2" xfId="27686" xr:uid="{15DCA6AA-8F2B-4FF6-BBEB-E870559F5378}"/>
    <cellStyle name="常规 8 3 4 2 2 2" xfId="27687" xr:uid="{BA8926AC-0C22-4437-B4D9-03AC36690492}"/>
    <cellStyle name="常规 8 3 4 2 2 3" xfId="27688" xr:uid="{C197597A-C21B-49C8-A965-8B8A3177998C}"/>
    <cellStyle name="常规 8 3 4 2 2 4" xfId="27689" xr:uid="{94DAE7A0-623B-4C20-8AE7-985DE68AAEE2}"/>
    <cellStyle name="常规 8 3 4 2 2 5" xfId="27690" xr:uid="{0AE88F55-3A79-4808-ACB4-49E95BE93709}"/>
    <cellStyle name="常规 8 3 4 2 2 6" xfId="27691" xr:uid="{69625A22-76DC-4A77-818E-05ED13152806}"/>
    <cellStyle name="常规 8 3 4 2 3" xfId="27692" xr:uid="{6F5350C1-76FF-4E66-B5BB-AC6FEE891D6D}"/>
    <cellStyle name="常规 8 3 4 2 4" xfId="27693" xr:uid="{EE7A89AC-44C8-4C52-80CA-2DB0353B9107}"/>
    <cellStyle name="常规 8 3 4 2 5" xfId="27694" xr:uid="{126CBD37-4125-426E-9E15-75A172EE6ECD}"/>
    <cellStyle name="常规 8 3 4 2 6" xfId="27695" xr:uid="{E4DFB2D7-1BFC-41BA-97C4-1585D4B925AB}"/>
    <cellStyle name="常规 8 3 4 2 7" xfId="27696" xr:uid="{02E13222-5F0D-401F-8759-F08595406BB3}"/>
    <cellStyle name="常规 8 3 4 2 8" xfId="27697" xr:uid="{899C8B32-CF87-440A-853F-E1004DC18C1E}"/>
    <cellStyle name="常规 8 3 4 2 9" xfId="27698" xr:uid="{10CF5574-8905-416C-9A06-C9EA7F36E122}"/>
    <cellStyle name="常规 8 3 4 3" xfId="27699" xr:uid="{03C7F88E-4FE8-4CB8-B4C5-852EEC1BE875}"/>
    <cellStyle name="常规 8 3 4 3 2" xfId="27700" xr:uid="{F16D2E3F-BB43-4C41-BBD2-E207504DA4D1}"/>
    <cellStyle name="常规 8 3 4 3 2 2" xfId="27701" xr:uid="{A2618133-9042-4D98-BF6B-827C1EE65328}"/>
    <cellStyle name="常规 8 3 4 3 2 3" xfId="27702" xr:uid="{4A703FAE-8C0C-4334-989E-EF92966239A8}"/>
    <cellStyle name="常规 8 3 4 3 2 4" xfId="27703" xr:uid="{DAAE3953-E9F0-4D8D-A04D-0CA3E9080531}"/>
    <cellStyle name="常规 8 3 4 3 2 5" xfId="27704" xr:uid="{C93B66ED-C66C-42CF-8D66-DA72052983C9}"/>
    <cellStyle name="常规 8 3 4 3 2 6" xfId="27705" xr:uid="{EF1909FC-C457-4E3A-BD06-58F30695E1C0}"/>
    <cellStyle name="常规 8 3 4 3 3" xfId="27706" xr:uid="{0C176901-5AE7-4E1D-84DA-BC8921BB38DD}"/>
    <cellStyle name="常规 8 3 4 3 4" xfId="27707" xr:uid="{7F4A87D8-2E73-4A6A-A95B-8CCFFFE0E09E}"/>
    <cellStyle name="常规 8 3 4 3 5" xfId="27708" xr:uid="{729D035E-671C-4832-BFD3-A5C369F87D24}"/>
    <cellStyle name="常规 8 3 4 3 6" xfId="27709" xr:uid="{E64E9764-3AC3-4025-80A9-4C6D3E5A491D}"/>
    <cellStyle name="常规 8 3 4 3 7" xfId="27710" xr:uid="{AFDEAB18-E727-4C14-A813-39898C9569F1}"/>
    <cellStyle name="常规 8 3 4 3 8" xfId="27711" xr:uid="{0A0F2FDF-B875-4B0B-9C53-18CD5883D68F}"/>
    <cellStyle name="常规 8 3 4 4" xfId="27712" xr:uid="{7B832C63-8E2D-4C47-A2F7-8B01FF9A0BB9}"/>
    <cellStyle name="常规 8 3 4 4 2" xfId="27713" xr:uid="{7EF6FCB0-5788-4728-9D70-B65756B87268}"/>
    <cellStyle name="常规 8 3 4 4 2 2" xfId="27714" xr:uid="{13412EB4-386B-4A38-818D-02961FAC817A}"/>
    <cellStyle name="常规 8 3 4 4 2 3" xfId="27715" xr:uid="{3482426F-03C4-46F6-92BB-F391C3F86550}"/>
    <cellStyle name="常规 8 3 4 4 2 4" xfId="27716" xr:uid="{B11C6D00-7DD1-47E4-8854-1FBFADE11DAE}"/>
    <cellStyle name="常规 8 3 4 4 2 5" xfId="27717" xr:uid="{87C8D766-D2D3-4303-85EF-F282AB349E85}"/>
    <cellStyle name="常规 8 3 4 4 2 6" xfId="27718" xr:uid="{88163075-3A7B-4E5D-8BC8-4F00972A342F}"/>
    <cellStyle name="常规 8 3 4 4 3" xfId="27719" xr:uid="{F95B62A4-A84F-40DC-900F-A79FFDAFC552}"/>
    <cellStyle name="常规 8 3 4 4 4" xfId="27720" xr:uid="{F89CF807-78C1-4616-A031-D220F4688175}"/>
    <cellStyle name="常规 8 3 4 4 5" xfId="27721" xr:uid="{470FDCE4-13D5-46E8-8B00-A839CC7C0D19}"/>
    <cellStyle name="常规 8 3 4 4 6" xfId="27722" xr:uid="{6F30CF09-2245-4002-8569-C25732B2E1B9}"/>
    <cellStyle name="常规 8 3 4 4 7" xfId="27723" xr:uid="{9A457729-E10F-4E11-91E8-D3AD971A52E2}"/>
    <cellStyle name="常规 8 3 4 4 8" xfId="27724" xr:uid="{3C4F2074-5BBB-4DAA-8582-D5F679EF7317}"/>
    <cellStyle name="常规 8 3 4 4 9" xfId="34624" xr:uid="{D1856F24-2517-4E2C-960A-FC8BAB6CF1D1}"/>
    <cellStyle name="常规 8 3 4 5" xfId="27725" xr:uid="{E04EC0A5-3C7B-4F50-AC1A-3EB9B3DFCA27}"/>
    <cellStyle name="常规 8 3 4 5 2" xfId="27726" xr:uid="{6CFB9885-7922-40D8-8474-AE14F1A4B9E7}"/>
    <cellStyle name="常规 8 3 4 5 2 2" xfId="27727" xr:uid="{92DF342E-3054-4230-B5E1-C02A8F72AF56}"/>
    <cellStyle name="常规 8 3 4 5 2 3" xfId="27728" xr:uid="{7EDA8560-08B8-4050-8C4C-CE4D3F6BDF1E}"/>
    <cellStyle name="常规 8 3 4 5 2 4" xfId="27729" xr:uid="{7D8C0948-F80A-4BD7-A7E3-699F09F748FB}"/>
    <cellStyle name="常规 8 3 4 5 2 5" xfId="27730" xr:uid="{90FE6FBD-F2B8-4007-8635-8C83A315B43F}"/>
    <cellStyle name="常规 8 3 4 5 2 6" xfId="27731" xr:uid="{533EDA59-2DF4-411F-B941-FCA91C34253A}"/>
    <cellStyle name="常规 8 3 4 5 3" xfId="27732" xr:uid="{FF32C0A5-D4D4-4BF4-B410-854BD0673204}"/>
    <cellStyle name="常规 8 3 4 5 4" xfId="27733" xr:uid="{41D3767C-1BC1-45EB-BAB9-ECC719EED477}"/>
    <cellStyle name="常规 8 3 4 5 5" xfId="27734" xr:uid="{91989765-F187-4989-9291-FC2D4FCC020B}"/>
    <cellStyle name="常规 8 3 4 5 6" xfId="27735" xr:uid="{0E738A26-EE32-433A-A900-5579534EFE8C}"/>
    <cellStyle name="常规 8 3 4 5 7" xfId="27736" xr:uid="{1660704D-24C6-42B3-84C0-C77DA803204C}"/>
    <cellStyle name="常规 8 3 4 6" xfId="27737" xr:uid="{CE1D9198-252E-45F7-B752-B43ECB79171F}"/>
    <cellStyle name="常规 8 3 4 6 2" xfId="27738" xr:uid="{DAFD7CEC-87BE-4F62-A4D1-2E958D922CBA}"/>
    <cellStyle name="常规 8 3 4 6 2 2" xfId="27739" xr:uid="{FD8546F2-BFC7-4B7C-A7B3-D1546DA8D1E4}"/>
    <cellStyle name="常规 8 3 4 6 2 3" xfId="27740" xr:uid="{CC1A575E-68D5-45D8-A9DF-AE2785587529}"/>
    <cellStyle name="常规 8 3 4 6 2 4" xfId="27741" xr:uid="{C5C469CD-644C-4C89-8089-20D82F64BE2C}"/>
    <cellStyle name="常规 8 3 4 6 2 5" xfId="27742" xr:uid="{6F5AF461-72C9-4942-941A-E998B01FB227}"/>
    <cellStyle name="常规 8 3 4 6 2 6" xfId="27743" xr:uid="{11EF45FB-7DF5-4342-8054-75DFC3C2170E}"/>
    <cellStyle name="常规 8 3 4 6 3" xfId="27744" xr:uid="{AD4D36A9-5BCC-42A4-BE04-F689324F763F}"/>
    <cellStyle name="常规 8 3 4 6 4" xfId="27745" xr:uid="{197F21AE-4BE9-4C6D-BD4D-7CD4DEFDFB61}"/>
    <cellStyle name="常规 8 3 4 6 5" xfId="27746" xr:uid="{7DC4E4E6-CE9C-421C-9CFC-A3AF14F19DCD}"/>
    <cellStyle name="常规 8 3 4 6 6" xfId="27747" xr:uid="{E7DE8670-7288-499F-B839-93FAA6FB31D5}"/>
    <cellStyle name="常规 8 3 4 6 7" xfId="27748" xr:uid="{B84DFED5-E7AA-4F39-BB87-7C06B0D3134B}"/>
    <cellStyle name="常规 8 3 4 7" xfId="27749" xr:uid="{885F7730-4484-4FC6-A6ED-226FFF363CED}"/>
    <cellStyle name="常规 8 3 4 7 2" xfId="27750" xr:uid="{22668B02-794F-4D2D-A38D-615F9FE4558C}"/>
    <cellStyle name="常规 8 3 4 7 2 2" xfId="27751" xr:uid="{B82CD5C5-E1C9-4A42-8AAF-93164336BA0B}"/>
    <cellStyle name="常规 8 3 4 7 2 3" xfId="27752" xr:uid="{FACD5283-C232-4552-97A1-5097A5DD7C8E}"/>
    <cellStyle name="常规 8 3 4 7 2 4" xfId="27753" xr:uid="{8E17EDFD-87FF-4228-8C3D-93EC63790035}"/>
    <cellStyle name="常规 8 3 4 7 2 5" xfId="27754" xr:uid="{BBE0344A-2C40-43C2-ADA7-3071E9F6E4E4}"/>
    <cellStyle name="常规 8 3 4 7 2 6" xfId="27755" xr:uid="{A7D02354-800D-40A9-A7D6-4C71F02702EA}"/>
    <cellStyle name="常规 8 3 4 7 3" xfId="27756" xr:uid="{C0D07E3D-0FB8-44FC-BBA7-7F6351E0E7F0}"/>
    <cellStyle name="常规 8 3 4 7 4" xfId="27757" xr:uid="{459D72C9-510B-4E70-BF9D-DE6B58A6D02C}"/>
    <cellStyle name="常规 8 3 4 7 5" xfId="27758" xr:uid="{2D4D60EF-4D33-4E86-9E4B-697CD3B95DCB}"/>
    <cellStyle name="常规 8 3 4 7 6" xfId="27759" xr:uid="{90B5DA71-DC48-40D3-A4C4-91109435976A}"/>
    <cellStyle name="常规 8 3 4 7 7" xfId="27760" xr:uid="{3502BD89-C860-4110-B505-151E93C881F8}"/>
    <cellStyle name="常规 8 3 4 8" xfId="27761" xr:uid="{D3835769-F2C3-44C1-A5F1-083472BF8B69}"/>
    <cellStyle name="常规 8 3 4 8 2" xfId="27762" xr:uid="{C628CB72-9280-4E48-81CF-7F042183BB46}"/>
    <cellStyle name="常规 8 3 4 8 2 2" xfId="27763" xr:uid="{10F17E13-34C0-40F6-A501-A413642F0DBE}"/>
    <cellStyle name="常规 8 3 4 8 2 3" xfId="27764" xr:uid="{495173CB-EF33-4E98-93A4-708EC7B3455D}"/>
    <cellStyle name="常规 8 3 4 8 2 4" xfId="27765" xr:uid="{D77F6099-8A5A-4B2A-8700-234CC88B2B2B}"/>
    <cellStyle name="常规 8 3 4 8 2 5" xfId="27766" xr:uid="{934D8557-0986-40FC-82DB-0530BF1E0860}"/>
    <cellStyle name="常规 8 3 4 8 2 6" xfId="27767" xr:uid="{23E4DED3-0439-4FBA-BFBB-E7EB1B595334}"/>
    <cellStyle name="常规 8 3 4 8 3" xfId="27768" xr:uid="{F4201915-0A1C-4BCB-95DB-61380975DF04}"/>
    <cellStyle name="常规 8 3 4 8 4" xfId="27769" xr:uid="{37FC3AF0-E45D-43F0-B1B7-C39A3CFC8B1D}"/>
    <cellStyle name="常规 8 3 4 8 5" xfId="27770" xr:uid="{3A2CC661-7011-42FA-840A-67C20E5DA111}"/>
    <cellStyle name="常规 8 3 4 8 6" xfId="27771" xr:uid="{9B0D118F-B85E-40EA-B844-A82CC7918DD0}"/>
    <cellStyle name="常规 8 3 4 8 7" xfId="27772" xr:uid="{B058003C-7EDF-45BC-9F68-E108E5FE7D44}"/>
    <cellStyle name="常规 8 3 4 9" xfId="27773" xr:uid="{A0B6B54F-280B-4380-9EDA-1DFF4720B208}"/>
    <cellStyle name="常规 8 3 4 9 2" xfId="27774" xr:uid="{73113BA9-12CD-413B-BBC2-44605BB002ED}"/>
    <cellStyle name="常规 8 3 4 9 2 2" xfId="27775" xr:uid="{2A4AF09A-6587-4ED6-98E5-13919B89D5FA}"/>
    <cellStyle name="常规 8 3 4 9 2 3" xfId="27776" xr:uid="{DA7B2D82-2DE2-4900-8B45-D9A72428471B}"/>
    <cellStyle name="常规 8 3 4 9 2 4" xfId="27777" xr:uid="{12D6CEE7-5BBE-4447-A2A1-4C5DC78C869B}"/>
    <cellStyle name="常规 8 3 4 9 2 5" xfId="27778" xr:uid="{CC770BBE-C5A3-4B0F-8CF2-6DB3551AF04A}"/>
    <cellStyle name="常规 8 3 4 9 2 6" xfId="27779" xr:uid="{6F458F35-EE0D-427E-9559-E4ADD0A9973F}"/>
    <cellStyle name="常规 8 3 4 9 3" xfId="27780" xr:uid="{1643BBA7-D6DD-4F91-8C1C-3CF11CC3807E}"/>
    <cellStyle name="常规 8 3 4 9 4" xfId="27781" xr:uid="{4058A52E-E88B-41E5-A01D-92A542EAFD76}"/>
    <cellStyle name="常规 8 3 4 9 5" xfId="27782" xr:uid="{FB05F2CA-D6E9-47EE-A4AF-3CF3FFAF7AF1}"/>
    <cellStyle name="常规 8 3 4 9 6" xfId="27783" xr:uid="{1C66E04D-D574-4289-964F-B9F43A2B6CA8}"/>
    <cellStyle name="常规 8 3 4 9 7" xfId="27784" xr:uid="{D4C1BA67-E659-4949-8262-4A3E30DCE05C}"/>
    <cellStyle name="常规 8 3 5" xfId="27785" xr:uid="{43939A52-DD8E-4449-9203-F55E4615E4D8}"/>
    <cellStyle name="常规 8 3 5 10" xfId="27786" xr:uid="{E62A8201-2B39-4303-992F-9B06DCD78E4E}"/>
    <cellStyle name="常规 8 3 5 11" xfId="27787" xr:uid="{76FFE99F-8F37-4F27-8D9D-F01BBE0D456D}"/>
    <cellStyle name="常规 8 3 5 12" xfId="27788" xr:uid="{B0921CBF-8FE3-4AA5-8904-A59A7DB6DA9B}"/>
    <cellStyle name="常规 8 3 5 13" xfId="27789" xr:uid="{8A78C9F4-B316-44B2-8BDD-5ADB73B94E95}"/>
    <cellStyle name="常规 8 3 5 14" xfId="27790" xr:uid="{DB8BDE3B-85B8-4898-80C6-9F819C4E6739}"/>
    <cellStyle name="常规 8 3 5 15" xfId="27791" xr:uid="{BF68B2FB-ABB5-4FD8-B16E-A0F87AD634B9}"/>
    <cellStyle name="常规 8 3 5 2" xfId="27792" xr:uid="{75CAE9B7-CBC1-4B80-A0F7-C27F5163FA88}"/>
    <cellStyle name="常规 8 3 5 2 2" xfId="27793" xr:uid="{19816C94-0E63-4E34-B080-1166D3BC2094}"/>
    <cellStyle name="常规 8 3 5 2 2 2" xfId="27794" xr:uid="{EFB50707-17E3-4858-9102-DC5EBCFAA7A3}"/>
    <cellStyle name="常规 8 3 5 2 2 3" xfId="27795" xr:uid="{02E6FE2B-CA9B-48CB-8CAD-998B76D88D3B}"/>
    <cellStyle name="常规 8 3 5 2 2 4" xfId="27796" xr:uid="{0EBFD978-19AF-4146-8E36-0B293D1534FE}"/>
    <cellStyle name="常规 8 3 5 2 2 5" xfId="27797" xr:uid="{7ED32494-EAA1-4881-8CA5-640EBE8C53AF}"/>
    <cellStyle name="常规 8 3 5 2 2 6" xfId="27798" xr:uid="{5A0E8C64-FEB5-48ED-8BB6-602D027DF517}"/>
    <cellStyle name="常规 8 3 5 2 3" xfId="27799" xr:uid="{3CB79776-01AC-4D29-BC74-38DE4318D4EB}"/>
    <cellStyle name="常规 8 3 5 2 4" xfId="27800" xr:uid="{FEC99CE9-1C21-4622-B224-B828C88B8BDB}"/>
    <cellStyle name="常规 8 3 5 2 5" xfId="27801" xr:uid="{1AF66A38-0B5F-4C66-82CE-0955F7F4D51A}"/>
    <cellStyle name="常规 8 3 5 2 6" xfId="27802" xr:uid="{85DBC18F-5735-469C-9434-C167A3FBE30C}"/>
    <cellStyle name="常规 8 3 5 2 7" xfId="27803" xr:uid="{47AB6B12-C119-4A14-937D-ACA89CD103C2}"/>
    <cellStyle name="常规 8 3 5 2 8" xfId="27804" xr:uid="{04D9E784-45FB-4292-9521-48A07C5F50F9}"/>
    <cellStyle name="常规 8 3 5 2 9" xfId="27805" xr:uid="{4E09F99B-10A2-4261-BD21-B6414BE495C3}"/>
    <cellStyle name="常规 8 3 5 3" xfId="27806" xr:uid="{98AD518F-440F-43B0-A064-5EBF130F0F90}"/>
    <cellStyle name="常规 8 3 5 3 2" xfId="27807" xr:uid="{95F0D519-C965-4917-9925-04F8027C9545}"/>
    <cellStyle name="常规 8 3 5 3 2 2" xfId="27808" xr:uid="{BC726C9A-E434-4DCD-ACD9-2790C05E5E21}"/>
    <cellStyle name="常规 8 3 5 3 2 3" xfId="27809" xr:uid="{982A3EBA-EF43-46C4-97DF-74B0129F3C13}"/>
    <cellStyle name="常规 8 3 5 3 2 4" xfId="27810" xr:uid="{26A86B32-B9C1-4C57-A212-B715EAAFF946}"/>
    <cellStyle name="常规 8 3 5 3 2 5" xfId="27811" xr:uid="{B9789C53-C772-44ED-A716-85E08D78C485}"/>
    <cellStyle name="常规 8 3 5 3 2 6" xfId="27812" xr:uid="{B66FAD91-A8EA-483D-B9E5-BE304A0E0456}"/>
    <cellStyle name="常规 8 3 5 3 3" xfId="27813" xr:uid="{71B5AC35-5486-449F-A0C0-3700D8C26647}"/>
    <cellStyle name="常规 8 3 5 3 4" xfId="27814" xr:uid="{4F496F21-364C-4F42-9771-6EFA9FCDBFB3}"/>
    <cellStyle name="常规 8 3 5 3 5" xfId="27815" xr:uid="{ACE130B9-38AA-498B-A92C-D9A37294F7F5}"/>
    <cellStyle name="常规 8 3 5 3 6" xfId="27816" xr:uid="{A8631DED-D93A-4580-911F-EBB56A135BA6}"/>
    <cellStyle name="常规 8 3 5 3 7" xfId="27817" xr:uid="{EFD86CED-1836-42C1-AB38-102F810E0A30}"/>
    <cellStyle name="常规 8 3 5 3 8" xfId="27818" xr:uid="{AAFCD810-5C75-40D2-9E98-89C1D2615EF9}"/>
    <cellStyle name="常规 8 3 5 4" xfId="27819" xr:uid="{D734716F-0305-414F-8055-214387A75437}"/>
    <cellStyle name="常规 8 3 5 4 2" xfId="27820" xr:uid="{571AFDCB-027A-4E27-A45A-8413581F6FB7}"/>
    <cellStyle name="常规 8 3 5 4 2 2" xfId="27821" xr:uid="{8B474815-7F41-4F7A-87E7-BE581BA87B9D}"/>
    <cellStyle name="常规 8 3 5 4 2 3" xfId="27822" xr:uid="{FA55C2D7-A58B-4053-B86A-07BE3017EACA}"/>
    <cellStyle name="常规 8 3 5 4 2 4" xfId="27823" xr:uid="{58DFA7B8-6257-43EF-A931-205331C417AB}"/>
    <cellStyle name="常规 8 3 5 4 2 5" xfId="27824" xr:uid="{4FCF2C8E-7034-47DE-A0F1-3B0E3D0590A4}"/>
    <cellStyle name="常规 8 3 5 4 2 6" xfId="27825" xr:uid="{E45CC053-3DD9-4F65-B226-2ABA96D90562}"/>
    <cellStyle name="常规 8 3 5 4 3" xfId="27826" xr:uid="{5031389B-8D2B-4BDB-B628-B18F9D8BD9F8}"/>
    <cellStyle name="常规 8 3 5 4 4" xfId="27827" xr:uid="{A41969F1-FB1F-432C-AC2F-8AA0A732EE45}"/>
    <cellStyle name="常规 8 3 5 4 5" xfId="27828" xr:uid="{364647F3-E200-48DF-B4B3-BC2424C1AA90}"/>
    <cellStyle name="常规 8 3 5 4 6" xfId="27829" xr:uid="{F76D469B-7648-4827-B867-05E44ADD700D}"/>
    <cellStyle name="常规 8 3 5 4 7" xfId="27830" xr:uid="{85FDCCC6-9923-45DB-84C8-ADA315E3C718}"/>
    <cellStyle name="常规 8 3 5 4 8" xfId="27831" xr:uid="{2F516F36-8BA3-4F53-8D29-7FCF79D1EDD6}"/>
    <cellStyle name="常规 8 3 5 4 9" xfId="34625" xr:uid="{CC1B1BAD-4B4F-4933-A1AE-2756694804EE}"/>
    <cellStyle name="常规 8 3 5 5" xfId="27832" xr:uid="{C7119E40-F9CA-4226-9D92-702D09253D12}"/>
    <cellStyle name="常规 8 3 5 5 2" xfId="27833" xr:uid="{FE6F4FB1-682D-438D-A728-7495C456F179}"/>
    <cellStyle name="常规 8 3 5 5 2 2" xfId="27834" xr:uid="{1A26377A-A474-4875-862F-4C0BBAC1CE92}"/>
    <cellStyle name="常规 8 3 5 5 2 3" xfId="27835" xr:uid="{6EC42F09-9410-4038-BE59-02F7E3EFCC8D}"/>
    <cellStyle name="常规 8 3 5 5 2 4" xfId="27836" xr:uid="{F9C286ED-986B-44AB-AE9D-864E5856BF3C}"/>
    <cellStyle name="常规 8 3 5 5 2 5" xfId="27837" xr:uid="{98D6AA4B-6597-4C37-BCAC-80952DC86263}"/>
    <cellStyle name="常规 8 3 5 5 2 6" xfId="27838" xr:uid="{57BF51A4-A5EB-4304-8F03-9CB932473A40}"/>
    <cellStyle name="常规 8 3 5 5 3" xfId="27839" xr:uid="{BFF7EB2D-C9BA-4AF0-B41A-3639612D70EE}"/>
    <cellStyle name="常规 8 3 5 5 4" xfId="27840" xr:uid="{B0DC56AA-5622-41B6-8982-5722CBFC9ED7}"/>
    <cellStyle name="常规 8 3 5 5 5" xfId="27841" xr:uid="{7EA68002-76F8-49F6-A4E9-E82431EE0144}"/>
    <cellStyle name="常规 8 3 5 5 6" xfId="27842" xr:uid="{22617620-F22A-4857-9C76-8EE512C0C3F8}"/>
    <cellStyle name="常规 8 3 5 5 7" xfId="27843" xr:uid="{594CF3BB-A674-41F2-B1F0-F844BA3A6B45}"/>
    <cellStyle name="常规 8 3 5 6" xfId="27844" xr:uid="{FA27A07D-3AE3-4039-B709-34AF69AE43A2}"/>
    <cellStyle name="常规 8 3 5 6 2" xfId="27845" xr:uid="{B7089433-1D6A-4EA3-BC74-8F4B4E534A9A}"/>
    <cellStyle name="常规 8 3 5 6 2 2" xfId="27846" xr:uid="{310DD064-6AB0-4CDD-BE97-1305B70A6C50}"/>
    <cellStyle name="常规 8 3 5 6 2 3" xfId="27847" xr:uid="{A5E3773A-85B9-42B7-BCA5-E47D62626072}"/>
    <cellStyle name="常规 8 3 5 6 2 4" xfId="27848" xr:uid="{326B37C2-A8FA-43BE-8F83-CBCAC8C676E5}"/>
    <cellStyle name="常规 8 3 5 6 2 5" xfId="27849" xr:uid="{87604473-C444-491F-B163-D551669BC53B}"/>
    <cellStyle name="常规 8 3 5 6 2 6" xfId="27850" xr:uid="{8E66633F-A523-482E-93A2-F560682E65ED}"/>
    <cellStyle name="常规 8 3 5 6 3" xfId="27851" xr:uid="{E2EC9A3B-B9D9-4C93-BB5A-E9CEAACAA746}"/>
    <cellStyle name="常规 8 3 5 6 4" xfId="27852" xr:uid="{A109B8BF-C98D-432F-A42E-23806631AC79}"/>
    <cellStyle name="常规 8 3 5 6 5" xfId="27853" xr:uid="{6F028947-310B-4B6A-ABB1-0F636CCB1395}"/>
    <cellStyle name="常规 8 3 5 6 6" xfId="27854" xr:uid="{338C8425-ED51-4408-B2FA-0C3157BBFB44}"/>
    <cellStyle name="常规 8 3 5 6 7" xfId="27855" xr:uid="{21F33045-188F-4413-A39D-ABAF5B835102}"/>
    <cellStyle name="常规 8 3 5 7" xfId="27856" xr:uid="{9B9B9780-5DF1-42D1-AF49-A94D14C66588}"/>
    <cellStyle name="常规 8 3 5 7 2" xfId="27857" xr:uid="{B0F21122-BC0B-4F66-B97E-8655FC782845}"/>
    <cellStyle name="常规 8 3 5 7 2 2" xfId="27858" xr:uid="{2C2FDEB2-D65E-4443-916A-C4157764A0CB}"/>
    <cellStyle name="常规 8 3 5 7 2 3" xfId="27859" xr:uid="{B45C2178-3EA0-4C7B-97F2-8EABB6076684}"/>
    <cellStyle name="常规 8 3 5 7 2 4" xfId="27860" xr:uid="{438533D3-C9B1-4BAE-ACF5-3A7F738328B3}"/>
    <cellStyle name="常规 8 3 5 7 2 5" xfId="27861" xr:uid="{19590549-C5F2-47BD-BB77-F7556A1C0F30}"/>
    <cellStyle name="常规 8 3 5 7 2 6" xfId="27862" xr:uid="{B112ADC5-2488-47B5-86F4-897A74F2C642}"/>
    <cellStyle name="常规 8 3 5 7 3" xfId="27863" xr:uid="{95371AA7-06E0-4F37-B5C3-0FB68478E237}"/>
    <cellStyle name="常规 8 3 5 7 4" xfId="27864" xr:uid="{4A0C9FC6-FDB2-4D4D-9714-4A7EB72ABEE9}"/>
    <cellStyle name="常规 8 3 5 7 5" xfId="27865" xr:uid="{A7BEB692-F19E-4B56-9D81-468D7F04E368}"/>
    <cellStyle name="常规 8 3 5 7 6" xfId="27866" xr:uid="{715A46DE-AAD4-4FE9-8693-9F08AECE0E16}"/>
    <cellStyle name="常规 8 3 5 7 7" xfId="27867" xr:uid="{5CB9A22D-A4CF-44DB-AA78-F9340B8F7E97}"/>
    <cellStyle name="常规 8 3 5 8" xfId="27868" xr:uid="{F0AF0F34-0DD4-46E5-B4F8-D2F3B1E4B410}"/>
    <cellStyle name="常规 8 3 5 8 2" xfId="27869" xr:uid="{CC9F737B-C9B1-4FFC-A7BE-114C3531C007}"/>
    <cellStyle name="常规 8 3 5 8 2 2" xfId="27870" xr:uid="{C93D8960-44CC-462F-9889-B5EB817C66D0}"/>
    <cellStyle name="常规 8 3 5 8 2 3" xfId="27871" xr:uid="{8B426B5A-7ED1-4E39-8216-BB0F6E925C60}"/>
    <cellStyle name="常规 8 3 5 8 2 4" xfId="27872" xr:uid="{3FAEE4EA-9FB8-4B6A-A088-B00FEAE51C6A}"/>
    <cellStyle name="常规 8 3 5 8 2 5" xfId="27873" xr:uid="{0F29C6E5-CDAB-43CF-A429-B68E5427E3A9}"/>
    <cellStyle name="常规 8 3 5 8 2 6" xfId="27874" xr:uid="{CC8A08B8-44D8-4668-815E-75109C2899B7}"/>
    <cellStyle name="常规 8 3 5 8 3" xfId="27875" xr:uid="{E3742F99-72D0-46E4-8E52-B679B29626C8}"/>
    <cellStyle name="常规 8 3 5 8 4" xfId="27876" xr:uid="{9848C902-71FE-41C9-9E34-9BD180208EC4}"/>
    <cellStyle name="常规 8 3 5 8 5" xfId="27877" xr:uid="{B518957F-6A6F-4434-837B-8CA38F115850}"/>
    <cellStyle name="常规 8 3 5 8 6" xfId="27878" xr:uid="{70C0571E-F83E-4D10-A412-CA2D34C389AC}"/>
    <cellStyle name="常规 8 3 5 8 7" xfId="27879" xr:uid="{86E21FDF-6591-4F65-9D03-244905F6DF9A}"/>
    <cellStyle name="常规 8 3 5 9" xfId="27880" xr:uid="{9699EC3C-3843-46EF-9E89-5E22D5519D70}"/>
    <cellStyle name="常规 8 3 5 9 2" xfId="27881" xr:uid="{D05BE060-6D5C-407C-BDB3-143D026ECD08}"/>
    <cellStyle name="常规 8 3 5 9 3" xfId="27882" xr:uid="{ADE2D534-BC03-4462-BA2A-4A1F0E4A5E39}"/>
    <cellStyle name="常规 8 3 5 9 4" xfId="27883" xr:uid="{4F07F459-9A42-4E49-A582-E9B0FC888CC5}"/>
    <cellStyle name="常规 8 3 5 9 5" xfId="27884" xr:uid="{3EBDC401-2358-4A5B-9BF9-D8203947F2F8}"/>
    <cellStyle name="常规 8 3 5 9 6" xfId="27885" xr:uid="{98AB5A13-0685-4611-85EF-8EB30B0CA69F}"/>
    <cellStyle name="常规 8 3 6" xfId="27886" xr:uid="{FD932A2A-C592-4467-A0F8-AFEA8C3D6BCF}"/>
    <cellStyle name="常规 8 3 6 10" xfId="27887" xr:uid="{F7EF89FA-1D82-4264-889E-21777B602CE9}"/>
    <cellStyle name="常规 8 3 6 11" xfId="27888" xr:uid="{EE868757-0564-48AF-A120-29C54B76FCC5}"/>
    <cellStyle name="常规 8 3 6 12" xfId="27889" xr:uid="{514A4825-78A0-41F5-AE99-EDCA20B5F503}"/>
    <cellStyle name="常规 8 3 6 13" xfId="27890" xr:uid="{7BE774DA-BFF0-4017-AE19-F34B69191A8A}"/>
    <cellStyle name="常规 8 3 6 14" xfId="27891" xr:uid="{6F2ABE9E-37A1-49BD-B495-41FCB53634FC}"/>
    <cellStyle name="常规 8 3 6 15" xfId="27892" xr:uid="{13107D75-06CC-4C19-9C80-8608AE1D6FCE}"/>
    <cellStyle name="常规 8 3 6 2" xfId="27893" xr:uid="{F552AED1-6820-49CB-9EB0-336B285C7EDB}"/>
    <cellStyle name="常规 8 3 6 2 2" xfId="27894" xr:uid="{16A26C07-EA71-4CC7-9D8E-59B1B9D0FF50}"/>
    <cellStyle name="常规 8 3 6 2 2 2" xfId="27895" xr:uid="{3D792ACC-6456-47A1-93C3-5857FA77C194}"/>
    <cellStyle name="常规 8 3 6 2 2 3" xfId="27896" xr:uid="{A0904625-C390-48ED-8BC5-CB631F7242A6}"/>
    <cellStyle name="常规 8 3 6 2 2 4" xfId="27897" xr:uid="{AD9B864A-377D-4B6C-9086-9578AA43D6E5}"/>
    <cellStyle name="常规 8 3 6 2 2 5" xfId="27898" xr:uid="{F49BDEEB-627A-4B0F-BEEB-C6A033719EF1}"/>
    <cellStyle name="常规 8 3 6 2 2 6" xfId="27899" xr:uid="{433DF9BB-CAFB-481E-98C3-2DE626665E25}"/>
    <cellStyle name="常规 8 3 6 2 3" xfId="27900" xr:uid="{78C3C216-2387-4351-B2F7-E4EA01876497}"/>
    <cellStyle name="常规 8 3 6 2 4" xfId="27901" xr:uid="{A3D24A9D-B160-4096-BA94-86D32EC19726}"/>
    <cellStyle name="常规 8 3 6 2 5" xfId="27902" xr:uid="{FC607B67-C406-4721-A6E3-ED4B037A6B20}"/>
    <cellStyle name="常规 8 3 6 2 6" xfId="27903" xr:uid="{3C74DFB6-2B96-4C03-A2C9-3196CFFBF2FA}"/>
    <cellStyle name="常规 8 3 6 2 7" xfId="27904" xr:uid="{D6A260B6-A2AB-4DE0-B78D-44C6B831BA88}"/>
    <cellStyle name="常规 8 3 6 3" xfId="27905" xr:uid="{BE3E75BC-FB13-4FEA-9D89-795EF08C06B7}"/>
    <cellStyle name="常规 8 3 6 3 2" xfId="27906" xr:uid="{18A9F719-9390-4798-A4BF-8FE52A132CD6}"/>
    <cellStyle name="常规 8 3 6 3 2 2" xfId="27907" xr:uid="{2B2DCD36-89B3-451C-B527-418005571262}"/>
    <cellStyle name="常规 8 3 6 3 2 3" xfId="27908" xr:uid="{ED35E07C-7D01-43DE-BBC9-1C1DC86EECA2}"/>
    <cellStyle name="常规 8 3 6 3 2 4" xfId="27909" xr:uid="{EED45524-5F1E-4141-AED8-044E2768CAE9}"/>
    <cellStyle name="常规 8 3 6 3 2 5" xfId="27910" xr:uid="{F7E1EC8D-7021-4533-AE27-ED1592B95957}"/>
    <cellStyle name="常规 8 3 6 3 2 6" xfId="27911" xr:uid="{00D4AA1D-EC4D-42A1-8926-DC0097BFDF78}"/>
    <cellStyle name="常规 8 3 6 3 3" xfId="27912" xr:uid="{6CF6D8B9-116F-4B1A-B858-15A554ADAA61}"/>
    <cellStyle name="常规 8 3 6 3 4" xfId="27913" xr:uid="{7E02DB26-6042-4DD3-8EC0-B2A9474F1C0E}"/>
    <cellStyle name="常规 8 3 6 3 5" xfId="27914" xr:uid="{138B2D08-CF05-413B-9386-A14B823BFC82}"/>
    <cellStyle name="常规 8 3 6 3 6" xfId="27915" xr:uid="{943D3276-CB39-4ECC-95C6-A411A9BB7EE7}"/>
    <cellStyle name="常规 8 3 6 3 7" xfId="27916" xr:uid="{81894E77-6848-43C2-B641-31C53D40C6E6}"/>
    <cellStyle name="常规 8 3 6 4" xfId="27917" xr:uid="{F2384298-95F7-4EDC-90F7-7A6572FEC982}"/>
    <cellStyle name="常规 8 3 6 4 2" xfId="27918" xr:uid="{8FF141A8-36AA-4E7F-B98A-F94978A6AF20}"/>
    <cellStyle name="常规 8 3 6 4 2 2" xfId="27919" xr:uid="{1BADA62E-9584-47E5-B4EE-FCF2E635B844}"/>
    <cellStyle name="常规 8 3 6 4 2 3" xfId="27920" xr:uid="{8ED67F61-426D-40D2-AD65-0A848D17F1A7}"/>
    <cellStyle name="常规 8 3 6 4 2 4" xfId="27921" xr:uid="{659FA9DA-4950-4767-BF8B-F2C521B07817}"/>
    <cellStyle name="常规 8 3 6 4 2 5" xfId="27922" xr:uid="{F1731E13-F2BE-4DA6-AF2B-0778E21BDE9D}"/>
    <cellStyle name="常规 8 3 6 4 2 6" xfId="27923" xr:uid="{7C1134C9-59D0-44EA-A64C-EBCA31032B1D}"/>
    <cellStyle name="常规 8 3 6 4 3" xfId="27924" xr:uid="{2A725A31-E99C-4059-92FF-04AEB9B95044}"/>
    <cellStyle name="常规 8 3 6 4 4" xfId="27925" xr:uid="{97250FB4-DDFC-489E-BB44-F78DBF78E6C7}"/>
    <cellStyle name="常规 8 3 6 4 5" xfId="27926" xr:uid="{7F66A9AA-2FA9-408D-B59B-121846C5AD93}"/>
    <cellStyle name="常规 8 3 6 4 6" xfId="27927" xr:uid="{4ADF75B1-F9DB-49D2-8517-8ED65DF399D2}"/>
    <cellStyle name="常规 8 3 6 4 7" xfId="27928" xr:uid="{CC2F2A55-2177-4556-8083-B0A55A71BD8A}"/>
    <cellStyle name="常规 8 3 6 5" xfId="27929" xr:uid="{E53A53ED-29F7-413C-B086-747EC6B48BA6}"/>
    <cellStyle name="常规 8 3 6 5 2" xfId="27930" xr:uid="{52392BC7-5FF7-4933-9DB4-E481E84A7E38}"/>
    <cellStyle name="常规 8 3 6 5 2 2" xfId="27931" xr:uid="{1A31005D-FB78-4652-AAA1-B96972985FFF}"/>
    <cellStyle name="常规 8 3 6 5 2 3" xfId="27932" xr:uid="{D310C9F1-5130-4C69-BB0A-F2BC56C0ACF9}"/>
    <cellStyle name="常规 8 3 6 5 2 4" xfId="27933" xr:uid="{EBB17C99-A2AC-4820-8BD6-5A55DB8082B6}"/>
    <cellStyle name="常规 8 3 6 5 2 5" xfId="27934" xr:uid="{2A4AA45E-A5C4-421A-804A-7281511534D4}"/>
    <cellStyle name="常规 8 3 6 5 2 6" xfId="27935" xr:uid="{267D7A3D-B026-4536-BFF9-78432D518BB9}"/>
    <cellStyle name="常规 8 3 6 5 3" xfId="27936" xr:uid="{A9C2696E-A0B4-49AC-9A0D-B13917DB43A2}"/>
    <cellStyle name="常规 8 3 6 5 4" xfId="27937" xr:uid="{61354D13-24EC-43DE-8F8A-C380AFE70C23}"/>
    <cellStyle name="常规 8 3 6 5 5" xfId="27938" xr:uid="{7AFEEBF4-A8D4-431B-93AA-3C79B944C06B}"/>
    <cellStyle name="常规 8 3 6 5 6" xfId="27939" xr:uid="{CEA10B0B-C234-4C38-B27E-1039CECB8893}"/>
    <cellStyle name="常规 8 3 6 5 7" xfId="27940" xr:uid="{8CAB201F-0CC9-4E58-8743-571B0130CAB8}"/>
    <cellStyle name="常规 8 3 6 6" xfId="27941" xr:uid="{127208FC-E8E2-4D8E-8F4D-3E98338AA509}"/>
    <cellStyle name="常规 8 3 6 6 2" xfId="27942" xr:uid="{7EFD5D6B-FD2E-44A6-B26E-C08C06DB075A}"/>
    <cellStyle name="常规 8 3 6 6 2 2" xfId="27943" xr:uid="{C046BF41-F503-401E-BED5-C4BF65485DE5}"/>
    <cellStyle name="常规 8 3 6 6 2 3" xfId="27944" xr:uid="{B9E8F31F-6EC2-40C6-B6DC-1AB2DDE621E2}"/>
    <cellStyle name="常规 8 3 6 6 2 4" xfId="27945" xr:uid="{FA71C56C-481E-4380-BB7D-530563FBC15E}"/>
    <cellStyle name="常规 8 3 6 6 2 5" xfId="27946" xr:uid="{599AD993-C01E-438E-826D-41EBE5E9CEFE}"/>
    <cellStyle name="常规 8 3 6 6 2 6" xfId="27947" xr:uid="{2A0AA18F-A81F-4985-A474-D8B0057F747C}"/>
    <cellStyle name="常规 8 3 6 6 3" xfId="27948" xr:uid="{86DD7B5F-D562-47C3-ADDD-E970969589EE}"/>
    <cellStyle name="常规 8 3 6 6 4" xfId="27949" xr:uid="{821B8DBB-7E81-4E11-8D07-CAF98AF7659F}"/>
    <cellStyle name="常规 8 3 6 6 5" xfId="27950" xr:uid="{BC4B5D37-7BCB-43D8-860F-9B9DBD9AA8C8}"/>
    <cellStyle name="常规 8 3 6 6 6" xfId="27951" xr:uid="{67E8BFF6-8BD8-4076-A781-5337669B558D}"/>
    <cellStyle name="常规 8 3 6 6 7" xfId="27952" xr:uid="{41865376-9BBB-41C5-931E-5AE114FF3FB7}"/>
    <cellStyle name="常规 8 3 6 7" xfId="27953" xr:uid="{91C5DED8-EB3B-4AC8-B221-809C77001254}"/>
    <cellStyle name="常规 8 3 6 7 2" xfId="27954" xr:uid="{70A775B9-73AC-4083-90A0-9BA77F4CE364}"/>
    <cellStyle name="常规 8 3 6 7 2 2" xfId="27955" xr:uid="{DC05EE51-6FCA-430B-B9E7-2CA3441DECEB}"/>
    <cellStyle name="常规 8 3 6 7 2 3" xfId="27956" xr:uid="{9FEC0312-9248-4C34-8233-5329549339C4}"/>
    <cellStyle name="常规 8 3 6 7 2 4" xfId="27957" xr:uid="{35331D42-ED1C-4630-9D81-01F124FB7FB4}"/>
    <cellStyle name="常规 8 3 6 7 2 5" xfId="27958" xr:uid="{ECB1F174-6624-4DAB-9912-A20164856F17}"/>
    <cellStyle name="常规 8 3 6 7 2 6" xfId="27959" xr:uid="{DEE68986-3E45-4B36-B9AC-759956836DB8}"/>
    <cellStyle name="常规 8 3 6 7 3" xfId="27960" xr:uid="{E02DA4BF-A32A-48C9-A343-3C8212DD13D6}"/>
    <cellStyle name="常规 8 3 6 7 4" xfId="27961" xr:uid="{013EF59F-F7B9-44E5-AD32-5D5B8B77BAB8}"/>
    <cellStyle name="常规 8 3 6 7 5" xfId="27962" xr:uid="{B33A407D-46C6-46B8-A910-135718081F5C}"/>
    <cellStyle name="常规 8 3 6 7 6" xfId="27963" xr:uid="{F4505CA0-BE44-4376-A4FB-9F4ACDA124F4}"/>
    <cellStyle name="常规 8 3 6 7 7" xfId="27964" xr:uid="{366ADB42-E5E2-4824-A858-A2E3C521294D}"/>
    <cellStyle name="常规 8 3 6 8" xfId="27965" xr:uid="{3883371C-170F-4CAA-A197-F6BE4CD7B0B6}"/>
    <cellStyle name="常规 8 3 6 8 2" xfId="27966" xr:uid="{B93BACF2-176A-4158-9084-1A789E8027D1}"/>
    <cellStyle name="常规 8 3 6 8 3" xfId="27967" xr:uid="{3D17472D-2B9F-4139-8D73-E339A28A9744}"/>
    <cellStyle name="常规 8 3 6 8 4" xfId="27968" xr:uid="{8C29B7F7-F67E-4489-B51C-57941F7E5E00}"/>
    <cellStyle name="常规 8 3 6 8 5" xfId="27969" xr:uid="{20CEF30D-255D-4BB0-AE63-3200068F22E9}"/>
    <cellStyle name="常规 8 3 6 8 6" xfId="27970" xr:uid="{4D707558-7299-4F35-A9CC-B80562272525}"/>
    <cellStyle name="常规 8 3 6 9" xfId="27971" xr:uid="{79C0A77B-3555-46F2-85E5-ABB460A2080E}"/>
    <cellStyle name="常规 8 3 7" xfId="27972" xr:uid="{A8EB843C-D1E1-45E2-89DB-F891CEC30840}"/>
    <cellStyle name="常规 8 3 7 10" xfId="27973" xr:uid="{4A8C27CA-0E80-4A0A-AD7E-CA40EE027BEA}"/>
    <cellStyle name="常规 8 3 7 11" xfId="27974" xr:uid="{E44C775B-C2BE-481E-AC95-8265A056F0C4}"/>
    <cellStyle name="常规 8 3 7 12" xfId="27975" xr:uid="{E72D72B3-FCB4-4DBA-96D1-A263080BF599}"/>
    <cellStyle name="常规 8 3 7 13" xfId="27976" xr:uid="{8AAEDA7F-B586-4014-BD0F-AE71B33C3D2F}"/>
    <cellStyle name="常规 8 3 7 2" xfId="27977" xr:uid="{C41503E3-F4E2-4F15-A2C6-B56D7BA8472B}"/>
    <cellStyle name="常规 8 3 7 2 2" xfId="27978" xr:uid="{BFF14843-D02E-4C4D-AA67-5999F4D60E62}"/>
    <cellStyle name="常规 8 3 7 2 2 2" xfId="27979" xr:uid="{B0488C85-26C2-448C-BD7A-705372B7EAEB}"/>
    <cellStyle name="常规 8 3 7 2 2 3" xfId="27980" xr:uid="{06E3A19F-BB19-49C6-B47B-76EC926ACCEC}"/>
    <cellStyle name="常规 8 3 7 2 2 4" xfId="27981" xr:uid="{63B2347A-A1C7-419D-8127-0C599FC6F637}"/>
    <cellStyle name="常规 8 3 7 2 2 5" xfId="27982" xr:uid="{BA23640A-0F4D-409B-8F08-20964230BE12}"/>
    <cellStyle name="常规 8 3 7 2 2 6" xfId="27983" xr:uid="{52044199-F54A-42D4-932F-580CF127F37A}"/>
    <cellStyle name="常规 8 3 7 2 3" xfId="27984" xr:uid="{ACD871BA-8C9C-4F41-8F09-07E03A806235}"/>
    <cellStyle name="常规 8 3 7 2 4" xfId="27985" xr:uid="{CA445BCF-77D4-4A12-99C0-1D97C5767722}"/>
    <cellStyle name="常规 8 3 7 2 5" xfId="27986" xr:uid="{DE73193B-E190-41C6-9C60-3CEB978338B5}"/>
    <cellStyle name="常规 8 3 7 2 6" xfId="27987" xr:uid="{C4258194-85EE-4480-8B6C-994CB9C55114}"/>
    <cellStyle name="常规 8 3 7 2 7" xfId="27988" xr:uid="{D23023F2-3613-4824-8CED-F4F4FBFEC092}"/>
    <cellStyle name="常规 8 3 7 3" xfId="27989" xr:uid="{14A12922-A379-4933-A925-191240B1387B}"/>
    <cellStyle name="常规 8 3 7 3 2" xfId="27990" xr:uid="{A5EC4C85-7F4E-4CA1-B57C-EE09ED884D42}"/>
    <cellStyle name="常规 8 3 7 3 2 2" xfId="27991" xr:uid="{DB1BBB01-8483-4F31-8CC4-C57582F7E63F}"/>
    <cellStyle name="常规 8 3 7 3 2 3" xfId="27992" xr:uid="{6F8CF0E9-CF0F-4F69-A144-A09E83F76B5A}"/>
    <cellStyle name="常规 8 3 7 3 2 4" xfId="27993" xr:uid="{6D287EC5-B221-46DF-A1B9-A3E375CFD87D}"/>
    <cellStyle name="常规 8 3 7 3 2 5" xfId="27994" xr:uid="{FDFB287F-4C85-4E55-BC83-D7AF0BE40E45}"/>
    <cellStyle name="常规 8 3 7 3 2 6" xfId="27995" xr:uid="{64DB516D-97E3-497A-8936-74DC04630264}"/>
    <cellStyle name="常规 8 3 7 3 3" xfId="27996" xr:uid="{A21BED87-7E27-42AE-8036-883777B529FB}"/>
    <cellStyle name="常规 8 3 7 3 4" xfId="27997" xr:uid="{6413D0D8-3C7F-4609-A0F7-20AA543EC237}"/>
    <cellStyle name="常规 8 3 7 3 5" xfId="27998" xr:uid="{2D4B53FE-6870-470F-8634-234C2F4FC673}"/>
    <cellStyle name="常规 8 3 7 3 6" xfId="27999" xr:uid="{72E33F7A-A23D-4BF9-A9BB-F5F41E39BEAF}"/>
    <cellStyle name="常规 8 3 7 3 7" xfId="28000" xr:uid="{9AFA3768-C810-42FA-B848-7AFCA658C9A6}"/>
    <cellStyle name="常规 8 3 7 4" xfId="28001" xr:uid="{35C3DE72-1FC7-47A2-A510-BFBF2CDF98DA}"/>
    <cellStyle name="常规 8 3 7 4 2" xfId="28002" xr:uid="{4DC779FF-BA6F-40C4-BBEC-D74443F57B28}"/>
    <cellStyle name="常规 8 3 7 4 2 2" xfId="28003" xr:uid="{3799376C-1E67-4C8A-801B-FEA7D1B13850}"/>
    <cellStyle name="常规 8 3 7 4 2 3" xfId="28004" xr:uid="{E70DC88B-FDD8-4EE1-AE0A-56ABB397B7E4}"/>
    <cellStyle name="常规 8 3 7 4 2 4" xfId="28005" xr:uid="{734406D4-EDF9-4EF1-91D6-2450DB715A16}"/>
    <cellStyle name="常规 8 3 7 4 2 5" xfId="28006" xr:uid="{2C8251EB-DE24-46DC-8FC3-76BC70CD8ECB}"/>
    <cellStyle name="常规 8 3 7 4 2 6" xfId="28007" xr:uid="{E453EEDE-4564-4927-9127-114CF1C606F1}"/>
    <cellStyle name="常规 8 3 7 4 3" xfId="28008" xr:uid="{B320B048-F9F0-428F-87CF-7B38B20F0277}"/>
    <cellStyle name="常规 8 3 7 4 4" xfId="28009" xr:uid="{A82518D6-AD23-47D2-BFAA-C18D4501FB5D}"/>
    <cellStyle name="常规 8 3 7 4 5" xfId="28010" xr:uid="{08FD2B8A-66C7-43CC-8778-39A562D7CCD8}"/>
    <cellStyle name="常规 8 3 7 4 6" xfId="28011" xr:uid="{2152A1E9-4798-434D-91E2-31D895B6E78C}"/>
    <cellStyle name="常规 8 3 7 4 7" xfId="28012" xr:uid="{25B2C57C-622C-4D70-887E-DCB8098252FC}"/>
    <cellStyle name="常规 8 3 7 5" xfId="28013" xr:uid="{4B8C4895-235C-4CEA-BFE8-4A53D6B27000}"/>
    <cellStyle name="常规 8 3 7 5 2" xfId="28014" xr:uid="{45E1DCEA-C358-4642-9652-E533B8937C2C}"/>
    <cellStyle name="常规 8 3 7 5 2 2" xfId="28015" xr:uid="{38E518BF-CC95-4497-B578-0D54CF6A2902}"/>
    <cellStyle name="常规 8 3 7 5 2 3" xfId="28016" xr:uid="{B1D80F15-5570-4FAB-AC1C-2DBAEF9192FC}"/>
    <cellStyle name="常规 8 3 7 5 2 4" xfId="28017" xr:uid="{6D4C3246-7E16-476A-99C1-402F27546C1B}"/>
    <cellStyle name="常规 8 3 7 5 2 5" xfId="28018" xr:uid="{8D9200FD-65F9-4FA6-9580-46A87BDF9B4B}"/>
    <cellStyle name="常规 8 3 7 5 2 6" xfId="28019" xr:uid="{17EBA205-9112-4969-A21C-7CCEBB54988F}"/>
    <cellStyle name="常规 8 3 7 5 3" xfId="28020" xr:uid="{6B87CCFB-4C6A-49A2-908F-4BE14524F934}"/>
    <cellStyle name="常规 8 3 7 5 4" xfId="28021" xr:uid="{00369AF8-6CF7-4143-9904-E770F62C527F}"/>
    <cellStyle name="常规 8 3 7 5 5" xfId="28022" xr:uid="{3DCEF14E-A73C-4EB0-8513-745D0EA4200E}"/>
    <cellStyle name="常规 8 3 7 5 6" xfId="28023" xr:uid="{50C6A6E8-809D-417A-981B-4D8217F9E784}"/>
    <cellStyle name="常规 8 3 7 5 7" xfId="28024" xr:uid="{434F6948-FA32-4223-A88B-DB9CC173D620}"/>
    <cellStyle name="常规 8 3 7 6" xfId="28025" xr:uid="{21D3B41D-6112-48AF-99F5-7A0CBE62A5C9}"/>
    <cellStyle name="常规 8 3 7 6 2" xfId="28026" xr:uid="{0F00C605-02AC-4C28-83B0-75E582156CA6}"/>
    <cellStyle name="常规 8 3 7 6 2 2" xfId="28027" xr:uid="{8B888E85-6749-436A-9ED7-FE4205F727DF}"/>
    <cellStyle name="常规 8 3 7 6 2 3" xfId="28028" xr:uid="{5CE52B68-5F17-42C1-8DAD-0A1DE789EA24}"/>
    <cellStyle name="常规 8 3 7 6 2 4" xfId="28029" xr:uid="{2359B214-89AB-4ABB-8D35-D114A55A0AA9}"/>
    <cellStyle name="常规 8 3 7 6 2 5" xfId="28030" xr:uid="{8926EFB5-91D2-41AE-A1DE-5975A0DD9A62}"/>
    <cellStyle name="常规 8 3 7 6 2 6" xfId="28031" xr:uid="{1CC78291-F0C8-465B-9AD6-887E4D36A9FD}"/>
    <cellStyle name="常规 8 3 7 6 3" xfId="28032" xr:uid="{B0869199-A4B4-453D-B5FA-1AFB39FBDE11}"/>
    <cellStyle name="常规 8 3 7 6 4" xfId="28033" xr:uid="{C298707B-0635-4990-B2D6-633CE220CE8F}"/>
    <cellStyle name="常规 8 3 7 6 5" xfId="28034" xr:uid="{9FDE570A-7325-498E-8CA4-9D4F93E213C1}"/>
    <cellStyle name="常规 8 3 7 6 6" xfId="28035" xr:uid="{D26C5B59-6DE3-4647-8F9B-58DA72A09A35}"/>
    <cellStyle name="常规 8 3 7 6 7" xfId="28036" xr:uid="{AC9A680E-F179-4359-9CEE-5639D279C671}"/>
    <cellStyle name="常规 8 3 7 7" xfId="28037" xr:uid="{80AC58A0-699E-41F7-85D1-DBE04ED7E91B}"/>
    <cellStyle name="常规 8 3 7 7 2" xfId="28038" xr:uid="{D2892E82-1927-4611-AE6F-BC10EF1D3D1D}"/>
    <cellStyle name="常规 8 3 7 7 3" xfId="28039" xr:uid="{16F7D687-DB31-47D7-B8AD-571B6C59FF45}"/>
    <cellStyle name="常规 8 3 7 7 4" xfId="28040" xr:uid="{4F7202C9-5D5D-423B-B9FD-FDD90098B1DD}"/>
    <cellStyle name="常规 8 3 7 7 5" xfId="28041" xr:uid="{21DF70B2-386A-462C-ABFE-182C29CE58F8}"/>
    <cellStyle name="常规 8 3 7 7 6" xfId="28042" xr:uid="{8DB10C7E-A2DC-4C32-8E00-34C813F0FFD0}"/>
    <cellStyle name="常规 8 3 7 8" xfId="28043" xr:uid="{2BF2C99A-EA0B-47D2-95A4-D5D784A90A53}"/>
    <cellStyle name="常规 8 3 7 9" xfId="28044" xr:uid="{E87F0B0E-2C65-4A6F-8C1F-799CEB977AC5}"/>
    <cellStyle name="常规 8 3 8" xfId="28045" xr:uid="{67E6C82A-4B02-447C-AC34-DF9F5565F889}"/>
    <cellStyle name="常规 8 3 8 10" xfId="28046" xr:uid="{4EDF3C0E-1A2B-494D-9768-C07BE885DA76}"/>
    <cellStyle name="常规 8 3 8 11" xfId="28047" xr:uid="{3103C97B-7EC6-4624-BD0E-8096E0ABB7C2}"/>
    <cellStyle name="常规 8 3 8 12" xfId="28048" xr:uid="{C0629373-04A8-4A78-B080-601F49061401}"/>
    <cellStyle name="常规 8 3 8 13" xfId="34626" xr:uid="{6AF67AC6-DE52-48A0-9A7D-861A8E57F63A}"/>
    <cellStyle name="常规 8 3 8 2" xfId="28049" xr:uid="{4FC4CABD-66A6-4E7E-9E40-B3238F77E758}"/>
    <cellStyle name="常规 8 3 8 2 2" xfId="28050" xr:uid="{BC357DAF-4004-4DEE-B4DB-2B132F222015}"/>
    <cellStyle name="常规 8 3 8 2 2 2" xfId="28051" xr:uid="{434B15F9-0BDF-4EF5-84F3-3F1ADE13D995}"/>
    <cellStyle name="常规 8 3 8 2 2 3" xfId="28052" xr:uid="{6F5BF3D7-93CC-4FC5-B707-E9D0835B999B}"/>
    <cellStyle name="常规 8 3 8 2 2 4" xfId="28053" xr:uid="{A3062850-B179-4E59-80C9-2D864AF374F8}"/>
    <cellStyle name="常规 8 3 8 2 2 5" xfId="28054" xr:uid="{C1358E7B-F710-47D6-93ED-68DC42939A57}"/>
    <cellStyle name="常规 8 3 8 2 2 6" xfId="28055" xr:uid="{E3434F56-451A-43D5-90E5-BFB9DBF65F19}"/>
    <cellStyle name="常规 8 3 8 2 3" xfId="28056" xr:uid="{9A5C5A41-0236-4C84-B18D-92695B47EBED}"/>
    <cellStyle name="常规 8 3 8 2 4" xfId="28057" xr:uid="{09377A1C-7988-48C6-8EB6-6EF464BE4AD2}"/>
    <cellStyle name="常规 8 3 8 2 5" xfId="28058" xr:uid="{980C3455-5D2D-41D1-8AC6-9CC5B6B213A5}"/>
    <cellStyle name="常规 8 3 8 2 6" xfId="28059" xr:uid="{AB4D86E0-6854-4952-9D6A-11F04C324DB3}"/>
    <cellStyle name="常规 8 3 8 2 7" xfId="28060" xr:uid="{63792852-35D7-4367-8787-C5383FFD03E1}"/>
    <cellStyle name="常规 8 3 8 3" xfId="28061" xr:uid="{CE4A000A-CC60-4C27-A3F2-4924D2BC6A82}"/>
    <cellStyle name="常规 8 3 8 3 2" xfId="28062" xr:uid="{D3EB8526-3772-4450-AC43-1BC530E10380}"/>
    <cellStyle name="常规 8 3 8 3 2 2" xfId="28063" xr:uid="{DCCFAAB0-A963-4F4D-BA87-069AC6A6AA77}"/>
    <cellStyle name="常规 8 3 8 3 2 3" xfId="28064" xr:uid="{DAFAA94B-3D38-4A19-8713-E21928B1F4EB}"/>
    <cellStyle name="常规 8 3 8 3 2 4" xfId="28065" xr:uid="{075C8FED-E198-484B-8F75-753F5C1E7CC5}"/>
    <cellStyle name="常规 8 3 8 3 2 5" xfId="28066" xr:uid="{02764577-D3DE-447D-A5B1-22ED334A66EB}"/>
    <cellStyle name="常规 8 3 8 3 2 6" xfId="28067" xr:uid="{DC3E1E45-A046-400F-BED2-97152F44E08C}"/>
    <cellStyle name="常规 8 3 8 3 3" xfId="28068" xr:uid="{86A9A189-4866-4FF7-88ED-45F47C3D0358}"/>
    <cellStyle name="常规 8 3 8 3 4" xfId="28069" xr:uid="{5CD22486-A977-4A49-A91D-22B852ED7BDD}"/>
    <cellStyle name="常规 8 3 8 3 5" xfId="28070" xr:uid="{F20BD99E-D5FF-4109-B58B-F5A25B381918}"/>
    <cellStyle name="常规 8 3 8 3 6" xfId="28071" xr:uid="{82036AAB-D156-4BDC-94E1-BA7F1DD14D03}"/>
    <cellStyle name="常规 8 3 8 3 7" xfId="28072" xr:uid="{A536F852-6563-4BE4-B3DC-0438656A764C}"/>
    <cellStyle name="常规 8 3 8 4" xfId="28073" xr:uid="{F4C4E705-5757-4347-9C04-3C4A8A7861DC}"/>
    <cellStyle name="常规 8 3 8 4 2" xfId="28074" xr:uid="{2C00AC44-A4D7-4FE0-9AED-AB9E109A3888}"/>
    <cellStyle name="常规 8 3 8 4 2 2" xfId="28075" xr:uid="{B6C805B0-06F3-41D1-988A-73BD896D931F}"/>
    <cellStyle name="常规 8 3 8 4 2 3" xfId="28076" xr:uid="{8461E82F-F54A-4489-A046-5858C7D118D1}"/>
    <cellStyle name="常规 8 3 8 4 2 4" xfId="28077" xr:uid="{60588DEB-B4E4-4C35-9066-7DF9144545E5}"/>
    <cellStyle name="常规 8 3 8 4 2 5" xfId="28078" xr:uid="{6FF7B180-97D7-402F-B382-513DA3F8660A}"/>
    <cellStyle name="常规 8 3 8 4 2 6" xfId="28079" xr:uid="{D7613671-5AB8-4001-8F23-EA30CE48C1E8}"/>
    <cellStyle name="常规 8 3 8 4 3" xfId="28080" xr:uid="{790131A4-98E6-4159-BB51-0127BBE7B637}"/>
    <cellStyle name="常规 8 3 8 4 4" xfId="28081" xr:uid="{8CE7FF7B-A3F7-4D7A-B839-B9591E53B22C}"/>
    <cellStyle name="常规 8 3 8 4 5" xfId="28082" xr:uid="{F42432EA-E672-48A6-BFAE-F0F7FF4AA8D3}"/>
    <cellStyle name="常规 8 3 8 4 6" xfId="28083" xr:uid="{207BD701-1B88-4DF8-9F79-6BFCAC414EB4}"/>
    <cellStyle name="常规 8 3 8 4 7" xfId="28084" xr:uid="{155C6C4E-9BA8-4F3E-A8EB-659852AAAAF8}"/>
    <cellStyle name="常规 8 3 8 5" xfId="28085" xr:uid="{973E0A12-4D7E-4362-A652-2D37E0AE11E7}"/>
    <cellStyle name="常规 8 3 8 5 2" xfId="28086" xr:uid="{1B407921-B49F-47E5-A579-009C60FB88FC}"/>
    <cellStyle name="常规 8 3 8 5 2 2" xfId="28087" xr:uid="{C50853AD-9E9B-4F21-8961-9B827CC744C6}"/>
    <cellStyle name="常规 8 3 8 5 2 3" xfId="28088" xr:uid="{891A7185-F71F-43FD-AC52-460DFD10EB02}"/>
    <cellStyle name="常规 8 3 8 5 2 4" xfId="28089" xr:uid="{E9317D78-F185-4809-BB8B-8E5A7E9FA7D3}"/>
    <cellStyle name="常规 8 3 8 5 2 5" xfId="28090" xr:uid="{F32763BF-E9B1-438C-B1EB-EF63FD331734}"/>
    <cellStyle name="常规 8 3 8 5 2 6" xfId="28091" xr:uid="{8E6059B3-B1E3-47C2-8AF0-E933678A36A6}"/>
    <cellStyle name="常规 8 3 8 5 3" xfId="28092" xr:uid="{DD1D9F9E-90D6-44C4-89D1-8D47F3D6236C}"/>
    <cellStyle name="常规 8 3 8 5 4" xfId="28093" xr:uid="{B142C38C-C4B8-48F2-8734-06E4FA819053}"/>
    <cellStyle name="常规 8 3 8 5 5" xfId="28094" xr:uid="{39B2592A-1963-4703-B659-1AFA8A712754}"/>
    <cellStyle name="常规 8 3 8 5 6" xfId="28095" xr:uid="{7FF2D682-DB57-4822-8EFE-009DD220D18F}"/>
    <cellStyle name="常规 8 3 8 5 7" xfId="28096" xr:uid="{A3721E31-5AE7-4126-AAE6-0089CA41A8E5}"/>
    <cellStyle name="常规 8 3 8 6" xfId="28097" xr:uid="{FFF649B2-6D08-4399-813B-420FD825AC88}"/>
    <cellStyle name="常规 8 3 8 6 2" xfId="28098" xr:uid="{22C11511-7655-432B-A468-75AAD6C52D14}"/>
    <cellStyle name="常规 8 3 8 6 3" xfId="28099" xr:uid="{5E7C4758-3FFF-42B0-A520-B77B108E4055}"/>
    <cellStyle name="常规 8 3 8 6 4" xfId="28100" xr:uid="{4B425C54-2329-4507-B99D-DDF34DC68E4F}"/>
    <cellStyle name="常规 8 3 8 6 5" xfId="28101" xr:uid="{D997763A-45DF-4E55-83EE-57228155156A}"/>
    <cellStyle name="常规 8 3 8 6 6" xfId="28102" xr:uid="{2096F821-E17A-490E-8342-B06918DCCDFE}"/>
    <cellStyle name="常规 8 3 8 7" xfId="28103" xr:uid="{C3D6311D-52A9-49CC-B45C-5F32536553F5}"/>
    <cellStyle name="常规 8 3 8 8" xfId="28104" xr:uid="{80C1DB8F-96B1-458C-9D2D-46023A0585D6}"/>
    <cellStyle name="常规 8 3 8 9" xfId="28105" xr:uid="{A0B3A329-4FC7-40B4-B380-27A66527D0D7}"/>
    <cellStyle name="常规 8 3 9" xfId="28106" xr:uid="{0E0383E7-9E72-44B9-83E6-DD772976B0BB}"/>
    <cellStyle name="常规 8 3 9 10" xfId="28107" xr:uid="{CCB2E7A2-8C03-4548-802C-ECB20AFBDBFD}"/>
    <cellStyle name="常规 8 3 9 11" xfId="28108" xr:uid="{FC731249-931C-45C4-83FD-86CA178C5E62}"/>
    <cellStyle name="常规 8 3 9 2" xfId="28109" xr:uid="{00110184-A4C6-4888-BA6B-FA97237987F6}"/>
    <cellStyle name="常规 8 3 9 2 2" xfId="28110" xr:uid="{C8C27BEE-F070-46F6-B74E-C3252D082207}"/>
    <cellStyle name="常规 8 3 9 2 2 2" xfId="28111" xr:uid="{49C6A325-F886-496D-AAB7-316C7173A099}"/>
    <cellStyle name="常规 8 3 9 2 2 3" xfId="28112" xr:uid="{5511EDC5-971F-4D26-9F27-1CCD31B5E946}"/>
    <cellStyle name="常规 8 3 9 2 2 4" xfId="28113" xr:uid="{CEAA8048-65E2-46B0-8A81-6A680F055342}"/>
    <cellStyle name="常规 8 3 9 2 2 5" xfId="28114" xr:uid="{9D767FFB-8EA0-4325-B76A-36D92CA212BA}"/>
    <cellStyle name="常规 8 3 9 2 2 6" xfId="28115" xr:uid="{D2E217B1-8C6C-40E4-A1BF-3A8DBE848612}"/>
    <cellStyle name="常规 8 3 9 2 3" xfId="28116" xr:uid="{737CFBA6-32F6-4C6A-9026-9C44E68C7777}"/>
    <cellStyle name="常规 8 3 9 2 4" xfId="28117" xr:uid="{0C24E124-8BE7-43F7-A13C-23B6F36BA923}"/>
    <cellStyle name="常规 8 3 9 2 5" xfId="28118" xr:uid="{3B508C3F-C452-4C6C-9D4D-1EF08BA228E2}"/>
    <cellStyle name="常规 8 3 9 2 6" xfId="28119" xr:uid="{7CCEA545-A117-4F9E-9FA3-E732D544B58A}"/>
    <cellStyle name="常规 8 3 9 2 7" xfId="28120" xr:uid="{C56B28F7-E09F-4B9A-9050-A091056EBE27}"/>
    <cellStyle name="常规 8 3 9 3" xfId="28121" xr:uid="{6EC08CF9-1023-4E91-B3DA-DE84C85CFA43}"/>
    <cellStyle name="常规 8 3 9 3 2" xfId="28122" xr:uid="{73473BE7-F2FD-43ED-BB07-1C051B1A5F77}"/>
    <cellStyle name="常规 8 3 9 3 2 2" xfId="28123" xr:uid="{1538C2D1-13FD-44DF-B506-852C0A66D9BD}"/>
    <cellStyle name="常规 8 3 9 3 2 3" xfId="28124" xr:uid="{1A3FCD49-17D6-4C38-A5FB-331062F98F9E}"/>
    <cellStyle name="常规 8 3 9 3 2 4" xfId="28125" xr:uid="{962F9F1B-5735-4760-B515-3DA8D016026E}"/>
    <cellStyle name="常规 8 3 9 3 2 5" xfId="28126" xr:uid="{CCD7D8F6-6C86-4E5E-9D20-71CEA8D27788}"/>
    <cellStyle name="常规 8 3 9 3 2 6" xfId="28127" xr:uid="{E86F36D2-4B3D-41B2-8977-2182E63F6984}"/>
    <cellStyle name="常规 8 3 9 3 3" xfId="28128" xr:uid="{C167C7B7-2282-487C-8BDE-A4FA5698CC36}"/>
    <cellStyle name="常规 8 3 9 3 4" xfId="28129" xr:uid="{0F99920B-411A-41D6-9063-E70A3B2B760E}"/>
    <cellStyle name="常规 8 3 9 3 5" xfId="28130" xr:uid="{397BA792-82EB-43FE-B9A4-726A710F508A}"/>
    <cellStyle name="常规 8 3 9 3 6" xfId="28131" xr:uid="{8597BAFF-E2DE-40A3-9130-00782471B823}"/>
    <cellStyle name="常规 8 3 9 3 7" xfId="28132" xr:uid="{57C0D4D0-6C6B-4999-941D-A7F9D0B84021}"/>
    <cellStyle name="常规 8 3 9 4" xfId="28133" xr:uid="{5DAEE32D-F25A-43E1-BF45-7C7999BE5600}"/>
    <cellStyle name="常规 8 3 9 4 2" xfId="28134" xr:uid="{0DE893FA-A69B-473F-B6D7-E714D1FCE413}"/>
    <cellStyle name="常规 8 3 9 4 2 2" xfId="28135" xr:uid="{214420AE-FBCF-4984-B25D-401714A1AFCC}"/>
    <cellStyle name="常规 8 3 9 4 2 3" xfId="28136" xr:uid="{B71ED4C4-7635-4F99-9585-32F11583C3B6}"/>
    <cellStyle name="常规 8 3 9 4 2 4" xfId="28137" xr:uid="{86DBAD26-2BF4-431F-A489-7449697A770B}"/>
    <cellStyle name="常规 8 3 9 4 2 5" xfId="28138" xr:uid="{8343658C-4DBF-41DE-B98E-A428EA310CCE}"/>
    <cellStyle name="常规 8 3 9 4 2 6" xfId="28139" xr:uid="{61F294A0-8F74-4501-9A29-1F3DC07DE502}"/>
    <cellStyle name="常规 8 3 9 4 3" xfId="28140" xr:uid="{F8C654B5-AAA2-4AFC-8281-95B03B481A6A}"/>
    <cellStyle name="常规 8 3 9 4 4" xfId="28141" xr:uid="{02EF44BC-4D0C-49A2-AB90-75547422575B}"/>
    <cellStyle name="常规 8 3 9 4 5" xfId="28142" xr:uid="{3AAB4A59-D8E9-47ED-95F8-52969F368820}"/>
    <cellStyle name="常规 8 3 9 4 6" xfId="28143" xr:uid="{8DDA8929-39FA-4C30-9A38-06BD5B59E680}"/>
    <cellStyle name="常规 8 3 9 4 7" xfId="28144" xr:uid="{0CBE26D2-12C5-4532-A3C5-AB56E229482A}"/>
    <cellStyle name="常规 8 3 9 5" xfId="28145" xr:uid="{A7BEFCC5-5BF6-4F13-8CC9-2BFEB57B972F}"/>
    <cellStyle name="常规 8 3 9 5 2" xfId="28146" xr:uid="{3DA9711A-70C9-45FF-98F2-EB517AA95595}"/>
    <cellStyle name="常规 8 3 9 5 3" xfId="28147" xr:uid="{DE6B05E7-4D72-4E60-957E-DA18E4756B27}"/>
    <cellStyle name="常规 8 3 9 5 4" xfId="28148" xr:uid="{67228827-47FD-40F6-A53B-22042F2F2AD7}"/>
    <cellStyle name="常规 8 3 9 5 5" xfId="28149" xr:uid="{30393331-8D29-4B96-AA16-67A80BE8281A}"/>
    <cellStyle name="常规 8 3 9 5 6" xfId="28150" xr:uid="{00B1B153-E827-4CA5-9BD7-E7DFEEB30914}"/>
    <cellStyle name="常规 8 3 9 6" xfId="28151" xr:uid="{5041A3CB-76B3-4314-AB9B-00A752AB0820}"/>
    <cellStyle name="常规 8 3 9 7" xfId="28152" xr:uid="{38A62125-43FE-4DC5-8A2F-B6287F41B552}"/>
    <cellStyle name="常规 8 3 9 8" xfId="28153" xr:uid="{58FD8A49-68D7-4D14-B8E7-4B2A2926372D}"/>
    <cellStyle name="常规 8 3 9 9" xfId="28154" xr:uid="{30D96F34-F071-49A2-B745-51EFF470CDA3}"/>
    <cellStyle name="常规 8 30" xfId="28155" xr:uid="{6378B401-BC9A-4FFE-B3E8-692CC2B36D63}"/>
    <cellStyle name="常规 8 31" xfId="34627" xr:uid="{23381401-968F-4A83-B9B4-39F8427501ED}"/>
    <cellStyle name="常规 8 4" xfId="28156" xr:uid="{AC4FDEF9-74CE-4CDC-97CF-1835AE784F40}"/>
    <cellStyle name="常规 8 4 10" xfId="28157" xr:uid="{FF0F4F22-85BD-484F-9E19-E496DB1505B7}"/>
    <cellStyle name="常规 8 4 10 2" xfId="28158" xr:uid="{EE7A37BD-EEEA-4001-B324-11ADE8AC3496}"/>
    <cellStyle name="常规 8 4 10 2 2" xfId="28159" xr:uid="{DAEA3D35-8FBC-4910-B1BF-D31BADE47D37}"/>
    <cellStyle name="常规 8 4 10 2 3" xfId="28160" xr:uid="{7533C8A4-4B04-4D55-A737-D2DB93126919}"/>
    <cellStyle name="常规 8 4 10 2 4" xfId="28161" xr:uid="{60BF87EE-161C-4259-B4D2-0962784A7536}"/>
    <cellStyle name="常规 8 4 10 2 5" xfId="28162" xr:uid="{FD833B72-91B6-4170-AAA1-5A2C6CD87080}"/>
    <cellStyle name="常规 8 4 10 2 6" xfId="28163" xr:uid="{1A30EA48-B673-4514-AA21-5A699C07C06D}"/>
    <cellStyle name="常规 8 4 10 3" xfId="28164" xr:uid="{58E3D702-C009-4C85-BC9B-74BFF30B6700}"/>
    <cellStyle name="常规 8 4 10 4" xfId="28165" xr:uid="{08225DE7-F493-410D-B71E-BBEA3021AF51}"/>
    <cellStyle name="常规 8 4 10 5" xfId="28166" xr:uid="{841B166C-E28D-449B-852E-03091AE5119B}"/>
    <cellStyle name="常规 8 4 10 6" xfId="28167" xr:uid="{C8B0FD69-BCC9-4252-87C1-0DBDC58958A6}"/>
    <cellStyle name="常规 8 4 10 7" xfId="28168" xr:uid="{534BD442-8D60-47FB-B791-C00A51151949}"/>
    <cellStyle name="常规 8 4 11" xfId="28169" xr:uid="{90248965-6572-471A-8EE7-3D99831C2694}"/>
    <cellStyle name="常规 8 4 11 2" xfId="28170" xr:uid="{1A17D80A-CD7E-4FAE-BB8B-BEDC2D9183DA}"/>
    <cellStyle name="常规 8 4 11 2 2" xfId="28171" xr:uid="{20C0EEC9-72D9-40A9-92DB-FAC392A6225E}"/>
    <cellStyle name="常规 8 4 11 2 3" xfId="28172" xr:uid="{C7906A24-561F-4EC8-B340-C69E389B8647}"/>
    <cellStyle name="常规 8 4 11 2 4" xfId="28173" xr:uid="{4F6AD8C4-B1B9-4354-92E9-420583D2C931}"/>
    <cellStyle name="常规 8 4 11 2 5" xfId="28174" xr:uid="{7C3EAB1D-4CCC-48EA-B105-8F8BFE9C878C}"/>
    <cellStyle name="常规 8 4 11 2 6" xfId="28175" xr:uid="{5A4FBF18-1ABB-41A4-8E0E-CFA96E65C212}"/>
    <cellStyle name="常规 8 4 11 3" xfId="28176" xr:uid="{A6F8FA91-DC0E-420B-8C51-B72EE26C1C98}"/>
    <cellStyle name="常规 8 4 11 4" xfId="28177" xr:uid="{945728E1-DF13-4E2D-B15F-2745DB2B8608}"/>
    <cellStyle name="常规 8 4 11 5" xfId="28178" xr:uid="{A286A196-E98B-4F42-99E4-2B2E162DEA02}"/>
    <cellStyle name="常规 8 4 11 6" xfId="28179" xr:uid="{321785E2-8967-4B61-8324-F1270E83048A}"/>
    <cellStyle name="常规 8 4 11 7" xfId="28180" xr:uid="{63DD03BC-864A-4736-976F-4027AF8F832D}"/>
    <cellStyle name="常规 8 4 12" xfId="28181" xr:uid="{EABEEB1A-DFF3-4E21-8095-A7098F7D7F15}"/>
    <cellStyle name="常规 8 4 12 2" xfId="28182" xr:uid="{AA6C058A-4490-423B-9F17-4B62689A8C73}"/>
    <cellStyle name="常规 8 4 12 2 2" xfId="28183" xr:uid="{C50AE4F0-CA6F-4DB7-B5A0-FE9E66425941}"/>
    <cellStyle name="常规 8 4 12 2 3" xfId="28184" xr:uid="{2FC78EDA-8FDA-4FC3-A546-05B5C47EC3A3}"/>
    <cellStyle name="常规 8 4 12 2 4" xfId="28185" xr:uid="{E670260C-F4AF-4D42-8FE3-3F381DDCDFC8}"/>
    <cellStyle name="常规 8 4 12 2 5" xfId="28186" xr:uid="{198AC1F6-1D75-4777-8215-9B3408D86C97}"/>
    <cellStyle name="常规 8 4 12 2 6" xfId="28187" xr:uid="{C19A7B49-877C-49E3-945C-B065267DF7CA}"/>
    <cellStyle name="常规 8 4 12 3" xfId="28188" xr:uid="{3F341646-8B01-428C-919F-94AFD5CB275B}"/>
    <cellStyle name="常规 8 4 12 4" xfId="28189" xr:uid="{1C3ACBB0-06FC-4EA9-906B-6A735B765CC7}"/>
    <cellStyle name="常规 8 4 12 5" xfId="28190" xr:uid="{F1E8DA59-4EC9-4435-9E3B-3A043A5E9328}"/>
    <cellStyle name="常规 8 4 12 6" xfId="28191" xr:uid="{7DC92721-869E-41AA-A6C2-5068A2AB7815}"/>
    <cellStyle name="常规 8 4 12 7" xfId="28192" xr:uid="{6D179007-F546-4BBF-9BE2-1CBA07B1F3B7}"/>
    <cellStyle name="常规 8 4 13" xfId="28193" xr:uid="{418EF4D2-4104-4C84-97C7-FC796A21D140}"/>
    <cellStyle name="常规 8 4 13 2" xfId="28194" xr:uid="{7B33F103-EDFE-4B7B-A994-2FF33473ECB9}"/>
    <cellStyle name="常规 8 4 13 3" xfId="28195" xr:uid="{801C0771-934B-47A4-A4E3-963848ACF7F9}"/>
    <cellStyle name="常规 8 4 13 4" xfId="28196" xr:uid="{C10001B9-B58B-49F8-951D-43CB43E17675}"/>
    <cellStyle name="常规 8 4 13 5" xfId="28197" xr:uid="{1A4B0214-6F71-4D99-8565-FD613DCCEF1B}"/>
    <cellStyle name="常规 8 4 13 6" xfId="28198" xr:uid="{ADBB9ECB-E04C-4954-AF13-4D3966B133B1}"/>
    <cellStyle name="常规 8 4 14" xfId="28199" xr:uid="{B2D4C63B-EB3B-4E02-8B01-4CC92252C1A1}"/>
    <cellStyle name="常规 8 4 15" xfId="28200" xr:uid="{9C2EE7D9-4392-4C2A-9328-EBD19B9ACA5B}"/>
    <cellStyle name="常规 8 4 16" xfId="28201" xr:uid="{26FAB750-019C-4CDF-A19E-B46957F34607}"/>
    <cellStyle name="常规 8 4 17" xfId="28202" xr:uid="{28E16D41-8502-4DA7-BCC3-F767A4D528A9}"/>
    <cellStyle name="常规 8 4 18" xfId="28203" xr:uid="{745AAD29-EB74-4818-BD09-55224C0902F9}"/>
    <cellStyle name="常规 8 4 19" xfId="28204" xr:uid="{2C2A0E99-10C2-47B9-AD01-FDBE0A58C260}"/>
    <cellStyle name="常规 8 4 2" xfId="28205" xr:uid="{EA3185DC-A217-4217-BFB7-3F5F5F1FF533}"/>
    <cellStyle name="常规 8 4 2 2" xfId="28206" xr:uid="{FA7CB518-2A63-4161-BA3B-973A143028CE}"/>
    <cellStyle name="常规 8 4 2 2 2" xfId="28207" xr:uid="{F89671C2-39A7-4C54-A717-4E0CB4032711}"/>
    <cellStyle name="常规 8 4 2 2 2 2" xfId="28208" xr:uid="{50B9BA53-D0EA-4578-9EE5-F312EC6927AC}"/>
    <cellStyle name="常规 8 4 2 2 3" xfId="28209" xr:uid="{AC22C43C-C6C0-402C-9F2B-AD446F3D0E2B}"/>
    <cellStyle name="常规 8 4 2 2 4" xfId="28210" xr:uid="{DDB6D96D-70E5-4B77-A15B-7010F4A34B16}"/>
    <cellStyle name="常规 8 4 2 2 4 2" xfId="34628" xr:uid="{A5F0874B-35DB-4082-91A9-636C4FD218EB}"/>
    <cellStyle name="常规 8 4 2 3" xfId="28211" xr:uid="{B5372DF2-7447-44B0-87E2-431E468F89F2}"/>
    <cellStyle name="常规 8 4 2 3 2" xfId="28212" xr:uid="{CAF3C882-A078-495E-A57F-F12A22BE5F85}"/>
    <cellStyle name="常规 8 4 2 3 2 2" xfId="28213" xr:uid="{2283DDD9-8D85-4E84-8835-634712255151}"/>
    <cellStyle name="常规 8 4 2 3 3" xfId="28214" xr:uid="{DEA4E889-0620-4E1C-8914-B0856257AFCE}"/>
    <cellStyle name="常规 8 4 2 3 4" xfId="28215" xr:uid="{7CB1FCDC-1D15-4BEC-8DD7-7AF65E029AA4}"/>
    <cellStyle name="常规 8 4 2 3 4 2" xfId="34629" xr:uid="{0BEB6657-0AA6-48C7-8D45-3D04E874BB71}"/>
    <cellStyle name="常规 8 4 2 4" xfId="28216" xr:uid="{5A196378-3F52-49ED-B7BD-B06D6BA6DB67}"/>
    <cellStyle name="常规 8 4 2 4 2" xfId="28217" xr:uid="{EF7AF8CB-3019-43C1-99F6-C40721C8D208}"/>
    <cellStyle name="常规 8 4 2 5" xfId="28218" xr:uid="{2D574F96-4A4E-421C-98EF-BCCD7ED38A58}"/>
    <cellStyle name="常规 8 4 2 6" xfId="28219" xr:uid="{1EB6AED2-D0EF-461A-BC20-64AF51875485}"/>
    <cellStyle name="常规 8 4 2 6 2" xfId="34630" xr:uid="{C6610136-EC12-4283-865C-B7FC62804453}"/>
    <cellStyle name="常规 8 4 2 7" xfId="28220" xr:uid="{69EDC7B3-86EC-4ED7-9388-CC33F3857ED6}"/>
    <cellStyle name="常规 8 4 3" xfId="28221" xr:uid="{6C5A7C16-1DE6-480D-B055-786581EFEC14}"/>
    <cellStyle name="常规 8 4 3 2" xfId="28222" xr:uid="{2787B050-1755-4500-925C-BCF39D5FC017}"/>
    <cellStyle name="常规 8 4 3 2 2" xfId="28223" xr:uid="{FE224589-2C16-4AFD-B3FB-01CDFF78898F}"/>
    <cellStyle name="常规 8 4 3 2 3" xfId="28224" xr:uid="{11B6D078-0573-4731-9236-21A720F0649D}"/>
    <cellStyle name="常规 8 4 3 2 4" xfId="28225" xr:uid="{F35FD32D-5802-4FB8-A5E9-E7926E4C36DC}"/>
    <cellStyle name="常规 8 4 3 2 5" xfId="28226" xr:uid="{13985609-3328-4975-BAD4-B5FBB3F868B0}"/>
    <cellStyle name="常规 8 4 3 2 6" xfId="28227" xr:uid="{28B0CA89-AB03-43C3-BC39-1B9745ED06E7}"/>
    <cellStyle name="常规 8 4 3 2 7" xfId="28228" xr:uid="{6A1C3A6D-CE63-497A-BD70-B0EEE0446C00}"/>
    <cellStyle name="常规 8 4 3 2 8" xfId="28229" xr:uid="{1805A0E4-71C3-4012-99F3-B782851470E1}"/>
    <cellStyle name="常规 8 4 3 3" xfId="28230" xr:uid="{35580D43-0C7E-4317-B9D5-409E79E24D50}"/>
    <cellStyle name="常规 8 4 3 3 2" xfId="28231" xr:uid="{956CDCF4-817F-4D7A-86C8-FEEF715137D6}"/>
    <cellStyle name="常规 8 4 3 4" xfId="28232" xr:uid="{E3527A2E-0AA6-4766-BADE-DCCDFC7C7896}"/>
    <cellStyle name="常规 8 4 3 4 2" xfId="28233" xr:uid="{794425BD-4079-48B4-B57A-8D301C6F4575}"/>
    <cellStyle name="常规 8 4 3 4 3" xfId="34631" xr:uid="{CF408B21-C15E-4382-9A46-61C65082A822}"/>
    <cellStyle name="常规 8 4 3 5" xfId="28234" xr:uid="{F76AD471-4342-4B07-91C0-2B0E117EF455}"/>
    <cellStyle name="常规 8 4 3 6" xfId="28235" xr:uid="{B8AD16BE-8401-43A4-B723-A3840F1B75A2}"/>
    <cellStyle name="常规 8 4 3 7" xfId="28236" xr:uid="{003CC9A2-65F8-43C9-B45B-5A288264276D}"/>
    <cellStyle name="常规 8 4 3 8" xfId="28237" xr:uid="{CAE164BA-94F7-4E05-9196-4626DA5AF6AD}"/>
    <cellStyle name="常规 8 4 4" xfId="28238" xr:uid="{8224F273-AB6E-4924-BA13-CDD2E7CAC9CC}"/>
    <cellStyle name="常规 8 4 4 2" xfId="28239" xr:uid="{22AB3BCB-8710-4D4F-990B-E1469F47AEE8}"/>
    <cellStyle name="常规 8 4 4 2 2" xfId="28240" xr:uid="{1FD01F78-FE0B-4FEF-A063-6127AC8B3228}"/>
    <cellStyle name="常规 8 4 4 2 3" xfId="28241" xr:uid="{CF869DE3-C388-4264-9570-98C2DDA0F433}"/>
    <cellStyle name="常规 8 4 4 2 4" xfId="28242" xr:uid="{B4850C5C-A050-4A1B-80A8-A9B555C5C219}"/>
    <cellStyle name="常规 8 4 4 2 5" xfId="28243" xr:uid="{64E6E9A2-9BE0-4A1A-8885-4E75C58C4D6A}"/>
    <cellStyle name="常规 8 4 4 2 6" xfId="28244" xr:uid="{9E35515C-F8D9-4A5E-8C16-4818F7902473}"/>
    <cellStyle name="常规 8 4 4 2 7" xfId="28245" xr:uid="{6B5C3C76-EE15-4A00-B29C-77CED83BF42F}"/>
    <cellStyle name="常规 8 4 4 2 8" xfId="28246" xr:uid="{9B67AF8E-13F7-4F9D-B0CE-C6E9EF54892C}"/>
    <cellStyle name="常规 8 4 4 3" xfId="28247" xr:uid="{599AA28B-198B-41AA-A9DE-10E9481C50D4}"/>
    <cellStyle name="常规 8 4 4 3 2" xfId="28248" xr:uid="{9CDFE3F6-AD48-425C-BFAE-7A8F08C7ADA8}"/>
    <cellStyle name="常规 8 4 4 4" xfId="28249" xr:uid="{8920AF34-F323-4417-B7D2-9A3E8F37FE0F}"/>
    <cellStyle name="常规 8 4 4 4 2" xfId="28250" xr:uid="{2736985B-80FB-45DF-9E00-4D4A106D0F57}"/>
    <cellStyle name="常规 8 4 4 4 3" xfId="34632" xr:uid="{BB2DF4EA-7E31-4431-AA2C-448363520CB0}"/>
    <cellStyle name="常规 8 4 4 5" xfId="28251" xr:uid="{09925690-671F-45C5-9AFC-AA3CCA3B5B5F}"/>
    <cellStyle name="常规 8 4 4 6" xfId="28252" xr:uid="{05D160C8-5954-4FF7-809C-B1214144C452}"/>
    <cellStyle name="常规 8 4 4 7" xfId="28253" xr:uid="{8F587818-B655-4AA3-91AA-C641F16A91B8}"/>
    <cellStyle name="常规 8 4 4 8" xfId="28254" xr:uid="{A2BFC72C-ABFC-4689-8993-B64E46ED2C32}"/>
    <cellStyle name="常规 8 4 5" xfId="28255" xr:uid="{7AE454A9-4C8D-4FE1-B0AB-CC0D700E0A7D}"/>
    <cellStyle name="常规 8 4 5 2" xfId="28256" xr:uid="{8270D273-A8DE-41B8-8A9B-03E82D72D618}"/>
    <cellStyle name="常规 8 4 5 2 2" xfId="28257" xr:uid="{14512F16-F271-4E3A-81C5-C9369DA1ED8D}"/>
    <cellStyle name="常规 8 4 5 2 3" xfId="28258" xr:uid="{92634ED1-9DBE-471B-8EC3-E89A30CD1481}"/>
    <cellStyle name="常规 8 4 5 2 4" xfId="28259" xr:uid="{71ADD7BF-435B-473F-8B73-DD7B78AEEF70}"/>
    <cellStyle name="常规 8 4 5 2 5" xfId="28260" xr:uid="{056DE032-86D8-4A25-A8E6-507C1809D0D9}"/>
    <cellStyle name="常规 8 4 5 2 6" xfId="28261" xr:uid="{30BFD768-F7CC-41B4-A863-27F268940084}"/>
    <cellStyle name="常规 8 4 5 3" xfId="28262" xr:uid="{ABE35E83-8B65-411F-8BBD-0377CC964929}"/>
    <cellStyle name="常规 8 4 5 4" xfId="28263" xr:uid="{302C4998-7B05-4CEB-9DFD-018181D3F88C}"/>
    <cellStyle name="常规 8 4 5 5" xfId="28264" xr:uid="{83E7760F-C811-4FBD-BE79-6FE8E8BF1627}"/>
    <cellStyle name="常规 8 4 5 6" xfId="28265" xr:uid="{19C2C927-4D48-40E6-B37B-F79868C1AE72}"/>
    <cellStyle name="常规 8 4 5 7" xfId="28266" xr:uid="{E81A3956-3E24-49A3-AFF3-FA09D24F399F}"/>
    <cellStyle name="常规 8 4 5 8" xfId="28267" xr:uid="{6E76B7C0-8915-4A23-BF9E-7A4ABEF3841A}"/>
    <cellStyle name="常规 8 4 5 9" xfId="28268" xr:uid="{E9B15A0E-3C2F-43BD-A06E-20F6F8E65844}"/>
    <cellStyle name="常规 8 4 6" xfId="28269" xr:uid="{739DA44F-CD6D-4CF2-A24C-A9B24DE0990A}"/>
    <cellStyle name="常规 8 4 6 2" xfId="28270" xr:uid="{291E1DCE-CAA4-4DF0-BD7D-49EB911E67DE}"/>
    <cellStyle name="常规 8 4 6 2 2" xfId="28271" xr:uid="{6F92087B-13ED-4803-B962-863056CD0356}"/>
    <cellStyle name="常规 8 4 6 2 3" xfId="28272" xr:uid="{6A5CFC84-A5EA-478C-94E0-6256B3231AB0}"/>
    <cellStyle name="常规 8 4 6 2 4" xfId="28273" xr:uid="{255503E7-35DB-49AC-8E1F-93044AD6B8E2}"/>
    <cellStyle name="常规 8 4 6 2 5" xfId="28274" xr:uid="{1049D8CB-2216-4FD7-9512-765D2B4E7F1B}"/>
    <cellStyle name="常规 8 4 6 2 6" xfId="28275" xr:uid="{099A8BC6-366F-4A48-87D2-3A363D8BD898}"/>
    <cellStyle name="常规 8 4 6 3" xfId="28276" xr:uid="{F2A7D3BA-75A5-44BC-BE17-870A460F3AA6}"/>
    <cellStyle name="常规 8 4 6 4" xfId="28277" xr:uid="{61743EA3-9662-42F8-8148-AFCF882438A5}"/>
    <cellStyle name="常规 8 4 6 5" xfId="28278" xr:uid="{2E0665D1-271B-487E-9D88-2883CB421021}"/>
    <cellStyle name="常规 8 4 6 6" xfId="28279" xr:uid="{F4AE8CDD-E215-479D-ABFD-6B86CA1DB03A}"/>
    <cellStyle name="常规 8 4 6 7" xfId="28280" xr:uid="{201EE719-FBEF-42A6-A689-1123A9FB44FC}"/>
    <cellStyle name="常规 8 4 6 8" xfId="28281" xr:uid="{5E391FFD-97C2-4386-B253-543CD958D1E1}"/>
    <cellStyle name="常规 8 4 7" xfId="28282" xr:uid="{91FFB71E-8FF1-4538-9133-9129A36DCDE9}"/>
    <cellStyle name="常规 8 4 7 2" xfId="28283" xr:uid="{FA8C2D54-578C-488B-A583-C5DB9E05B1CB}"/>
    <cellStyle name="常规 8 4 7 2 2" xfId="28284" xr:uid="{A3567693-CACC-471A-B9E0-CF842E6C75F5}"/>
    <cellStyle name="常规 8 4 7 2 3" xfId="28285" xr:uid="{EC6F17A7-2463-408A-887B-5B992B47BF33}"/>
    <cellStyle name="常规 8 4 7 2 4" xfId="28286" xr:uid="{70AB7727-3EED-416C-9DAA-8E212C3257D1}"/>
    <cellStyle name="常规 8 4 7 2 5" xfId="28287" xr:uid="{5EBF615C-A7A5-49CC-8EBF-8C4B8CCCE806}"/>
    <cellStyle name="常规 8 4 7 2 6" xfId="28288" xr:uid="{2999FE99-EC14-4EAC-A7CA-67F6129756B1}"/>
    <cellStyle name="常规 8 4 7 3" xfId="28289" xr:uid="{7CCBBB52-BE7C-41A3-9109-C7FC58D349EA}"/>
    <cellStyle name="常规 8 4 7 4" xfId="28290" xr:uid="{6E60E557-7EEE-4EFC-B190-59576BB5AE69}"/>
    <cellStyle name="常规 8 4 7 5" xfId="28291" xr:uid="{F1DD9002-53CB-4AFD-A645-D54DE0BA6906}"/>
    <cellStyle name="常规 8 4 7 6" xfId="28292" xr:uid="{BDF82533-B3F0-498B-BF23-6E9BF812B908}"/>
    <cellStyle name="常规 8 4 7 7" xfId="28293" xr:uid="{23AD422D-8469-4D86-AB42-25DAD393C6EF}"/>
    <cellStyle name="常规 8 4 7 8" xfId="28294" xr:uid="{240DC2D1-81D9-4A9C-AD62-E71732B06F6D}"/>
    <cellStyle name="常规 8 4 7 9" xfId="34633" xr:uid="{EDD79B29-EA17-4E3A-8719-C949BAA62EC7}"/>
    <cellStyle name="常规 8 4 8" xfId="28295" xr:uid="{E9926972-57A1-4131-AFF6-13A1601F14E8}"/>
    <cellStyle name="常规 8 4 8 2" xfId="28296" xr:uid="{9F94E44E-DB80-4C56-B117-ACC7CDA7F9FE}"/>
    <cellStyle name="常规 8 4 8 2 2" xfId="28297" xr:uid="{3B4BDFCE-B606-406F-9130-19B533974683}"/>
    <cellStyle name="常规 8 4 8 2 3" xfId="28298" xr:uid="{819C8B0D-C6C6-4CA6-AEF7-E59818F899D8}"/>
    <cellStyle name="常规 8 4 8 2 4" xfId="28299" xr:uid="{5AF9D24C-E8C2-44A8-B9D0-77C1043FD17C}"/>
    <cellStyle name="常规 8 4 8 2 5" xfId="28300" xr:uid="{733E52D9-9CBC-4FE7-9216-44EA8B638436}"/>
    <cellStyle name="常规 8 4 8 2 6" xfId="28301" xr:uid="{8FED9DFD-F317-4EA4-B349-B9C12599FCED}"/>
    <cellStyle name="常规 8 4 8 3" xfId="28302" xr:uid="{48268F6B-085F-461D-B3B3-C10512D185C9}"/>
    <cellStyle name="常规 8 4 8 4" xfId="28303" xr:uid="{256E312F-B666-499D-B5D6-9ED8E9A63D3F}"/>
    <cellStyle name="常规 8 4 8 5" xfId="28304" xr:uid="{B39684F4-471C-4ACB-B346-E801011AC28F}"/>
    <cellStyle name="常规 8 4 8 6" xfId="28305" xr:uid="{1EB41B09-7AEE-46EE-850E-DC2720B0D22B}"/>
    <cellStyle name="常规 8 4 8 7" xfId="28306" xr:uid="{1F33A23E-75B0-47B6-BCBB-4BC678A58295}"/>
    <cellStyle name="常规 8 4 8 8" xfId="28307" xr:uid="{A6F80436-BEAA-40C7-8BA8-E8272C7E1F82}"/>
    <cellStyle name="常规 8 4 9" xfId="28308" xr:uid="{FC45E5CA-B259-41C0-A05C-DDEC3FF1B740}"/>
    <cellStyle name="常规 8 4 9 2" xfId="28309" xr:uid="{5E4C2B2E-DF57-411B-A7D6-FCEC9D96181E}"/>
    <cellStyle name="常规 8 4 9 2 2" xfId="28310" xr:uid="{4BEBD20D-D90F-40DF-82F5-172C13F0E411}"/>
    <cellStyle name="常规 8 4 9 2 3" xfId="28311" xr:uid="{F882BD73-082E-4AB9-A6FE-99737ECAB7B9}"/>
    <cellStyle name="常规 8 4 9 2 4" xfId="28312" xr:uid="{7D7D291D-EEF1-47E9-A02C-F75C10CEEA8A}"/>
    <cellStyle name="常规 8 4 9 2 5" xfId="28313" xr:uid="{3F1B3878-FBDA-4884-A6A4-D5C0FE46E1D7}"/>
    <cellStyle name="常规 8 4 9 2 6" xfId="28314" xr:uid="{D2087587-595F-462D-83A8-F1D0F4BB3EEB}"/>
    <cellStyle name="常规 8 4 9 3" xfId="28315" xr:uid="{209EB451-319C-41AD-A14D-D48975BBD03C}"/>
    <cellStyle name="常规 8 4 9 4" xfId="28316" xr:uid="{C63657FD-F653-45D6-83A4-C4702CD63AA6}"/>
    <cellStyle name="常规 8 4 9 5" xfId="28317" xr:uid="{3104E816-A848-426C-9E9F-0735421DF660}"/>
    <cellStyle name="常规 8 4 9 6" xfId="28318" xr:uid="{3F159D3E-159A-4D4D-B820-1EA0D8BC03FA}"/>
    <cellStyle name="常规 8 4 9 7" xfId="28319" xr:uid="{986BE5F0-95E9-46F8-906D-56A42A04A2DC}"/>
    <cellStyle name="常规 8 5" xfId="28320" xr:uid="{0E0C833F-0193-4874-9540-77A18A803151}"/>
    <cellStyle name="常规 8 5 10" xfId="28321" xr:uid="{F9626EBC-9812-4851-82FF-DDE4A3C33FA1}"/>
    <cellStyle name="常规 8 5 10 2" xfId="28322" xr:uid="{EE0E0ED2-C351-445A-AAC4-4EA33B543711}"/>
    <cellStyle name="常规 8 5 10 2 2" xfId="28323" xr:uid="{E01C11D5-6A96-43F6-8EEB-B902F7FB15EF}"/>
    <cellStyle name="常规 8 5 10 2 3" xfId="28324" xr:uid="{5CAA6F97-D947-4076-98D2-2B0262801A26}"/>
    <cellStyle name="常规 8 5 10 2 4" xfId="28325" xr:uid="{F5BB19B1-3E12-4C39-A3B3-A507B75FCAC1}"/>
    <cellStyle name="常规 8 5 10 2 5" xfId="28326" xr:uid="{4EAC6461-D947-4433-A3C6-D64D1B3F1102}"/>
    <cellStyle name="常规 8 5 10 2 6" xfId="28327" xr:uid="{2E2BDF76-29E0-4459-A333-4B1C99DE779F}"/>
    <cellStyle name="常规 8 5 10 3" xfId="28328" xr:uid="{32903E2A-E02E-4F2A-B331-00E88288F6E1}"/>
    <cellStyle name="常规 8 5 10 4" xfId="28329" xr:uid="{065456F2-EE7A-4573-9545-83191F29AF9D}"/>
    <cellStyle name="常规 8 5 10 5" xfId="28330" xr:uid="{AB07F83A-7DB9-44E0-8EC7-C20F01C85B2E}"/>
    <cellStyle name="常规 8 5 10 6" xfId="28331" xr:uid="{E00F1D7B-48EC-418F-8C37-11D4758B275E}"/>
    <cellStyle name="常规 8 5 10 7" xfId="28332" xr:uid="{D5F5FD90-620F-449C-90C5-4EA216D46AA5}"/>
    <cellStyle name="常规 8 5 11" xfId="28333" xr:uid="{2E398CAE-B5AF-4BF0-B593-9805D6669DF6}"/>
    <cellStyle name="常规 8 5 11 2" xfId="28334" xr:uid="{139754AD-D136-403B-8B61-B3FC62BE193F}"/>
    <cellStyle name="常规 8 5 11 2 2" xfId="28335" xr:uid="{38D61079-85B6-4FD0-BCE1-04C1F678F5B8}"/>
    <cellStyle name="常规 8 5 11 2 3" xfId="28336" xr:uid="{133A3D41-572C-4646-9FF5-33B38315DC60}"/>
    <cellStyle name="常规 8 5 11 2 4" xfId="28337" xr:uid="{1B10CF5A-0709-4E6D-92AB-757000A76B6B}"/>
    <cellStyle name="常规 8 5 11 2 5" xfId="28338" xr:uid="{03B584DB-01C9-48BB-A1F8-C8AADC9654AF}"/>
    <cellStyle name="常规 8 5 11 2 6" xfId="28339" xr:uid="{0B4DDFB8-E34B-4648-8095-16819667E310}"/>
    <cellStyle name="常规 8 5 11 3" xfId="28340" xr:uid="{0BCAC0E6-8564-4C34-A591-7B92A2B0DA5C}"/>
    <cellStyle name="常规 8 5 11 4" xfId="28341" xr:uid="{03E1BF94-E2FD-401B-92A5-625B8783CD79}"/>
    <cellStyle name="常规 8 5 11 5" xfId="28342" xr:uid="{545A67E5-CEC4-487B-B485-B84A785CBF1D}"/>
    <cellStyle name="常规 8 5 11 6" xfId="28343" xr:uid="{D3C776B0-A144-478B-9A24-56AD49F6C5B6}"/>
    <cellStyle name="常规 8 5 11 7" xfId="28344" xr:uid="{C9B82932-53AD-410E-885A-0C85143BCFB4}"/>
    <cellStyle name="常规 8 5 12" xfId="28345" xr:uid="{CB9105DE-6AA5-4D36-993D-B8DE71CCB48A}"/>
    <cellStyle name="常规 8 5 2" xfId="28346" xr:uid="{3495950D-1DFB-472B-A3E2-48A4335691AD}"/>
    <cellStyle name="常规 8 5 2 2" xfId="28347" xr:uid="{706C8DC2-58D9-43DD-A7A2-4254A980F70D}"/>
    <cellStyle name="常规 8 5 2 2 2" xfId="28348" xr:uid="{1330FE06-1CF2-4862-AD86-289A1AAEF95A}"/>
    <cellStyle name="常规 8 5 2 3" xfId="28349" xr:uid="{F8B95C62-1031-4D18-A08D-DA56DC05BE15}"/>
    <cellStyle name="常规 8 5 2 4" xfId="28350" xr:uid="{DB86E2A3-C081-4005-B3F7-A4BAE7C27FCC}"/>
    <cellStyle name="常规 8 5 2 4 2" xfId="34634" xr:uid="{077604EB-2AD9-4ADC-A1C3-23A68F82DE71}"/>
    <cellStyle name="常规 8 5 2 5" xfId="28351" xr:uid="{29688937-9064-4A39-947D-2F5BFE5AD9FF}"/>
    <cellStyle name="常规 8 5 3" xfId="28352" xr:uid="{21B5099B-9D5A-4E9C-A620-46D4CF8952C7}"/>
    <cellStyle name="常规 8 5 3 2" xfId="28353" xr:uid="{EDEFD87C-46B5-48B9-887D-BB54CFF5531D}"/>
    <cellStyle name="常规 8 5 3 2 2" xfId="28354" xr:uid="{27BB2B40-E1D3-4AC7-9621-519DAC35C1E4}"/>
    <cellStyle name="常规 8 5 3 2 3" xfId="28355" xr:uid="{2425892A-E655-4843-A966-6D365C06A03E}"/>
    <cellStyle name="常规 8 5 3 2 4" xfId="28356" xr:uid="{F71E2B2F-9B94-4BA6-BE0C-6FF61CA2FC96}"/>
    <cellStyle name="常规 8 5 3 2 5" xfId="28357" xr:uid="{7350AE4C-40FE-4621-A390-A86CE882B858}"/>
    <cellStyle name="常规 8 5 3 2 6" xfId="28358" xr:uid="{54D0AD1D-214D-4E5E-9A8B-783F1AB72D69}"/>
    <cellStyle name="常规 8 5 3 2 7" xfId="28359" xr:uid="{C9F76716-B37E-4706-8B9D-6AF643A0ABCF}"/>
    <cellStyle name="常规 8 5 3 3" xfId="28360" xr:uid="{03A4C610-FA2C-4948-BC1F-FECB96D8AA21}"/>
    <cellStyle name="常规 8 5 3 4" xfId="28361" xr:uid="{2DE73ED4-08A3-4D66-B143-9DA5A660D4C5}"/>
    <cellStyle name="常规 8 5 3 5" xfId="28362" xr:uid="{38E4C216-C33C-4D97-940E-F12EF0A25594}"/>
    <cellStyle name="常规 8 5 3 6" xfId="28363" xr:uid="{5D40FF95-1464-432A-8147-E6EA196A712A}"/>
    <cellStyle name="常规 8 5 3 7" xfId="28364" xr:uid="{5BC205FF-9D38-49A2-845B-652D43879451}"/>
    <cellStyle name="常规 8 5 3 8" xfId="28365" xr:uid="{1E724ABA-185E-4131-9822-C5033FDD843B}"/>
    <cellStyle name="常规 8 5 4" xfId="28366" xr:uid="{69E31B8A-D503-4CA0-B6E3-004066EE37C0}"/>
    <cellStyle name="常规 8 5 4 2" xfId="28367" xr:uid="{E900A4D7-27C8-49CE-8471-B39905DA0A46}"/>
    <cellStyle name="常规 8 5 4 2 2" xfId="28368" xr:uid="{7668C985-10B6-4D71-A709-4DFA17CA31CE}"/>
    <cellStyle name="常规 8 5 4 2 3" xfId="28369" xr:uid="{3D4EAF50-89F6-4ED6-A267-003A01497264}"/>
    <cellStyle name="常规 8 5 4 2 4" xfId="28370" xr:uid="{7A11361C-E665-4892-B1C6-9CA35B52AD5F}"/>
    <cellStyle name="常规 8 5 4 2 5" xfId="28371" xr:uid="{E915D634-E688-4703-89DE-72B723D51E8A}"/>
    <cellStyle name="常规 8 5 4 2 6" xfId="28372" xr:uid="{50FCF198-011C-41E9-A166-66F5A7052881}"/>
    <cellStyle name="常规 8 5 4 3" xfId="28373" xr:uid="{7CA23CB9-C32A-41F1-9A02-953A0DD80089}"/>
    <cellStyle name="常规 8 5 4 4" xfId="28374" xr:uid="{6B505763-76E8-4A6A-895D-EBD6DAF04894}"/>
    <cellStyle name="常规 8 5 4 5" xfId="28375" xr:uid="{FDC0CF68-6E52-42F3-B450-1CC4DECA18C8}"/>
    <cellStyle name="常规 8 5 4 6" xfId="28376" xr:uid="{B101840C-2670-460C-98CA-90A84C3B6165}"/>
    <cellStyle name="常规 8 5 4 7" xfId="28377" xr:uid="{1AAC89B6-B6BC-462A-A966-782881DFBB9E}"/>
    <cellStyle name="常规 8 5 4 8" xfId="28378" xr:uid="{A127C187-88B6-45B5-8ECC-A80C8A0686E5}"/>
    <cellStyle name="常规 8 5 4 9" xfId="28379" xr:uid="{F86ADE1F-C670-4E76-8403-9B7D946D0CFD}"/>
    <cellStyle name="常规 8 5 5" xfId="28380" xr:uid="{6237749E-A7BF-4837-92E4-BF66FAAF567D}"/>
    <cellStyle name="常规 8 5 5 2" xfId="28381" xr:uid="{946AA73A-EB2D-439F-B95A-6440AE983642}"/>
    <cellStyle name="常规 8 5 5 2 2" xfId="28382" xr:uid="{F533D93F-86B3-4CB5-B8E2-B3B1F52FB977}"/>
    <cellStyle name="常规 8 5 5 2 3" xfId="28383" xr:uid="{B7797929-22AC-42AC-863C-0019CF36CCF7}"/>
    <cellStyle name="常规 8 5 5 2 4" xfId="28384" xr:uid="{6810577F-1954-4983-B6DF-7CC1C8B291A4}"/>
    <cellStyle name="常规 8 5 5 2 5" xfId="28385" xr:uid="{A8641255-6ADD-4A57-9708-41DDC3A6BBBB}"/>
    <cellStyle name="常规 8 5 5 2 6" xfId="28386" xr:uid="{860D9E88-F53A-431A-B218-3D22254BAB3D}"/>
    <cellStyle name="常规 8 5 5 3" xfId="28387" xr:uid="{FB272BFF-9DA9-496D-B608-5A52665D9592}"/>
    <cellStyle name="常规 8 5 5 4" xfId="28388" xr:uid="{47FA1AC0-B3C0-4B4F-A327-53C3A74150B6}"/>
    <cellStyle name="常规 8 5 5 5" xfId="28389" xr:uid="{801506E8-A1AC-4C69-80A3-73F891999F3C}"/>
    <cellStyle name="常规 8 5 5 6" xfId="28390" xr:uid="{5CC02A4F-4442-470F-95DB-C4AE22EEA32D}"/>
    <cellStyle name="常规 8 5 5 7" xfId="28391" xr:uid="{A6557A60-56CE-451B-BD98-96ED5BFADC55}"/>
    <cellStyle name="常规 8 5 5 8" xfId="28392" xr:uid="{50504510-8B9C-4D56-9930-19D2384E262F}"/>
    <cellStyle name="常规 8 5 6" xfId="28393" xr:uid="{176D7A3C-0D12-48ED-A874-DB59E8B8A6FB}"/>
    <cellStyle name="常规 8 5 6 2" xfId="28394" xr:uid="{A9D971A4-7C97-4510-94D5-76C8138FAA97}"/>
    <cellStyle name="常规 8 5 6 2 2" xfId="28395" xr:uid="{D7E250FA-26E2-49F2-91A0-643E393FF94A}"/>
    <cellStyle name="常规 8 5 6 2 3" xfId="28396" xr:uid="{FE09809B-6E28-4C76-A19B-F53DEA3FEED6}"/>
    <cellStyle name="常规 8 5 6 2 4" xfId="28397" xr:uid="{9E700DCA-1DE7-4B65-8891-4893F988D1DD}"/>
    <cellStyle name="常规 8 5 6 2 5" xfId="28398" xr:uid="{DA80508E-3E27-48C4-9CB0-CEA761EA7286}"/>
    <cellStyle name="常规 8 5 6 2 6" xfId="28399" xr:uid="{ACE010D4-0CE9-402C-B020-0191066AA95C}"/>
    <cellStyle name="常规 8 5 6 3" xfId="28400" xr:uid="{026772B3-95DA-4700-A239-675B0CAEF898}"/>
    <cellStyle name="常规 8 5 6 4" xfId="28401" xr:uid="{F52BA844-A639-454D-989A-28AEA7973E02}"/>
    <cellStyle name="常规 8 5 6 5" xfId="28402" xr:uid="{A70D55FD-E1C0-4533-ABB3-9860362AC5B9}"/>
    <cellStyle name="常规 8 5 6 6" xfId="28403" xr:uid="{C9540850-8AD1-4A4A-A52A-C78D0C00A419}"/>
    <cellStyle name="常规 8 5 6 7" xfId="28404" xr:uid="{186F81CC-0233-4A34-B389-7BC4424D72DE}"/>
    <cellStyle name="常规 8 5 6 8" xfId="28405" xr:uid="{A90B6072-71A1-4561-9DDC-125977F6C235}"/>
    <cellStyle name="常规 8 5 6 9" xfId="34635" xr:uid="{751F72C8-B3E7-40CB-93A7-4F34A3ACE94E}"/>
    <cellStyle name="常规 8 5 7" xfId="28406" xr:uid="{D100E675-7C86-44D9-BCBE-8831D986EA4F}"/>
    <cellStyle name="常规 8 5 7 2" xfId="28407" xr:uid="{E5E9D2AE-D6EF-478E-AF97-1023728E14A2}"/>
    <cellStyle name="常规 8 5 7 2 2" xfId="28408" xr:uid="{BCBED439-5048-4A30-869F-FC88BB8D259C}"/>
    <cellStyle name="常规 8 5 7 2 3" xfId="28409" xr:uid="{AA1E197A-8325-42F5-B73D-33520A073AED}"/>
    <cellStyle name="常规 8 5 7 2 4" xfId="28410" xr:uid="{6D31DC67-5AF9-4FC0-A5F0-3F7ABF6C3EB9}"/>
    <cellStyle name="常规 8 5 7 2 5" xfId="28411" xr:uid="{AF5BF9CD-8E73-4E72-9E11-264AF31671AE}"/>
    <cellStyle name="常规 8 5 7 2 6" xfId="28412" xr:uid="{C14376D8-56E8-4A0C-915B-7140865F2B53}"/>
    <cellStyle name="常规 8 5 7 3" xfId="28413" xr:uid="{E935D882-C2D4-4956-B9F3-EB4104F2F34B}"/>
    <cellStyle name="常规 8 5 7 4" xfId="28414" xr:uid="{0AC55E00-5124-49E6-9873-6326FEC5E220}"/>
    <cellStyle name="常规 8 5 7 5" xfId="28415" xr:uid="{B00CFA2F-EE64-4D0C-9D26-0B6E93A98076}"/>
    <cellStyle name="常规 8 5 7 6" xfId="28416" xr:uid="{F71A105A-973A-4E1A-8CF5-B0A9E196EF49}"/>
    <cellStyle name="常规 8 5 7 7" xfId="28417" xr:uid="{3454CBF8-9A24-455B-BA13-294D7943F335}"/>
    <cellStyle name="常规 8 5 7 8" xfId="28418" xr:uid="{AF1B5CC5-41F2-4136-93EF-6998253974E8}"/>
    <cellStyle name="常规 8 5 8" xfId="28419" xr:uid="{E461E0CE-BADC-4968-9766-F19885E252CA}"/>
    <cellStyle name="常规 8 5 8 2" xfId="28420" xr:uid="{5A3DD80D-6C12-432B-83AB-2149A9B390A7}"/>
    <cellStyle name="常规 8 5 8 2 2" xfId="28421" xr:uid="{02914791-866F-4D6F-B03D-95B4C9779DE9}"/>
    <cellStyle name="常规 8 5 8 2 3" xfId="28422" xr:uid="{E3E08838-8262-449D-A75A-94DBA07120D2}"/>
    <cellStyle name="常规 8 5 8 2 4" xfId="28423" xr:uid="{FAC0C5E5-5578-4318-BA4D-1954850437AF}"/>
    <cellStyle name="常规 8 5 8 2 5" xfId="28424" xr:uid="{9AB0AEFE-7B48-4240-AE3A-3CD41C62C2FE}"/>
    <cellStyle name="常规 8 5 8 2 6" xfId="28425" xr:uid="{AF2852AB-0892-42F3-8D4E-D76C03C7B584}"/>
    <cellStyle name="常规 8 5 8 3" xfId="28426" xr:uid="{6DEDC245-F8F1-45BB-9149-1196C6F48635}"/>
    <cellStyle name="常规 8 5 8 4" xfId="28427" xr:uid="{51279E41-6B48-4D3F-B447-80B2569F914E}"/>
    <cellStyle name="常规 8 5 8 5" xfId="28428" xr:uid="{F7F43266-48D0-4F24-8534-AE2BACF81E3F}"/>
    <cellStyle name="常规 8 5 8 6" xfId="28429" xr:uid="{101F42A4-6005-4054-9237-7CAF0F8A55A7}"/>
    <cellStyle name="常规 8 5 8 7" xfId="28430" xr:uid="{3DAA9E5B-F1EC-448C-8615-DBADD39F4744}"/>
    <cellStyle name="常规 8 5 9" xfId="28431" xr:uid="{29313EAA-4C10-49F6-92F9-03898ABC2BC4}"/>
    <cellStyle name="常规 8 5 9 2" xfId="28432" xr:uid="{ECCFD0DB-C175-4F1A-9D20-E463E09BF58E}"/>
    <cellStyle name="常规 8 5 9 2 2" xfId="28433" xr:uid="{B5BD78E3-8E1C-4267-B2D3-1A7775F103FD}"/>
    <cellStyle name="常规 8 5 9 2 3" xfId="28434" xr:uid="{1E5E84F0-5AF7-43CF-B56D-D6FD1A61A411}"/>
    <cellStyle name="常规 8 5 9 2 4" xfId="28435" xr:uid="{ED674D8D-4F8D-4FAF-B07F-CD218AEBE16B}"/>
    <cellStyle name="常规 8 5 9 2 5" xfId="28436" xr:uid="{63766340-F48D-4F15-9764-64B3940B1311}"/>
    <cellStyle name="常规 8 5 9 2 6" xfId="28437" xr:uid="{B56B4D06-92C1-4638-9ADF-FD8FEFF12BC8}"/>
    <cellStyle name="常规 8 5 9 3" xfId="28438" xr:uid="{BC7D5BBE-E9F8-4888-8D7A-60CCBF3DF4A8}"/>
    <cellStyle name="常规 8 5 9 4" xfId="28439" xr:uid="{BD69E5E2-7CB1-4376-AD8A-D096542AA6D2}"/>
    <cellStyle name="常规 8 5 9 5" xfId="28440" xr:uid="{538A9B31-EF9D-4505-ABC5-F9050BCB87F1}"/>
    <cellStyle name="常规 8 5 9 6" xfId="28441" xr:uid="{879E161C-4805-462E-BC05-11A08650E3BF}"/>
    <cellStyle name="常规 8 5 9 7" xfId="28442" xr:uid="{00232C6B-F94A-4174-8FF9-E454FB6A3805}"/>
    <cellStyle name="常规 8 6" xfId="28443" xr:uid="{F407AB8D-A82C-4F81-9EEB-A89459A610FA}"/>
    <cellStyle name="常规 8 6 10" xfId="28444" xr:uid="{5FD3B278-52AD-490A-B76E-8ADB526349FC}"/>
    <cellStyle name="常规 8 6 2" xfId="28445" xr:uid="{86D417A0-7A08-45EA-A863-25362FC764F7}"/>
    <cellStyle name="常规 8 6 2 2" xfId="28446" xr:uid="{CD1FFBF0-B6F8-4EAF-BE3E-E4590D876E40}"/>
    <cellStyle name="常规 8 6 2 2 2" xfId="28447" xr:uid="{DA00E016-39CD-4E8C-9490-378A81C272C7}"/>
    <cellStyle name="常规 8 6 2 2 3" xfId="28448" xr:uid="{E65D3CBD-418B-4ED2-BAD3-797F5D0B9E32}"/>
    <cellStyle name="常规 8 6 2 2 4" xfId="28449" xr:uid="{82E4E985-A473-412D-A588-F6A49578DCAC}"/>
    <cellStyle name="常规 8 6 2 2 5" xfId="28450" xr:uid="{2F8198E1-5621-45E1-B4C5-B05A46713FA4}"/>
    <cellStyle name="常规 8 6 2 2 6" xfId="28451" xr:uid="{48A65899-F589-4B52-A9A2-9FF76CDB9AF2}"/>
    <cellStyle name="常规 8 6 2 2 7" xfId="28452" xr:uid="{28798C10-C8D1-464D-8586-5B27A22871A7}"/>
    <cellStyle name="常规 8 6 2 2 8" xfId="28453" xr:uid="{B746D1DF-FBE0-4BF1-8080-A65827A27FD6}"/>
    <cellStyle name="常规 8 6 2 3" xfId="28454" xr:uid="{D4ADAE70-EDE0-4CF0-95A9-A1E034AAF794}"/>
    <cellStyle name="常规 8 6 2 3 2" xfId="28455" xr:uid="{C2A360EF-DE4F-4C63-A101-0FC3D9493F9C}"/>
    <cellStyle name="常规 8 6 2 4" xfId="28456" xr:uid="{20A2E678-D09B-4641-9D24-D8585D6B3DCC}"/>
    <cellStyle name="常规 8 6 2 4 2" xfId="28457" xr:uid="{1DB5A318-1827-4C05-918F-24AAD1443B3A}"/>
    <cellStyle name="常规 8 6 2 4 3" xfId="34636" xr:uid="{9BF57C2C-3E16-4173-A5FC-34450383F5A2}"/>
    <cellStyle name="常规 8 6 2 5" xfId="28458" xr:uid="{ECF5B1F7-3988-4D2C-B390-3827BC643A1B}"/>
    <cellStyle name="常规 8 6 2 6" xfId="28459" xr:uid="{5DFF2CCB-54A5-46F4-AED5-55D4BAB2D4E1}"/>
    <cellStyle name="常规 8 6 2 7" xfId="28460" xr:uid="{0EB52BCB-CF49-47EB-B762-98656705F121}"/>
    <cellStyle name="常规 8 6 2 8" xfId="28461" xr:uid="{88669EB6-0A62-4A50-A543-F02CBC4ED395}"/>
    <cellStyle name="常规 8 6 3" xfId="28462" xr:uid="{A768BAC9-1656-48C8-8873-5ACA8A1AF8B8}"/>
    <cellStyle name="常规 8 6 3 2" xfId="28463" xr:uid="{1813C8D2-5A13-4A2D-AF01-1A3ACB987589}"/>
    <cellStyle name="常规 8 6 3 2 2" xfId="28464" xr:uid="{738F7A77-BB84-4B03-9781-12AD4FDDF004}"/>
    <cellStyle name="常规 8 6 3 2 3" xfId="28465" xr:uid="{BB39AEE7-DA22-43D1-9E9E-C4FF8736B848}"/>
    <cellStyle name="常规 8 6 3 2 4" xfId="28466" xr:uid="{BCE5C047-BA61-4E48-8D2A-9E03245C5ABC}"/>
    <cellStyle name="常规 8 6 3 2 5" xfId="28467" xr:uid="{99F8599C-24D1-43FD-9721-CD43F91AAD16}"/>
    <cellStyle name="常规 8 6 3 2 6" xfId="28468" xr:uid="{3A24ECEA-0312-4B71-AE56-E6CE5299C046}"/>
    <cellStyle name="常规 8 6 3 2 7" xfId="28469" xr:uid="{E37B4DB7-D975-4F53-A597-E07F482F8742}"/>
    <cellStyle name="常规 8 6 3 2 8" xfId="28470" xr:uid="{A23AF86B-9370-42E3-AEC8-481BF50BFB4E}"/>
    <cellStyle name="常规 8 6 3 3" xfId="28471" xr:uid="{052BFC53-F89F-4264-B958-EE8C98C35C08}"/>
    <cellStyle name="常规 8 6 3 3 2" xfId="28472" xr:uid="{AB501524-5317-4012-A12D-0B1F5E8D6DE9}"/>
    <cellStyle name="常规 8 6 3 4" xfId="28473" xr:uid="{9B615F4D-2058-4A69-9808-B31580932559}"/>
    <cellStyle name="常规 8 6 3 4 2" xfId="28474" xr:uid="{155F1440-12E8-4655-8EC0-38849E985C9A}"/>
    <cellStyle name="常规 8 6 3 4 3" xfId="34637" xr:uid="{AC27EE38-C7BD-4627-8FB8-8736A25B8677}"/>
    <cellStyle name="常规 8 6 3 5" xfId="28475" xr:uid="{C68EBA98-2F71-4B17-84AE-F9491D5B5AE5}"/>
    <cellStyle name="常规 8 6 3 6" xfId="28476" xr:uid="{A8EC7FDD-2F43-4E77-B3A8-F6FAEE2BB4CD}"/>
    <cellStyle name="常规 8 6 3 7" xfId="28477" xr:uid="{6A6EFD8B-D762-4D04-B3D5-EA0170AD2182}"/>
    <cellStyle name="常规 8 6 3 8" xfId="28478" xr:uid="{47FA2529-6DD8-4633-A4AB-C827B9850DA6}"/>
    <cellStyle name="常规 8 6 4" xfId="28479" xr:uid="{B63EFD1B-53AB-4154-A70F-462D86753AD4}"/>
    <cellStyle name="常规 8 6 4 2" xfId="28480" xr:uid="{B99B7AC1-6749-40AE-9D0C-F9A9397005AD}"/>
    <cellStyle name="常规 8 6 4 2 2" xfId="28481" xr:uid="{4C817F7A-7829-433A-B326-CC519895ACBF}"/>
    <cellStyle name="常规 8 6 4 2 3" xfId="28482" xr:uid="{5623C6AF-A076-4BC3-A72B-D6AFD5E3FD1D}"/>
    <cellStyle name="常规 8 6 4 2 4" xfId="28483" xr:uid="{05743C44-BEC3-4C72-97A5-F1885AE7B781}"/>
    <cellStyle name="常规 8 6 4 2 5" xfId="28484" xr:uid="{6EA38389-8B21-4E32-A94F-077168BC8543}"/>
    <cellStyle name="常规 8 6 4 2 6" xfId="28485" xr:uid="{BF7D35D6-0776-4004-BD10-87AE20148147}"/>
    <cellStyle name="常规 8 6 4 3" xfId="28486" xr:uid="{4F7A74A3-F877-4730-87F7-CABD9EA5137D}"/>
    <cellStyle name="常规 8 6 4 4" xfId="28487" xr:uid="{9530AED0-46C3-40F2-8625-E0D54EDBAA59}"/>
    <cellStyle name="常规 8 6 4 5" xfId="28488" xr:uid="{7486160E-B425-42D7-A46E-0CADFF2208A6}"/>
    <cellStyle name="常规 8 6 4 6" xfId="28489" xr:uid="{D0C64B31-1D71-47C7-A5EB-9C927E8B1C36}"/>
    <cellStyle name="常规 8 6 4 7" xfId="28490" xr:uid="{7F8BD4E4-B486-45B2-89A7-3252766BA1AC}"/>
    <cellStyle name="常规 8 6 4 8" xfId="28491" xr:uid="{9460E0E5-436F-4153-B293-D1B515FDAF4B}"/>
    <cellStyle name="常规 8 6 4 9" xfId="28492" xr:uid="{DB9710F6-0963-4AE9-B26B-91A4C8A193F8}"/>
    <cellStyle name="常规 8 6 5" xfId="28493" xr:uid="{ADD52217-A6C6-47B3-86D7-C3DC326D1190}"/>
    <cellStyle name="常规 8 6 5 2" xfId="28494" xr:uid="{1488707C-796F-46FE-932A-26BD0517812F}"/>
    <cellStyle name="常规 8 6 5 2 2" xfId="28495" xr:uid="{D8E508BE-17B8-489D-B485-7E474653D1C9}"/>
    <cellStyle name="常规 8 6 5 2 3" xfId="28496" xr:uid="{E7278401-5EEA-4C9C-A35B-2C2E9E1C9869}"/>
    <cellStyle name="常规 8 6 5 2 4" xfId="28497" xr:uid="{2F088F65-D26B-4DC9-A1CC-1933FEEB59BB}"/>
    <cellStyle name="常规 8 6 5 2 5" xfId="28498" xr:uid="{0207389F-A50F-44A5-949C-09BE6ADB80F7}"/>
    <cellStyle name="常规 8 6 5 2 6" xfId="28499" xr:uid="{973690A9-02C7-4DCC-A780-4E37419F2C3D}"/>
    <cellStyle name="常规 8 6 5 3" xfId="28500" xr:uid="{D494327F-1593-40E1-AC17-3A569501463B}"/>
    <cellStyle name="常规 8 6 5 4" xfId="28501" xr:uid="{5AA4A5A0-B30A-4156-A4FE-47ACC7D1CE79}"/>
    <cellStyle name="常规 8 6 5 5" xfId="28502" xr:uid="{C4E3306B-AEFD-4338-9B8F-1BEC5C9118F8}"/>
    <cellStyle name="常规 8 6 5 6" xfId="28503" xr:uid="{2B74EA49-D77D-43ED-A7F8-D55FA6C3C6C1}"/>
    <cellStyle name="常规 8 6 5 7" xfId="28504" xr:uid="{D95A55C1-16FB-46A2-86E5-926F733BF4F6}"/>
    <cellStyle name="常规 8 6 5 8" xfId="28505" xr:uid="{94E68325-69E0-4F8B-AC5A-5B56BD8C37ED}"/>
    <cellStyle name="常规 8 6 6" xfId="28506" xr:uid="{6BD9E6E0-D6C6-4AF9-AB9F-AC2D66790AA2}"/>
    <cellStyle name="常规 8 6 6 2" xfId="28507" xr:uid="{405B1297-7151-4B79-8453-AEF3D2A052BA}"/>
    <cellStyle name="常规 8 6 6 2 2" xfId="28508" xr:uid="{66C45228-0B06-47DB-8F1D-FDE837BF27AA}"/>
    <cellStyle name="常规 8 6 6 2 3" xfId="28509" xr:uid="{51259A82-DF75-47EF-B52F-80FB57087451}"/>
    <cellStyle name="常规 8 6 6 2 4" xfId="28510" xr:uid="{F3B3A9FF-60CF-4735-BE4D-754EE2ECC21C}"/>
    <cellStyle name="常规 8 6 6 2 5" xfId="28511" xr:uid="{6AAC18DB-0C0D-4E44-ACC2-3C7768A7BD20}"/>
    <cellStyle name="常规 8 6 6 2 6" xfId="28512" xr:uid="{8EDFC405-72D9-4C97-B075-39D529CC42A8}"/>
    <cellStyle name="常规 8 6 6 3" xfId="28513" xr:uid="{B167F6F2-E7CE-4BB7-B41D-30A1B2B520E4}"/>
    <cellStyle name="常规 8 6 6 4" xfId="28514" xr:uid="{0B952E09-B6F5-4A5F-9FB8-F4D119876900}"/>
    <cellStyle name="常规 8 6 6 5" xfId="28515" xr:uid="{45F5F533-57CF-4952-87EC-6063BB1EFC9C}"/>
    <cellStyle name="常规 8 6 6 6" xfId="28516" xr:uid="{CE64BF1A-47C4-4BAF-B754-D839ACB9CC05}"/>
    <cellStyle name="常规 8 6 6 7" xfId="28517" xr:uid="{22C3FA65-79E8-418A-B620-9F81D7F0084C}"/>
    <cellStyle name="常规 8 6 6 8" xfId="28518" xr:uid="{6DD02462-0EC6-450E-ABC9-EB1F5DB9D1E8}"/>
    <cellStyle name="常规 8 6 6 9" xfId="34638" xr:uid="{C547E895-F7FC-41E2-9B27-EBD2FA0A12BC}"/>
    <cellStyle name="常规 8 6 7" xfId="28519" xr:uid="{CDB733E7-1BD8-4F17-A094-AACF90139C7F}"/>
    <cellStyle name="常规 8 6 7 2" xfId="28520" xr:uid="{C7718C80-D29D-4E72-9851-3179857E464E}"/>
    <cellStyle name="常规 8 6 7 2 2" xfId="28521" xr:uid="{9FFAE1C8-E675-4BCF-9DD9-F1A198EE31A3}"/>
    <cellStyle name="常规 8 6 7 2 3" xfId="28522" xr:uid="{373C3339-4E24-4A33-93C5-B1CBAD46DD9C}"/>
    <cellStyle name="常规 8 6 7 2 4" xfId="28523" xr:uid="{B9004975-4CDC-4E59-BB3F-98E4C21EFABD}"/>
    <cellStyle name="常规 8 6 7 2 5" xfId="28524" xr:uid="{F514C5EA-83FE-4D71-BE17-04773800CB03}"/>
    <cellStyle name="常规 8 6 7 2 6" xfId="28525" xr:uid="{7AA5282E-173E-441E-9565-3E79B395E3D9}"/>
    <cellStyle name="常规 8 6 7 3" xfId="28526" xr:uid="{38BF538D-D1C5-454D-B1EA-6DD9E831FBF3}"/>
    <cellStyle name="常规 8 6 7 4" xfId="28527" xr:uid="{3AE722FA-CF68-4863-B388-D8F327E53C02}"/>
    <cellStyle name="常规 8 6 7 5" xfId="28528" xr:uid="{17335362-1256-400F-A8F0-4391B0C2ADE8}"/>
    <cellStyle name="常规 8 6 7 6" xfId="28529" xr:uid="{F92C8B48-40B2-4551-AE13-E3578DB6219E}"/>
    <cellStyle name="常规 8 6 7 7" xfId="28530" xr:uid="{CF59C134-4E64-40F3-8A4C-E32F4774DB6D}"/>
    <cellStyle name="常规 8 6 8" xfId="28531" xr:uid="{B0D01B03-3A90-437E-9A61-6646E5BC8BDB}"/>
    <cellStyle name="常规 8 6 8 2" xfId="28532" xr:uid="{E8D7D160-AC23-46ED-88FF-3DAC7AFFA513}"/>
    <cellStyle name="常规 8 6 8 2 2" xfId="28533" xr:uid="{A2814985-8963-46AC-863A-29E83E418742}"/>
    <cellStyle name="常规 8 6 8 2 3" xfId="28534" xr:uid="{B9E07AB8-B410-4E86-BDC7-E6B1A0F88B8E}"/>
    <cellStyle name="常规 8 6 8 2 4" xfId="28535" xr:uid="{05A54038-04C1-4986-A35A-DD0364B2ED03}"/>
    <cellStyle name="常规 8 6 8 2 5" xfId="28536" xr:uid="{16D86C4D-9A01-4289-92C1-6DA31F3F93DC}"/>
    <cellStyle name="常规 8 6 8 2 6" xfId="28537" xr:uid="{89E89992-514B-40C6-BE92-81D21562117C}"/>
    <cellStyle name="常规 8 6 8 3" xfId="28538" xr:uid="{6EAA2A6E-058A-42DE-A204-557C1799B117}"/>
    <cellStyle name="常规 8 6 8 4" xfId="28539" xr:uid="{2DC58ACB-C280-4EB2-945E-48DA1E2051A6}"/>
    <cellStyle name="常规 8 6 8 5" xfId="28540" xr:uid="{67D78BE4-118F-4B43-B807-929F0E05529D}"/>
    <cellStyle name="常规 8 6 8 6" xfId="28541" xr:uid="{402CFF1E-ECF4-445F-A0AE-8DAA348D9131}"/>
    <cellStyle name="常规 8 6 8 7" xfId="28542" xr:uid="{4251B52F-A920-42F4-B8E0-B92F438BD7A1}"/>
    <cellStyle name="常规 8 6 9" xfId="28543" xr:uid="{80B9C482-EA09-4932-A34B-84FC661E3122}"/>
    <cellStyle name="常规 8 6 9 2" xfId="28544" xr:uid="{8F321C1E-E365-4B3E-ABEB-6F9F8F067EF9}"/>
    <cellStyle name="常规 8 6 9 2 2" xfId="28545" xr:uid="{16AE6E2F-39C5-462F-9DC7-84BDD31B213D}"/>
    <cellStyle name="常规 8 6 9 2 3" xfId="28546" xr:uid="{7F493F7C-E971-4996-9508-217CAB189125}"/>
    <cellStyle name="常规 8 6 9 2 4" xfId="28547" xr:uid="{D7FCE47C-0C51-42FA-97CE-94611076914C}"/>
    <cellStyle name="常规 8 6 9 2 5" xfId="28548" xr:uid="{9A588AAA-ECB1-4C56-A32D-9BEB95E00713}"/>
    <cellStyle name="常规 8 6 9 2 6" xfId="28549" xr:uid="{3AEE79B9-AF59-40BE-89AF-441F23064B61}"/>
    <cellStyle name="常规 8 6 9 3" xfId="28550" xr:uid="{117A8E53-4060-4728-8C15-F6E8BC9D3BF8}"/>
    <cellStyle name="常规 8 6 9 4" xfId="28551" xr:uid="{085D8EE0-7C67-4435-8627-6C8E53BD4D4F}"/>
    <cellStyle name="常规 8 6 9 5" xfId="28552" xr:uid="{510AA95F-2824-44B4-A987-A4D59C0FE4ED}"/>
    <cellStyle name="常规 8 6 9 6" xfId="28553" xr:uid="{3F080B3F-1C3D-4B74-8E44-BB41506BDF32}"/>
    <cellStyle name="常规 8 6 9 7" xfId="28554" xr:uid="{5BE26DA6-2B1C-410C-889A-D9BA0E799898}"/>
    <cellStyle name="常规 8 7" xfId="28555" xr:uid="{98C078A7-FAB5-4752-AAD3-C9DF10AAAD70}"/>
    <cellStyle name="常规 8 7 10" xfId="28556" xr:uid="{7F357DFD-E1CD-4CBA-A62E-5A9FB3284C24}"/>
    <cellStyle name="常规 8 7 10 2" xfId="28557" xr:uid="{1392C235-F7A3-4EB1-B1A1-30A3AB82C124}"/>
    <cellStyle name="常规 8 7 10 3" xfId="28558" xr:uid="{7D12AA75-1FD3-4B04-9350-5402B1CA1121}"/>
    <cellStyle name="常规 8 7 10 4" xfId="28559" xr:uid="{58691294-7279-4FA7-8866-0FEE742E9AA3}"/>
    <cellStyle name="常规 8 7 10 5" xfId="28560" xr:uid="{E6528553-AE5A-4A3A-8AC9-63336DC2EDD5}"/>
    <cellStyle name="常规 8 7 10 6" xfId="28561" xr:uid="{94DF1C28-4D11-4EB5-A110-32E02E94DE15}"/>
    <cellStyle name="常规 8 7 11" xfId="28562" xr:uid="{D22A66B9-0306-4658-A8B5-C0D2BED26B37}"/>
    <cellStyle name="常规 8 7 12" xfId="28563" xr:uid="{1E0E5191-C3AA-4080-81B8-9B1E8DA95721}"/>
    <cellStyle name="常规 8 7 13" xfId="28564" xr:uid="{0ABEFAFF-A1F2-4DB5-AE6B-CA126C3D57D6}"/>
    <cellStyle name="常规 8 7 14" xfId="28565" xr:uid="{132CC9DE-32C7-4430-BC96-AB3D9208E3C2}"/>
    <cellStyle name="常规 8 7 15" xfId="28566" xr:uid="{97102CCE-B193-46C5-9E82-9F7988543317}"/>
    <cellStyle name="常规 8 7 16" xfId="28567" xr:uid="{4EC0DA94-22CB-4AD4-B343-BDDA20CE203E}"/>
    <cellStyle name="常规 8 7 2" xfId="28568" xr:uid="{47BD0EE1-E641-4DCE-B3CF-C38106DD08FB}"/>
    <cellStyle name="常规 8 7 2 2" xfId="28569" xr:uid="{7634A414-4A6C-4ED8-A9AD-AE9C514FC514}"/>
    <cellStyle name="常规 8 7 2 2 2" xfId="28570" xr:uid="{E5375A55-D7AC-4BA5-9630-2A6749B7E75B}"/>
    <cellStyle name="常规 8 7 2 2 3" xfId="28571" xr:uid="{9CCC1E13-DE1C-4396-99E0-F3042BB46A08}"/>
    <cellStyle name="常规 8 7 2 2 4" xfId="28572" xr:uid="{45B4DAEB-7ECA-4A0A-A4F3-DC58D97DFBBB}"/>
    <cellStyle name="常规 8 7 2 2 5" xfId="28573" xr:uid="{7764699C-CA21-45D8-881C-2EB1DE0DF64E}"/>
    <cellStyle name="常规 8 7 2 2 6" xfId="28574" xr:uid="{ED7F5BDD-2B99-4240-A2C7-0F3A8CEBC1B0}"/>
    <cellStyle name="常规 8 7 2 3" xfId="28575" xr:uid="{0839301D-CE8C-4F71-84F0-E45D617E4C85}"/>
    <cellStyle name="常规 8 7 2 4" xfId="28576" xr:uid="{B677C97A-2F8B-4F0C-A631-3A431C20AF78}"/>
    <cellStyle name="常规 8 7 2 5" xfId="28577" xr:uid="{D71DA3DE-94AE-4586-9F77-9CE0005C35AD}"/>
    <cellStyle name="常规 8 7 2 6" xfId="28578" xr:uid="{F4916445-149C-4F23-9D28-BF792DBAC11F}"/>
    <cellStyle name="常规 8 7 2 7" xfId="28579" xr:uid="{BAEF3D54-1EBA-4D63-A5E5-BEF18B240D3C}"/>
    <cellStyle name="常规 8 7 2 8" xfId="28580" xr:uid="{E0111963-778E-4662-AAAD-9F8980536F55}"/>
    <cellStyle name="常规 8 7 2 9" xfId="28581" xr:uid="{C66970B6-17A3-4EEF-8258-2BBAC88ADFC1}"/>
    <cellStyle name="常规 8 7 3" xfId="28582" xr:uid="{8DBDA4C8-536E-40AE-AAA8-960449633119}"/>
    <cellStyle name="常规 8 7 3 2" xfId="28583" xr:uid="{1CF9D1AD-185D-49C8-A849-D534D1767C64}"/>
    <cellStyle name="常规 8 7 3 2 2" xfId="28584" xr:uid="{0EBFF6BC-F0E0-452E-8F1F-DD1BF37A021D}"/>
    <cellStyle name="常规 8 7 3 2 3" xfId="28585" xr:uid="{46FEB068-65E3-4B74-AB7D-152908251C79}"/>
    <cellStyle name="常规 8 7 3 2 4" xfId="28586" xr:uid="{AB097E2D-3363-4DEB-AEDC-79FAAEBD47A0}"/>
    <cellStyle name="常规 8 7 3 2 5" xfId="28587" xr:uid="{89FEB9AB-70C2-477A-9A0C-1DB8EA3FB231}"/>
    <cellStyle name="常规 8 7 3 2 6" xfId="28588" xr:uid="{B06DC694-09C1-4165-BC71-C8CD96AEFA81}"/>
    <cellStyle name="常规 8 7 3 3" xfId="28589" xr:uid="{ABD1C233-16CE-41B1-93D2-EBF92F120033}"/>
    <cellStyle name="常规 8 7 3 4" xfId="28590" xr:uid="{87771AA2-2D88-4A7D-A090-DFE6875FB9ED}"/>
    <cellStyle name="常规 8 7 3 5" xfId="28591" xr:uid="{69B3D164-5116-4B27-891E-4424BD3AE43B}"/>
    <cellStyle name="常规 8 7 3 6" xfId="28592" xr:uid="{FD0BF3A3-C2B6-45AE-8BC6-CBB584B0F265}"/>
    <cellStyle name="常规 8 7 3 7" xfId="28593" xr:uid="{8A83F7BD-CDFA-4F42-8EAB-02F0FA0D4992}"/>
    <cellStyle name="常规 8 7 3 8" xfId="28594" xr:uid="{6814E90D-93FA-4C80-8FB7-820D6CF737F2}"/>
    <cellStyle name="常规 8 7 4" xfId="28595" xr:uid="{1B065C81-C2FE-44F1-B00A-E7764C128D6F}"/>
    <cellStyle name="常规 8 7 4 2" xfId="28596" xr:uid="{18886F93-D9EB-48F6-85F6-4368A1ADFEAD}"/>
    <cellStyle name="常规 8 7 4 2 2" xfId="28597" xr:uid="{1890FD4C-0A8F-4EDA-B796-A5CB504AF682}"/>
    <cellStyle name="常规 8 7 4 2 3" xfId="28598" xr:uid="{77C54422-2D9E-412B-B679-CB5A13CB1D5B}"/>
    <cellStyle name="常规 8 7 4 2 4" xfId="28599" xr:uid="{FBDB572F-C8FD-4A18-88CC-AEFCBC72CE2A}"/>
    <cellStyle name="常规 8 7 4 2 5" xfId="28600" xr:uid="{8D010901-C14A-4E9B-8784-6F024D640859}"/>
    <cellStyle name="常规 8 7 4 2 6" xfId="28601" xr:uid="{AA0B29CE-CFA1-4B53-B0A1-BAA6CED003C2}"/>
    <cellStyle name="常规 8 7 4 3" xfId="28602" xr:uid="{DA928EC1-BD56-4500-A4CB-2D9ABE57D859}"/>
    <cellStyle name="常规 8 7 4 4" xfId="28603" xr:uid="{7105309C-CDC4-4D31-9546-35C21758B1C1}"/>
    <cellStyle name="常规 8 7 4 5" xfId="28604" xr:uid="{8B3C8723-9722-4B0A-AA1C-DA9AE9EB6A61}"/>
    <cellStyle name="常规 8 7 4 6" xfId="28605" xr:uid="{EAB017A5-455B-497C-AB2F-3831E9BAF523}"/>
    <cellStyle name="常规 8 7 4 7" xfId="28606" xr:uid="{8D1825CC-69A1-40CD-9E9A-2D5F3BD9308C}"/>
    <cellStyle name="常规 8 7 4 8" xfId="28607" xr:uid="{69C8F871-C131-4203-B07B-1E5F8233199D}"/>
    <cellStyle name="常规 8 7 4 9" xfId="34639" xr:uid="{07E38CFC-65A2-46A7-8EF6-DEEA7F64F5D9}"/>
    <cellStyle name="常规 8 7 5" xfId="28608" xr:uid="{E2CD4795-2DAB-48A2-8D02-67BECDA625F0}"/>
    <cellStyle name="常规 8 7 5 2" xfId="28609" xr:uid="{22E62AAA-AFF2-418B-BA89-EDEA63264FFD}"/>
    <cellStyle name="常规 8 7 5 2 2" xfId="28610" xr:uid="{9FD45922-2F8B-4A72-AA12-F5148E2CF0A2}"/>
    <cellStyle name="常规 8 7 5 2 3" xfId="28611" xr:uid="{88D83FD9-18C4-45BA-8E6B-602E6DA3D8B7}"/>
    <cellStyle name="常规 8 7 5 2 4" xfId="28612" xr:uid="{F7CAEF17-185A-4E5B-A4D6-C4E07CCE9E92}"/>
    <cellStyle name="常规 8 7 5 2 5" xfId="28613" xr:uid="{6FC3E486-114B-4E43-A9C8-136DA7BE0ED4}"/>
    <cellStyle name="常规 8 7 5 2 6" xfId="28614" xr:uid="{210E29F9-FAF2-44E7-8F49-2CFE828C96E3}"/>
    <cellStyle name="常规 8 7 5 3" xfId="28615" xr:uid="{D208B720-F0A7-4E9B-8895-71602CFAC2E2}"/>
    <cellStyle name="常规 8 7 5 4" xfId="28616" xr:uid="{3BEE860C-CD40-4DDD-B267-2E9276C24D07}"/>
    <cellStyle name="常规 8 7 5 5" xfId="28617" xr:uid="{A5D80D9B-7444-4273-836A-2529ED12F16E}"/>
    <cellStyle name="常规 8 7 5 6" xfId="28618" xr:uid="{5F7199C5-CD5D-41C3-813E-A5B97572F5CD}"/>
    <cellStyle name="常规 8 7 5 7" xfId="28619" xr:uid="{D5578BA4-BA73-4A19-B857-F98590CAB005}"/>
    <cellStyle name="常规 8 7 6" xfId="28620" xr:uid="{F3A2C24C-E17F-4867-AB25-0A10ACC5A2F8}"/>
    <cellStyle name="常规 8 7 6 2" xfId="28621" xr:uid="{819A4C2F-49E0-4A3D-94BE-75460FF545CF}"/>
    <cellStyle name="常规 8 7 6 2 2" xfId="28622" xr:uid="{3A396C02-A23E-43BB-8DF5-883520BBE18E}"/>
    <cellStyle name="常规 8 7 6 2 3" xfId="28623" xr:uid="{3077D320-00E7-46E8-8EE5-6ADF01585716}"/>
    <cellStyle name="常规 8 7 6 2 4" xfId="28624" xr:uid="{5E64A3FA-F46C-4EEE-A0C9-654CCCCC17E0}"/>
    <cellStyle name="常规 8 7 6 2 5" xfId="28625" xr:uid="{73866B06-5945-4260-91FB-ECD76AF4E0D5}"/>
    <cellStyle name="常规 8 7 6 2 6" xfId="28626" xr:uid="{8E511530-B1DC-4F71-9343-0AB8984A9A7A}"/>
    <cellStyle name="常规 8 7 6 3" xfId="28627" xr:uid="{C41D5622-88F5-48F8-8124-2981BAE1296D}"/>
    <cellStyle name="常规 8 7 6 4" xfId="28628" xr:uid="{3F22F2D0-D72F-4F48-893B-C61278D1D5BE}"/>
    <cellStyle name="常规 8 7 6 5" xfId="28629" xr:uid="{A3DE38B7-F84A-4498-BE63-60E119B8EC99}"/>
    <cellStyle name="常规 8 7 6 6" xfId="28630" xr:uid="{4CD61A7B-6C07-4647-B2C0-EED27989937C}"/>
    <cellStyle name="常规 8 7 6 7" xfId="28631" xr:uid="{86FFDF7A-7BA2-4CAC-B5DA-BC18EBF7D947}"/>
    <cellStyle name="常规 8 7 7" xfId="28632" xr:uid="{919C8F4A-F62E-4F95-AFF6-3D30573D9FE5}"/>
    <cellStyle name="常规 8 7 7 2" xfId="28633" xr:uid="{46BCF74E-C5B1-49FF-BF5D-0F5B00F9F6CB}"/>
    <cellStyle name="常规 8 7 7 2 2" xfId="28634" xr:uid="{14F8D38D-2995-4A02-97A7-33B6C1A7A47D}"/>
    <cellStyle name="常规 8 7 7 2 3" xfId="28635" xr:uid="{E48A68FA-1F18-4B98-9A2A-FDAB26905FD1}"/>
    <cellStyle name="常规 8 7 7 2 4" xfId="28636" xr:uid="{9BB0F2EE-0B4C-4163-B3F4-7B49B064959B}"/>
    <cellStyle name="常规 8 7 7 2 5" xfId="28637" xr:uid="{2B35B3DB-7999-4D7B-9E9D-D549685982CB}"/>
    <cellStyle name="常规 8 7 7 2 6" xfId="28638" xr:uid="{FCF16200-4CB9-4655-965E-9EEB8FF98E6A}"/>
    <cellStyle name="常规 8 7 7 3" xfId="28639" xr:uid="{8FC38D96-6A23-497A-91B7-465C19B30C6C}"/>
    <cellStyle name="常规 8 7 7 4" xfId="28640" xr:uid="{E398EA27-E0A2-4036-935E-BF66F059ECE7}"/>
    <cellStyle name="常规 8 7 7 5" xfId="28641" xr:uid="{CC95F6B8-CABB-4D16-961C-44588BAFB408}"/>
    <cellStyle name="常规 8 7 7 6" xfId="28642" xr:uid="{1C56DFA0-9A8A-4633-838A-35AC95E47ECF}"/>
    <cellStyle name="常规 8 7 7 7" xfId="28643" xr:uid="{0CEF50FC-0CA6-4B56-8636-A1898EC8C8B9}"/>
    <cellStyle name="常规 8 7 8" xfId="28644" xr:uid="{CE344887-251F-4630-AAA0-DE8D1B2985AF}"/>
    <cellStyle name="常规 8 7 8 2" xfId="28645" xr:uid="{D42B3C97-9B97-4DD0-BFEF-A843910B9F9A}"/>
    <cellStyle name="常规 8 7 8 2 2" xfId="28646" xr:uid="{E215D2E5-9050-4634-ADEB-FCA2C2DBA86A}"/>
    <cellStyle name="常规 8 7 8 2 3" xfId="28647" xr:uid="{F46EDBC4-E559-4598-8FC3-1C19A0CC3F89}"/>
    <cellStyle name="常规 8 7 8 2 4" xfId="28648" xr:uid="{E897A20C-2191-4A4F-BDF9-87E8C56CBD65}"/>
    <cellStyle name="常规 8 7 8 2 5" xfId="28649" xr:uid="{758F061F-B703-477C-9671-AC29E45F2286}"/>
    <cellStyle name="常规 8 7 8 2 6" xfId="28650" xr:uid="{CB9E1EE0-AFA1-4C72-AA77-CDEAD2C2EBA8}"/>
    <cellStyle name="常规 8 7 8 3" xfId="28651" xr:uid="{DA49A922-8E5A-42E1-9DF6-2F5C01478C8B}"/>
    <cellStyle name="常规 8 7 8 4" xfId="28652" xr:uid="{90A54548-C54E-4B2B-AA3D-0DFC45374C3A}"/>
    <cellStyle name="常规 8 7 8 5" xfId="28653" xr:uid="{43B7DE4F-409C-485E-BC37-2AA6B960957B}"/>
    <cellStyle name="常规 8 7 8 6" xfId="28654" xr:uid="{EB0344B1-2D5D-482A-82A3-C185ADCF137C}"/>
    <cellStyle name="常规 8 7 8 7" xfId="28655" xr:uid="{E573DAA4-1FFA-4CC3-B9E3-9A3664582DF2}"/>
    <cellStyle name="常规 8 7 9" xfId="28656" xr:uid="{7CD4A9FF-C1CE-4C10-99B8-17A08112C176}"/>
    <cellStyle name="常规 8 7 9 2" xfId="28657" xr:uid="{947B6599-BFA1-49F7-A4E7-685CD352C5D7}"/>
    <cellStyle name="常规 8 7 9 2 2" xfId="28658" xr:uid="{5659096B-B3CB-4586-B501-E1CE68A4E792}"/>
    <cellStyle name="常规 8 7 9 2 3" xfId="28659" xr:uid="{8DAF3D9D-A86D-4984-A7A6-0D63D0A458D6}"/>
    <cellStyle name="常规 8 7 9 2 4" xfId="28660" xr:uid="{5C7C715A-CF42-47C6-AD19-F75420B6AD3F}"/>
    <cellStyle name="常规 8 7 9 2 5" xfId="28661" xr:uid="{6F41FF4D-84F0-45ED-9150-12279CEC39AC}"/>
    <cellStyle name="常规 8 7 9 2 6" xfId="28662" xr:uid="{9BD8DC0E-87C8-4AF5-BE9A-297105A605E6}"/>
    <cellStyle name="常规 8 7 9 3" xfId="28663" xr:uid="{3CB9AE5D-F9E6-4059-A4FE-ED33119A6817}"/>
    <cellStyle name="常规 8 7 9 4" xfId="28664" xr:uid="{B7C2057B-72AB-4BE4-AF6C-EBCDDD8FB159}"/>
    <cellStyle name="常规 8 7 9 5" xfId="28665" xr:uid="{BE2A942F-414E-476F-B456-525F5150BF40}"/>
    <cellStyle name="常规 8 7 9 6" xfId="28666" xr:uid="{15B9F9FD-1B8D-473D-BFC4-C381B56F6DB3}"/>
    <cellStyle name="常规 8 7 9 7" xfId="28667" xr:uid="{8F051E30-9C33-45BE-B93E-6623B5859038}"/>
    <cellStyle name="常规 8 8" xfId="28668" xr:uid="{27BBA31E-A79C-40F8-8B34-EEBDBFD1D9E2}"/>
    <cellStyle name="常规 8 8 10" xfId="28669" xr:uid="{E86A450B-F4DB-468D-BC6B-0751795B5E3E}"/>
    <cellStyle name="常规 8 8 11" xfId="28670" xr:uid="{9C567C50-6046-43AC-BC74-295E847D2F18}"/>
    <cellStyle name="常规 8 8 12" xfId="28671" xr:uid="{7A382A6C-0709-4604-A744-F5E35F3BF51D}"/>
    <cellStyle name="常规 8 8 13" xfId="28672" xr:uid="{1C17C713-99AE-4078-AA8B-377BBA5B09B5}"/>
    <cellStyle name="常规 8 8 14" xfId="28673" xr:uid="{4995D596-00F7-46B6-94C2-E5AE85EAA521}"/>
    <cellStyle name="常规 8 8 15" xfId="28674" xr:uid="{DE49E471-B614-452D-AC3A-4B3FF1EF3506}"/>
    <cellStyle name="常规 8 8 2" xfId="28675" xr:uid="{0C364157-0C66-4EC7-8F6E-ED9FDF5676F0}"/>
    <cellStyle name="常规 8 8 2 2" xfId="28676" xr:uid="{B07DAFE7-FECB-416A-BD07-C39757C4688B}"/>
    <cellStyle name="常规 8 8 2 2 2" xfId="28677" xr:uid="{71C98277-DD6A-4B58-A3B4-1EB90A105CF3}"/>
    <cellStyle name="常规 8 8 2 2 3" xfId="28678" xr:uid="{07C76A37-D0C9-48F5-8021-B690238CD793}"/>
    <cellStyle name="常规 8 8 2 2 4" xfId="28679" xr:uid="{EFFB30DA-4DE3-4246-AC20-0FD63CD21748}"/>
    <cellStyle name="常规 8 8 2 2 5" xfId="28680" xr:uid="{D523BACA-7E3E-4A40-BB35-1F32CE655AC4}"/>
    <cellStyle name="常规 8 8 2 2 6" xfId="28681" xr:uid="{5646DC9E-C97B-4883-AAD6-1AD48B047A12}"/>
    <cellStyle name="常规 8 8 2 3" xfId="28682" xr:uid="{274E90D8-ABA9-433F-B52B-44D15FA5322B}"/>
    <cellStyle name="常规 8 8 2 4" xfId="28683" xr:uid="{C17C5EF6-8E1C-4552-9EEB-99CDC8BA1802}"/>
    <cellStyle name="常规 8 8 2 5" xfId="28684" xr:uid="{F605E233-209D-4CA9-B6F1-F2E5479E6CC6}"/>
    <cellStyle name="常规 8 8 2 6" xfId="28685" xr:uid="{FF47B099-EE77-48F7-B292-2153BFB717B7}"/>
    <cellStyle name="常规 8 8 2 7" xfId="28686" xr:uid="{222F5E65-6849-4ADA-9C6F-4FEA90DD927C}"/>
    <cellStyle name="常规 8 8 2 8" xfId="28687" xr:uid="{316086B2-E464-4066-8B05-0437A03C3AFE}"/>
    <cellStyle name="常规 8 8 2 9" xfId="28688" xr:uid="{FDF6BF0A-A965-4E74-94B3-76B1EAAF708D}"/>
    <cellStyle name="常规 8 8 3" xfId="28689" xr:uid="{69F30CFB-D078-448F-A897-BB0BA5000D5F}"/>
    <cellStyle name="常规 8 8 3 2" xfId="28690" xr:uid="{8784F771-A036-4DAE-9CAE-2461AFCCEDD0}"/>
    <cellStyle name="常规 8 8 3 2 2" xfId="28691" xr:uid="{731ADBC5-D3DA-46C3-8BE3-4E5CF14B9A42}"/>
    <cellStyle name="常规 8 8 3 2 3" xfId="28692" xr:uid="{AF1BCF33-BEF9-49DD-9687-42CBFCA89645}"/>
    <cellStyle name="常规 8 8 3 2 4" xfId="28693" xr:uid="{56EDEB74-3FD3-45B3-94B6-72B06F64A5B4}"/>
    <cellStyle name="常规 8 8 3 2 5" xfId="28694" xr:uid="{47FDC470-E759-4970-9FFF-8AF8B747E3F6}"/>
    <cellStyle name="常规 8 8 3 2 6" xfId="28695" xr:uid="{22B9969F-B847-4497-8401-17D52A73ACBC}"/>
    <cellStyle name="常规 8 8 3 3" xfId="28696" xr:uid="{34062D1C-D47C-4175-81B6-AF7CAB7A438E}"/>
    <cellStyle name="常规 8 8 3 4" xfId="28697" xr:uid="{EB3821C9-8FF9-4296-994C-2AA5A15980FF}"/>
    <cellStyle name="常规 8 8 3 5" xfId="28698" xr:uid="{918D34B7-9984-4D00-85A1-A5C9866FD5C6}"/>
    <cellStyle name="常规 8 8 3 6" xfId="28699" xr:uid="{8F9C9062-7E6C-4AEF-96DE-6079552B8FCE}"/>
    <cellStyle name="常规 8 8 3 7" xfId="28700" xr:uid="{B380AB97-DB26-4C52-B88F-2870A4C479E4}"/>
    <cellStyle name="常规 8 8 3 8" xfId="28701" xr:uid="{682A49C2-C995-4376-B81F-F52068227E15}"/>
    <cellStyle name="常规 8 8 4" xfId="28702" xr:uid="{395FC616-674F-419E-8E86-EE229EEE4FF4}"/>
    <cellStyle name="常规 8 8 4 2" xfId="28703" xr:uid="{C0ABE707-DCAB-4713-8BA7-4D80E779D811}"/>
    <cellStyle name="常规 8 8 4 2 2" xfId="28704" xr:uid="{A5C7191E-5D4D-4C02-8F90-F252807B79F6}"/>
    <cellStyle name="常规 8 8 4 2 3" xfId="28705" xr:uid="{E434F3F4-AC94-4C2E-916B-9964749B39E5}"/>
    <cellStyle name="常规 8 8 4 2 4" xfId="28706" xr:uid="{ADFA2A78-EEF5-433D-A6B8-039750878690}"/>
    <cellStyle name="常规 8 8 4 2 5" xfId="28707" xr:uid="{722ACF9B-8758-4762-A053-3CA3668A1D0C}"/>
    <cellStyle name="常规 8 8 4 2 6" xfId="28708" xr:uid="{9BC50947-7062-4E76-BA6B-5A11108C178E}"/>
    <cellStyle name="常规 8 8 4 3" xfId="28709" xr:uid="{8DFF74BA-EC11-47C3-AE5C-2FC84AC6616F}"/>
    <cellStyle name="常规 8 8 4 4" xfId="28710" xr:uid="{CE0265C4-12FD-4A7E-BCCF-642FA2FB7278}"/>
    <cellStyle name="常规 8 8 4 5" xfId="28711" xr:uid="{CF7297A2-9032-467E-BF7A-AF6E92B460AD}"/>
    <cellStyle name="常规 8 8 4 6" xfId="28712" xr:uid="{E7B40AE5-8D21-4364-BBFC-59D7F8B64F54}"/>
    <cellStyle name="常规 8 8 4 7" xfId="28713" xr:uid="{E5E35BEE-B4AE-4A64-9861-4B7B03D16E95}"/>
    <cellStyle name="常规 8 8 4 8" xfId="28714" xr:uid="{70376FD8-7347-420D-9D4A-198647714CAD}"/>
    <cellStyle name="常规 8 8 4 9" xfId="34640" xr:uid="{4B37BF91-75A5-4B94-A256-111192CD5127}"/>
    <cellStyle name="常规 8 8 5" xfId="28715" xr:uid="{14A6A5EA-5B6B-469C-BC5C-6FB2E7DB85D4}"/>
    <cellStyle name="常规 8 8 5 2" xfId="28716" xr:uid="{7054AEDB-01DB-40C7-8753-5FD6D9AEEEE9}"/>
    <cellStyle name="常规 8 8 5 2 2" xfId="28717" xr:uid="{F4AAFD9D-499B-4768-B9AE-0F6BCA7305F0}"/>
    <cellStyle name="常规 8 8 5 2 3" xfId="28718" xr:uid="{3F8BB170-9BAE-4412-8536-B0ACD76DCCD9}"/>
    <cellStyle name="常规 8 8 5 2 4" xfId="28719" xr:uid="{5BDE9B7F-E231-41B2-83BD-FF808C559E40}"/>
    <cellStyle name="常规 8 8 5 2 5" xfId="28720" xr:uid="{3CF04C8A-0CDD-43C5-AD7B-6A64FCB956A1}"/>
    <cellStyle name="常规 8 8 5 2 6" xfId="28721" xr:uid="{469C695C-3898-477E-8CCE-EE9084AE0CAB}"/>
    <cellStyle name="常规 8 8 5 3" xfId="28722" xr:uid="{89843F5B-E908-40AD-95B5-C176D9FDA8EE}"/>
    <cellStyle name="常规 8 8 5 4" xfId="28723" xr:uid="{78622771-E71B-4224-B150-066EF56FE84D}"/>
    <cellStyle name="常规 8 8 5 5" xfId="28724" xr:uid="{2E76E900-C451-48C0-B378-518D121A8D57}"/>
    <cellStyle name="常规 8 8 5 6" xfId="28725" xr:uid="{ABE39D8D-7844-4FF0-A83D-484B69C3923C}"/>
    <cellStyle name="常规 8 8 5 7" xfId="28726" xr:uid="{FC5DD2F6-07F8-4E9F-B6E3-65ED7A90038B}"/>
    <cellStyle name="常规 8 8 6" xfId="28727" xr:uid="{C445459A-E6EE-4D54-B9DD-6AEE01398A91}"/>
    <cellStyle name="常规 8 8 6 2" xfId="28728" xr:uid="{39CCFB12-D5E9-4C5F-AC85-623646BB9C54}"/>
    <cellStyle name="常规 8 8 6 2 2" xfId="28729" xr:uid="{E5912A3E-1494-4DB8-9A47-7614E9943493}"/>
    <cellStyle name="常规 8 8 6 2 3" xfId="28730" xr:uid="{691A841F-6576-4BAA-85AB-20E78393A968}"/>
    <cellStyle name="常规 8 8 6 2 4" xfId="28731" xr:uid="{74078A70-87B4-4C0E-9F6D-D1F2844141A3}"/>
    <cellStyle name="常规 8 8 6 2 5" xfId="28732" xr:uid="{4A4E055C-A5E4-418F-8975-EFC779D93F89}"/>
    <cellStyle name="常规 8 8 6 2 6" xfId="28733" xr:uid="{BBD81978-F0C4-40B6-B1F7-CCCFC6A9CAFF}"/>
    <cellStyle name="常规 8 8 6 3" xfId="28734" xr:uid="{FFDE473C-FA9A-4D25-A24C-C03C1387A804}"/>
    <cellStyle name="常规 8 8 6 4" xfId="28735" xr:uid="{45A34571-95A1-4D20-A454-8021F8F7D147}"/>
    <cellStyle name="常规 8 8 6 5" xfId="28736" xr:uid="{49353CED-414A-403D-AD57-F13F7B609B66}"/>
    <cellStyle name="常规 8 8 6 6" xfId="28737" xr:uid="{7DA8D4E3-697F-4AED-9231-D38E704D9EDF}"/>
    <cellStyle name="常规 8 8 6 7" xfId="28738" xr:uid="{A9D0C7E0-A0B6-4A80-ADCB-31D6B9D7DD96}"/>
    <cellStyle name="常规 8 8 7" xfId="28739" xr:uid="{709A3F6C-F6C3-40CC-A4D9-ABAA7F35175F}"/>
    <cellStyle name="常规 8 8 7 2" xfId="28740" xr:uid="{E09B5C7A-1D44-4218-9E54-CBC35B596420}"/>
    <cellStyle name="常规 8 8 7 2 2" xfId="28741" xr:uid="{C6EC6A1D-D90C-4946-B848-27FC04A0C7BF}"/>
    <cellStyle name="常规 8 8 7 2 3" xfId="28742" xr:uid="{1350B3FD-960F-420B-A82E-67D92B1A5F63}"/>
    <cellStyle name="常规 8 8 7 2 4" xfId="28743" xr:uid="{68F13C4C-60B9-4C5C-82A9-6BE962AE3614}"/>
    <cellStyle name="常规 8 8 7 2 5" xfId="28744" xr:uid="{FE55FD23-A04E-4CCB-9A6C-B0E2F4B4892C}"/>
    <cellStyle name="常规 8 8 7 2 6" xfId="28745" xr:uid="{769BD029-DA9A-4371-9A88-223BA4322D30}"/>
    <cellStyle name="常规 8 8 7 3" xfId="28746" xr:uid="{F3CEEEF9-B03C-40E5-846F-FF9ACDB1DFC2}"/>
    <cellStyle name="常规 8 8 7 4" xfId="28747" xr:uid="{E7DE1FFD-01F7-44AD-921A-8CFD6EAB5023}"/>
    <cellStyle name="常规 8 8 7 5" xfId="28748" xr:uid="{3ECC9740-A47E-46A6-AEBF-50EA453EFF56}"/>
    <cellStyle name="常规 8 8 7 6" xfId="28749" xr:uid="{ADB82450-66B5-4826-9888-2F1E66473D8B}"/>
    <cellStyle name="常规 8 8 7 7" xfId="28750" xr:uid="{37D38666-4F21-4AC2-B4BC-FF31480A0EE6}"/>
    <cellStyle name="常规 8 8 8" xfId="28751" xr:uid="{7E314EA4-C47A-4E75-8C0F-DA5E661BFEF2}"/>
    <cellStyle name="常规 8 8 8 2" xfId="28752" xr:uid="{4AE10DD5-86EE-4367-97ED-78C702F901AD}"/>
    <cellStyle name="常规 8 8 8 2 2" xfId="28753" xr:uid="{9D7B0F91-D901-40C8-9F27-FDC89AB1B800}"/>
    <cellStyle name="常规 8 8 8 2 3" xfId="28754" xr:uid="{C54CD2DD-C14F-43CC-A342-1EA851A3F1C8}"/>
    <cellStyle name="常规 8 8 8 2 4" xfId="28755" xr:uid="{5C3E7993-CDB7-41FD-ABDB-A9392012F90D}"/>
    <cellStyle name="常规 8 8 8 2 5" xfId="28756" xr:uid="{EB5F5405-64C6-4D59-B9FD-DFA60ED85F37}"/>
    <cellStyle name="常规 8 8 8 2 6" xfId="28757" xr:uid="{220219CC-131F-4C10-962A-E3E76631DF7F}"/>
    <cellStyle name="常规 8 8 8 3" xfId="28758" xr:uid="{8D6CB019-843B-42C5-807F-BF31E1F71D55}"/>
    <cellStyle name="常规 8 8 8 4" xfId="28759" xr:uid="{E56DC5C4-93BF-435A-A62C-7C78B8E1C1A4}"/>
    <cellStyle name="常规 8 8 8 5" xfId="28760" xr:uid="{28C26E3D-1147-48CE-9D64-9266DD09ED8C}"/>
    <cellStyle name="常规 8 8 8 6" xfId="28761" xr:uid="{4E37AC5E-E960-4BD5-8C9D-073EF29C131E}"/>
    <cellStyle name="常规 8 8 8 7" xfId="28762" xr:uid="{D2B47B6E-8880-4341-B867-EDB0A0E9EC8A}"/>
    <cellStyle name="常规 8 8 9" xfId="28763" xr:uid="{8811BDE1-E9AA-454F-A787-2379DC9AC43F}"/>
    <cellStyle name="常规 8 8 9 2" xfId="28764" xr:uid="{2B9956A0-9480-4975-85AC-DAEC106BFDAC}"/>
    <cellStyle name="常规 8 8 9 3" xfId="28765" xr:uid="{B72E9E1F-9131-4BB7-871E-997562A51250}"/>
    <cellStyle name="常规 8 8 9 4" xfId="28766" xr:uid="{F02FC720-3F86-4300-9980-5E63465D8E1F}"/>
    <cellStyle name="常规 8 8 9 5" xfId="28767" xr:uid="{6947B7A8-8E83-471B-AD31-CBDB486FAE67}"/>
    <cellStyle name="常规 8 8 9 6" xfId="28768" xr:uid="{ED4FF276-A421-488D-905C-5D2918C3E05A}"/>
    <cellStyle name="常规 8 9" xfId="28769" xr:uid="{B7D34514-2957-4007-A399-0A4316D41B04}"/>
    <cellStyle name="常规 8 9 10" xfId="28770" xr:uid="{E0FDAFF7-C89C-48B1-BCC7-E44EFDB9C431}"/>
    <cellStyle name="常规 8 9 11" xfId="28771" xr:uid="{5F46AC21-6D1E-4AFC-8375-D149A22040FF}"/>
    <cellStyle name="常规 8 9 12" xfId="28772" xr:uid="{FB786D6D-3051-47E7-8875-F5CAE700749F}"/>
    <cellStyle name="常规 8 9 13" xfId="28773" xr:uid="{7B5CE10A-9C28-4CA7-822B-279D3B8AC965}"/>
    <cellStyle name="常规 8 9 14" xfId="28774" xr:uid="{6CCB5D7C-409C-47D1-9D1F-84AAF6926F63}"/>
    <cellStyle name="常规 8 9 15" xfId="28775" xr:uid="{4FE1F367-C840-4F64-8DBD-F65459F4350D}"/>
    <cellStyle name="常规 8 9 2" xfId="28776" xr:uid="{EA398B40-502A-49AD-A091-191F6F578793}"/>
    <cellStyle name="常规 8 9 2 2" xfId="28777" xr:uid="{4979EB65-BAE9-4536-9396-C7EC4487922F}"/>
    <cellStyle name="常规 8 9 2 2 2" xfId="28778" xr:uid="{CAA79030-21B5-441C-9068-A8E52B6D6594}"/>
    <cellStyle name="常规 8 9 2 2 3" xfId="28779" xr:uid="{C0D1DE17-8A38-4C7B-B067-1A61696B9695}"/>
    <cellStyle name="常规 8 9 2 2 4" xfId="28780" xr:uid="{32192C73-5115-478E-90A7-4BFD7B4999D6}"/>
    <cellStyle name="常规 8 9 2 2 5" xfId="28781" xr:uid="{007C7302-AA15-4A3D-9096-D19E98BAF92D}"/>
    <cellStyle name="常规 8 9 2 2 6" xfId="28782" xr:uid="{8449118F-4A3F-471E-9975-302E68769E34}"/>
    <cellStyle name="常规 8 9 2 3" xfId="28783" xr:uid="{418BA048-28BD-40A8-8DB4-CA6255E38CFC}"/>
    <cellStyle name="常规 8 9 2 4" xfId="28784" xr:uid="{2D0EE03D-9093-4462-8A2F-0DC5B9D7BDC5}"/>
    <cellStyle name="常规 8 9 2 5" xfId="28785" xr:uid="{0471A97D-C411-49C8-937D-6B77AE6E94E0}"/>
    <cellStyle name="常规 8 9 2 6" xfId="28786" xr:uid="{641A941E-E6A7-49D1-93F0-D14A508D2A50}"/>
    <cellStyle name="常规 8 9 2 7" xfId="28787" xr:uid="{10208810-77BE-4F4A-9591-70D66A93C924}"/>
    <cellStyle name="常规 8 9 3" xfId="28788" xr:uid="{3CFCA921-409E-4041-9AAB-0F1D46912CFB}"/>
    <cellStyle name="常规 8 9 3 2" xfId="28789" xr:uid="{BB520E26-5E85-4884-95D6-7FFDA89E02BE}"/>
    <cellStyle name="常规 8 9 3 2 2" xfId="28790" xr:uid="{170DF603-6265-4C31-A7DE-191B18B4D9A8}"/>
    <cellStyle name="常规 8 9 3 2 3" xfId="28791" xr:uid="{62EDC4FA-D40E-40C0-8DDA-32DFDA4D911F}"/>
    <cellStyle name="常规 8 9 3 2 4" xfId="28792" xr:uid="{B83DBF52-5AF1-4567-B2E3-DBE626A58B7C}"/>
    <cellStyle name="常规 8 9 3 2 5" xfId="28793" xr:uid="{E25656F0-CC3E-4AB9-8C67-4A0C10276AA5}"/>
    <cellStyle name="常规 8 9 3 2 6" xfId="28794" xr:uid="{2F5AEF16-B75C-45CC-9512-3907B732F368}"/>
    <cellStyle name="常规 8 9 3 3" xfId="28795" xr:uid="{5C225E84-684C-4CAB-B600-0C1960963A49}"/>
    <cellStyle name="常规 8 9 3 4" xfId="28796" xr:uid="{DADADC8F-D5AA-4CC7-8853-7B8F1A8C59DC}"/>
    <cellStyle name="常规 8 9 3 5" xfId="28797" xr:uid="{32AEB9FB-35C2-49A8-B5C3-8006735AE0CD}"/>
    <cellStyle name="常规 8 9 3 6" xfId="28798" xr:uid="{B4E3BD77-3279-4C29-BBCA-B6716C7D649C}"/>
    <cellStyle name="常规 8 9 3 7" xfId="28799" xr:uid="{4C372278-6779-44CF-942E-E2C281144543}"/>
    <cellStyle name="常规 8 9 4" xfId="28800" xr:uid="{766DC373-0D0F-49A4-BA7A-20E6982E1754}"/>
    <cellStyle name="常规 8 9 4 2" xfId="28801" xr:uid="{CC4F3B79-5DDF-4446-8B70-63785C79B368}"/>
    <cellStyle name="常规 8 9 4 2 2" xfId="28802" xr:uid="{AFC19C34-C8DC-4F54-899F-33E9F61626D9}"/>
    <cellStyle name="常规 8 9 4 2 3" xfId="28803" xr:uid="{8BD44DF5-2D55-4EDC-ABB2-6F75E3C3EAB4}"/>
    <cellStyle name="常规 8 9 4 2 4" xfId="28804" xr:uid="{C2252253-589E-4F53-A9D8-64304A9899E9}"/>
    <cellStyle name="常规 8 9 4 2 5" xfId="28805" xr:uid="{272F87FC-1EC8-4A7B-83AD-25A826AFAC3F}"/>
    <cellStyle name="常规 8 9 4 2 6" xfId="28806" xr:uid="{C4500DB5-2787-4435-A3C0-01D87F24356B}"/>
    <cellStyle name="常规 8 9 4 3" xfId="28807" xr:uid="{E15DFF87-5342-425C-9F15-EC38A5184A65}"/>
    <cellStyle name="常规 8 9 4 4" xfId="28808" xr:uid="{70107EDF-F2DD-4F33-BA29-481AD1D93F16}"/>
    <cellStyle name="常规 8 9 4 5" xfId="28809" xr:uid="{E192B30A-01D0-4A93-93DF-A55E2E56DE72}"/>
    <cellStyle name="常规 8 9 4 6" xfId="28810" xr:uid="{D7BAB38E-65CF-46F3-8840-20B039AC6B7B}"/>
    <cellStyle name="常规 8 9 4 7" xfId="28811" xr:uid="{BE6EA419-B675-4C0F-A787-0471D5EB467C}"/>
    <cellStyle name="常规 8 9 5" xfId="28812" xr:uid="{4CC64B48-B575-4CC8-8C25-AAAC7E74003E}"/>
    <cellStyle name="常规 8 9 5 2" xfId="28813" xr:uid="{980B1A24-0ACD-4A55-8B22-9F08190F5D18}"/>
    <cellStyle name="常规 8 9 5 2 2" xfId="28814" xr:uid="{08FD4DF6-C561-461E-A073-5121BA06F635}"/>
    <cellStyle name="常规 8 9 5 2 3" xfId="28815" xr:uid="{5B266AB2-15FF-48D4-993E-5A66ADC14AE6}"/>
    <cellStyle name="常规 8 9 5 2 4" xfId="28816" xr:uid="{22092378-5D7A-4BBF-BB92-C1B6FB498F70}"/>
    <cellStyle name="常规 8 9 5 2 5" xfId="28817" xr:uid="{9A0992E0-78CB-4487-8F90-DA59BD08E3F1}"/>
    <cellStyle name="常规 8 9 5 2 6" xfId="28818" xr:uid="{56067FD1-C336-4BB5-A3BC-B301AF75BEB8}"/>
    <cellStyle name="常规 8 9 5 3" xfId="28819" xr:uid="{01C35723-EE79-4513-8319-3111FDE19CF3}"/>
    <cellStyle name="常规 8 9 5 4" xfId="28820" xr:uid="{316B5189-BBFA-4035-A04E-955F824F0F90}"/>
    <cellStyle name="常规 8 9 5 5" xfId="28821" xr:uid="{53F09958-FE93-460F-81D1-22255A464105}"/>
    <cellStyle name="常规 8 9 5 6" xfId="28822" xr:uid="{611D66B2-00F4-4461-8652-8A2CEE1B74EC}"/>
    <cellStyle name="常规 8 9 5 7" xfId="28823" xr:uid="{35C6C7E8-1C0D-4B0F-9832-D46BFD5AA551}"/>
    <cellStyle name="常规 8 9 6" xfId="28824" xr:uid="{276F6C95-7892-4C85-9F09-7275F4CC54BC}"/>
    <cellStyle name="常规 8 9 6 2" xfId="28825" xr:uid="{4EE18AF8-A11D-48B3-BFAD-840011627EBD}"/>
    <cellStyle name="常规 8 9 6 2 2" xfId="28826" xr:uid="{3ED8A69E-866F-419A-8652-E917AE8B4CE3}"/>
    <cellStyle name="常规 8 9 6 2 3" xfId="28827" xr:uid="{A4F0DE8B-DE50-4806-8B56-C73F3EE8DBAA}"/>
    <cellStyle name="常规 8 9 6 2 4" xfId="28828" xr:uid="{63F82A90-3299-4BD0-873A-76B174C1CF56}"/>
    <cellStyle name="常规 8 9 6 2 5" xfId="28829" xr:uid="{2577B861-CC83-4977-8178-D824F86C5113}"/>
    <cellStyle name="常规 8 9 6 2 6" xfId="28830" xr:uid="{C75847B9-2695-416D-8E0C-03EEA158012E}"/>
    <cellStyle name="常规 8 9 6 3" xfId="28831" xr:uid="{DC790172-8D31-4E80-916B-5EF80103ECCF}"/>
    <cellStyle name="常规 8 9 6 4" xfId="28832" xr:uid="{18FF089E-2DFE-4C3A-A871-74A8B81940A2}"/>
    <cellStyle name="常规 8 9 6 5" xfId="28833" xr:uid="{A5556CF8-2D5F-4FD7-9058-D4C25B3933FF}"/>
    <cellStyle name="常规 8 9 6 6" xfId="28834" xr:uid="{126F39E7-49A5-4015-8C02-81EED5457DCB}"/>
    <cellStyle name="常规 8 9 6 7" xfId="28835" xr:uid="{50BE4388-D9EC-405C-A489-48504D36F4C9}"/>
    <cellStyle name="常规 8 9 7" xfId="28836" xr:uid="{3582B2E7-73B2-4752-A0B8-2FB710BFEC63}"/>
    <cellStyle name="常规 8 9 7 2" xfId="28837" xr:uid="{430B4DC0-8AC9-4A5D-91FB-84B747BE8C25}"/>
    <cellStyle name="常规 8 9 7 2 2" xfId="28838" xr:uid="{02FEAD9C-326D-46BD-9F06-89EF10E84D73}"/>
    <cellStyle name="常规 8 9 7 2 3" xfId="28839" xr:uid="{8B48EFAD-E8EC-4619-B176-112708F9108D}"/>
    <cellStyle name="常规 8 9 7 2 4" xfId="28840" xr:uid="{3055532F-97CC-4FCC-9004-416FDCE85084}"/>
    <cellStyle name="常规 8 9 7 2 5" xfId="28841" xr:uid="{8DFA8B82-0C2B-4591-878E-FAB4CD5AEE85}"/>
    <cellStyle name="常规 8 9 7 2 6" xfId="28842" xr:uid="{A1BAA2DE-F8E8-4FAD-8ED5-CCCF98C449B7}"/>
    <cellStyle name="常规 8 9 7 3" xfId="28843" xr:uid="{47E5D9E5-5312-4232-AACE-148BB8124647}"/>
    <cellStyle name="常规 8 9 7 4" xfId="28844" xr:uid="{353C484F-65AE-4F15-8C88-E7E0F46B6604}"/>
    <cellStyle name="常规 8 9 7 5" xfId="28845" xr:uid="{ACDAB0D1-C934-464A-854D-588A03619F33}"/>
    <cellStyle name="常规 8 9 7 6" xfId="28846" xr:uid="{2989BF47-0991-4102-B1E5-2EE13E46DE6C}"/>
    <cellStyle name="常规 8 9 7 7" xfId="28847" xr:uid="{B4FF9C79-54FF-4612-A01F-0CCF524B54E3}"/>
    <cellStyle name="常规 8 9 8" xfId="28848" xr:uid="{19418996-2D6D-401E-9226-3DAD572435C1}"/>
    <cellStyle name="常规 8 9 8 2" xfId="28849" xr:uid="{86982685-EA59-4602-A179-581654C47F91}"/>
    <cellStyle name="常规 8 9 8 3" xfId="28850" xr:uid="{A6C10898-E363-4B57-A857-4414917D7887}"/>
    <cellStyle name="常规 8 9 8 4" xfId="28851" xr:uid="{76702273-4C41-4F48-BA68-6D40A1D6213B}"/>
    <cellStyle name="常规 8 9 8 5" xfId="28852" xr:uid="{B0144755-0B51-429F-8A4D-E9BCB21B61E9}"/>
    <cellStyle name="常规 8 9 8 6" xfId="28853" xr:uid="{07F3B7CC-B7E6-4548-84F9-2521D725287B}"/>
    <cellStyle name="常规 8 9 9" xfId="28854" xr:uid="{0A1B83B1-39F7-49B6-B003-91E26569DE9B}"/>
    <cellStyle name="常规 80" xfId="28855" xr:uid="{9BDEF3ED-92C1-42EB-8FB4-70404BBD7DEF}"/>
    <cellStyle name="常规 80 2" xfId="28856" xr:uid="{1C56D5DB-756F-461F-BE73-19CFE8CFC1CB}"/>
    <cellStyle name="常规 80 2 2" xfId="28857" xr:uid="{89B63040-0BDE-479B-A962-2B9D8F50AF3F}"/>
    <cellStyle name="常规 80 3" xfId="28858" xr:uid="{04DBF564-8F6E-43DF-AE9B-4A5F1D7E1DB3}"/>
    <cellStyle name="常规 80 4" xfId="28859" xr:uid="{52FE05A1-23B1-47C6-AA49-87B1D97B2F3F}"/>
    <cellStyle name="常规 80 4 2" xfId="34641" xr:uid="{E2B43D40-650C-49DD-846E-AB4000020625}"/>
    <cellStyle name="常规 80 5" xfId="28860" xr:uid="{967A9E0B-BA4D-4F9B-A164-38B3C5BCD8A0}"/>
    <cellStyle name="常规 81" xfId="28861" xr:uid="{F768A14C-0970-4465-865A-4C0E85594078}"/>
    <cellStyle name="常规 81 2" xfId="28862" xr:uid="{39622E7B-E86C-43FE-93C0-B2F05606D8B9}"/>
    <cellStyle name="常规 81 2 2" xfId="28863" xr:uid="{B0693A3C-7622-441F-B693-1EB31161C0CF}"/>
    <cellStyle name="常规 81 3" xfId="28864" xr:uid="{4F2D611C-845E-4E1F-8583-BDC5C6E599C8}"/>
    <cellStyle name="常规 81 4" xfId="28865" xr:uid="{8EE2D962-A5CE-45D5-83B1-9FE63E221740}"/>
    <cellStyle name="常规 81 4 2" xfId="34642" xr:uid="{B01681B0-6C5E-44B7-A58D-C6BDCEC1A2EF}"/>
    <cellStyle name="常规 81 5" xfId="28866" xr:uid="{1F20D4DD-7C17-477D-9F07-513CBFB031C3}"/>
    <cellStyle name="常规 82" xfId="28867" xr:uid="{8C8F96F9-C6E2-4C39-A280-8449937ABDCE}"/>
    <cellStyle name="常规 82 2" xfId="28868" xr:uid="{94B33134-2810-424B-8C77-489981D48E74}"/>
    <cellStyle name="常规 82 2 2" xfId="28869" xr:uid="{81A2EC4F-0A2F-49AB-B80D-C10961C122AB}"/>
    <cellStyle name="常规 82 3" xfId="28870" xr:uid="{4F2AA5B5-0EC9-4C2A-AEB3-0BE806DCEBB4}"/>
    <cellStyle name="常规 82 4" xfId="28871" xr:uid="{2F3CEFFB-4887-4243-92E5-679FAD521686}"/>
    <cellStyle name="常规 82 4 2" xfId="34643" xr:uid="{C607CB07-D7DE-41FC-9D38-C5F7AB481414}"/>
    <cellStyle name="常规 82 5" xfId="28872" xr:uid="{483F4F7E-B8D6-4B4C-87CE-5DC3103944FD}"/>
    <cellStyle name="常规 83" xfId="28873" xr:uid="{DDBA2A7C-9814-4537-9D78-8DA12AF35D1A}"/>
    <cellStyle name="常规 83 2" xfId="28874" xr:uid="{8E7ABB50-DB9B-4BD4-9540-775D07CDC92A}"/>
    <cellStyle name="常规 83 2 2" xfId="28875" xr:uid="{DA32CFA2-1880-47C4-B2E0-203E46AB2E34}"/>
    <cellStyle name="常规 83 3" xfId="28876" xr:uid="{C0269372-D6A2-4005-A199-D9B714AACA80}"/>
    <cellStyle name="常规 83 4" xfId="28877" xr:uid="{141E1DF8-8FA6-4569-9E19-932062412B04}"/>
    <cellStyle name="常规 83 4 2" xfId="34644" xr:uid="{0A158288-41F6-4ACB-81CF-2927B3CBBA48}"/>
    <cellStyle name="常规 83 5" xfId="28878" xr:uid="{B2AF2982-C52A-4252-85C9-61547D5072F7}"/>
    <cellStyle name="常规 84" xfId="28879" xr:uid="{D9BF24B8-F455-4A55-9BC6-C79E6ED1BD2C}"/>
    <cellStyle name="常规 84 2" xfId="28880" xr:uid="{45773903-5E6E-4310-9EC1-75871381E9F5}"/>
    <cellStyle name="常规 84 2 2" xfId="28881" xr:uid="{25AB924E-1798-4FD9-AEF2-A0101C9F9302}"/>
    <cellStyle name="常规 84 3" xfId="28882" xr:uid="{161F1F46-F7F6-43F5-9636-8A21121F1221}"/>
    <cellStyle name="常规 84 4" xfId="28883" xr:uid="{594869E8-ECB8-47AD-B115-65C32AFCBBE5}"/>
    <cellStyle name="常规 84 4 2" xfId="34645" xr:uid="{38D6F24A-9DA7-49D0-9B66-37C835B751F9}"/>
    <cellStyle name="常规 84 5" xfId="28884" xr:uid="{5A0BF779-6D75-49A7-828C-28244D6C4190}"/>
    <cellStyle name="常规 85" xfId="28885" xr:uid="{8348BAFE-62F5-42D0-9594-399691712EB2}"/>
    <cellStyle name="常规 85 2" xfId="28886" xr:uid="{C6F2CC07-62D7-4371-8FFE-3C89FA32DBE3}"/>
    <cellStyle name="常规 85 2 2" xfId="28887" xr:uid="{3A029C6F-2B5D-459A-BB20-E9D158364155}"/>
    <cellStyle name="常规 85 3" xfId="28888" xr:uid="{A9829800-92F5-4FC8-B56E-9E8A26EEF989}"/>
    <cellStyle name="常规 85 4" xfId="28889" xr:uid="{34F5C0EA-F913-47A9-B9F4-B88BDAA75691}"/>
    <cellStyle name="常规 85 4 2" xfId="34646" xr:uid="{5AC0BF55-1FEE-4AE4-83AF-7CA1585C27F0}"/>
    <cellStyle name="常规 85 5" xfId="28890" xr:uid="{7744C756-14DD-4904-9959-686DCB1D5384}"/>
    <cellStyle name="常规 86" xfId="28891" xr:uid="{1120AF59-C9E7-48B6-ADB8-84CF9A34F6E8}"/>
    <cellStyle name="常规 86 2" xfId="28892" xr:uid="{0E289AA0-5510-4E9E-BFAF-4C65D37E68FD}"/>
    <cellStyle name="常规 86 2 2" xfId="28893" xr:uid="{605C6F1C-3604-4E46-8BBF-45557840AE0A}"/>
    <cellStyle name="常规 86 3" xfId="28894" xr:uid="{9693B81C-50F4-433D-A17B-4936454DC7EC}"/>
    <cellStyle name="常规 86 4" xfId="28895" xr:uid="{F22C7684-F326-43C9-808D-8507218B61D4}"/>
    <cellStyle name="常规 86 4 2" xfId="34647" xr:uid="{72EAF51F-24E2-4B79-A51F-0D8C4C0FAB19}"/>
    <cellStyle name="常规 86 5" xfId="28896" xr:uid="{E1B4BF52-6A36-4E7C-9ABA-E88547A4A99C}"/>
    <cellStyle name="常规 87" xfId="28897" xr:uid="{B960316D-F38C-4EB5-A07A-B15F2B385C6D}"/>
    <cellStyle name="常规 87 2" xfId="28898" xr:uid="{D20EC653-205D-4A08-A263-97C7433BB1DE}"/>
    <cellStyle name="常规 87 2 2" xfId="28899" xr:uid="{AEFA82DF-A372-43AD-9651-EF35FF820BC4}"/>
    <cellStyle name="常规 87 3" xfId="28900" xr:uid="{B5037682-A13D-45C3-9CAE-3CBDC759AD83}"/>
    <cellStyle name="常规 87 4" xfId="28901" xr:uid="{8C4173B3-2CA1-4C44-BF06-7D804CCB29B3}"/>
    <cellStyle name="常规 87 4 2" xfId="34648" xr:uid="{7E4599E2-98BE-47B5-84E3-7CC53C74D3A2}"/>
    <cellStyle name="常规 87 5" xfId="28902" xr:uid="{025D00D3-8FDA-4795-AA69-442C33DB27DE}"/>
    <cellStyle name="常规 88" xfId="28903" xr:uid="{F50E23BC-E52A-47CC-A1E4-B54EE40E6702}"/>
    <cellStyle name="常规 88 2" xfId="28904" xr:uid="{708731B4-20E0-4D0B-859B-96E09B8CC715}"/>
    <cellStyle name="常规 88 2 2" xfId="28905" xr:uid="{8ED17706-ACF0-441B-9B93-68755BF3604F}"/>
    <cellStyle name="常规 88 3" xfId="28906" xr:uid="{5302D06F-274F-45F2-B1A5-E87E29F7A4CA}"/>
    <cellStyle name="常规 88 4" xfId="28907" xr:uid="{F987852E-1186-4540-822F-8AF21069D3DC}"/>
    <cellStyle name="常规 88 4 2" xfId="34649" xr:uid="{7520A59F-F528-45A4-9C56-0699BC85EEFF}"/>
    <cellStyle name="常规 88 5" xfId="28908" xr:uid="{9AFB8FF4-742D-41D7-8817-0EE710AFE50B}"/>
    <cellStyle name="常规 89" xfId="28909" xr:uid="{E5F1C3EE-6B18-486D-A685-D4A22E610201}"/>
    <cellStyle name="常规 89 2" xfId="28910" xr:uid="{E94EA51D-C21E-4140-96FD-0EAD23BDC776}"/>
    <cellStyle name="常规 89 2 2" xfId="28911" xr:uid="{CEA913A2-DDF7-4907-B40F-59BF3CEB7468}"/>
    <cellStyle name="常规 89 3" xfId="28912" xr:uid="{F80B2A33-FDE1-4144-A0D9-6568F1EEB196}"/>
    <cellStyle name="常规 89 4" xfId="28913" xr:uid="{5A997361-A6AF-4C35-A719-74FABCC1FADE}"/>
    <cellStyle name="常规 89 4 2" xfId="34650" xr:uid="{717CA754-5B49-43D1-A7F9-A3A94396D57C}"/>
    <cellStyle name="常规 89 5" xfId="28914" xr:uid="{DEBB6161-3EDA-4CE6-8766-97819FABE35D}"/>
    <cellStyle name="常规 9" xfId="28915" xr:uid="{9F222044-275B-4D9A-8C37-D992C30EA95C}"/>
    <cellStyle name="常规 9 10" xfId="28916" xr:uid="{554F68F2-998B-468E-B7F1-EF64749E930C}"/>
    <cellStyle name="常规 9 10 2" xfId="28917" xr:uid="{94E99AEB-6AF5-4FB7-95CB-A3A9E32F8B1C}"/>
    <cellStyle name="常规 9 10 3" xfId="28918" xr:uid="{386BD992-200B-4E57-93EC-E4827D43D1E1}"/>
    <cellStyle name="常规 9 10 4" xfId="28919" xr:uid="{BA331672-BD80-4906-8125-2EBA823AFD7F}"/>
    <cellStyle name="常规 9 10 5" xfId="28920" xr:uid="{E36AF0A8-D409-4146-85E9-EF1DCE856931}"/>
    <cellStyle name="常规 9 10 6" xfId="28921" xr:uid="{5473730D-E039-40DD-9683-055FEF47ACEF}"/>
    <cellStyle name="常规 9 10 7" xfId="28922" xr:uid="{67AB917C-52B0-421A-855E-2D23EBE239DD}"/>
    <cellStyle name="常规 9 11" xfId="28923" xr:uid="{4442E135-1AC1-4DE5-8CEA-4B5DDE9A5E50}"/>
    <cellStyle name="常规 9 11 2" xfId="28924" xr:uid="{A4169B70-62D3-424F-B712-ABE64100AFE6}"/>
    <cellStyle name="常规 9 11 3" xfId="34651" xr:uid="{501C6997-FF52-4C28-94DB-262990DF1264}"/>
    <cellStyle name="常规 9 12" xfId="28925" xr:uid="{C948E31C-8ADE-44DF-95B6-F062DC6F7BB5}"/>
    <cellStyle name="常规 9 12 2" xfId="28926" xr:uid="{39A5C509-D48A-418A-BC70-B0315056A186}"/>
    <cellStyle name="常规 9 13" xfId="28927" xr:uid="{5B80172D-2F56-4B59-A5CE-E5D2EA89C17E}"/>
    <cellStyle name="常规 9 14" xfId="28928" xr:uid="{FC0EC8A7-1323-40B5-816D-D3726D4CF543}"/>
    <cellStyle name="常规 9 15" xfId="28929" xr:uid="{6BF075A2-7510-4F37-AFA8-84044208B2BB}"/>
    <cellStyle name="常规 9 16" xfId="28930" xr:uid="{E7778C9F-F7A1-4D9E-B2C4-FBEE6BE556D5}"/>
    <cellStyle name="常规 9 17" xfId="28931" xr:uid="{BFD8E722-DF7B-41D7-A9A6-6983D2FA32CE}"/>
    <cellStyle name="常规 9 18" xfId="34652" xr:uid="{40213945-4940-4BF4-AA14-A88A81F71A2D}"/>
    <cellStyle name="常规 9 2" xfId="28932" xr:uid="{1A1DBFA3-4133-4200-8E88-D5D9935B4491}"/>
    <cellStyle name="常规 9 2 10" xfId="28933" xr:uid="{DEF3028A-E73F-416C-9D92-79D83D3DF7E6}"/>
    <cellStyle name="常规 9 2 11" xfId="28934" xr:uid="{57D43BDB-D335-4373-9291-5B13D9A45641}"/>
    <cellStyle name="常规 9 2 12" xfId="28935" xr:uid="{848E9346-7BDF-4BEE-B141-3AE2A0706F56}"/>
    <cellStyle name="常规 9 2 2" xfId="28936" xr:uid="{D3430467-D0D7-44E9-80CA-62448FE6EFDF}"/>
    <cellStyle name="常规 9 2 2 10" xfId="28937" xr:uid="{A55D3480-ECFF-4F8C-A223-FD336268258B}"/>
    <cellStyle name="常规 9 2 2 2" xfId="28938" xr:uid="{B9275717-E68C-47E7-94B9-57356EE12251}"/>
    <cellStyle name="常规 9 2 2 2 2" xfId="28939" xr:uid="{F6266785-EFC6-4623-853D-FF0B1E3C3112}"/>
    <cellStyle name="常规 9 2 2 2 2 2" xfId="28940" xr:uid="{956666F4-DE20-4147-BF22-EE6FDF68ABDB}"/>
    <cellStyle name="常规 9 2 2 2 2 2 2" xfId="28941" xr:uid="{C5F35597-A8F8-48CA-A715-26623775323D}"/>
    <cellStyle name="常规 9 2 2 2 2 3" xfId="28942" xr:uid="{B5FC7F3E-3E18-4831-8854-1ED73C503ED2}"/>
    <cellStyle name="常规 9 2 2 2 2 4" xfId="28943" xr:uid="{CB9D5878-151B-4C42-A742-0478595EF94C}"/>
    <cellStyle name="常规 9 2 2 2 2 4 2" xfId="34653" xr:uid="{F0F1607C-B34C-4672-8554-D2827001D34A}"/>
    <cellStyle name="常规 9 2 2 2 3" xfId="28944" xr:uid="{00E1B21C-C6DD-408E-9EDF-B67AEF76D1DE}"/>
    <cellStyle name="常规 9 2 2 2 3 2" xfId="28945" xr:uid="{6C979139-138B-4654-A0F9-B975B024BA74}"/>
    <cellStyle name="常规 9 2 2 2 3 2 2" xfId="28946" xr:uid="{D4FCDBF1-6EDE-421A-BB31-22427A89B39D}"/>
    <cellStyle name="常规 9 2 2 2 3 3" xfId="28947" xr:uid="{899BC8CE-359A-4680-95AC-FE348E2C10E8}"/>
    <cellStyle name="常规 9 2 2 2 3 4" xfId="28948" xr:uid="{5E9743CD-48D4-4827-BAF7-1461F2AAE300}"/>
    <cellStyle name="常规 9 2 2 2 3 4 2" xfId="34654" xr:uid="{F03B3759-D2F7-4577-905B-D99A9E67A950}"/>
    <cellStyle name="常规 9 2 2 2 4" xfId="28949" xr:uid="{788D003E-5CA5-4E2A-8ED5-B47D8BEFDF04}"/>
    <cellStyle name="常规 9 2 2 2 4 2" xfId="28950" xr:uid="{510DBE36-91DD-4DE8-A24C-4E8E5F2F1452}"/>
    <cellStyle name="常规 9 2 2 2 5" xfId="28951" xr:uid="{C5697E27-635B-441F-A10D-2BA2F8D83FBD}"/>
    <cellStyle name="常规 9 2 2 2 6" xfId="28952" xr:uid="{05E729E5-A45A-4EE0-85F8-3EA5BED8A49E}"/>
    <cellStyle name="常规 9 2 2 2 6 2" xfId="34655" xr:uid="{279D72D5-0CD5-4B5A-9370-5505D3D4C8ED}"/>
    <cellStyle name="常规 9 2 2 2 7" xfId="28953" xr:uid="{8412F4DE-C784-40AD-BD92-5C27A73379B2}"/>
    <cellStyle name="常规 9 2 2 3" xfId="28954" xr:uid="{E3E4EAA4-858E-413D-B3DC-8FEC3042F055}"/>
    <cellStyle name="常规 9 2 2 3 2" xfId="28955" xr:uid="{2CF67FA1-77A6-4FE0-99E6-725F2C636E33}"/>
    <cellStyle name="常规 9 2 2 3 2 2" xfId="28956" xr:uid="{8DE8DBD6-47BE-4EFD-8535-CC363D4662F9}"/>
    <cellStyle name="常规 9 2 2 3 3" xfId="28957" xr:uid="{7062B5F7-8BA1-444A-A5BA-1E961187789D}"/>
    <cellStyle name="常规 9 2 2 3 4" xfId="28958" xr:uid="{9C4957C5-EE05-4EF0-AA7F-6B4FD5DDD664}"/>
    <cellStyle name="常规 9 2 2 3 4 2" xfId="34656" xr:uid="{3E55D07A-7FE2-47A5-9127-E3245C7BD5FE}"/>
    <cellStyle name="常规 9 2 2 3 5" xfId="28959" xr:uid="{96C02CB6-9A29-490A-9695-53CADCCFBD12}"/>
    <cellStyle name="常规 9 2 2 4" xfId="28960" xr:uid="{7E6BE67D-832E-4A37-ACD4-4E0A7210EC38}"/>
    <cellStyle name="常规 9 2 2 4 2" xfId="28961" xr:uid="{A03329C3-232B-40E5-B3EA-B153C6C3EA65}"/>
    <cellStyle name="常规 9 2 2 4 2 2" xfId="28962" xr:uid="{05627F0C-85D8-4EC7-96B9-0E3FCD2AF41D}"/>
    <cellStyle name="常规 9 2 2 4 2 3" xfId="28963" xr:uid="{3E201CFB-978D-4C99-BFF8-FCFF23D6A141}"/>
    <cellStyle name="常规 9 2 2 4 3" xfId="28964" xr:uid="{941C6982-E6B5-46C8-BB23-2A950616F4DB}"/>
    <cellStyle name="常规 9 2 2 4 3 2" xfId="28965" xr:uid="{4FCCDEA5-EB56-4CD3-AA87-02DF5E5577CD}"/>
    <cellStyle name="常规 9 2 2 4 4" xfId="28966" xr:uid="{31CDDE49-C655-495C-B8C7-8C284AFE91E1}"/>
    <cellStyle name="常规 9 2 2 4 4 2" xfId="28967" xr:uid="{7FE83820-6BA0-40C7-BBC1-2ACC6974DA0C}"/>
    <cellStyle name="常规 9 2 2 4 4 3" xfId="34657" xr:uid="{3FAC5865-FFA0-45BA-ACEF-75E0E208458C}"/>
    <cellStyle name="常规 9 2 2 4 5" xfId="28968" xr:uid="{21A5CDF8-7838-43BC-BFA5-B2AE8AFBA3CD}"/>
    <cellStyle name="常规 9 2 2 4 6" xfId="28969" xr:uid="{BB3E9723-5FDB-424B-825A-E8CC8A38E95C}"/>
    <cellStyle name="常规 9 2 2 4 7" xfId="28970" xr:uid="{7BEAE414-9FE5-45B5-AE2E-CB76B4258C9A}"/>
    <cellStyle name="常规 9 2 2 5" xfId="28971" xr:uid="{FBE8CB36-A5A3-44E9-8AF2-608858A2B1A0}"/>
    <cellStyle name="常规 9 2 2 5 2" xfId="28972" xr:uid="{5EA0AD26-29B8-4435-827F-B46D67DA5A52}"/>
    <cellStyle name="常规 9 2 2 5 3" xfId="28973" xr:uid="{A804064F-DCB1-4D12-BC55-BD738B5E27E9}"/>
    <cellStyle name="常规 9 2 2 6" xfId="28974" xr:uid="{BC05D3DA-14FF-40A5-99C6-5F904FB09D06}"/>
    <cellStyle name="常规 9 2 2 6 2" xfId="28975" xr:uid="{2E47AA3E-9FD9-4F2B-BD4A-D1B4F748AE0B}"/>
    <cellStyle name="常规 9 2 2 7" xfId="28976" xr:uid="{7B8C24C9-3F39-474E-845F-672F1D621D47}"/>
    <cellStyle name="常规 9 2 2 7 2" xfId="28977" xr:uid="{242AD2CE-C311-4B1A-962A-A06318A85326}"/>
    <cellStyle name="常规 9 2 2 7 3" xfId="34658" xr:uid="{1E66F80E-F753-41B1-8D85-9EC9430529B8}"/>
    <cellStyle name="常规 9 2 2 8" xfId="28978" xr:uid="{30682696-00CA-4F69-A7DA-C510B4C44576}"/>
    <cellStyle name="常规 9 2 2 9" xfId="28979" xr:uid="{B9B17DF2-0B68-41AE-AFBF-F4325D590F6C}"/>
    <cellStyle name="常规 9 2 3" xfId="28980" xr:uid="{BDBADE15-1004-49D6-9B01-39A0E6F13C05}"/>
    <cellStyle name="常规 9 2 3 2" xfId="28981" xr:uid="{C4239208-F6EA-4326-9F90-1C349E36732A}"/>
    <cellStyle name="常规 9 2 3 2 2" xfId="28982" xr:uid="{63B05544-0C88-4E14-874E-E198C91AF721}"/>
    <cellStyle name="常规 9 2 3 2 2 2" xfId="28983" xr:uid="{86E3FE0A-03E8-4AFF-8F8D-9F9751DE98C0}"/>
    <cellStyle name="常规 9 2 3 2 3" xfId="28984" xr:uid="{2A54F875-3F6A-4F4F-A906-64876CD6C39F}"/>
    <cellStyle name="常规 9 2 3 2 4" xfId="28985" xr:uid="{CE434C32-F21A-4635-B535-75F8D3F1E29F}"/>
    <cellStyle name="常规 9 2 3 2 4 2" xfId="34659" xr:uid="{F7032F0B-FCB6-4902-80F8-618D1616A4EA}"/>
    <cellStyle name="常规 9 2 3 3" xfId="28986" xr:uid="{E311DB26-8490-4F36-8D97-C151F0EEFDB7}"/>
    <cellStyle name="常规 9 2 3 3 2" xfId="28987" xr:uid="{DDFEEFE8-FD80-43C6-9074-822BDA8A3093}"/>
    <cellStyle name="常规 9 2 3 3 2 2" xfId="28988" xr:uid="{6416FE30-719D-4327-A7F0-E13352CF464F}"/>
    <cellStyle name="常规 9 2 3 3 3" xfId="28989" xr:uid="{BD6027A3-FFAC-4CC8-919B-53A188323794}"/>
    <cellStyle name="常规 9 2 3 3 4" xfId="28990" xr:uid="{65268126-ADA9-4B75-957D-0822A9A8FA20}"/>
    <cellStyle name="常规 9 2 3 3 4 2" xfId="34660" xr:uid="{7FF284AA-A185-48A1-9D69-C69003D9318B}"/>
    <cellStyle name="常规 9 2 3 4" xfId="28991" xr:uid="{6C88EBE4-3237-43C6-821C-908BB93FB402}"/>
    <cellStyle name="常规 9 2 3 4 2" xfId="28992" xr:uid="{814E9C6F-A1D7-4D92-A971-4C173A05920F}"/>
    <cellStyle name="常规 9 2 3 5" xfId="28993" xr:uid="{0D4D204A-2400-41FD-8B4F-86DADFD2BFD1}"/>
    <cellStyle name="常规 9 2 3 6" xfId="28994" xr:uid="{00D6A87C-9970-46BE-A4CB-71FCC06A613A}"/>
    <cellStyle name="常规 9 2 3 6 2" xfId="34661" xr:uid="{85158C10-8C3B-472A-9881-99FEAC735B4F}"/>
    <cellStyle name="常规 9 2 3 7" xfId="28995" xr:uid="{5BB27DA7-B7DF-4A95-AD88-C0015ACA49E5}"/>
    <cellStyle name="常规 9 2 4" xfId="28996" xr:uid="{793604A6-4632-4455-8C15-577D7956CE17}"/>
    <cellStyle name="常规 9 2 4 2" xfId="28997" xr:uid="{5BBA529C-6F17-4389-9938-E32AA82B619C}"/>
    <cellStyle name="常规 9 2 4 2 2" xfId="28998" xr:uid="{ABA497D6-B266-4719-BF9C-9C272611C94F}"/>
    <cellStyle name="常规 9 2 4 3" xfId="28999" xr:uid="{5D368CBA-4BAF-4BAD-A60D-DE1FB43756B9}"/>
    <cellStyle name="常规 9 2 4 4" xfId="29000" xr:uid="{A5FE73FD-F51E-4649-A8FB-3A781F3A314C}"/>
    <cellStyle name="常规 9 2 4 4 2" xfId="34662" xr:uid="{4BEABAD1-3180-41B8-B123-3884D8CB64E4}"/>
    <cellStyle name="常规 9 2 4 5" xfId="29001" xr:uid="{4700F684-B42E-4E67-9A31-9D28ABAEEF59}"/>
    <cellStyle name="常规 9 2 5" xfId="29002" xr:uid="{6937F887-66C8-4964-8732-A6CF722CA627}"/>
    <cellStyle name="常规 9 2 5 2" xfId="29003" xr:uid="{EF1A85D3-A9F2-447B-988A-0099E0CE43A5}"/>
    <cellStyle name="常规 9 2 5 2 2" xfId="29004" xr:uid="{5D18D6D4-CBC0-441B-9EC5-645B9F9E0361}"/>
    <cellStyle name="常规 9 2 5 2 3" xfId="29005" xr:uid="{24AF4F54-008E-42E3-B2D2-90D9348E9581}"/>
    <cellStyle name="常规 9 2 5 2 4" xfId="29006" xr:uid="{B3FEBE9B-1732-43C5-845A-FCC8B766FCE7}"/>
    <cellStyle name="常规 9 2 5 2 5" xfId="29007" xr:uid="{C75B7A94-2B34-40CC-A8FF-152759E63980}"/>
    <cellStyle name="常规 9 2 5 2 6" xfId="29008" xr:uid="{846C424A-31D6-476F-A240-A7C5308D8958}"/>
    <cellStyle name="常规 9 2 5 2 7" xfId="29009" xr:uid="{27D2B2D5-C636-4615-B62A-48FBC51A5E17}"/>
    <cellStyle name="常规 9 2 5 2 8" xfId="29010" xr:uid="{2994466F-9E53-4173-BEE4-1BB7FC8F331B}"/>
    <cellStyle name="常规 9 2 5 3" xfId="29011" xr:uid="{A76F8EAB-31F3-41C8-BFE7-2FE8D4D4F046}"/>
    <cellStyle name="常规 9 2 5 3 2" xfId="29012" xr:uid="{3115DC2D-1ED8-4939-B251-90A977D3A42A}"/>
    <cellStyle name="常规 9 2 5 4" xfId="29013" xr:uid="{E9E4D5F5-92E6-42C5-85F1-720FD454FE6D}"/>
    <cellStyle name="常规 9 2 5 4 2" xfId="29014" xr:uid="{0B08C8E8-B501-4EBE-A4E0-EF35202C163C}"/>
    <cellStyle name="常规 9 2 5 4 3" xfId="34663" xr:uid="{F8DA58D6-8D94-4D6A-A1A2-20CA4EAA2CDA}"/>
    <cellStyle name="常规 9 2 5 5" xfId="29015" xr:uid="{3E72EFCF-DB1F-47B8-A26E-A6615FC2BD32}"/>
    <cellStyle name="常规 9 2 5 6" xfId="29016" xr:uid="{B738D0DB-36F3-4018-8A29-2C5ECDBDF1F0}"/>
    <cellStyle name="常规 9 2 5 7" xfId="29017" xr:uid="{288561DF-E025-4D3B-B6B5-769D828CEA14}"/>
    <cellStyle name="常规 9 2 5 8" xfId="29018" xr:uid="{5C1BA0EA-D960-4353-9A66-ABD709177842}"/>
    <cellStyle name="常规 9 2 6" xfId="29019" xr:uid="{A9A0FF8E-FD2B-4972-BF25-7422603BCE07}"/>
    <cellStyle name="常规 9 2 6 2" xfId="29020" xr:uid="{50153CE6-C93E-428E-A8B6-8061E86C50C2}"/>
    <cellStyle name="常规 9 2 6 3" xfId="29021" xr:uid="{739824B4-492F-4255-9D4C-6610207ED57D}"/>
    <cellStyle name="常规 9 2 6 4" xfId="29022" xr:uid="{57B71E80-5399-44BC-A5DD-75D4CE6F2F3C}"/>
    <cellStyle name="常规 9 2 6 5" xfId="29023" xr:uid="{C5B05CF5-C684-4AB0-88C1-7B60FE3795D0}"/>
    <cellStyle name="常规 9 2 6 6" xfId="29024" xr:uid="{B2FEB794-1773-40D5-B0A2-DA2DCDFA9956}"/>
    <cellStyle name="常规 9 2 6 7" xfId="29025" xr:uid="{063BADAB-BBE8-41EB-B083-285D5A50A0ED}"/>
    <cellStyle name="常规 9 2 6 8" xfId="29026" xr:uid="{C5CB81A1-8151-4BBC-8EC5-8E804D51AAC4}"/>
    <cellStyle name="常规 9 2 7" xfId="29027" xr:uid="{97B20A6C-4B15-4A5F-BECA-0E04C168CF39}"/>
    <cellStyle name="常规 9 2 7 2" xfId="29028" xr:uid="{486E15F3-085F-4FB8-BFC8-852A72F326B9}"/>
    <cellStyle name="常规 9 2 8" xfId="29029" xr:uid="{1AA60F1E-4A27-4997-8F99-60F488A2549D}"/>
    <cellStyle name="常规 9 2 8 2" xfId="29030" xr:uid="{4A9B86BE-A2E4-4336-9A21-3F9105692FF9}"/>
    <cellStyle name="常规 9 2 8 3" xfId="34664" xr:uid="{1B6DE5D7-D6BF-49BE-B070-7825B19336C2}"/>
    <cellStyle name="常规 9 2 9" xfId="29031" xr:uid="{B7996DC0-3FE3-4C65-97E1-714F8DE13B64}"/>
    <cellStyle name="常规 9 2 9 2" xfId="29032" xr:uid="{2ADE8CD7-DE21-4B1E-9AED-D6D41AFE0166}"/>
    <cellStyle name="常规 9 3" xfId="29033" xr:uid="{CA4EFC3E-840E-4C32-BBDD-F3B6CFEBD25E}"/>
    <cellStyle name="常规 9 3 10" xfId="29034" xr:uid="{C7011436-9A5C-4FAB-A73E-20E8397757E1}"/>
    <cellStyle name="常规 9 3 2" xfId="29035" xr:uid="{B3A03917-8BF6-45FE-BDE8-913A4319AC69}"/>
    <cellStyle name="常规 9 3 2 2" xfId="29036" xr:uid="{BFA0F16C-9AB7-4269-8175-D3DC770920EF}"/>
    <cellStyle name="常规 9 3 2 2 2" xfId="29037" xr:uid="{0F9AC0C3-27ED-4349-A37D-CA6E5D67C208}"/>
    <cellStyle name="常规 9 3 2 2 2 2" xfId="29038" xr:uid="{B2F24BF9-86CD-4960-A8A4-C6D147AA1E38}"/>
    <cellStyle name="常规 9 3 2 2 2 2 2" xfId="29039" xr:uid="{38065E6A-5679-407C-B8C2-AC43B0179641}"/>
    <cellStyle name="常规 9 3 2 2 2 3" xfId="29040" xr:uid="{F2A4FCF7-B884-453B-B19A-1CC21BD41B1C}"/>
    <cellStyle name="常规 9 3 2 2 2 4" xfId="29041" xr:uid="{00830DD9-52E8-45F9-884D-35F0241A9E35}"/>
    <cellStyle name="常规 9 3 2 2 2 4 2" xfId="34665" xr:uid="{6CFF5061-45E4-4B5E-BFE3-F092A939162A}"/>
    <cellStyle name="常规 9 3 2 2 3" xfId="29042" xr:uid="{7168E187-61D9-46EB-AC66-11BEBEBD6795}"/>
    <cellStyle name="常规 9 3 2 2 3 2" xfId="29043" xr:uid="{17307431-9999-424C-B4BD-2BFBB4124698}"/>
    <cellStyle name="常规 9 3 2 2 4" xfId="29044" xr:uid="{97A0DAC7-951A-45A4-ADCA-7445DC28FC62}"/>
    <cellStyle name="常规 9 3 2 2 5" xfId="29045" xr:uid="{C70D8358-DE5E-45DF-95E7-3BDDBC30F3EA}"/>
    <cellStyle name="常规 9 3 2 2 5 2" xfId="34666" xr:uid="{BFC3E9AB-953B-46DD-8B51-3ABDAED22ACE}"/>
    <cellStyle name="常规 9 3 2 3" xfId="29046" xr:uid="{52748208-8175-4289-A618-3969B5953F34}"/>
    <cellStyle name="常规 9 3 2 3 2" xfId="29047" xr:uid="{D76BFCDC-51D6-4FD0-B047-A3968084AB2A}"/>
    <cellStyle name="常规 9 3 2 3 2 2" xfId="29048" xr:uid="{1F3190C4-6962-43AF-BBE1-7481C881B546}"/>
    <cellStyle name="常规 9 3 2 3 3" xfId="29049" xr:uid="{A48E4AB1-7270-4324-9247-8245E04688FD}"/>
    <cellStyle name="常规 9 3 2 3 4" xfId="29050" xr:uid="{2E33EE61-8FF2-4151-BDA7-F13BF90452B1}"/>
    <cellStyle name="常规 9 3 2 3 4 2" xfId="34667" xr:uid="{D404320B-BB00-42A1-BCAC-AA4EB144D141}"/>
    <cellStyle name="常规 9 3 2 4" xfId="29051" xr:uid="{EDC40D24-82DB-4C70-8B08-7BB69A457AB5}"/>
    <cellStyle name="常规 9 3 2 4 2" xfId="29052" xr:uid="{422ADB61-8FB3-480F-A2BA-F5E50B33C2F8}"/>
    <cellStyle name="常规 9 3 2 5" xfId="29053" xr:uid="{4F3484A4-0BB3-4329-9C8C-F3B5CC4479CA}"/>
    <cellStyle name="常规 9 3 2 6" xfId="29054" xr:uid="{68C088B8-1B3B-4E60-B915-9E9E5042002C}"/>
    <cellStyle name="常规 9 3 2 6 2" xfId="34668" xr:uid="{D2AA3E0D-0F06-4AEE-B1EF-C76ACC141030}"/>
    <cellStyle name="常规 9 3 2 7" xfId="29055" xr:uid="{FB1FB454-7418-4A5A-BC1D-C5C117253C6D}"/>
    <cellStyle name="常规 9 3 3" xfId="29056" xr:uid="{AB4094AE-019F-40F3-97AC-41A2000FFFFA}"/>
    <cellStyle name="常规 9 3 3 2" xfId="29057" xr:uid="{0FC083AB-A9AC-4F92-B593-E4ED95B0AC43}"/>
    <cellStyle name="常规 9 3 3 2 2" xfId="29058" xr:uid="{47E3AB75-8EF3-4C67-BD4F-B93883FD459B}"/>
    <cellStyle name="常规 9 3 3 2 2 2" xfId="29059" xr:uid="{9163BAC9-DB46-4CBF-8FEA-15165B827ED0}"/>
    <cellStyle name="常规 9 3 3 2 3" xfId="29060" xr:uid="{DAECF3C6-0FB7-475F-8C95-5B69509BE22A}"/>
    <cellStyle name="常规 9 3 3 2 4" xfId="29061" xr:uid="{34BA03EC-2391-4D24-B772-51E8411BCA68}"/>
    <cellStyle name="常规 9 3 3 2 4 2" xfId="34669" xr:uid="{0E1AD0B7-2725-4961-81F8-E49877D001DA}"/>
    <cellStyle name="常规 9 3 3 3" xfId="29062" xr:uid="{567EE2EC-416B-453A-B00F-20F37A5DA62D}"/>
    <cellStyle name="常规 9 3 3 3 2" xfId="29063" xr:uid="{6C51B419-6305-4D2A-9442-4DA75711CA40}"/>
    <cellStyle name="常规 9 3 3 3 2 2" xfId="29064" xr:uid="{351AFBF0-B8C4-40CC-8AC1-900B04CECA4E}"/>
    <cellStyle name="常规 9 3 3 3 3" xfId="29065" xr:uid="{3E45A951-7EDD-4876-A32D-A26B92C4B072}"/>
    <cellStyle name="常规 9 3 3 3 4" xfId="29066" xr:uid="{74B79ED7-6BEC-4005-A810-E4452EB0BD0F}"/>
    <cellStyle name="常规 9 3 3 3 4 2" xfId="34670" xr:uid="{A33110EA-E5B1-4760-8356-074AFA2D39B8}"/>
    <cellStyle name="常规 9 3 3 4" xfId="29067" xr:uid="{3D3ABB7E-60A2-4927-A599-A6962E4DAC32}"/>
    <cellStyle name="常规 9 3 3 4 2" xfId="29068" xr:uid="{5A237B0F-EF1E-4C09-9851-528C31FCFA8B}"/>
    <cellStyle name="常规 9 3 3 5" xfId="29069" xr:uid="{54B2911F-80D5-46ED-8FCE-297CD4FD9404}"/>
    <cellStyle name="常规 9 3 3 6" xfId="29070" xr:uid="{ACFCE96B-3DFF-4D60-BC01-892DCF8A5084}"/>
    <cellStyle name="常规 9 3 3 6 2" xfId="34671" xr:uid="{FDAC60F0-D517-487A-8C91-4A54C50F9A46}"/>
    <cellStyle name="常规 9 3 3 7" xfId="29071" xr:uid="{6615B643-A362-4B7E-8ECE-1ED10E5DE22B}"/>
    <cellStyle name="常规 9 3 4" xfId="29072" xr:uid="{8D3A33DD-8D44-406C-85D0-DE2A4E38167F}"/>
    <cellStyle name="常规 9 3 4 2" xfId="29073" xr:uid="{7F9C2F3B-0C96-47CD-B7E1-09F002EEDFD7}"/>
    <cellStyle name="常规 9 3 4 2 2" xfId="29074" xr:uid="{74F92EB8-0230-4D95-92E7-5D93F6A8D8EB}"/>
    <cellStyle name="常规 9 3 4 2 3" xfId="29075" xr:uid="{88F10CB9-B427-41F1-AB31-A46D8882C842}"/>
    <cellStyle name="常规 9 3 4 3" xfId="29076" xr:uid="{F2C7DE85-A1AE-42BD-868B-41DF334937BF}"/>
    <cellStyle name="常规 9 3 4 3 2" xfId="29077" xr:uid="{BFB13C2B-50EF-4602-B41E-CBAF29397F80}"/>
    <cellStyle name="常规 9 3 4 4" xfId="29078" xr:uid="{F74A96B9-BCD9-41A9-B3CC-C1C0E0098F88}"/>
    <cellStyle name="常规 9 3 4 4 2" xfId="29079" xr:uid="{F638139B-FAD5-4C70-BB60-769102CD7558}"/>
    <cellStyle name="常规 9 3 4 4 3" xfId="34672" xr:uid="{260EB711-EA53-4BE8-BA79-3CCE8F5FBDCD}"/>
    <cellStyle name="常规 9 3 4 5" xfId="29080" xr:uid="{AD6F59B8-5F07-4809-8EC3-AE0DA7B7B436}"/>
    <cellStyle name="常规 9 3 4 6" xfId="29081" xr:uid="{72BE2B7F-695E-40AE-84F0-BF08A5FB7104}"/>
    <cellStyle name="常规 9 3 4 7" xfId="29082" xr:uid="{F3A6452F-E333-4983-8B34-879A6FD557D1}"/>
    <cellStyle name="常规 9 3 5" xfId="29083" xr:uid="{608E7689-BEC9-4B86-BA90-4FBE96E69E18}"/>
    <cellStyle name="常规 9 3 5 2" xfId="29084" xr:uid="{E6535F0D-443F-487A-A535-C9914AE9DAB5}"/>
    <cellStyle name="常规 9 3 5 2 2" xfId="29085" xr:uid="{FCD56902-1565-4F7A-9268-C3E28997658D}"/>
    <cellStyle name="常规 9 3 5 3" xfId="29086" xr:uid="{2BE8BF70-C249-4286-8C5E-120AE4563404}"/>
    <cellStyle name="常规 9 3 5 4" xfId="29087" xr:uid="{E679FDB9-7745-4AAB-8DE2-4324114295CE}"/>
    <cellStyle name="常规 9 3 5 4 2" xfId="34673" xr:uid="{58E36E19-1D67-4115-B443-4E57EA50CB78}"/>
    <cellStyle name="常规 9 3 5 5" xfId="29088" xr:uid="{A834C9AC-E2D8-4056-9F5F-B9BC46C4494F}"/>
    <cellStyle name="常规 9 3 6" xfId="29089" xr:uid="{4ADFC7D9-B5B8-4400-9C9B-52871EE441CF}"/>
    <cellStyle name="常规 9 3 6 2" xfId="29090" xr:uid="{A5A84542-F500-4F06-953C-90A166BD71AB}"/>
    <cellStyle name="常规 9 3 6 3" xfId="29091" xr:uid="{F6F91BCC-3C0C-4830-AB39-1AE4F0866992}"/>
    <cellStyle name="常规 9 3 7" xfId="29092" xr:uid="{228E16FE-83AF-473B-89C3-CEB67CB637ED}"/>
    <cellStyle name="常规 9 3 7 2" xfId="29093" xr:uid="{58DFD2E6-AE1A-4F60-9D60-24CAB1706F8A}"/>
    <cellStyle name="常规 9 3 8" xfId="29094" xr:uid="{95DCCE18-BF08-470D-976D-B621C7FA261C}"/>
    <cellStyle name="常规 9 3 8 2" xfId="29095" xr:uid="{E6C21ED7-8479-44BC-867E-3212E45DBCE3}"/>
    <cellStyle name="常规 9 3 8 3" xfId="34674" xr:uid="{522B11F4-7330-4507-9A14-C20B4F9DA44C}"/>
    <cellStyle name="常规 9 3 9" xfId="29096" xr:uid="{81318BE4-979B-48D3-87D7-B71FE5485E58}"/>
    <cellStyle name="常规 9 3 9 2" xfId="29097" xr:uid="{0E932EE5-ED9D-42F7-A2F0-8E3743BCA168}"/>
    <cellStyle name="常规 9 4" xfId="29098" xr:uid="{D4892478-4833-4AC2-B2A1-C60F82AF460D}"/>
    <cellStyle name="常规 9 4 2" xfId="29099" xr:uid="{E2E1B423-0A73-4C1A-BF8D-6A2B36FCD272}"/>
    <cellStyle name="常规 9 4 2 2" xfId="29100" xr:uid="{338FA2CA-68F1-4D94-AE10-4ACC29C457AC}"/>
    <cellStyle name="常规 9 4 2 2 2" xfId="29101" xr:uid="{60DCCA75-5B4B-4ACF-A806-7BE5090AB6B2}"/>
    <cellStyle name="常规 9 4 2 2 2 2" xfId="29102" xr:uid="{D56CC7C9-3CBA-47C9-B92F-1935DC01034D}"/>
    <cellStyle name="常规 9 4 2 2 3" xfId="29103" xr:uid="{268E12FC-BA10-487C-BCC1-8DAF8F7FFB00}"/>
    <cellStyle name="常规 9 4 2 2 4" xfId="29104" xr:uid="{278AD365-C733-4378-AAB5-EF443DEBCC82}"/>
    <cellStyle name="常规 9 4 2 2 4 2" xfId="34675" xr:uid="{7D0016C8-6739-4134-8A08-7A9F46D740C2}"/>
    <cellStyle name="常规 9 4 2 3" xfId="29105" xr:uid="{9C8853AD-BE96-4A7A-899E-9D176413478D}"/>
    <cellStyle name="常规 9 4 2 3 2" xfId="29106" xr:uid="{CD6EC1E0-09AF-4BBF-A8F8-D276EE39F18E}"/>
    <cellStyle name="常规 9 4 2 3 2 2" xfId="29107" xr:uid="{7FABC952-DA0A-4522-B4A1-A3BB2915C1EC}"/>
    <cellStyle name="常规 9 4 2 3 3" xfId="29108" xr:uid="{ACFC328C-90BE-454B-8471-41D366D6549D}"/>
    <cellStyle name="常规 9 4 2 3 4" xfId="29109" xr:uid="{1FF5A4E6-46DA-4F49-8E4E-1EF704A0B533}"/>
    <cellStyle name="常规 9 4 2 3 4 2" xfId="34676" xr:uid="{886EE9E5-F618-4BCB-B135-4C1D6A88CECD}"/>
    <cellStyle name="常规 9 4 2 4" xfId="29110" xr:uid="{8C0DA0B4-FEF4-4DB6-B1A1-E410E31BFAA0}"/>
    <cellStyle name="常规 9 4 2 4 2" xfId="29111" xr:uid="{9891C773-68E9-4842-8A80-0052B3EF9694}"/>
    <cellStyle name="常规 9 4 2 5" xfId="29112" xr:uid="{2900DE55-C126-43A2-B415-DA2698462953}"/>
    <cellStyle name="常规 9 4 2 6" xfId="29113" xr:uid="{6A2DD165-D6E4-4980-923B-7E1E0C276F2F}"/>
    <cellStyle name="常规 9 4 2 6 2" xfId="34677" xr:uid="{DB08AAEF-7510-4AED-B353-9E74D6B3D2C8}"/>
    <cellStyle name="常规 9 4 2 7" xfId="29114" xr:uid="{89F4B11E-9AA5-4833-ADB0-65415914253B}"/>
    <cellStyle name="常规 9 4 3" xfId="29115" xr:uid="{AA517E56-ABDC-46CD-B3B8-8828D84CF809}"/>
    <cellStyle name="常规 9 4 3 2" xfId="29116" xr:uid="{04A27600-4866-46F0-B643-F9CB53A5BD9F}"/>
    <cellStyle name="常规 9 4 3 2 2" xfId="29117" xr:uid="{659D6903-E388-4E7F-B988-23C4947CFADB}"/>
    <cellStyle name="常规 9 4 3 3" xfId="29118" xr:uid="{F047C0EB-6902-42C2-8B17-3FF98A0D6FBC}"/>
    <cellStyle name="常规 9 4 3 4" xfId="29119" xr:uid="{B59A6322-E1CA-49CD-A567-361C187C9F22}"/>
    <cellStyle name="常规 9 4 3 4 2" xfId="34678" xr:uid="{04D97A60-9F1E-44F2-9820-85FC6FD82C0F}"/>
    <cellStyle name="常规 9 4 3 5" xfId="29120" xr:uid="{C92853B6-0614-4741-876E-A08F7A8C4C84}"/>
    <cellStyle name="常规 9 4 4" xfId="29121" xr:uid="{C22DA835-5498-47F7-81CB-9A45256671FD}"/>
    <cellStyle name="常规 9 4 4 2" xfId="29122" xr:uid="{34403612-1D33-4B39-993C-F7338F372F30}"/>
    <cellStyle name="常规 9 4 4 2 2" xfId="29123" xr:uid="{469ED0A7-EDC6-4334-B41F-ADC5F55B6866}"/>
    <cellStyle name="常规 9 4 4 3" xfId="29124" xr:uid="{170D5379-C38E-4E27-8889-C41B9C089DD6}"/>
    <cellStyle name="常规 9 4 4 4" xfId="29125" xr:uid="{A9CDD5AF-3566-4C5A-AF8C-AB6F6DC06AFE}"/>
    <cellStyle name="常规 9 4 4 4 2" xfId="34679" xr:uid="{52516E11-D529-49AA-A4C7-7AB530FE6961}"/>
    <cellStyle name="常规 9 4 4 5" xfId="29126" xr:uid="{2CDF3F5E-2B7D-4190-9BB2-00EBFCAA3A08}"/>
    <cellStyle name="常规 9 4 5" xfId="29127" xr:uid="{4C90FE57-1C27-49CD-BFD0-6991F44EEAF0}"/>
    <cellStyle name="常规 9 4 5 2" xfId="29128" xr:uid="{E8EC448E-86E1-4F37-A73C-CB8B9A86076F}"/>
    <cellStyle name="常规 9 4 6" xfId="29129" xr:uid="{9D967E15-730C-426B-8F0C-92629CA6283D}"/>
    <cellStyle name="常规 9 4 7" xfId="29130" xr:uid="{46B442C6-AA53-48C4-A248-03FD90ED782B}"/>
    <cellStyle name="常规 9 4 7 2" xfId="34680" xr:uid="{B68541E6-6601-45C5-B9B4-F642E8E74590}"/>
    <cellStyle name="常规 9 4 8" xfId="29131" xr:uid="{6E54CB73-D62D-4AFF-BD81-E85D2AF3332E}"/>
    <cellStyle name="常规 9 4 9" xfId="29132" xr:uid="{EB5B8CA8-2BEF-4F81-8E06-501BA05A604C}"/>
    <cellStyle name="常规 9 5" xfId="29133" xr:uid="{E8E4E5D7-0E0D-46BB-8285-7B74D36DD23A}"/>
    <cellStyle name="常规 9 5 2" xfId="29134" xr:uid="{9C841A9A-1D53-4092-97A6-12EB9465AE54}"/>
    <cellStyle name="常规 9 5 2 2" xfId="29135" xr:uid="{ADB429B4-8D27-463B-B7AC-64F0A7CF40D4}"/>
    <cellStyle name="常规 9 5 2 2 2" xfId="29136" xr:uid="{4C4D3260-1C41-4707-9518-C4CA71C117C1}"/>
    <cellStyle name="常规 9 5 2 3" xfId="29137" xr:uid="{4B2785F4-E750-4430-AD22-8B9ED35A6094}"/>
    <cellStyle name="常规 9 5 2 4" xfId="29138" xr:uid="{005B0157-5D4E-4632-B96F-2BEF1E5EC1F9}"/>
    <cellStyle name="常规 9 5 2 4 2" xfId="34681" xr:uid="{94643ACB-9E0C-47B0-A9EC-BF0E3192485F}"/>
    <cellStyle name="常规 9 5 3" xfId="29139" xr:uid="{0721F589-288D-41EC-A8FD-89EA87B4622E}"/>
    <cellStyle name="常规 9 5 3 2" xfId="29140" xr:uid="{8AC6549C-798E-4BEE-8D0A-B9BB8FA399C2}"/>
    <cellStyle name="常规 9 5 4" xfId="29141" xr:uid="{DD5735CC-0CD6-4CFB-94C3-BB4754E82EF2}"/>
    <cellStyle name="常规 9 5 4 2" xfId="29142" xr:uid="{7429E6C2-5C65-4F24-B5BC-DEEB5E90982C}"/>
    <cellStyle name="常规 9 5 5" xfId="29143" xr:uid="{CB695785-0E9E-455D-9BE7-574348484CC7}"/>
    <cellStyle name="常规 9 5 6" xfId="29144" xr:uid="{10CA4CE1-5C3C-4FAD-A034-77161D52ED47}"/>
    <cellStyle name="常规 9 5 6 2" xfId="34682" xr:uid="{ED8700F7-E65C-4CC2-ABB6-BBADC7444E41}"/>
    <cellStyle name="常规 9 5 7" xfId="29145" xr:uid="{7194D53C-97BE-4AA8-90B9-2D7D01FAF07E}"/>
    <cellStyle name="常规 9 6" xfId="29146" xr:uid="{3B8B5D22-3224-404C-AA5F-FD32867AF325}"/>
    <cellStyle name="常规 9 6 2" xfId="29147" xr:uid="{BBAE03AA-0F34-4959-9DCD-AE7FD025CB7D}"/>
    <cellStyle name="常规 9 6 3" xfId="29148" xr:uid="{2F48456D-24CD-4D67-B49D-A77DBCDCF5CC}"/>
    <cellStyle name="常规 9 6 3 2" xfId="29149" xr:uid="{B20B0E8E-D7A5-426D-9654-0E82657E900A}"/>
    <cellStyle name="常规 9 6 4" xfId="29150" xr:uid="{D163D97B-9FBD-4A52-982A-4D2D9523C88D}"/>
    <cellStyle name="常规 9 6 5" xfId="29151" xr:uid="{73372270-AAEA-4D0A-8261-CD154EBE8C58}"/>
    <cellStyle name="常规 9 6 5 2" xfId="34683" xr:uid="{2A8B9593-1C82-4B85-985F-8D352787CC54}"/>
    <cellStyle name="常规 9 6 6" xfId="29152" xr:uid="{0B43061E-8590-4E76-9322-0F99F1ECBE31}"/>
    <cellStyle name="常规 9 7" xfId="29153" xr:uid="{301730E3-F766-477F-9D8B-0A9501B5A863}"/>
    <cellStyle name="常规 9 7 2" xfId="29154" xr:uid="{FE12716B-1A2E-4114-BE4C-94F1ED49B562}"/>
    <cellStyle name="常规 9 7 2 2" xfId="29155" xr:uid="{A735F66D-507D-4E83-AE6F-AFC29A88B74D}"/>
    <cellStyle name="常规 9 7 3" xfId="29156" xr:uid="{D26117A1-3D3E-41B0-BB04-F52B07ABD5E9}"/>
    <cellStyle name="常规 9 7 4" xfId="29157" xr:uid="{C344EDBB-D50B-4F43-8344-17B1096326CD}"/>
    <cellStyle name="常规 9 7 4 2" xfId="34684" xr:uid="{355DF182-4EA4-4378-BBAF-DE8FF9E2771F}"/>
    <cellStyle name="常规 9 7 5" xfId="29158" xr:uid="{15ECC9CD-3305-48FB-B9C7-C9E443488332}"/>
    <cellStyle name="常规 9 8" xfId="29159" xr:uid="{7A9F2D25-0675-4DEE-ACE9-980720A7743D}"/>
    <cellStyle name="常规 9 8 2" xfId="29160" xr:uid="{EEE3F7A5-F685-42B4-A7B1-8F5A215A10CE}"/>
    <cellStyle name="常规 9 8 2 2" xfId="29161" xr:uid="{16FDC4D4-5D4B-4AF5-AC6E-97929AD8B90D}"/>
    <cellStyle name="常规 9 8 3" xfId="29162" xr:uid="{BF2B0B50-DA78-4879-834A-88DB2E48AED5}"/>
    <cellStyle name="常规 9 8 4" xfId="29163" xr:uid="{793249F6-C1F2-459F-8C5E-373773CA1F8B}"/>
    <cellStyle name="常规 9 8 4 2" xfId="34685" xr:uid="{24F02E96-D3A5-4530-BB16-E5EA6BAA5660}"/>
    <cellStyle name="常规 9 8 5" xfId="29164" xr:uid="{2DB57725-4DE6-45DE-AD2D-71A40A579C7B}"/>
    <cellStyle name="常规 9 9" xfId="29165" xr:uid="{9557FC43-7439-4432-920D-A7A7E541DFB6}"/>
    <cellStyle name="常规 9 9 2" xfId="29166" xr:uid="{E44043B2-95AD-4B63-B7E6-9112A93FE449}"/>
    <cellStyle name="常规 9 9 3" xfId="29167" xr:uid="{6A082C47-3018-4F7D-B0D5-EFB60B5DB7D5}"/>
    <cellStyle name="常规 9 9 4" xfId="29168" xr:uid="{23D8DFDC-6361-4BC7-A57B-4F2C63B10586}"/>
    <cellStyle name="常规 9 9 5" xfId="29169" xr:uid="{B4442C7A-948A-4177-BF93-1965B9624AFA}"/>
    <cellStyle name="常规 9 9 6" xfId="29170" xr:uid="{359E007E-C0E9-466C-8743-30B646FDC7FB}"/>
    <cellStyle name="常规 9 9 7" xfId="29171" xr:uid="{77A20D3D-B101-4370-AE57-27768476DC30}"/>
    <cellStyle name="常规 9 9 8" xfId="29172" xr:uid="{B39FAB4F-2D60-49E9-92A5-C179B5D7D5B4}"/>
    <cellStyle name="常规 90" xfId="29173" xr:uid="{79E2B715-FCEF-487B-9481-2481AED1B477}"/>
    <cellStyle name="常规 90 2" xfId="29174" xr:uid="{1EE34A86-7B70-4242-BEB9-7B9EFBEA7E4E}"/>
    <cellStyle name="常规 90 2 2" xfId="29175" xr:uid="{0E31EF20-47E5-436F-8385-477D6FD58727}"/>
    <cellStyle name="常规 90 3" xfId="29176" xr:uid="{622AB216-7512-4AEB-BE40-BD463CB2B757}"/>
    <cellStyle name="常规 90 4" xfId="29177" xr:uid="{C72E51B7-6ED5-419C-8B61-DA30702EB271}"/>
    <cellStyle name="常规 90 4 2" xfId="34686" xr:uid="{C50B3806-1948-4189-92E2-69C72F7AC85E}"/>
    <cellStyle name="常规 90 5" xfId="29178" xr:uid="{289CE0FB-5121-4230-B25B-D0E399F77CA9}"/>
    <cellStyle name="常规 91" xfId="29179" xr:uid="{44B3D6D2-22C6-49C4-9C3F-F38C976E2970}"/>
    <cellStyle name="常规 91 2" xfId="29180" xr:uid="{D79A945C-2828-4CC1-9116-81F512CE4150}"/>
    <cellStyle name="常规 91 2 2" xfId="29181" xr:uid="{40A35299-6A21-4E67-9EBF-DCFC26B6EC0C}"/>
    <cellStyle name="常规 91 3" xfId="29182" xr:uid="{3C262629-9BAD-4548-B832-158F2EAA1318}"/>
    <cellStyle name="常规 91 4" xfId="29183" xr:uid="{B61ED2FB-792B-47C9-96DA-FF93385F20AA}"/>
    <cellStyle name="常规 91 4 2" xfId="34687" xr:uid="{A17AC166-98D3-4229-AB31-8A8C5B1B4913}"/>
    <cellStyle name="常规 91 5" xfId="29184" xr:uid="{EE5595AB-7916-4C15-A0C1-8C0DD9413C02}"/>
    <cellStyle name="常规 92" xfId="29185" xr:uid="{B7CA967D-F06C-4B69-AEE6-C678261E3263}"/>
    <cellStyle name="常规 92 2" xfId="29186" xr:uid="{22C0EC77-40A2-4D43-98AF-F121CC73959A}"/>
    <cellStyle name="常规 92 2 2" xfId="29187" xr:uid="{40B865D7-CBAA-4589-A7D9-6FA5267F0223}"/>
    <cellStyle name="常规 92 3" xfId="29188" xr:uid="{0D7C4B2F-2886-49AA-92CC-E4E3C081D922}"/>
    <cellStyle name="常规 92 4" xfId="29189" xr:uid="{8D4DC75A-7688-4ECF-8BDB-5D1537DE4E04}"/>
    <cellStyle name="常规 92 4 2" xfId="34688" xr:uid="{AE86B29F-E21A-4B62-B498-B65F60F8864E}"/>
    <cellStyle name="常规 92 5" xfId="29190" xr:uid="{D2CCD66F-A64C-4E95-999A-AEF99AB4C151}"/>
    <cellStyle name="常规 93" xfId="29191" xr:uid="{E3FD818B-7851-4C9F-BDE0-C6836702AFB5}"/>
    <cellStyle name="常规 93 2" xfId="29192" xr:uid="{E72CA739-97A2-4156-AD73-EF1BBAD922A1}"/>
    <cellStyle name="常规 93 2 2" xfId="29193" xr:uid="{D5A439F7-33B8-452F-B303-49CC190DE07E}"/>
    <cellStyle name="常规 93 3" xfId="29194" xr:uid="{1223267B-CEC6-40E3-B5AE-A20B47B8677E}"/>
    <cellStyle name="常规 93 4" xfId="29195" xr:uid="{ABF0CC3E-86BC-4E05-99F8-F3F584E11256}"/>
    <cellStyle name="常规 93 4 2" xfId="34689" xr:uid="{4EC7E2EA-759E-482B-ADA8-77417DEAA4BE}"/>
    <cellStyle name="常规 93 5" xfId="29196" xr:uid="{F5405619-1680-4302-881C-86D024C20834}"/>
    <cellStyle name="常规 94" xfId="29197" xr:uid="{8165FBFE-E046-4F22-863D-9ABB7B4B6F97}"/>
    <cellStyle name="常规 94 2" xfId="29198" xr:uid="{87E7670E-13C2-4345-A155-C2030DD75FF0}"/>
    <cellStyle name="常规 94 2 2" xfId="29199" xr:uid="{12DA7F41-6FF1-4200-BBBA-81A5CA6DB931}"/>
    <cellStyle name="常规 94 3" xfId="29200" xr:uid="{DEA01453-25D1-42F2-A922-8502673716B2}"/>
    <cellStyle name="常规 94 4" xfId="29201" xr:uid="{DF3083AC-5670-43AC-9B43-9203EF9E681A}"/>
    <cellStyle name="常规 94 4 2" xfId="34690" xr:uid="{1A852DF6-4D3A-4CA8-8EC3-771E9A2B2EA4}"/>
    <cellStyle name="常规 94 5" xfId="29202" xr:uid="{16E9EDE7-BE8C-4DC8-B66A-87B54ADDD013}"/>
    <cellStyle name="常规 95" xfId="29203" xr:uid="{19C61D6F-BABE-4B7F-95DC-7BC321A8B060}"/>
    <cellStyle name="常规 95 2" xfId="29204" xr:uid="{F6B89BCF-3116-497A-A519-B599B28858BD}"/>
    <cellStyle name="常规 95 2 2" xfId="29205" xr:uid="{14C563B1-C717-4E46-8851-E20014C56502}"/>
    <cellStyle name="常规 95 3" xfId="29206" xr:uid="{9574FF3A-7499-4177-A6B1-E63ABD89816C}"/>
    <cellStyle name="常规 95 4" xfId="29207" xr:uid="{2FFC8A66-5D29-4172-82BD-1A22118BC9E5}"/>
    <cellStyle name="常规 95 4 2" xfId="34691" xr:uid="{0E47F1D4-619B-4A12-9AE4-DA35153391B7}"/>
    <cellStyle name="常规 95 5" xfId="29208" xr:uid="{A25BE69A-4B97-4241-87CD-33DA7C1241E8}"/>
    <cellStyle name="常规 96" xfId="29209" xr:uid="{2C38105D-6F87-4113-BD59-A7B2A74D8CD2}"/>
    <cellStyle name="常规 96 2" xfId="29210" xr:uid="{28A7C751-37DD-4BC1-88F3-AAEBD9C15052}"/>
    <cellStyle name="常规 96 2 2" xfId="29211" xr:uid="{AA8B6AA4-C26F-444D-994C-31811896D267}"/>
    <cellStyle name="常规 96 3" xfId="29212" xr:uid="{DB910EA7-EC7D-4571-B67C-8CCD53643238}"/>
    <cellStyle name="常规 96 4" xfId="29213" xr:uid="{37830FF7-F8D6-4662-9622-9C909A18EFD9}"/>
    <cellStyle name="常规 96 4 2" xfId="34692" xr:uid="{0F6B5F1D-8A52-4F39-BD61-8A804D7A9A2F}"/>
    <cellStyle name="常规 96 5" xfId="29214" xr:uid="{C453010C-F609-44FD-9EF6-648FC2EED084}"/>
    <cellStyle name="常规 97" xfId="29215" xr:uid="{7668ABB3-DD52-4803-8026-2DF2C2DC2148}"/>
    <cellStyle name="常规 97 2" xfId="29216" xr:uid="{CF2D8B27-568E-4560-A7B5-8468F1B590E8}"/>
    <cellStyle name="常规 97 2 2" xfId="29217" xr:uid="{99351249-3B49-49C1-BC95-E6D1DAAC7B31}"/>
    <cellStyle name="常规 97 3" xfId="29218" xr:uid="{929CADB6-2586-40C0-AB00-0B2DA613B532}"/>
    <cellStyle name="常规 97 4" xfId="29219" xr:uid="{5062D7AB-9348-48B3-8E16-9C4D81126D76}"/>
    <cellStyle name="常规 97 4 2" xfId="34693" xr:uid="{1CBCEDB4-D693-4ADB-8F69-5ACF2FAEA891}"/>
    <cellStyle name="常规 97 5" xfId="29220" xr:uid="{6F5DE2E7-46BE-4221-B701-1E62B4F2BA3D}"/>
    <cellStyle name="常规 98" xfId="29221" xr:uid="{8F750FA5-9A48-49C3-932B-35F285FDFAD0}"/>
    <cellStyle name="常规 99" xfId="29222" xr:uid="{0967F7C8-EE2E-4235-BFEE-25A01FBB93E9}"/>
    <cellStyle name="常规 99 2" xfId="29223" xr:uid="{46249911-2099-4D93-9903-3E9299534F09}"/>
    <cellStyle name="超链接 2" xfId="29224" xr:uid="{3237B77D-D4B2-4A1A-9511-E523538469C7}"/>
    <cellStyle name="超链接 2 2" xfId="29225" xr:uid="{A81BEE25-15E9-4737-85A9-64D90C0DDAE1}"/>
    <cellStyle name="超链接 2 3" xfId="29226" xr:uid="{6681D797-4F85-4A2D-9172-D090AC42471F}"/>
    <cellStyle name="超链接 3" xfId="29227" xr:uid="{D79874D0-2D2A-4A20-A07F-76D2CC96F4BE}"/>
    <cellStyle name="超链接 3 2" xfId="29228" xr:uid="{54E6890F-95C2-4001-BBE7-9C3823A65190}"/>
    <cellStyle name="超链接 3 2 2" xfId="29229" xr:uid="{A3F37EB1-25B5-430F-88B4-BE724805F2DA}"/>
    <cellStyle name="超链接 3 2 3" xfId="29230" xr:uid="{5FF7F160-D875-45DC-9522-9128281B95BF}"/>
    <cellStyle name="超链接 3 3" xfId="29231" xr:uid="{0B094F65-E715-44D0-99DF-FA40AB8D60D5}"/>
    <cellStyle name="超链接 4" xfId="29232" xr:uid="{0A94E19A-1D3B-4D74-8B59-B7E5133F7F0F}"/>
    <cellStyle name="超链接 4 2" xfId="29233" xr:uid="{F57904FC-F832-408C-9CEF-BEFBE0812B10}"/>
    <cellStyle name="超链接 4 3" xfId="29234" xr:uid="{1AA8D2BB-F21C-45C9-A2AC-A3A59969BEE8}"/>
    <cellStyle name="超链接 5" xfId="29235" xr:uid="{E30A7A26-653D-4193-BC70-7A2F78B4977B}"/>
    <cellStyle name="好 2" xfId="29236" xr:uid="{13F58D65-21F5-4671-B197-01196ECE4C74}"/>
    <cellStyle name="好 2 2" xfId="29237" xr:uid="{1C74A41E-521B-4CCA-A3FE-55C869A04CF0}"/>
    <cellStyle name="好 3" xfId="29238" xr:uid="{625D4B92-AF39-4637-9884-FEC34E3C7DD6}"/>
    <cellStyle name="好 4" xfId="34694" xr:uid="{90D6DBF5-4F17-4F08-905C-AE2659FF83CA}"/>
    <cellStyle name="汇总 2" xfId="29239" xr:uid="{AE13FD90-1D68-4B0B-98D5-190A97545C38}"/>
    <cellStyle name="汇总 2 2" xfId="29240" xr:uid="{A732DD7C-0CA6-476E-A07E-F9AFFE1CE8B5}"/>
    <cellStyle name="汇总 2 2 2" xfId="29241" xr:uid="{64511460-B773-4247-B8BE-60DE1A036D8F}"/>
    <cellStyle name="汇总 2 2 2 2" xfId="29242" xr:uid="{01A95B0F-4CEF-49EE-8DB4-AF745B5E0EE2}"/>
    <cellStyle name="汇总 2 2 2 2 2" xfId="29243" xr:uid="{455072BC-6AF7-4FBC-A8EF-8F1A8D87DB7C}"/>
    <cellStyle name="汇总 2 2 2 2 2 2" xfId="29244" xr:uid="{00DDC59E-0C10-4343-912A-4061DD6B9D69}"/>
    <cellStyle name="汇总 2 2 2 2 2 2 2" xfId="29245" xr:uid="{2265BBD8-FADA-4FA4-A97D-A0F8316608EC}"/>
    <cellStyle name="汇总 2 2 2 2 2 3" xfId="29246" xr:uid="{07AB3A3B-3C61-408D-964C-6D85BEB06FA1}"/>
    <cellStyle name="汇总 2 2 2 2 3" xfId="29247" xr:uid="{16133903-D3D2-4D4E-9DE5-65A512D18917}"/>
    <cellStyle name="汇总 2 2 2 2 3 2" xfId="29248" xr:uid="{F0C643CE-967D-4060-B3C1-C686163630F4}"/>
    <cellStyle name="汇总 2 2 2 2 4" xfId="29249" xr:uid="{5D2FF89C-B5FF-4AE4-8581-5950FEB23B03}"/>
    <cellStyle name="汇总 2 2 2 3" xfId="29250" xr:uid="{9555A132-2444-4305-8981-E9A032A074F3}"/>
    <cellStyle name="汇总 2 2 2 3 2" xfId="29251" xr:uid="{4A83E534-124E-401A-B8E9-44E231A5B70D}"/>
    <cellStyle name="汇总 2 2 2 3 2 2" xfId="29252" xr:uid="{AB404411-FF0B-4B3D-85B0-A317E2EFC13D}"/>
    <cellStyle name="汇总 2 2 2 3 3" xfId="29253" xr:uid="{85B9ECE0-C036-4C9D-A88F-4EEC22B23069}"/>
    <cellStyle name="汇总 2 2 2 4" xfId="29254" xr:uid="{1AA2F995-DD45-47F6-AFC1-64E56DFD5C7C}"/>
    <cellStyle name="汇总 2 2 2 4 2" xfId="29255" xr:uid="{E3CAC3F0-D125-4B00-8B96-16147FA820A5}"/>
    <cellStyle name="汇总 2 2 2 4 2 2" xfId="29256" xr:uid="{A88589A3-614A-4E5C-8A26-D70F00C781D0}"/>
    <cellStyle name="汇总 2 2 2 4 3" xfId="29257" xr:uid="{B2631640-7850-40A7-805C-398CF39F249F}"/>
    <cellStyle name="汇总 2 2 2 5" xfId="29258" xr:uid="{E450F2FE-199B-4042-A69D-FC2B674F72FD}"/>
    <cellStyle name="汇总 2 2 2 5 2" xfId="29259" xr:uid="{B52584BC-A435-454C-BDBE-7F91DF7AF8D5}"/>
    <cellStyle name="汇总 2 2 2 6" xfId="29260" xr:uid="{B1FF00FE-0E77-4599-9487-C8362C4B598A}"/>
    <cellStyle name="汇总 2 2 3" xfId="29261" xr:uid="{A92EE63F-1C7B-483D-A64F-527DD58391B6}"/>
    <cellStyle name="汇总 2 2 3 2" xfId="29262" xr:uid="{623087C1-9A3F-4DEE-9D87-987141A0F462}"/>
    <cellStyle name="汇总 2 2 3 2 2" xfId="29263" xr:uid="{CF78D702-7ACC-400F-9158-550C83477FDE}"/>
    <cellStyle name="汇总 2 2 3 2 2 2" xfId="29264" xr:uid="{786B7531-6D06-49F8-BCAB-3D7D428FDA0A}"/>
    <cellStyle name="汇总 2 2 3 2 3" xfId="29265" xr:uid="{04605023-D108-4042-9949-7C1416AF1F36}"/>
    <cellStyle name="汇总 2 2 3 3" xfId="29266" xr:uid="{C7469832-CAF5-4D5F-A924-8ABB30A3C6E1}"/>
    <cellStyle name="汇总 2 2 3 3 2" xfId="29267" xr:uid="{D43240E7-AD2C-49A2-A923-5DD7400A7DDB}"/>
    <cellStyle name="汇总 2 2 3 3 2 2" xfId="29268" xr:uid="{2374B11A-4C39-4A24-8BCA-E83A73A21FA6}"/>
    <cellStyle name="汇总 2 2 3 3 3" xfId="29269" xr:uid="{0C5A8904-A4FC-4F1E-A86A-277810436390}"/>
    <cellStyle name="汇总 2 2 3 4" xfId="29270" xr:uid="{C2A44C89-3C9C-4B8B-AFF3-A84ECC8F76FC}"/>
    <cellStyle name="汇总 2 2 3 4 2" xfId="29271" xr:uid="{393C04A5-9814-4FC6-ACC2-9E61D9FD681E}"/>
    <cellStyle name="汇总 2 2 3 5" xfId="29272" xr:uid="{712CF78C-3B41-4D07-B4CD-FC6C5432618E}"/>
    <cellStyle name="汇总 2 2 4" xfId="29273" xr:uid="{1E1BEAED-56F1-40F0-995D-DC88392DD4A6}"/>
    <cellStyle name="汇总 2 2 4 2" xfId="29274" xr:uid="{5A459476-EFA6-4388-AF8D-7C26EFBFE66E}"/>
    <cellStyle name="汇总 2 2 4 2 2" xfId="29275" xr:uid="{CB4FA894-DA0C-4E31-BF32-33EA5CE5F3A2}"/>
    <cellStyle name="汇总 2 2 4 2 2 2" xfId="29276" xr:uid="{25FDBF82-CD23-481A-90B7-2174AA9E80AE}"/>
    <cellStyle name="汇总 2 2 4 2 3" xfId="29277" xr:uid="{24FABB42-C98A-40D0-805F-49787A77245F}"/>
    <cellStyle name="汇总 2 2 4 3" xfId="29278" xr:uid="{F6315B22-319E-4181-BC3B-935809E2AD25}"/>
    <cellStyle name="汇总 2 2 4 3 2" xfId="29279" xr:uid="{9FF32DB9-C0C7-4CE4-BC84-6F22AD6B6141}"/>
    <cellStyle name="汇总 2 2 4 4" xfId="29280" xr:uid="{59DBB0AB-CD11-437D-A513-8AF564256152}"/>
    <cellStyle name="汇总 2 2 5" xfId="29281" xr:uid="{5BE0E3C5-D5B3-4AB7-A884-131A92AFA7F7}"/>
    <cellStyle name="汇总 2 2 5 2" xfId="29282" xr:uid="{5B46A888-E904-4075-9CC9-E38D0F31CB72}"/>
    <cellStyle name="汇总 2 2 5 2 2" xfId="29283" xr:uid="{684F865F-2099-482D-BB8E-E3D3A09C8DD3}"/>
    <cellStyle name="汇总 2 2 5 3" xfId="29284" xr:uid="{32F8FD93-1B1C-46EC-8852-1D678CCAA71D}"/>
    <cellStyle name="汇总 2 2 6" xfId="29285" xr:uid="{6311EE49-FD34-4EDF-AE16-30BD521A6943}"/>
    <cellStyle name="汇总 2 2 6 2" xfId="29286" xr:uid="{A58A73B9-EE63-4FFC-B40E-7D10AF86EA16}"/>
    <cellStyle name="汇总 2 2 6 2 2" xfId="29287" xr:uid="{8BB211B3-A1E3-4158-9829-353676992B96}"/>
    <cellStyle name="汇总 2 2 6 3" xfId="29288" xr:uid="{461D499B-81B6-48E7-A4FC-6D8B611CC97D}"/>
    <cellStyle name="汇总 2 2 7" xfId="29289" xr:uid="{6DC04AF9-DB17-4669-84E1-68D9B3D579FA}"/>
    <cellStyle name="汇总 2 2 7 2" xfId="29290" xr:uid="{D9C10160-A117-4DEF-AD51-A37AE2C8AB4C}"/>
    <cellStyle name="汇总 2 2 8" xfId="29291" xr:uid="{6FC8C1BC-5343-454A-856F-A192214D11C5}"/>
    <cellStyle name="汇总 2 3" xfId="29292" xr:uid="{BF573EA6-D7C2-402C-A170-E0F2A81AEF74}"/>
    <cellStyle name="汇总 2 3 2" xfId="29293" xr:uid="{AD9DA1CE-A0D0-47D8-B1AB-243CC0AAB9D8}"/>
    <cellStyle name="汇总 2 3 2 2" xfId="29294" xr:uid="{856C8511-D400-41B7-8E28-2B119616DE40}"/>
    <cellStyle name="汇总 2 3 2 2 2" xfId="29295" xr:uid="{DDC87BFB-E465-4572-9FD7-19FFFF1CFEEC}"/>
    <cellStyle name="汇总 2 3 2 2 2 2" xfId="29296" xr:uid="{DC18881C-F177-49C7-8A10-EC72A9670008}"/>
    <cellStyle name="汇总 2 3 2 2 3" xfId="29297" xr:uid="{6FE2A88C-AFB5-4DC5-9DF2-DD5C41303056}"/>
    <cellStyle name="汇总 2 3 2 3" xfId="29298" xr:uid="{6A5F2192-BD2B-440B-A7C1-8BD6D64A22EF}"/>
    <cellStyle name="汇总 2 3 2 3 2" xfId="29299" xr:uid="{EBE3CC5E-8C45-40AB-B0ED-D33AEF1E37DE}"/>
    <cellStyle name="汇总 2 3 2 4" xfId="29300" xr:uid="{A75A97B8-9155-44E2-B7B1-AA709E5A9C72}"/>
    <cellStyle name="汇总 2 3 3" xfId="29301" xr:uid="{17609B1D-F13B-4A54-B84A-BF210E665DBC}"/>
    <cellStyle name="汇总 2 3 3 2" xfId="29302" xr:uid="{B3681535-ABBF-4D76-8974-6DA052D0349F}"/>
    <cellStyle name="汇总 2 3 3 2 2" xfId="29303" xr:uid="{759D0BDB-E292-40BE-AF8E-1897C73AFD60}"/>
    <cellStyle name="汇总 2 3 3 3" xfId="29304" xr:uid="{45DAE23B-F45D-4631-A4D5-6CCF6DB9E436}"/>
    <cellStyle name="汇总 2 3 4" xfId="29305" xr:uid="{7E066C69-177B-463E-904B-B758775EDFE8}"/>
    <cellStyle name="汇总 2 3 4 2" xfId="29306" xr:uid="{ECBADD13-B003-40B2-9D07-5F6C826DD637}"/>
    <cellStyle name="汇总 2 3 4 2 2" xfId="29307" xr:uid="{862FA32E-FCDF-4DD9-904D-A09C9F20A72B}"/>
    <cellStyle name="汇总 2 3 4 3" xfId="29308" xr:uid="{7DE7E24C-22CF-4E4F-8DAB-997A6D675FBD}"/>
    <cellStyle name="汇总 2 3 5" xfId="29309" xr:uid="{55F0E6F5-2137-4B88-BCA2-F7D41977E347}"/>
    <cellStyle name="汇总 2 3 5 2" xfId="29310" xr:uid="{FFA7C4AE-4F8A-4345-912E-DAE957DAEE04}"/>
    <cellStyle name="汇总 2 3 6" xfId="29311" xr:uid="{CB8148F5-FBEE-4C53-A496-71C85827AD7C}"/>
    <cellStyle name="汇总 2 4" xfId="29312" xr:uid="{5C5DC826-FCF6-4B48-8211-5D8BE7AB9CE5}"/>
    <cellStyle name="汇总 2 4 2" xfId="29313" xr:uid="{028443B6-93FC-47F4-A54F-0FBED7A4F7C0}"/>
    <cellStyle name="汇总 2 4 2 2" xfId="29314" xr:uid="{D1B5C654-F616-4082-B1D9-D7BC6B1FB6E6}"/>
    <cellStyle name="汇总 2 4 2 2 2" xfId="29315" xr:uid="{10361870-09FB-4867-82B9-E3CF18EF62A6}"/>
    <cellStyle name="汇总 2 4 2 3" xfId="29316" xr:uid="{E7D39519-FEFF-484D-A43E-7B6D7ED79121}"/>
    <cellStyle name="汇总 2 4 3" xfId="29317" xr:uid="{552335A6-C62A-4D15-A240-AFF6872B8B5F}"/>
    <cellStyle name="汇总 2 4 3 2" xfId="29318" xr:uid="{8218F011-C327-424F-8649-55C245B8538F}"/>
    <cellStyle name="汇总 2 4 3 2 2" xfId="29319" xr:uid="{E876C5B7-C6E0-42F5-9240-9598F5C79886}"/>
    <cellStyle name="汇总 2 4 3 3" xfId="29320" xr:uid="{D719FACF-619C-4836-863B-1B12870EF4EE}"/>
    <cellStyle name="汇总 2 4 4" xfId="29321" xr:uid="{32BF38C1-96B7-4447-89BB-D576BC00F35E}"/>
    <cellStyle name="汇总 2 4 4 2" xfId="29322" xr:uid="{944A4E22-0B60-465A-AD94-814DD04BB3FC}"/>
    <cellStyle name="汇总 2 4 5" xfId="29323" xr:uid="{63CA1891-05D6-47F2-810C-9B7FCBE020AF}"/>
    <cellStyle name="汇总 2 5" xfId="29324" xr:uid="{B06CBAD5-AA76-46BF-A8D2-C13070FDCA29}"/>
    <cellStyle name="汇总 2 5 2" xfId="29325" xr:uid="{0B346C71-C9C0-434E-9AC0-9DBAAFEA81DC}"/>
    <cellStyle name="汇总 2 5 2 2" xfId="29326" xr:uid="{87D62A2C-D2E5-4DCD-A7C4-C9BBFF2355D6}"/>
    <cellStyle name="汇总 2 5 2 2 2" xfId="29327" xr:uid="{FBA1017F-AB03-4DDD-A96A-3A2ABBC28DC5}"/>
    <cellStyle name="汇总 2 5 2 3" xfId="29328" xr:uid="{B1D7B63F-7E24-420A-9833-AB783E19BC2F}"/>
    <cellStyle name="汇总 2 5 3" xfId="29329" xr:uid="{021ADC96-2C2F-46B4-8AAF-6DEDB9145D13}"/>
    <cellStyle name="汇总 2 5 3 2" xfId="29330" xr:uid="{28CFBAB2-CCCB-4CC4-B5DF-7C6E74E3248F}"/>
    <cellStyle name="汇总 2 5 4" xfId="29331" xr:uid="{43422419-06AF-4465-B5A0-04298E3E48AD}"/>
    <cellStyle name="汇总 2 6" xfId="29332" xr:uid="{E26C4CA0-D36D-4B46-ABD1-7D5EA70678EC}"/>
    <cellStyle name="汇总 2 6 2" xfId="29333" xr:uid="{2DEB758B-252E-4079-9514-A436A8E7FD70}"/>
    <cellStyle name="汇总 2 6 2 2" xfId="29334" xr:uid="{82073FA0-7E49-4CE0-AEC9-6AF1DC755C95}"/>
    <cellStyle name="汇总 2 6 3" xfId="29335" xr:uid="{8668CEDC-4030-4932-A799-99607290723C}"/>
    <cellStyle name="汇总 2 7" xfId="29336" xr:uid="{5717227A-3F1B-459C-AF11-F2FB2C9A9D4C}"/>
    <cellStyle name="汇总 2 7 2" xfId="29337" xr:uid="{A43524EB-90DE-4C38-8602-012742EA30BC}"/>
    <cellStyle name="汇总 2 7 2 2" xfId="29338" xr:uid="{E83D94E1-E4C1-485E-9808-E27C03F04F36}"/>
    <cellStyle name="汇总 2 7 3" xfId="29339" xr:uid="{BC835D1A-7ED5-4555-B6BE-44BC3ABA7A4D}"/>
    <cellStyle name="汇总 2 8" xfId="29340" xr:uid="{20AFE081-26CE-4D76-BBA0-1D2632EE2381}"/>
    <cellStyle name="汇总 2 8 2" xfId="29341" xr:uid="{DA291DA3-BB71-4EBF-A9F7-AE1ECDAE7B5A}"/>
    <cellStyle name="汇总 2 9" xfId="29342" xr:uid="{B6BE8F9D-FAED-48F8-8ADC-3350591A36EF}"/>
    <cellStyle name="汇总 3" xfId="29343" xr:uid="{85DEE111-3FE6-48E5-BEDD-BA2773279448}"/>
    <cellStyle name="汇总 3 2" xfId="29344" xr:uid="{A711DFF6-EB70-40C8-9254-D86BDA225C42}"/>
    <cellStyle name="汇总 3 2 2" xfId="29345" xr:uid="{8EE01BA1-AB13-4C22-9807-4F7DDEC9F078}"/>
    <cellStyle name="汇总 3 2 2 2" xfId="29346" xr:uid="{2E003A4F-EBCC-4F16-9C6A-0CCB0E8523EB}"/>
    <cellStyle name="汇总 3 2 2 2 2" xfId="29347" xr:uid="{B18ECA5C-9487-47FA-A493-2D3755EA56B7}"/>
    <cellStyle name="汇总 3 2 2 2 2 2" xfId="29348" xr:uid="{B248F12D-8688-4E8D-88D0-98AB0D8FDE84}"/>
    <cellStyle name="汇总 3 2 2 2 3" xfId="29349" xr:uid="{3C2DC1A8-530F-48B8-A921-FC24A2EA4D34}"/>
    <cellStyle name="汇总 3 2 2 3" xfId="29350" xr:uid="{BB9D2D49-9DD7-42D3-B661-869204DAD13E}"/>
    <cellStyle name="汇总 3 2 2 3 2" xfId="29351" xr:uid="{B708C0BA-D71C-4051-979E-0D172562E654}"/>
    <cellStyle name="汇总 3 2 2 4" xfId="29352" xr:uid="{89E48B5E-FF0A-4ABD-A73D-9787E272726A}"/>
    <cellStyle name="汇总 3 2 3" xfId="29353" xr:uid="{22C9445A-29B3-44F3-B916-798301D54B2C}"/>
    <cellStyle name="汇总 3 2 3 2" xfId="29354" xr:uid="{953ECEE1-14DD-4CF1-B649-B836BE904C1C}"/>
    <cellStyle name="汇总 3 2 3 2 2" xfId="29355" xr:uid="{D0A92E53-FD3F-44DE-89C4-DB0E3544F22A}"/>
    <cellStyle name="汇总 3 2 3 3" xfId="29356" xr:uid="{48F2426E-5EF3-48F4-A922-5E609B890E46}"/>
    <cellStyle name="汇总 3 2 4" xfId="29357" xr:uid="{446AEAAA-5EBD-4081-9B9C-E6071D85740B}"/>
    <cellStyle name="汇总 3 2 4 2" xfId="29358" xr:uid="{E40D6A4A-AA6B-4D1B-AFF4-0EB7DF03C459}"/>
    <cellStyle name="汇总 3 2 4 2 2" xfId="29359" xr:uid="{558966F6-977E-4445-99C4-A7F1EC70646B}"/>
    <cellStyle name="汇总 3 2 4 3" xfId="29360" xr:uid="{4E8A0E4E-ACF1-4580-8930-DD14A61B35F5}"/>
    <cellStyle name="汇总 3 2 5" xfId="29361" xr:uid="{83F22407-8986-4376-9714-4DFD2A4AC550}"/>
    <cellStyle name="汇总 3 2 5 2" xfId="29362" xr:uid="{214E9296-E105-4CBC-B85E-A958B219324B}"/>
    <cellStyle name="汇总 3 2 6" xfId="29363" xr:uid="{369B9FA5-DBD8-4386-8F7C-714E0A95B378}"/>
    <cellStyle name="汇总 3 3" xfId="29364" xr:uid="{E3E78677-8F7C-4DC8-80B4-687358E559D6}"/>
    <cellStyle name="汇总 3 3 2" xfId="29365" xr:uid="{841094BE-AD46-417A-A5A3-895210A47FA8}"/>
    <cellStyle name="汇总 3 3 2 2" xfId="29366" xr:uid="{09E60219-2BDD-47E4-BD51-4672D7F252B2}"/>
    <cellStyle name="汇总 3 3 2 2 2" xfId="29367" xr:uid="{4309508F-4210-4D1A-8A0B-B8ABE97EA30C}"/>
    <cellStyle name="汇总 3 3 2 3" xfId="29368" xr:uid="{2CEE1DD3-D9E9-40AA-9443-11D080252F00}"/>
    <cellStyle name="汇总 3 3 3" xfId="29369" xr:uid="{3D66BFD4-322F-481D-9508-E9D760C1BA59}"/>
    <cellStyle name="汇总 3 3 3 2" xfId="29370" xr:uid="{CB3EA5FD-DBCE-4AF4-ACDD-23E1CCAEDFFE}"/>
    <cellStyle name="汇总 3 3 3 2 2" xfId="29371" xr:uid="{BC6C7C99-9DEB-4E0B-A8CC-79398849A30B}"/>
    <cellStyle name="汇总 3 3 3 3" xfId="29372" xr:uid="{0D7C8A71-381D-4010-852B-0B0E0573CAA7}"/>
    <cellStyle name="汇总 3 3 4" xfId="29373" xr:uid="{FCAEF874-11FF-471C-A216-2D6461E18714}"/>
    <cellStyle name="汇总 3 3 4 2" xfId="29374" xr:uid="{F7787FA8-C802-4E36-A713-C90E8522751A}"/>
    <cellStyle name="汇总 3 3 5" xfId="29375" xr:uid="{6CC94AE5-A7CC-4E54-9388-5B6033EE965B}"/>
    <cellStyle name="汇总 3 4" xfId="29376" xr:uid="{9354777F-B3D0-4C61-B69F-EE57E28C197E}"/>
    <cellStyle name="汇总 3 4 2" xfId="29377" xr:uid="{DC06B094-9A8B-4361-83D0-589C9C151DF6}"/>
    <cellStyle name="汇总 3 4 2 2" xfId="29378" xr:uid="{A556D02D-C648-494A-B963-D1B91FB73901}"/>
    <cellStyle name="汇总 3 4 2 2 2" xfId="29379" xr:uid="{E4A62D5C-F301-446C-8393-336885449EA2}"/>
    <cellStyle name="汇总 3 4 2 3" xfId="29380" xr:uid="{B6831DD9-38C2-482F-BCF0-266D9832CF2F}"/>
    <cellStyle name="汇总 3 4 3" xfId="29381" xr:uid="{4A6A84C3-EFE1-4EE9-9602-6C7E613FD26D}"/>
    <cellStyle name="汇总 3 4 3 2" xfId="29382" xr:uid="{8741C9BE-8FB1-4C43-878B-9885E329F032}"/>
    <cellStyle name="汇总 3 4 4" xfId="29383" xr:uid="{E7BA9F2A-C08D-4599-8AE4-DF3544543D2E}"/>
    <cellStyle name="汇总 3 5" xfId="29384" xr:uid="{6F607E25-B839-4A1E-A018-D5247857FCCB}"/>
    <cellStyle name="汇总 3 5 2" xfId="29385" xr:uid="{3C2A665B-13C4-4A72-A25E-3C18CBC40D9B}"/>
    <cellStyle name="汇总 3 5 2 2" xfId="29386" xr:uid="{F446BD06-ECD4-445D-983F-D31829FEBD0A}"/>
    <cellStyle name="汇总 3 5 3" xfId="29387" xr:uid="{B87E655F-20AE-4C23-AB47-2F8A363E2803}"/>
    <cellStyle name="汇总 3 6" xfId="29388" xr:uid="{9BBB7764-DF0C-4C61-A2B4-BA340EF94892}"/>
    <cellStyle name="汇总 3 6 2" xfId="29389" xr:uid="{262B3FC8-6238-4D10-97D8-9B38718D7549}"/>
    <cellStyle name="汇总 3 6 2 2" xfId="29390" xr:uid="{A00C37BF-F8C2-412B-BB88-818153A69982}"/>
    <cellStyle name="汇总 3 6 3" xfId="29391" xr:uid="{27516BA9-E645-4246-AFD8-EDB40269E8CB}"/>
    <cellStyle name="汇总 3 7" xfId="29392" xr:uid="{CB6E2E38-F594-4A45-BBFA-60816F887E87}"/>
    <cellStyle name="汇总 3 7 2" xfId="29393" xr:uid="{249C3CF0-5971-4E5F-99E4-77D9D19B5785}"/>
    <cellStyle name="汇总 3 8" xfId="29394" xr:uid="{1022BC48-F0F1-4947-8D32-6572E901EE4A}"/>
    <cellStyle name="汇总 4" xfId="34695" xr:uid="{E4684D8E-14C1-4D9C-9E36-9480937BFE18}"/>
    <cellStyle name="计算 2" xfId="29395" xr:uid="{DD9B35D7-387F-4AD8-9A85-B96915EB2FA7}"/>
    <cellStyle name="计算 2 2" xfId="29396" xr:uid="{CD92536E-4DB5-44AE-8E1B-CFB3186290E1}"/>
    <cellStyle name="计算 2 2 2" xfId="29397" xr:uid="{B6227A8A-D03D-476C-92DE-B72090F0FAC8}"/>
    <cellStyle name="计算 2 2 2 2" xfId="29398" xr:uid="{723BE221-9B48-422D-8B60-CB9E9A8D1F23}"/>
    <cellStyle name="计算 2 2 2 2 2" xfId="29399" xr:uid="{8F69CCB9-DB7E-42AE-82B3-32C1421631FF}"/>
    <cellStyle name="计算 2 2 2 2 2 2" xfId="29400" xr:uid="{0B6ECB0B-8B95-49D0-8DA9-98A9EB392868}"/>
    <cellStyle name="计算 2 2 2 2 2 2 2" xfId="29401" xr:uid="{377A4448-2A92-4D85-8FB9-7450056E2770}"/>
    <cellStyle name="计算 2 2 2 2 2 3" xfId="29402" xr:uid="{12A3E1C3-14F1-4FAE-9C60-105C7BE3C1AE}"/>
    <cellStyle name="计算 2 2 2 2 3" xfId="29403" xr:uid="{A6C60E87-335A-4CD3-9226-B15541DB80A3}"/>
    <cellStyle name="计算 2 2 2 2 3 2" xfId="29404" xr:uid="{84308BA2-DB65-413C-92AD-AE3D3FCF8618}"/>
    <cellStyle name="计算 2 2 2 2 4" xfId="29405" xr:uid="{8AD22E0E-3BB9-45D5-A9E0-A6CFE2559C0D}"/>
    <cellStyle name="计算 2 2 2 3" xfId="29406" xr:uid="{7E0099E0-F540-400D-9854-73C423B40CD4}"/>
    <cellStyle name="计算 2 2 2 3 2" xfId="29407" xr:uid="{167E847F-0B1C-416C-8E53-A4DB438FD98F}"/>
    <cellStyle name="计算 2 2 2 3 2 2" xfId="29408" xr:uid="{C867C779-4335-41F6-9703-DD0B275FBA23}"/>
    <cellStyle name="计算 2 2 2 3 3" xfId="29409" xr:uid="{7046C1F8-796C-4EBB-8798-876A7EDFA72D}"/>
    <cellStyle name="计算 2 2 2 4" xfId="29410" xr:uid="{DAE55AE0-D9D8-4201-B013-032539FB935F}"/>
    <cellStyle name="计算 2 2 2 4 2" xfId="29411" xr:uid="{44EB027B-5E0B-4868-9523-A9E4954F3D81}"/>
    <cellStyle name="计算 2 2 2 4 2 2" xfId="29412" xr:uid="{F8762B37-09E1-4E8D-9257-39E2513E3094}"/>
    <cellStyle name="计算 2 2 2 4 3" xfId="29413" xr:uid="{CA0CBBC4-F8B4-4EF4-BBD8-2D58BA2F493F}"/>
    <cellStyle name="计算 2 2 2 5" xfId="29414" xr:uid="{772A1B08-AAC9-4BAA-95A2-4E433852BC7A}"/>
    <cellStyle name="计算 2 2 2 5 2" xfId="29415" xr:uid="{352E06E0-FB53-4F9A-B8BA-4BB2F03A336B}"/>
    <cellStyle name="计算 2 2 2 6" xfId="29416" xr:uid="{26E369BB-99A9-4B0D-9078-23FA9746384F}"/>
    <cellStyle name="计算 2 2 3" xfId="29417" xr:uid="{22898F11-C049-49B4-BE46-57244E5E1892}"/>
    <cellStyle name="计算 2 2 3 2" xfId="29418" xr:uid="{F0E55EB7-DB33-4DD3-991B-F8BE08F5DE59}"/>
    <cellStyle name="计算 2 2 3 2 2" xfId="29419" xr:uid="{FFF4E769-9BDB-4F74-ABC7-282DF7FAF955}"/>
    <cellStyle name="计算 2 2 3 2 2 2" xfId="29420" xr:uid="{CCA19211-E0D5-4BBD-ABEB-0BAA34D32188}"/>
    <cellStyle name="计算 2 2 3 2 3" xfId="29421" xr:uid="{2FF7C519-EEC7-468A-8717-9D0692AAC48B}"/>
    <cellStyle name="计算 2 2 3 3" xfId="29422" xr:uid="{B23DEEA4-975F-45A4-92EE-485E7DA84981}"/>
    <cellStyle name="计算 2 2 3 3 2" xfId="29423" xr:uid="{9BB17DF4-FF8A-40D9-B80D-B75DCF5D5B28}"/>
    <cellStyle name="计算 2 2 3 3 2 2" xfId="29424" xr:uid="{C6C9F702-8459-4B47-8E6A-71CA1E231245}"/>
    <cellStyle name="计算 2 2 3 3 3" xfId="29425" xr:uid="{FCC63743-F437-427F-9C5C-B75F26023E7B}"/>
    <cellStyle name="计算 2 2 3 4" xfId="29426" xr:uid="{3178E59A-6D89-4ACF-80CC-D71182DE8108}"/>
    <cellStyle name="计算 2 2 3 4 2" xfId="29427" xr:uid="{D5F4B3FF-C10B-494F-8599-28E20FEF42A4}"/>
    <cellStyle name="计算 2 2 3 5" xfId="29428" xr:uid="{D255E00E-9352-43B5-8B5F-500C7CD1D33F}"/>
    <cellStyle name="计算 2 2 4" xfId="29429" xr:uid="{65335A10-189F-45EE-AE32-8C4ABF9856E0}"/>
    <cellStyle name="计算 2 2 4 2" xfId="29430" xr:uid="{63EF60EF-11F0-4B89-BE66-E50E16544F26}"/>
    <cellStyle name="计算 2 2 4 2 2" xfId="29431" xr:uid="{71D52E7F-6C11-4FD2-83E0-C215DADDB563}"/>
    <cellStyle name="计算 2 2 4 2 2 2" xfId="29432" xr:uid="{952BD41F-49CA-420D-A973-8BB7AB594DF6}"/>
    <cellStyle name="计算 2 2 4 2 3" xfId="29433" xr:uid="{BE2F4650-A56C-463C-BA8D-85BD29F5DC71}"/>
    <cellStyle name="计算 2 2 4 3" xfId="29434" xr:uid="{58901001-E552-4C85-90CD-8C90DEC50E38}"/>
    <cellStyle name="计算 2 2 4 3 2" xfId="29435" xr:uid="{366AF353-EB49-432A-85DE-2AA60DAFAED0}"/>
    <cellStyle name="计算 2 2 4 4" xfId="29436" xr:uid="{CCAAF967-3C97-4372-A195-74E92FA373B7}"/>
    <cellStyle name="计算 2 2 5" xfId="29437" xr:uid="{A4FB5911-2167-439B-A4B7-A77241099BBC}"/>
    <cellStyle name="计算 2 2 5 2" xfId="29438" xr:uid="{10EF6BE7-93EA-4829-A3CA-9B739FC62866}"/>
    <cellStyle name="计算 2 2 5 2 2" xfId="29439" xr:uid="{CB91DDE6-82B9-4F14-936F-6859BBA11D15}"/>
    <cellStyle name="计算 2 2 5 3" xfId="29440" xr:uid="{CFAE3955-CACD-4709-B862-AEAA6814CADD}"/>
    <cellStyle name="计算 2 2 6" xfId="29441" xr:uid="{5B4DD342-625C-4EB1-94FB-447E554BE31B}"/>
    <cellStyle name="计算 2 2 6 2" xfId="29442" xr:uid="{BA5A101D-D9B6-416A-9686-F030DE027CE9}"/>
    <cellStyle name="计算 2 2 6 2 2" xfId="29443" xr:uid="{52C6DE38-0E65-4661-9658-EE5A312AC708}"/>
    <cellStyle name="计算 2 2 6 3" xfId="29444" xr:uid="{AE8CE33D-11F4-4389-9CCC-E3C56EB179BE}"/>
    <cellStyle name="计算 2 2 7" xfId="29445" xr:uid="{2A761ADB-5460-4F77-A5A3-1D3F7DD86090}"/>
    <cellStyle name="计算 2 2 7 2" xfId="29446" xr:uid="{FEAE8BCB-9832-461C-B484-BDB15A3C9843}"/>
    <cellStyle name="计算 2 2 8" xfId="29447" xr:uid="{6C5F92FE-A2DD-419B-8A4C-400309C661D1}"/>
    <cellStyle name="计算 2 3" xfId="29448" xr:uid="{BE8004D7-586F-49BB-89AE-CACD143E5416}"/>
    <cellStyle name="计算 2 3 2" xfId="29449" xr:uid="{62AAC150-2B0E-43AE-89E7-F4AE9F19C65A}"/>
    <cellStyle name="计算 2 3 2 2" xfId="29450" xr:uid="{8DA4B456-0CD8-4E46-A7D1-6626FE70DF9F}"/>
    <cellStyle name="计算 2 3 2 2 2" xfId="29451" xr:uid="{13F5BC3E-70AC-499F-B4D2-5C754DAABBCD}"/>
    <cellStyle name="计算 2 3 2 2 2 2" xfId="29452" xr:uid="{31E46B57-BB2F-4823-B53A-51F2B1596D46}"/>
    <cellStyle name="计算 2 3 2 2 3" xfId="29453" xr:uid="{B742DD93-739C-4467-A262-59CF14BD90BD}"/>
    <cellStyle name="计算 2 3 2 3" xfId="29454" xr:uid="{E4AAF6B9-15C6-42FE-B70D-338DD1529BE4}"/>
    <cellStyle name="计算 2 3 2 3 2" xfId="29455" xr:uid="{D6ABC5A8-F614-48D3-8A36-E497EA3626E9}"/>
    <cellStyle name="计算 2 3 2 4" xfId="29456" xr:uid="{858489D3-9B09-4D72-9C1B-95539816411F}"/>
    <cellStyle name="计算 2 3 3" xfId="29457" xr:uid="{B3740784-89DD-4DB3-B34A-03B6A296B5C5}"/>
    <cellStyle name="计算 2 3 3 2" xfId="29458" xr:uid="{EFDC9A4A-D7CA-49B2-A6C0-2BBFD885C797}"/>
    <cellStyle name="计算 2 3 3 2 2" xfId="29459" xr:uid="{7539BE1F-A64F-43A7-A052-057D17A12D3E}"/>
    <cellStyle name="计算 2 3 3 3" xfId="29460" xr:uid="{41E4EFB3-5994-4B11-A793-087D241FA572}"/>
    <cellStyle name="计算 2 3 4" xfId="29461" xr:uid="{1C9AC214-13AD-401B-A4B6-DCD588FAE6AE}"/>
    <cellStyle name="计算 2 3 4 2" xfId="29462" xr:uid="{459793E6-1038-4C82-B734-CC9D886C8771}"/>
    <cellStyle name="计算 2 3 4 2 2" xfId="29463" xr:uid="{7C49EF5D-2DD3-4BCE-A919-CBECACD05C96}"/>
    <cellStyle name="计算 2 3 4 3" xfId="29464" xr:uid="{E04F74BB-17F9-4C4C-B377-12575A3692C7}"/>
    <cellStyle name="计算 2 3 5" xfId="29465" xr:uid="{72609174-92A5-40C8-AAA6-917C9A3EE137}"/>
    <cellStyle name="计算 2 3 5 2" xfId="29466" xr:uid="{D8B39350-77F1-48CE-95D3-C28D61EB9752}"/>
    <cellStyle name="计算 2 3 6" xfId="29467" xr:uid="{9D889846-9E8D-4631-8271-F8F3F93611B8}"/>
    <cellStyle name="计算 2 4" xfId="29468" xr:uid="{BB34A54A-0FDD-4579-9DF0-3BC349B3FE7B}"/>
    <cellStyle name="计算 2 4 2" xfId="29469" xr:uid="{B78901B9-AA86-45B7-B4EC-12BAD349B2E4}"/>
    <cellStyle name="计算 2 4 2 2" xfId="29470" xr:uid="{7830DD86-6C76-4084-A00D-4CDFCA9E97FA}"/>
    <cellStyle name="计算 2 4 2 2 2" xfId="29471" xr:uid="{0ACB4FF5-D6CA-4E83-B719-4494D30A794B}"/>
    <cellStyle name="计算 2 4 2 3" xfId="29472" xr:uid="{B4567524-4AB9-4C25-AD64-14B95C5E8C99}"/>
    <cellStyle name="计算 2 4 3" xfId="29473" xr:uid="{7D0B3B10-6063-4946-9672-8F3A833C4245}"/>
    <cellStyle name="计算 2 4 3 2" xfId="29474" xr:uid="{514AD9D0-95AD-45A3-A14D-0E2233803D5F}"/>
    <cellStyle name="计算 2 4 3 2 2" xfId="29475" xr:uid="{A88C1A3B-427E-4BBF-B031-7F62D32CB8D0}"/>
    <cellStyle name="计算 2 4 3 3" xfId="29476" xr:uid="{C7562CE8-6A27-4CA2-88B5-4B81740AEF4E}"/>
    <cellStyle name="计算 2 4 4" xfId="29477" xr:uid="{C3A18017-D835-4C4D-B96B-1FF132CC325B}"/>
    <cellStyle name="计算 2 4 4 2" xfId="29478" xr:uid="{05FF10C8-5339-4F11-BDBF-C12DB62FA715}"/>
    <cellStyle name="计算 2 4 5" xfId="29479" xr:uid="{742CD371-B58C-4766-A67C-6FD21AB2E1F0}"/>
    <cellStyle name="计算 2 5" xfId="29480" xr:uid="{21C322FE-6F21-44E5-88F4-ACBAE862100C}"/>
    <cellStyle name="计算 2 5 2" xfId="29481" xr:uid="{E1CFACA6-485F-4371-B790-4BADB7CE9120}"/>
    <cellStyle name="计算 2 5 2 2" xfId="29482" xr:uid="{40C459D8-E0D7-496E-B6E4-4D151B9B9902}"/>
    <cellStyle name="计算 2 5 2 2 2" xfId="29483" xr:uid="{D954EB1A-187E-4E8D-A2FF-BE902AC2FFD8}"/>
    <cellStyle name="计算 2 5 2 3" xfId="29484" xr:uid="{D438D13F-9486-457A-A29F-4370F37C9CD0}"/>
    <cellStyle name="计算 2 5 3" xfId="29485" xr:uid="{043A82FD-2781-4C7B-B5B7-82DBB3E9B970}"/>
    <cellStyle name="计算 2 5 3 2" xfId="29486" xr:uid="{A425EDED-B765-4B6D-9B51-EC7892C75F86}"/>
    <cellStyle name="计算 2 5 4" xfId="29487" xr:uid="{384642BD-CF74-471C-93A1-2F19BA646878}"/>
    <cellStyle name="计算 2 6" xfId="29488" xr:uid="{719EE0DD-1013-4F8E-9DC1-2B9099CB8567}"/>
    <cellStyle name="计算 2 6 2" xfId="29489" xr:uid="{C6D515E8-C902-4E0F-AEBE-690F705E4188}"/>
    <cellStyle name="计算 2 6 2 2" xfId="29490" xr:uid="{42E02782-FBB7-4C58-AA27-71A5D50D0E27}"/>
    <cellStyle name="计算 2 6 3" xfId="29491" xr:uid="{F0735D23-AFC9-4EFD-8D8C-C5BDB92C706D}"/>
    <cellStyle name="计算 2 7" xfId="29492" xr:uid="{F23BCAC0-D1A4-4A74-9050-A79874FE5874}"/>
    <cellStyle name="计算 2 7 2" xfId="29493" xr:uid="{C3C90C61-D805-43C5-B24A-7CFC429A3425}"/>
    <cellStyle name="计算 2 7 2 2" xfId="29494" xr:uid="{A0028AD1-59E7-4C41-BFF7-5DC6A3EE7EA7}"/>
    <cellStyle name="计算 2 7 3" xfId="29495" xr:uid="{F161F274-10EB-4E35-84DA-3AE478888C85}"/>
    <cellStyle name="计算 2 8" xfId="29496" xr:uid="{875FA0A5-DCAF-4CDB-ABDF-8644FF972FFB}"/>
    <cellStyle name="计算 2 8 2" xfId="29497" xr:uid="{32925982-02B3-4F68-AAF3-F46F573667E2}"/>
    <cellStyle name="计算 2 9" xfId="29498" xr:uid="{425DB186-AD9A-44ED-BCDB-F5952FDBCF58}"/>
    <cellStyle name="计算 3" xfId="29499" xr:uid="{75E8B969-9B56-4C96-AFD5-57AAB2F35917}"/>
    <cellStyle name="计算 3 2" xfId="29500" xr:uid="{1A57F64B-B11B-4F30-95D7-E9B2BDDA6B58}"/>
    <cellStyle name="计算 3 2 2" xfId="29501" xr:uid="{0315C729-7324-4410-9031-4325E85E5FB4}"/>
    <cellStyle name="计算 3 2 2 2" xfId="29502" xr:uid="{DA31F137-97EA-46E0-92F8-D9A80AEB9EE4}"/>
    <cellStyle name="计算 3 2 2 2 2" xfId="29503" xr:uid="{551A2950-DEA4-4CF2-A49E-A35653DB1DE6}"/>
    <cellStyle name="计算 3 2 2 2 2 2" xfId="29504" xr:uid="{8DF27773-DCFA-4760-B013-84EEAAE455BD}"/>
    <cellStyle name="计算 3 2 2 2 3" xfId="29505" xr:uid="{84022147-28F0-48C6-91A8-74A0900B0E6B}"/>
    <cellStyle name="计算 3 2 2 3" xfId="29506" xr:uid="{DAF182F6-5B44-43C9-B8EE-6D3C893AED9E}"/>
    <cellStyle name="计算 3 2 2 3 2" xfId="29507" xr:uid="{C3A495A1-0AE5-4028-B66A-5C77E4CA8251}"/>
    <cellStyle name="计算 3 2 2 4" xfId="29508" xr:uid="{7DEE796E-19A6-490E-9C3A-93C74C633425}"/>
    <cellStyle name="计算 3 2 3" xfId="29509" xr:uid="{D0D460F6-CE94-4E04-991E-887403624285}"/>
    <cellStyle name="计算 3 2 3 2" xfId="29510" xr:uid="{335E027F-04FE-4031-9BBB-A8A0A8DA5130}"/>
    <cellStyle name="计算 3 2 3 2 2" xfId="29511" xr:uid="{0925EED9-BD6B-4891-AFC2-50210B878E41}"/>
    <cellStyle name="计算 3 2 3 3" xfId="29512" xr:uid="{C2F7E8D9-F579-470A-B0D7-226F9A5983EB}"/>
    <cellStyle name="计算 3 2 4" xfId="29513" xr:uid="{38C9AD7A-FE28-479F-826B-192C8E511209}"/>
    <cellStyle name="计算 3 2 4 2" xfId="29514" xr:uid="{4B70379F-FFAE-456E-980F-BEB6B177EE9B}"/>
    <cellStyle name="计算 3 2 4 2 2" xfId="29515" xr:uid="{68623980-DFA3-4589-BB48-A75F7F01427F}"/>
    <cellStyle name="计算 3 2 4 3" xfId="29516" xr:uid="{9357D2F4-53EC-4ED2-B3DF-57FABF8B76E3}"/>
    <cellStyle name="计算 3 2 5" xfId="29517" xr:uid="{E66B4861-1FC7-4713-919B-882324CD6AC9}"/>
    <cellStyle name="计算 3 2 5 2" xfId="29518" xr:uid="{33B4A510-4A26-43DA-B29D-D2928925D66D}"/>
    <cellStyle name="计算 3 2 6" xfId="29519" xr:uid="{54120F7F-4186-489E-98E4-86F47FB924D2}"/>
    <cellStyle name="计算 3 3" xfId="29520" xr:uid="{D1673463-0FC7-42E2-A32E-A417704F0541}"/>
    <cellStyle name="计算 3 3 2" xfId="29521" xr:uid="{B9E91157-ECA4-4A9E-B7D7-F69B1980D019}"/>
    <cellStyle name="计算 3 3 2 2" xfId="29522" xr:uid="{E360E12D-330D-4E25-A6E0-30BE5B976201}"/>
    <cellStyle name="计算 3 3 2 2 2" xfId="29523" xr:uid="{FE2D6C9D-CCA7-4BBA-8C83-5A786E7AD5DA}"/>
    <cellStyle name="计算 3 3 2 3" xfId="29524" xr:uid="{4AC81804-C6A3-4135-B1BF-BBF4C0C52BA7}"/>
    <cellStyle name="计算 3 3 3" xfId="29525" xr:uid="{B7650DD8-3D91-49B6-9C09-8EDEC09EF940}"/>
    <cellStyle name="计算 3 3 3 2" xfId="29526" xr:uid="{6183837C-12E0-42FA-AE39-024FC37596E7}"/>
    <cellStyle name="计算 3 3 3 2 2" xfId="29527" xr:uid="{4C0CFA34-96FA-4F6D-9CBF-B5200FC27357}"/>
    <cellStyle name="计算 3 3 3 3" xfId="29528" xr:uid="{63D5A73B-1769-4597-BAE4-576F1490A595}"/>
    <cellStyle name="计算 3 3 4" xfId="29529" xr:uid="{2DD3C06D-935C-4933-983A-161044B49EC0}"/>
    <cellStyle name="计算 3 3 4 2" xfId="29530" xr:uid="{F968C28A-9A15-4AA2-9AC7-5ED8AC88E6E7}"/>
    <cellStyle name="计算 3 3 5" xfId="29531" xr:uid="{C03E3284-8260-43A7-B363-6A24A02F6791}"/>
    <cellStyle name="计算 3 4" xfId="29532" xr:uid="{47581814-57EE-46E2-8A24-C40A19F86EE7}"/>
    <cellStyle name="计算 3 4 2" xfId="29533" xr:uid="{0E3D2A4E-14BD-4545-AC38-E64918B95700}"/>
    <cellStyle name="计算 3 4 2 2" xfId="29534" xr:uid="{39688419-E716-4E07-A3E6-993FEA6C0A40}"/>
    <cellStyle name="计算 3 4 2 2 2" xfId="29535" xr:uid="{020E24C6-765E-421E-BC56-E76A3E4D9348}"/>
    <cellStyle name="计算 3 4 2 3" xfId="29536" xr:uid="{D433F53A-72ED-4D73-9466-4223BDBC381F}"/>
    <cellStyle name="计算 3 4 3" xfId="29537" xr:uid="{9B2F0DB3-74E8-4D84-AE23-E80B7C0BFC91}"/>
    <cellStyle name="计算 3 4 3 2" xfId="29538" xr:uid="{DF874F34-EBC4-4FD4-9AC6-96618C50C421}"/>
    <cellStyle name="计算 3 4 4" xfId="29539" xr:uid="{3C3929A5-51FD-4F7B-B862-541081AA7C64}"/>
    <cellStyle name="计算 3 5" xfId="29540" xr:uid="{77F1B094-4867-476E-A062-1A67FD1D0AD6}"/>
    <cellStyle name="计算 3 5 2" xfId="29541" xr:uid="{E8D61A1F-6F7F-4DD5-A8B4-944E403EE179}"/>
    <cellStyle name="计算 3 5 2 2" xfId="29542" xr:uid="{5DA4CC1A-9207-43D3-A8E5-B99983C6DFCB}"/>
    <cellStyle name="计算 3 5 3" xfId="29543" xr:uid="{64B0C8B6-AECE-4E05-B232-58DE5B940D61}"/>
    <cellStyle name="计算 3 6" xfId="29544" xr:uid="{06ED9C7E-BB13-4189-8C33-B327307FBAD5}"/>
    <cellStyle name="计算 3 6 2" xfId="29545" xr:uid="{9C7A22AB-FAD6-42BF-B18E-25E50E9D1AC3}"/>
    <cellStyle name="计算 3 6 2 2" xfId="29546" xr:uid="{9DDBEF90-EA1A-4AED-B85D-7189D3CD4C31}"/>
    <cellStyle name="计算 3 6 3" xfId="29547" xr:uid="{AECD6DC3-7DE1-4799-B2EB-56B88FB95474}"/>
    <cellStyle name="计算 3 7" xfId="29548" xr:uid="{2EA84AEA-CBE0-4B90-A986-818C44D38F3D}"/>
    <cellStyle name="计算 3 7 2" xfId="29549" xr:uid="{1707CFD4-D905-443D-BFDD-FE9D24612064}"/>
    <cellStyle name="计算 3 8" xfId="29550" xr:uid="{DE11E42A-969B-4099-AB96-DEA913E676AC}"/>
    <cellStyle name="计算 4" xfId="34696" xr:uid="{EFF6B0C6-223F-481D-A6DC-61CCDF5004D1}"/>
    <cellStyle name="检查单元格 2" xfId="29551" xr:uid="{2F5B005C-1D3B-4614-8B5D-3643909F5AF7}"/>
    <cellStyle name="检查单元格 2 2" xfId="29552" xr:uid="{F4701AB0-045D-4D44-B73B-586B090950B9}"/>
    <cellStyle name="检查单元格 3" xfId="29553" xr:uid="{31E29284-4E03-4DD9-AA47-B2737D0D6F26}"/>
    <cellStyle name="检查单元格 4" xfId="34697" xr:uid="{F3D46F16-DED9-4CDD-989D-E2CE451E451C}"/>
    <cellStyle name="解释性文本 2" xfId="29554" xr:uid="{685D5532-6175-42AF-8859-E3A936AD23E4}"/>
    <cellStyle name="解释性文本 2 2" xfId="29555" xr:uid="{341B5166-C952-49AA-BE47-708732D80DC6}"/>
    <cellStyle name="解释性文本 3" xfId="29556" xr:uid="{266F40A2-9534-4B67-A4B1-E6106BF201C3}"/>
    <cellStyle name="解释性文本 4" xfId="34698" xr:uid="{50E7B477-5AA6-444C-BCE3-3FAA4E7D191E}"/>
    <cellStyle name="警告文本 2" xfId="29557" xr:uid="{14EAE950-DA6B-4DBD-BC91-18A24EA59DDF}"/>
    <cellStyle name="警告文本 2 2" xfId="29558" xr:uid="{6278D709-D785-4D0D-A7AA-6FBC5A3CF32C}"/>
    <cellStyle name="警告文本 3" xfId="29559" xr:uid="{8C163587-8661-4E3D-A4DC-228BD858684D}"/>
    <cellStyle name="警告文本 4" xfId="34699" xr:uid="{2CBA0496-8543-4B35-B3B2-BBEE7C7B5C36}"/>
    <cellStyle name="链接单元格 2" xfId="29560" xr:uid="{C979C650-27B5-448D-8751-233170F107CB}"/>
    <cellStyle name="链接单元格 2 2" xfId="29561" xr:uid="{501808BC-B533-430E-AF2A-73FA46DB1D6B}"/>
    <cellStyle name="链接单元格 3" xfId="29562" xr:uid="{6CA4E0E2-87EE-4881-913C-A701903FA7E4}"/>
    <cellStyle name="链接单元格 4" xfId="34700" xr:uid="{5E18F784-76BE-4683-9A34-F32720289F3B}"/>
    <cellStyle name="千位分隔" xfId="1" builtinId="3"/>
    <cellStyle name="千位分隔 10" xfId="29563" xr:uid="{93CF2233-6283-4770-B1B0-89236C450FA2}"/>
    <cellStyle name="千位分隔 10 2" xfId="29564" xr:uid="{8BBB127B-92BE-497B-B0FE-8195FAC55DAB}"/>
    <cellStyle name="千位分隔 10 3" xfId="29565" xr:uid="{D46729B2-E3C0-4235-8124-B66ABBB18D0A}"/>
    <cellStyle name="千位分隔 10 4" xfId="29566" xr:uid="{9000341C-78EC-4862-892A-C08C88502A0A}"/>
    <cellStyle name="千位分隔 10 5" xfId="29567" xr:uid="{7AA1B221-7B3B-4E0A-BD1A-2EF86D1F3A02}"/>
    <cellStyle name="千位分隔 11" xfId="29568" xr:uid="{66889E95-959B-45CA-815E-6D6CDCF9ADA9}"/>
    <cellStyle name="千位分隔 11 2" xfId="29569" xr:uid="{4831B1B6-2C60-4222-9F29-18C4220800C7}"/>
    <cellStyle name="千位分隔 11 3" xfId="29570" xr:uid="{491C8ACB-3DA5-4858-BF6E-ABE92E369B40}"/>
    <cellStyle name="千位分隔 11 4" xfId="29571" xr:uid="{BCD070E0-0E92-4D73-A5FC-CE58A8951A68}"/>
    <cellStyle name="千位分隔 11 5" xfId="29572" xr:uid="{2B00D806-1083-41C7-8C21-7377D2A001BA}"/>
    <cellStyle name="千位分隔 12" xfId="29573" xr:uid="{78AEF50A-148D-4F11-BC62-44D8A4670312}"/>
    <cellStyle name="千位分隔 12 2" xfId="29574" xr:uid="{BCCB596D-5E94-454A-8FEB-F65AAD040C0E}"/>
    <cellStyle name="千位分隔 12 3" xfId="29575" xr:uid="{13078555-DE6D-40F3-9A2D-D21D57923E6D}"/>
    <cellStyle name="千位分隔 12 4" xfId="29576" xr:uid="{9CB51C65-80A6-4D17-8055-A8597B4EA22E}"/>
    <cellStyle name="千位分隔 12 5" xfId="29577" xr:uid="{B69A6ACD-6BA6-4924-8A40-A00F86DE0378}"/>
    <cellStyle name="千位分隔 13" xfId="29578" xr:uid="{A4B9DA89-2A46-43C6-992F-912C73EFC69F}"/>
    <cellStyle name="千位分隔 13 2" xfId="29579" xr:uid="{2259F026-B251-47CD-A188-59C0E6501C6A}"/>
    <cellStyle name="千位分隔 13 3" xfId="29580" xr:uid="{052C03E8-AF18-4D3E-9D64-02246498E3D8}"/>
    <cellStyle name="千位分隔 13 4" xfId="29581" xr:uid="{373AA639-D1D0-489C-AD52-BF0FDAB4E88C}"/>
    <cellStyle name="千位分隔 13 5" xfId="29582" xr:uid="{3B0D8826-0311-40E9-ABC5-BF7B44CF47A9}"/>
    <cellStyle name="千位分隔 14" xfId="29583" xr:uid="{DE7471F7-4338-474B-911D-7E78B8772555}"/>
    <cellStyle name="千位分隔 14 2" xfId="29584" xr:uid="{57370679-9497-4431-8E5B-EC40E8BB7744}"/>
    <cellStyle name="千位分隔 14 3" xfId="29585" xr:uid="{4C47FBA8-9732-4F82-9960-E41AA6A5FFA7}"/>
    <cellStyle name="千位分隔 14 4" xfId="29586" xr:uid="{1378E7A8-6597-4875-B366-CB543CA9F7BD}"/>
    <cellStyle name="千位分隔 14 5" xfId="29587" xr:uid="{0B57F87B-EBEB-4BFD-837F-8E999F75A709}"/>
    <cellStyle name="千位分隔 15" xfId="29588" xr:uid="{63774FF9-5FBD-4041-BDFC-C97C48F6DA37}"/>
    <cellStyle name="千位分隔 15 2" xfId="29589" xr:uid="{7B8627D9-1CD1-43B8-B81F-F260B8AB60BD}"/>
    <cellStyle name="千位分隔 15 2 2" xfId="29590" xr:uid="{B71FE83C-B167-4EDF-ACD9-FD0422D3BE7C}"/>
    <cellStyle name="千位分隔 15 2 2 2" xfId="29591" xr:uid="{A7C2D4C7-6EB8-4A73-8C0E-E6117766F571}"/>
    <cellStyle name="千位分隔 15 2 2 2 2" xfId="29592" xr:uid="{39240D78-D85D-4799-B3D8-8AA6D36F31F4}"/>
    <cellStyle name="千位分隔 15 2 2 3" xfId="29593" xr:uid="{453A0F86-C042-4289-B6E2-6909D0681132}"/>
    <cellStyle name="千位分隔 15 2 2 4" xfId="29594" xr:uid="{675AF6ED-709C-4622-8EE1-F6EA8E19F4A4}"/>
    <cellStyle name="千位分隔 15 2 2 5" xfId="29595" xr:uid="{DB8D7F27-6495-420B-984A-39AD5795C59B}"/>
    <cellStyle name="千位分隔 15 2 2 5 2" xfId="34701" xr:uid="{1EA12E3F-6A29-45F9-A7E6-2714238EB517}"/>
    <cellStyle name="千位分隔 15 2 2 6" xfId="29596" xr:uid="{573B7629-06A9-49F2-948E-36F220B0FB20}"/>
    <cellStyle name="千位分隔 15 2 2 6 2" xfId="34702" xr:uid="{81941BC7-EEC5-4A22-B7DE-29D5D753A592}"/>
    <cellStyle name="千位分隔 15 2 3" xfId="29597" xr:uid="{5CDF9042-6A2B-4B73-AB45-D8A0CD275087}"/>
    <cellStyle name="千位分隔 15 2 3 2" xfId="29598" xr:uid="{87075EAC-391D-4F3E-8A0F-BC080B687033}"/>
    <cellStyle name="千位分隔 15 2 4" xfId="29599" xr:uid="{ED2EA5DF-1B10-40A0-9B7B-355F47796EE6}"/>
    <cellStyle name="千位分隔 15 2 5" xfId="29600" xr:uid="{335B5621-E242-4C6A-8EC3-C54D0DF8A5F5}"/>
    <cellStyle name="千位分隔 15 2 6" xfId="29601" xr:uid="{0E4231F6-92FA-4953-8294-8D8A6BE56417}"/>
    <cellStyle name="千位分隔 15 2 6 2" xfId="34703" xr:uid="{1780B145-4CCD-4DCE-8102-3E5226F0C802}"/>
    <cellStyle name="千位分隔 15 2 7" xfId="29602" xr:uid="{229940DD-D252-4207-A3C9-FA0E6D1D3383}"/>
    <cellStyle name="千位分隔 15 2 7 2" xfId="34704" xr:uid="{B0A40C5E-6CD0-42C6-A766-D572157D0096}"/>
    <cellStyle name="千位分隔 15 3" xfId="29603" xr:uid="{D864EC51-5F1E-432F-90CE-E68DF7E3D7A8}"/>
    <cellStyle name="千位分隔 15 3 2" xfId="29604" xr:uid="{6A092C3E-84D1-45EA-899B-81666C54343F}"/>
    <cellStyle name="千位分隔 15 3 2 2" xfId="29605" xr:uid="{80EDB0C6-EBD1-4553-89A2-25A00D7F3F65}"/>
    <cellStyle name="千位分隔 15 3 3" xfId="29606" xr:uid="{A21C6C7F-706C-484A-A9C9-0E27A89B8224}"/>
    <cellStyle name="千位分隔 15 3 4" xfId="29607" xr:uid="{4D823BA9-998B-4713-BE27-489176454AB4}"/>
    <cellStyle name="千位分隔 15 3 5" xfId="29608" xr:uid="{5D963B37-D308-4497-AF2D-9D6B90065A75}"/>
    <cellStyle name="千位分隔 15 3 5 2" xfId="34705" xr:uid="{DFF23BE0-341A-43E8-97FC-61CE60296308}"/>
    <cellStyle name="千位分隔 15 3 6" xfId="29609" xr:uid="{8B63D891-1C7A-4FA5-8EA1-5F4C7D7EFAC3}"/>
    <cellStyle name="千位分隔 15 3 6 2" xfId="34706" xr:uid="{84152657-CF63-4280-87EF-447F7695BA48}"/>
    <cellStyle name="千位分隔 15 4" xfId="29610" xr:uid="{1EAF3A42-1B96-44E1-9403-970F41641565}"/>
    <cellStyle name="千位分隔 15 4 2" xfId="29611" xr:uid="{2FD2A980-121D-4033-AB1D-253099697F06}"/>
    <cellStyle name="千位分隔 15 5" xfId="29612" xr:uid="{687AF461-202E-4DF8-8273-8DC1A0120B3E}"/>
    <cellStyle name="千位分隔 15 6" xfId="29613" xr:uid="{3720CABC-8FF9-4292-B114-70F8E8C35F5F}"/>
    <cellStyle name="千位分隔 15 7" xfId="29614" xr:uid="{AC576DAE-D645-4316-BB72-FFE152FD43CB}"/>
    <cellStyle name="千位分隔 15 7 2" xfId="34707" xr:uid="{61A1DC68-8269-41E3-A2F8-1BE8CBE6A1C3}"/>
    <cellStyle name="千位分隔 15 8" xfId="29615" xr:uid="{4FCC0568-93E7-45BD-B88F-0C3E6492D5F3}"/>
    <cellStyle name="千位分隔 15 8 2" xfId="34708" xr:uid="{AE9464CF-1824-4B13-8CCD-E4D069C50C88}"/>
    <cellStyle name="千位分隔 16" xfId="29616" xr:uid="{401E3537-87A0-4B8C-97FB-B0FC40A13615}"/>
    <cellStyle name="千位分隔 16 2" xfId="29617" xr:uid="{869B8EA6-1051-4742-B6DE-5F7F3B4202A3}"/>
    <cellStyle name="千位分隔 16 2 2" xfId="29618" xr:uid="{7D17704A-C58E-4E94-9BE1-39374A8BB252}"/>
    <cellStyle name="千位分隔 16 2 2 2" xfId="29619" xr:uid="{60942ABD-81D4-437E-B29F-B6E5310215F1}"/>
    <cellStyle name="千位分隔 16 2 3" xfId="29620" xr:uid="{663944E6-AC8E-435C-ADAC-6B0A464C2518}"/>
    <cellStyle name="千位分隔 16 2 4" xfId="29621" xr:uid="{DA2B63CA-9857-4AB5-A47C-74039DFE2104}"/>
    <cellStyle name="千位分隔 16 2 5" xfId="29622" xr:uid="{E25F1CFF-0A40-49A3-9430-98CB852268E4}"/>
    <cellStyle name="千位分隔 16 2 5 2" xfId="34709" xr:uid="{598EF598-0A59-404F-9628-8FA9F9B9E56A}"/>
    <cellStyle name="千位分隔 16 2 6" xfId="29623" xr:uid="{4064F94D-B03A-4408-9764-84CE31F9DD7D}"/>
    <cellStyle name="千位分隔 16 2 6 2" xfId="34710" xr:uid="{A2CE855E-573A-43E2-9907-36BB730E7DAE}"/>
    <cellStyle name="千位分隔 16 3" xfId="29624" xr:uid="{7A5CA5B9-30B2-4B26-B658-EA3B285ECE9E}"/>
    <cellStyle name="千位分隔 16 3 2" xfId="29625" xr:uid="{BE9D8411-C3DA-4352-ACE3-8AD684D6F6F4}"/>
    <cellStyle name="千位分隔 16 4" xfId="29626" xr:uid="{E8CCE91B-899A-4F2F-8732-BB1035DCEDA9}"/>
    <cellStyle name="千位分隔 16 5" xfId="29627" xr:uid="{B8795DAD-4B9E-42EA-8A31-6745970C21AD}"/>
    <cellStyle name="千位分隔 16 6" xfId="29628" xr:uid="{3585386C-E955-4B27-A7D7-AD296BC3446B}"/>
    <cellStyle name="千位分隔 16 6 2" xfId="34711" xr:uid="{E1D731BA-B2A3-4E05-8A42-CBCAEFD15CDF}"/>
    <cellStyle name="千位分隔 16 7" xfId="29629" xr:uid="{7F211838-6471-4965-86A0-832DDED5A3BE}"/>
    <cellStyle name="千位分隔 16 7 2" xfId="34712" xr:uid="{4DE5B47F-EA27-4A50-ADDA-4E38F4F937C9}"/>
    <cellStyle name="千位分隔 17" xfId="29630" xr:uid="{F71A720C-4309-4E5A-B639-FA98C2BACF80}"/>
    <cellStyle name="千位分隔 17 2" xfId="29631" xr:uid="{1E105DDC-27DF-49BD-B289-CFC3C002F959}"/>
    <cellStyle name="千位分隔 17 2 2" xfId="29632" xr:uid="{AA69C66A-8114-4087-AA5E-1A7DA7A6BE88}"/>
    <cellStyle name="千位分隔 17 3" xfId="29633" xr:uid="{81FD51B7-67B0-49FD-9C68-9D3E91D5C2A7}"/>
    <cellStyle name="千位分隔 17 4" xfId="29634" xr:uid="{11A5E53D-024E-4BBB-BC93-ACCA0F068629}"/>
    <cellStyle name="千位分隔 17 5" xfId="29635" xr:uid="{8288D70D-4327-4827-A504-FEC4B89EF701}"/>
    <cellStyle name="千位分隔 17 5 2" xfId="34713" xr:uid="{D4230C15-0307-4DF4-827E-8185C75674AF}"/>
    <cellStyle name="千位分隔 17 6" xfId="29636" xr:uid="{2553514B-90A6-45DC-8AD3-8E3E751EE638}"/>
    <cellStyle name="千位分隔 17 6 2" xfId="34714" xr:uid="{541733B4-9B82-4C0D-8DBC-1C8AD66C341E}"/>
    <cellStyle name="千位分隔 17 7" xfId="29637" xr:uid="{EDFD7FAE-DD05-4154-B3D1-F1D5E30BB202}"/>
    <cellStyle name="千位分隔 18" xfId="29638" xr:uid="{D750B0D5-6462-4348-A138-E6DA1F78D01B}"/>
    <cellStyle name="千位分隔 18 2" xfId="29639" xr:uid="{68AB4334-D27B-4DCE-A5C2-9C5AA0309C3A}"/>
    <cellStyle name="千位分隔 18 3" xfId="29640" xr:uid="{105F78BB-057C-4907-9811-25011C028EC3}"/>
    <cellStyle name="千位分隔 18 4" xfId="29641" xr:uid="{7D4403DE-0258-4C58-952D-A7565A58F945}"/>
    <cellStyle name="千位分隔 19" xfId="29642" xr:uid="{B246FF13-FECD-4F72-A53A-EA19DA5B4F00}"/>
    <cellStyle name="千位分隔 19 2" xfId="29643" xr:uid="{DF8BD873-B88F-415A-9A42-F5447A815F35}"/>
    <cellStyle name="千位分隔 19 2 2" xfId="29644" xr:uid="{AA9D2DC4-38FD-489B-BB96-43B26ACBF75A}"/>
    <cellStyle name="千位分隔 19 3" xfId="29645" xr:uid="{3E371C22-DD9E-4D7F-97E5-20BE3FDD3941}"/>
    <cellStyle name="千位分隔 2" xfId="3" xr:uid="{5151E74E-F179-4A54-A644-4A35280CAC56}"/>
    <cellStyle name="千位分隔 2 10" xfId="29647" xr:uid="{A83380D4-7223-4B60-A896-C5432C0D4254}"/>
    <cellStyle name="千位分隔 2 10 10" xfId="29648" xr:uid="{FDA3B2C0-1205-45CD-AB50-8043E32C3039}"/>
    <cellStyle name="千位分隔 2 10 2" xfId="29649" xr:uid="{FBDD113F-5357-47AD-9C70-E077567D2872}"/>
    <cellStyle name="千位分隔 2 10 2 2" xfId="29650" xr:uid="{A712FA2E-3B5F-4AE0-92F8-BFD9DD0C9AF3}"/>
    <cellStyle name="千位分隔 2 10 2 2 2" xfId="29651" xr:uid="{959F6F45-DE65-4394-9AD4-D1F76607D53F}"/>
    <cellStyle name="千位分隔 2 10 2 3" xfId="29652" xr:uid="{53C9855D-C356-422E-B7D6-FEB35CEA244A}"/>
    <cellStyle name="千位分隔 2 10 2 3 2" xfId="29653" xr:uid="{291DBED2-52C1-4933-BE3C-0ADF2A8DFEA7}"/>
    <cellStyle name="千位分隔 2 10 2 3 3" xfId="29654" xr:uid="{3AED03B7-4DF9-4236-905D-4BDBCBAC46D4}"/>
    <cellStyle name="千位分隔 2 10 2 3 4" xfId="29655" xr:uid="{D200A1AB-B3FF-46EE-B0B2-257467A86A0F}"/>
    <cellStyle name="千位分隔 2 10 2 3 5" xfId="29656" xr:uid="{39984D2F-2877-433D-8137-9ABCC180A263}"/>
    <cellStyle name="千位分隔 2 10 2 3 6" xfId="29657" xr:uid="{A985AB37-1AD1-4536-8530-3CFE140BAB9E}"/>
    <cellStyle name="千位分隔 2 10 2 4" xfId="29658" xr:uid="{1BEE5392-8EBD-4682-B0AD-5A7A59C5E628}"/>
    <cellStyle name="千位分隔 2 10 2 5" xfId="29659" xr:uid="{419EC01A-E595-4527-8285-7793AA4575ED}"/>
    <cellStyle name="千位分隔 2 10 2 6" xfId="29660" xr:uid="{FD710287-DB47-4C33-8983-1740E1107194}"/>
    <cellStyle name="千位分隔 2 10 2 7" xfId="29661" xr:uid="{3C30AB40-5B93-42A9-AA8F-EBE0080D12C8}"/>
    <cellStyle name="千位分隔 2 10 2 8" xfId="29662" xr:uid="{72489DE4-E949-4398-8C2E-D923455DE2C3}"/>
    <cellStyle name="千位分隔 2 10 2 9" xfId="29663" xr:uid="{1B5D9D89-0813-4B5F-9176-78DA1D26B64A}"/>
    <cellStyle name="千位分隔 2 10 3" xfId="29664" xr:uid="{41388824-16D9-4FD4-8449-9600149586A6}"/>
    <cellStyle name="千位分隔 2 10 3 2" xfId="29665" xr:uid="{F2B8E71A-C84D-49B3-A3CA-3FE8DF19F669}"/>
    <cellStyle name="千位分隔 2 10 3 2 2" xfId="29666" xr:uid="{7923A0C5-3339-45F2-8DBA-3BD1361F5DEC}"/>
    <cellStyle name="千位分隔 2 10 3 2 3" xfId="29667" xr:uid="{62B263FC-2703-4BC1-AFCF-CED462E04214}"/>
    <cellStyle name="千位分隔 2 10 3 2 4" xfId="29668" xr:uid="{BEAB2E51-F0E1-4D47-9ACE-0E7E55CFF429}"/>
    <cellStyle name="千位分隔 2 10 3 2 5" xfId="29669" xr:uid="{04CA93C6-4D8F-4BCD-90DE-3F4EBFEC8320}"/>
    <cellStyle name="千位分隔 2 10 3 2 6" xfId="29670" xr:uid="{88604730-F2A4-4B5F-94FE-6CACC86ABFEB}"/>
    <cellStyle name="千位分隔 2 10 3 3" xfId="29671" xr:uid="{FB6A7D9C-5B95-46A8-8CC4-950061339BB7}"/>
    <cellStyle name="千位分隔 2 10 3 4" xfId="29672" xr:uid="{BF12FC2D-B4DA-4E33-AF1E-FF30804DD3F7}"/>
    <cellStyle name="千位分隔 2 10 3 5" xfId="29673" xr:uid="{9C845B2F-6C8A-4AA2-83B0-5F8B885C8972}"/>
    <cellStyle name="千位分隔 2 10 3 6" xfId="29674" xr:uid="{AA6FAE7F-7A99-4092-8133-5D2097DFADAD}"/>
    <cellStyle name="千位分隔 2 10 3 7" xfId="29675" xr:uid="{B8642043-D8A7-404A-B64C-9697B32EA7E0}"/>
    <cellStyle name="千位分隔 2 10 3 8" xfId="29676" xr:uid="{EC1734DB-6628-4CA0-A5C4-C7BBD814736F}"/>
    <cellStyle name="千位分隔 2 10 4" xfId="29677" xr:uid="{930B3E43-2D3D-4180-A772-C0E47CB340F4}"/>
    <cellStyle name="千位分隔 2 10 4 2" xfId="29678" xr:uid="{A0E51D90-819C-4F45-B7FC-277ED697F6DF}"/>
    <cellStyle name="千位分隔 2 10 4 3" xfId="29679" xr:uid="{E2DF1762-C5C9-4CC1-8A62-6CABB22B5525}"/>
    <cellStyle name="千位分隔 2 10 4 4" xfId="29680" xr:uid="{504C4689-6229-43CB-982E-E74BCA248094}"/>
    <cellStyle name="千位分隔 2 10 4 5" xfId="29681" xr:uid="{4174772B-2D2D-49FC-AD61-457F5F88C564}"/>
    <cellStyle name="千位分隔 2 10 4 6" xfId="29682" xr:uid="{47C696C3-CA6A-4B30-8DE3-DE580ACE9C6C}"/>
    <cellStyle name="千位分隔 2 10 4 7" xfId="29683" xr:uid="{1D7DBD76-F35C-4D8F-AA18-78D1421362D9}"/>
    <cellStyle name="千位分隔 2 10 5" xfId="29684" xr:uid="{39573C19-73CB-44A4-B613-1F0B756D0365}"/>
    <cellStyle name="千位分隔 2 10 6" xfId="29685" xr:uid="{8BD148DC-B50F-4E34-8786-331B2A4EFD73}"/>
    <cellStyle name="千位分隔 2 10 7" xfId="29686" xr:uid="{E5F13674-A962-437D-8F95-49AD6A108F4A}"/>
    <cellStyle name="千位分隔 2 10 8" xfId="29687" xr:uid="{1D67EEBF-3FE7-48FD-9901-47C7C48AB5F1}"/>
    <cellStyle name="千位分隔 2 10 9" xfId="29688" xr:uid="{CB4EBBC3-3CE5-41A5-8E3C-71324138D3EF}"/>
    <cellStyle name="千位分隔 2 11" xfId="29689" xr:uid="{487CF0D0-56B6-486B-B796-218B99BDCAB9}"/>
    <cellStyle name="千位分隔 2 11 2" xfId="29690" xr:uid="{615241E6-9D76-4B00-92D3-C686BDC9CDBA}"/>
    <cellStyle name="千位分隔 2 11 2 2" xfId="29691" xr:uid="{0ED5692B-51FC-439E-8BB7-5510573C6202}"/>
    <cellStyle name="千位分隔 2 11 2 2 2" xfId="29692" xr:uid="{21E2D082-11C6-4FA1-9FD0-12700D060EC3}"/>
    <cellStyle name="千位分隔 2 11 2 3" xfId="29693" xr:uid="{DCFD4326-8949-4058-BC75-49BA3BC8510E}"/>
    <cellStyle name="千位分隔 2 11 3" xfId="29694" xr:uid="{055CBAC7-F57F-4EA3-9FEF-5DED7D6F35EC}"/>
    <cellStyle name="千位分隔 2 11 3 2" xfId="29695" xr:uid="{C138D2F7-5335-4B6B-BC78-7E99B42DE7B1}"/>
    <cellStyle name="千位分隔 2 11 3 3" xfId="29696" xr:uid="{FD00360F-A493-4E52-BB71-E9BC279563FE}"/>
    <cellStyle name="千位分隔 2 11 3 4" xfId="29697" xr:uid="{3B47CF5C-05B1-4B11-BF61-9CA4C241131D}"/>
    <cellStyle name="千位分隔 2 11 3 5" xfId="29698" xr:uid="{134CB408-9CAE-4040-A85C-452598484705}"/>
    <cellStyle name="千位分隔 2 11 3 6" xfId="29699" xr:uid="{6C3E514D-C5BE-43AF-9438-029A652261AC}"/>
    <cellStyle name="千位分隔 2 11 3 7" xfId="29700" xr:uid="{600B40BE-52FB-40AF-928A-08DCD8395E55}"/>
    <cellStyle name="千位分隔 2 11 4" xfId="29701" xr:uid="{FFC89A5B-843B-46EB-BD05-71B1F3C92C65}"/>
    <cellStyle name="千位分隔 2 11 5" xfId="29702" xr:uid="{35A68679-B336-4412-B07F-4DA395EF9BC5}"/>
    <cellStyle name="千位分隔 2 11 6" xfId="29703" xr:uid="{B3F9E085-B683-4061-B366-5CA49D6273E1}"/>
    <cellStyle name="千位分隔 2 11 7" xfId="29704" xr:uid="{AA5748C3-99C7-4ACD-924F-148A4DFFA298}"/>
    <cellStyle name="千位分隔 2 11 8" xfId="29705" xr:uid="{A91B5EE3-E64B-40C0-8D7A-513A5A529D46}"/>
    <cellStyle name="千位分隔 2 11 9" xfId="29706" xr:uid="{5ECB4C9D-0AF6-4938-BEEB-406D3A791977}"/>
    <cellStyle name="千位分隔 2 12" xfId="29707" xr:uid="{E621C7F8-5DE8-48FD-A678-DB17A032307B}"/>
    <cellStyle name="千位分隔 2 12 2" xfId="29708" xr:uid="{A349E2D9-5893-4716-8D5F-EA500CA1E4EF}"/>
    <cellStyle name="千位分隔 2 12 2 2" xfId="29709" xr:uid="{BB4F3CFE-9A9C-4847-9651-FF55366CD701}"/>
    <cellStyle name="千位分隔 2 12 3" xfId="29710" xr:uid="{B96C96B4-8121-4D76-B89E-755BB90347EA}"/>
    <cellStyle name="千位分隔 2 12 4" xfId="29711" xr:uid="{B568B8EA-9429-4540-9266-709F378EB964}"/>
    <cellStyle name="千位分隔 2 12 5" xfId="29712" xr:uid="{EF4AE327-4402-4555-B353-EC8A333C82CF}"/>
    <cellStyle name="千位分隔 2 12 5 2" xfId="34715" xr:uid="{1E77A506-1095-4AC5-BCB8-F565E6C3A358}"/>
    <cellStyle name="千位分隔 2 12 6" xfId="29713" xr:uid="{A36F8985-8F23-44C1-8C44-948C8481C29A}"/>
    <cellStyle name="千位分隔 2 12 6 2" xfId="34716" xr:uid="{EEC07CFA-D962-447F-87A2-7CF395B81D94}"/>
    <cellStyle name="千位分隔 2 13" xfId="29714" xr:uid="{1818D420-F2B1-4B8C-BC1B-138EEA5CC2F8}"/>
    <cellStyle name="千位分隔 2 13 2" xfId="29715" xr:uid="{331EEA6E-CEF9-46F5-BD95-532CB5DDBB1B}"/>
    <cellStyle name="千位分隔 2 13 2 2" xfId="29716" xr:uid="{99F0947B-832A-4698-AA7C-40C447372BF7}"/>
    <cellStyle name="千位分隔 2 13 3" xfId="29717" xr:uid="{217F4F08-28AD-431C-A775-45BAEC5F953F}"/>
    <cellStyle name="千位分隔 2 13 4" xfId="29718" xr:uid="{D72AF8E2-B795-480B-9E1D-3B8649D98E26}"/>
    <cellStyle name="千位分隔 2 13 5" xfId="29719" xr:uid="{CCE3B8C1-7CC0-4F53-8230-A83C06C4F280}"/>
    <cellStyle name="千位分隔 2 13 5 2" xfId="34717" xr:uid="{CD53CCB4-7CA7-4126-90FF-35612C782DA8}"/>
    <cellStyle name="千位分隔 2 13 6" xfId="29720" xr:uid="{BC891B78-3156-401A-B030-2F0256E71D29}"/>
    <cellStyle name="千位分隔 2 13 6 2" xfId="34718" xr:uid="{1349A70D-BB5C-4B82-B397-2917CF3CA26D}"/>
    <cellStyle name="千位分隔 2 14" xfId="29721" xr:uid="{ED7E336D-F5D2-489F-AD11-8EC750F1ACBA}"/>
    <cellStyle name="千位分隔 2 15" xfId="29722" xr:uid="{CA3D7002-231C-4183-BF03-2792696D7701}"/>
    <cellStyle name="千位分隔 2 15 2" xfId="29723" xr:uid="{8199B10E-DCEE-449B-99FD-AB0BC287004D}"/>
    <cellStyle name="千位分隔 2 16" xfId="29646" xr:uid="{E4FA76DD-E765-4DD7-9B9B-8EBF012A4725}"/>
    <cellStyle name="千位分隔 2 2" xfId="29724" xr:uid="{7FEBF306-3341-4A85-A04C-EAF1DBDA21EC}"/>
    <cellStyle name="千位分隔 2 2 10" xfId="29725" xr:uid="{0498263D-2A94-4AD9-9580-D28CA0135115}"/>
    <cellStyle name="千位分隔 2 2 10 2" xfId="29726" xr:uid="{53C1B40D-9765-4F75-AF86-B00EC5DB4F55}"/>
    <cellStyle name="千位分隔 2 2 10 2 2" xfId="29727" xr:uid="{79A13582-C199-4542-985D-1EF7A99AE00D}"/>
    <cellStyle name="千位分隔 2 2 11" xfId="29728" xr:uid="{4E60E9A8-FEB8-4FCE-A13A-154B5285CAF3}"/>
    <cellStyle name="千位分隔 2 2 11 2" xfId="29729" xr:uid="{D3441F92-7689-48B4-B8F4-FEE4E9667611}"/>
    <cellStyle name="千位分隔 2 2 12" xfId="29730" xr:uid="{16C57CAE-BCD8-4205-96A3-A5F99BF9F9CB}"/>
    <cellStyle name="千位分隔 2 2 12 2" xfId="29731" xr:uid="{D7AF7CE4-2F39-4B98-AD1F-3C468DB1CA03}"/>
    <cellStyle name="千位分隔 2 2 13" xfId="29732" xr:uid="{41863D9F-3DCB-4D24-86B1-49C5E86264FB}"/>
    <cellStyle name="千位分隔 2 2 13 2" xfId="34719" xr:uid="{378119C7-CE2B-49E9-A18C-C6CE3A5A2532}"/>
    <cellStyle name="千位分隔 2 2 14" xfId="29733" xr:uid="{2EB4BDC4-D7B3-4AD3-B656-932191876896}"/>
    <cellStyle name="千位分隔 2 2 14 2" xfId="34720" xr:uid="{45CF7BBC-3F7B-43AF-B5D5-B3BB4A889934}"/>
    <cellStyle name="千位分隔 2 2 15" xfId="29734" xr:uid="{15784AA3-3CBA-4D77-A24B-BE39AAD32F9B}"/>
    <cellStyle name="千位分隔 2 2 16" xfId="34721" xr:uid="{F51B1BBE-2EA3-4EE4-9982-0476A6A7CF23}"/>
    <cellStyle name="千位分隔 2 2 2" xfId="29735" xr:uid="{65CAB751-A5A8-49EA-9953-F3EBE330A9C7}"/>
    <cellStyle name="千位分隔 2 2 2 10" xfId="29736" xr:uid="{77BC90E5-4897-4CBF-8130-9FFB25606CCB}"/>
    <cellStyle name="千位分隔 2 2 2 10 2" xfId="29737" xr:uid="{37F7F920-C9F8-4815-937D-5E3AF12932C4}"/>
    <cellStyle name="千位分隔 2 2 2 11" xfId="29738" xr:uid="{4F901D20-E448-412B-8D62-636F91C9037F}"/>
    <cellStyle name="千位分隔 2 2 2 11 2" xfId="34722" xr:uid="{ECAC49D6-D3EA-4C66-B65A-C9E449B087FB}"/>
    <cellStyle name="千位分隔 2 2 2 12" xfId="29739" xr:uid="{807B9503-8B62-4FF6-8EAE-0730DF705721}"/>
    <cellStyle name="千位分隔 2 2 2 12 2" xfId="34723" xr:uid="{137FC0EC-1C33-4E3C-A329-EF288FDE5D5C}"/>
    <cellStyle name="千位分隔 2 2 2 13" xfId="29740" xr:uid="{50096B00-CBFC-4566-861F-E3D55E7C2691}"/>
    <cellStyle name="千位分隔 2 2 2 2" xfId="29741" xr:uid="{B41EF226-8DA0-48F1-8567-ECECD93BC406}"/>
    <cellStyle name="千位分隔 2 2 2 2 10" xfId="29742" xr:uid="{33706F43-FC84-405D-93FC-59247FFE446A}"/>
    <cellStyle name="千位分隔 2 2 2 2 10 2" xfId="34724" xr:uid="{62BBB4F4-05E6-4424-AAD9-E63812037A41}"/>
    <cellStyle name="千位分隔 2 2 2 2 11" xfId="29743" xr:uid="{47377AF6-EE7D-4515-ACFB-5029A491857F}"/>
    <cellStyle name="千位分隔 2 2 2 2 2" xfId="29744" xr:uid="{9BD20859-C9FB-4876-97D4-468B12162103}"/>
    <cellStyle name="千位分隔 2 2 2 2 2 10" xfId="29745" xr:uid="{84599FD8-1D5F-4AE3-8F0B-710540A0BB8F}"/>
    <cellStyle name="千位分隔 2 2 2 2 2 2" xfId="29746" xr:uid="{C51FFF3F-D685-4D97-9949-CF3FB749115F}"/>
    <cellStyle name="千位分隔 2 2 2 2 2 2 2" xfId="29747" xr:uid="{90576133-5F83-4640-B615-F5F3958E3F89}"/>
    <cellStyle name="千位分隔 2 2 2 2 2 2 2 2" xfId="29748" xr:uid="{C837F5D1-F48A-4D40-89CB-2A7EAAF9984B}"/>
    <cellStyle name="千位分隔 2 2 2 2 2 2 2 2 2" xfId="29749" xr:uid="{9B3ADEC5-C8D4-4DD2-8DF8-11C9FEAD500B}"/>
    <cellStyle name="千位分隔 2 2 2 2 2 2 2 3" xfId="29750" xr:uid="{0347CF84-D97D-4CF5-A8CC-B20F0BC569D3}"/>
    <cellStyle name="千位分隔 2 2 2 2 2 2 2 4" xfId="29751" xr:uid="{4F9B7743-164E-4EBE-ADD6-5CA93101FECF}"/>
    <cellStyle name="千位分隔 2 2 2 2 2 2 2 5" xfId="29752" xr:uid="{694328ED-FD28-4CA3-944D-D79C6B828BFA}"/>
    <cellStyle name="千位分隔 2 2 2 2 2 2 2 5 2" xfId="34725" xr:uid="{B8A16287-DDDE-462A-BBEE-54999BF100E7}"/>
    <cellStyle name="千位分隔 2 2 2 2 2 2 2 6" xfId="29753" xr:uid="{F658ECED-09D6-4A9C-8675-26C7F6958C58}"/>
    <cellStyle name="千位分隔 2 2 2 2 2 2 2 6 2" xfId="34726" xr:uid="{547F69A9-B14B-48C2-8001-465747CD0363}"/>
    <cellStyle name="千位分隔 2 2 2 2 2 2 3" xfId="29754" xr:uid="{5E193CBD-5DED-4749-BC8A-8E20D5DF7F6B}"/>
    <cellStyle name="千位分隔 2 2 2 2 2 2 3 2" xfId="29755" xr:uid="{ED4B4218-547F-42B7-89C6-5A76149639F7}"/>
    <cellStyle name="千位分隔 2 2 2 2 2 2 3 2 2" xfId="29756" xr:uid="{A883BC0F-410F-4E52-A1F6-10CADE747CA7}"/>
    <cellStyle name="千位分隔 2 2 2 2 2 2 3 3" xfId="29757" xr:uid="{B47239CD-BAD4-4DB5-A189-CC6623151405}"/>
    <cellStyle name="千位分隔 2 2 2 2 2 2 3 4" xfId="29758" xr:uid="{E1CB7DB7-947D-4016-B6C8-03105E38B601}"/>
    <cellStyle name="千位分隔 2 2 2 2 2 2 3 5" xfId="29759" xr:uid="{3CA603DD-34D4-4253-B3C4-F329FCD6C9F8}"/>
    <cellStyle name="千位分隔 2 2 2 2 2 2 3 5 2" xfId="34727" xr:uid="{5C29A8ED-2C2D-40F6-96A0-FA92F0F9CA9B}"/>
    <cellStyle name="千位分隔 2 2 2 2 2 2 3 6" xfId="29760" xr:uid="{A393BAD8-6C16-40BC-A58C-1BE3803CF3F7}"/>
    <cellStyle name="千位分隔 2 2 2 2 2 2 3 6 2" xfId="34728" xr:uid="{95512C91-EE41-4051-AA55-9CFFF386FCF3}"/>
    <cellStyle name="千位分隔 2 2 2 2 2 2 4" xfId="29761" xr:uid="{72161483-8F3A-4BE3-B376-5EE2E52D2C6B}"/>
    <cellStyle name="千位分隔 2 2 2 2 2 2 4 2" xfId="29762" xr:uid="{D9824CC2-900A-4888-9824-5AA1ACCAAA2B}"/>
    <cellStyle name="千位分隔 2 2 2 2 2 2 5" xfId="29763" xr:uid="{D0D4D9F7-AD86-4163-840C-8B1F8D668C16}"/>
    <cellStyle name="千位分隔 2 2 2 2 2 2 6" xfId="29764" xr:uid="{0ECC8A17-E878-4821-9BB1-06BAE874538E}"/>
    <cellStyle name="千位分隔 2 2 2 2 2 2 7" xfId="29765" xr:uid="{0B8089BD-8AF5-4A07-B167-EDB3680FC826}"/>
    <cellStyle name="千位分隔 2 2 2 2 2 2 7 2" xfId="34729" xr:uid="{E682C2E0-1816-4F9D-9D9B-3F25DBEF3221}"/>
    <cellStyle name="千位分隔 2 2 2 2 2 2 8" xfId="29766" xr:uid="{314C0F02-00FB-442A-BAEA-E9A57F8B58BE}"/>
    <cellStyle name="千位分隔 2 2 2 2 2 2 8 2" xfId="34730" xr:uid="{98CEAAA3-6E23-4D7F-ACCF-59FD08FF2934}"/>
    <cellStyle name="千位分隔 2 2 2 2 2 2 9" xfId="29767" xr:uid="{3FED19B6-B82A-4DD9-9CAB-2A83D7993061}"/>
    <cellStyle name="千位分隔 2 2 2 2 2 3" xfId="29768" xr:uid="{D12731E9-B7CC-4D32-B80F-B5D57C7384C1}"/>
    <cellStyle name="千位分隔 2 2 2 2 2 3 2" xfId="29769" xr:uid="{21895F0D-443D-442A-8925-F8BB452F3808}"/>
    <cellStyle name="千位分隔 2 2 2 2 2 3 2 2" xfId="29770" xr:uid="{381FF783-756E-4E23-B7CE-25CCADC9F45F}"/>
    <cellStyle name="千位分隔 2 2 2 2 2 3 3" xfId="29771" xr:uid="{7E3BEAC1-7988-4716-8920-B14036947471}"/>
    <cellStyle name="千位分隔 2 2 2 2 2 3 3 2" xfId="29772" xr:uid="{8ABC6596-46E2-46DF-A29B-21CE1E645EB5}"/>
    <cellStyle name="千位分隔 2 2 2 2 2 3 4" xfId="29773" xr:uid="{5FA16DF4-5030-4C4D-9268-C25D194C953F}"/>
    <cellStyle name="千位分隔 2 2 2 2 2 3 4 2" xfId="29774" xr:uid="{1A180907-BBCB-4842-807D-82375F2B175D}"/>
    <cellStyle name="千位分隔 2 2 2 2 2 3 5" xfId="29775" xr:uid="{B2B3E4F7-1591-4599-8E77-1772EE6D16A9}"/>
    <cellStyle name="千位分隔 2 2 2 2 2 3 5 2" xfId="34731" xr:uid="{E4F5F845-91FC-48B5-932A-783B280B0DC8}"/>
    <cellStyle name="千位分隔 2 2 2 2 2 3 6" xfId="29776" xr:uid="{6F08AEC8-0AA6-49D0-A6DF-E0D4C0967735}"/>
    <cellStyle name="千位分隔 2 2 2 2 2 3 6 2" xfId="34732" xr:uid="{86A0FF0D-9FE8-4679-A42A-B962BF3EFE1B}"/>
    <cellStyle name="千位分隔 2 2 2 2 2 3 7" xfId="29777" xr:uid="{5947AFF9-3FDA-47F8-B063-68ECCC2A1B76}"/>
    <cellStyle name="千位分隔 2 2 2 2 2 4" xfId="29778" xr:uid="{23538FA2-0EA3-4A88-90AD-780D2A0E3179}"/>
    <cellStyle name="千位分隔 2 2 2 2 2 4 2" xfId="29779" xr:uid="{067BF144-AEC0-4E41-A4FA-5DF2AE488B7B}"/>
    <cellStyle name="千位分隔 2 2 2 2 2 4 2 2" xfId="29780" xr:uid="{5286348F-1D8C-4D11-B5BE-26EED1D17E4B}"/>
    <cellStyle name="千位分隔 2 2 2 2 2 4 3" xfId="29781" xr:uid="{E9043EA6-E297-4708-AC01-8688EC93294F}"/>
    <cellStyle name="千位分隔 2 2 2 2 2 4 4" xfId="29782" xr:uid="{A9A8563D-4249-4B47-9468-5D768BD561AA}"/>
    <cellStyle name="千位分隔 2 2 2 2 2 4 5" xfId="29783" xr:uid="{985FE5D7-A69E-42EF-BF35-72A335142E2B}"/>
    <cellStyle name="千位分隔 2 2 2 2 2 4 5 2" xfId="34733" xr:uid="{8D97A118-82CD-4E13-9A48-B3F59B73BAE9}"/>
    <cellStyle name="千位分隔 2 2 2 2 2 4 6" xfId="29784" xr:uid="{F818F538-EC99-458D-B68E-7B1C7B339A9C}"/>
    <cellStyle name="千位分隔 2 2 2 2 2 4 6 2" xfId="34734" xr:uid="{7B0E0F37-3B71-4F45-91CC-85CF70DBA42B}"/>
    <cellStyle name="千位分隔 2 2 2 2 2 4 7" xfId="29785" xr:uid="{5A0D0265-0C36-4FCC-A9AA-CA2F06E22C43}"/>
    <cellStyle name="千位分隔 2 2 2 2 2 5" xfId="29786" xr:uid="{626BB82A-6FB1-44E4-9C74-F65C5C78C2EA}"/>
    <cellStyle name="千位分隔 2 2 2 2 2 5 2" xfId="29787" xr:uid="{62D04DCD-94E1-40F3-BB8E-DC3BBDF004EE}"/>
    <cellStyle name="千位分隔 2 2 2 2 2 6" xfId="29788" xr:uid="{B7957142-A50A-4606-A985-7D5C244579A6}"/>
    <cellStyle name="千位分隔 2 2 2 2 2 6 2" xfId="29789" xr:uid="{806E8BDF-8123-40CD-90C2-EB12A6B56E81}"/>
    <cellStyle name="千位分隔 2 2 2 2 2 7" xfId="29790" xr:uid="{2700258A-47DE-4533-A04F-01AA1E94F080}"/>
    <cellStyle name="千位分隔 2 2 2 2 2 7 2" xfId="29791" xr:uid="{65D8C42D-B011-4138-B921-87F92555B77B}"/>
    <cellStyle name="千位分隔 2 2 2 2 2 8" xfId="29792" xr:uid="{B03F26F4-4811-4927-992E-74179DA37DC0}"/>
    <cellStyle name="千位分隔 2 2 2 2 2 8 2" xfId="34735" xr:uid="{5CBB01FA-176D-4ABF-824A-8E0DBFE41E54}"/>
    <cellStyle name="千位分隔 2 2 2 2 2 9" xfId="29793" xr:uid="{AA900670-DD5A-46C6-96C0-38C06212E56D}"/>
    <cellStyle name="千位分隔 2 2 2 2 2 9 2" xfId="34736" xr:uid="{A2057789-1E85-4ACB-8B84-30EA02B901AE}"/>
    <cellStyle name="千位分隔 2 2 2 2 3" xfId="29794" xr:uid="{CAA96B2E-4F4E-4B3D-8537-9DF222B13FD7}"/>
    <cellStyle name="千位分隔 2 2 2 2 3 2" xfId="29795" xr:uid="{C0B9EF6F-F2E5-45BC-AC7D-B750279690F1}"/>
    <cellStyle name="千位分隔 2 2 2 2 3 2 2" xfId="29796" xr:uid="{BD0E8CA3-E1AD-4984-A6E0-83DBE082F0FB}"/>
    <cellStyle name="千位分隔 2 2 2 2 3 2 2 2" xfId="29797" xr:uid="{0D802E97-BDDD-4ABC-AA45-132A63C40603}"/>
    <cellStyle name="千位分隔 2 2 2 2 3 2 3" xfId="29798" xr:uid="{736DADB3-FD03-4D9F-9A58-F9A8B20BDBFA}"/>
    <cellStyle name="千位分隔 2 2 2 2 3 2 3 2" xfId="29799" xr:uid="{B91CFE2B-11E5-449D-9004-EC0CCB6379DF}"/>
    <cellStyle name="千位分隔 2 2 2 2 3 2 4" xfId="29800" xr:uid="{4713D5DA-FE38-471E-9825-AE8CF349F755}"/>
    <cellStyle name="千位分隔 2 2 2 2 3 2 4 2" xfId="29801" xr:uid="{ED7AE90B-0955-42D9-BA07-3564928BDC20}"/>
    <cellStyle name="千位分隔 2 2 2 2 3 2 5" xfId="29802" xr:uid="{C7324AFE-580C-4B26-8C3C-C41660F37D02}"/>
    <cellStyle name="千位分隔 2 2 2 2 3 2 5 2" xfId="34737" xr:uid="{7D63963C-936F-49B4-8629-82E9FC33C263}"/>
    <cellStyle name="千位分隔 2 2 2 2 3 2 6" xfId="29803" xr:uid="{C47507CD-71F1-4F70-A291-C5F9D9029DAF}"/>
    <cellStyle name="千位分隔 2 2 2 2 3 2 6 2" xfId="34738" xr:uid="{677A08D7-755D-4BFA-B8ED-73A4B608BB76}"/>
    <cellStyle name="千位分隔 2 2 2 2 3 2 7" xfId="29804" xr:uid="{339DAFBE-85F4-484A-A122-B8DDCE90982D}"/>
    <cellStyle name="千位分隔 2 2 2 2 3 3" xfId="29805" xr:uid="{76F2A805-81ED-4AC4-AF76-DDF3B753F521}"/>
    <cellStyle name="千位分隔 2 2 2 2 3 3 2" xfId="29806" xr:uid="{45A1D3F4-1362-4A20-8D58-4789E4E91817}"/>
    <cellStyle name="千位分隔 2 2 2 2 3 3 2 2" xfId="29807" xr:uid="{A6519E89-6350-4D55-9D0E-100A96877E5F}"/>
    <cellStyle name="千位分隔 2 2 2 2 3 3 3" xfId="29808" xr:uid="{EBF3C7AD-52CD-48F9-AD86-30227B4CF994}"/>
    <cellStyle name="千位分隔 2 2 2 2 3 3 4" xfId="29809" xr:uid="{8E52A8B1-07E8-4728-B3F4-944C6B9988DD}"/>
    <cellStyle name="千位分隔 2 2 2 2 3 3 5" xfId="29810" xr:uid="{6FD41234-6538-4707-888C-1DA8F0CBB42E}"/>
    <cellStyle name="千位分隔 2 2 2 2 3 3 5 2" xfId="34739" xr:uid="{5DD79C7F-55F5-4AAC-B262-944F8B3E1A5A}"/>
    <cellStyle name="千位分隔 2 2 2 2 3 3 6" xfId="29811" xr:uid="{32FC0869-FDC9-4426-AA74-EF3E6C9E7AE3}"/>
    <cellStyle name="千位分隔 2 2 2 2 3 3 6 2" xfId="34740" xr:uid="{A638C9B6-6289-4447-BA06-881811B04E5B}"/>
    <cellStyle name="千位分隔 2 2 2 2 3 3 7" xfId="29812" xr:uid="{AF12F859-6E54-47AD-8C77-9B4906803733}"/>
    <cellStyle name="千位分隔 2 2 2 2 3 4" xfId="29813" xr:uid="{9A99E86B-7D34-42C4-8AEF-0190D6B0B9AC}"/>
    <cellStyle name="千位分隔 2 2 2 2 3 4 2" xfId="29814" xr:uid="{5B902277-0024-47AD-8301-7B03DD20BC0E}"/>
    <cellStyle name="千位分隔 2 2 2 2 3 5" xfId="29815" xr:uid="{72A36398-DFBC-46C5-9D48-BDF69C17B3CE}"/>
    <cellStyle name="千位分隔 2 2 2 2 3 5 2" xfId="29816" xr:uid="{450B7770-C3CF-482F-A1AC-5E2E13BE7D18}"/>
    <cellStyle name="千位分隔 2 2 2 2 3 6" xfId="29817" xr:uid="{DFD73F0E-A2A5-4121-B8F8-0614175D7FB4}"/>
    <cellStyle name="千位分隔 2 2 2 2 3 6 2" xfId="29818" xr:uid="{04A3FFC8-ADA5-406A-8F3E-FA7E6D51C0B7}"/>
    <cellStyle name="千位分隔 2 2 2 2 3 7" xfId="29819" xr:uid="{04CD28AB-CC13-4CA3-8D9C-50D9BE718C9C}"/>
    <cellStyle name="千位分隔 2 2 2 2 3 7 2" xfId="34741" xr:uid="{F98F5E69-4EDC-4485-9B36-22CC39066CE6}"/>
    <cellStyle name="千位分隔 2 2 2 2 3 8" xfId="29820" xr:uid="{C9E7B275-312C-4B3F-9F3C-F9A572C2A922}"/>
    <cellStyle name="千位分隔 2 2 2 2 3 8 2" xfId="34742" xr:uid="{BF76C37A-A7D4-42FC-9B0A-B170FDFE7363}"/>
    <cellStyle name="千位分隔 2 2 2 2 3 9" xfId="29821" xr:uid="{DDCEAB75-881D-4B85-828A-7DD1E6C44D38}"/>
    <cellStyle name="千位分隔 2 2 2 2 4" xfId="29822" xr:uid="{72ACB619-010D-41BB-A1C3-9F276E6CD14B}"/>
    <cellStyle name="千位分隔 2 2 2 2 4 2" xfId="29823" xr:uid="{9CEEA3BD-1C26-4844-A7A0-F62722F4B6FB}"/>
    <cellStyle name="千位分隔 2 2 2 2 4 2 2" xfId="29824" xr:uid="{342B3A0D-921B-429C-8A3E-868F295B280A}"/>
    <cellStyle name="千位分隔 2 2 2 2 4 3" xfId="29825" xr:uid="{3C1F1A35-6839-4C51-935E-B25C6FEFA0F9}"/>
    <cellStyle name="千位分隔 2 2 2 2 4 3 2" xfId="29826" xr:uid="{887202F7-45C8-4A1E-A4C6-E8F469E8F763}"/>
    <cellStyle name="千位分隔 2 2 2 2 4 4" xfId="29827" xr:uid="{9ADCBA28-EFE3-4D54-931A-03F6D13C590B}"/>
    <cellStyle name="千位分隔 2 2 2 2 4 4 2" xfId="29828" xr:uid="{794B5B61-58DD-4080-805F-2C83006F3CA3}"/>
    <cellStyle name="千位分隔 2 2 2 2 4 5" xfId="29829" xr:uid="{460E33DB-40CF-4AA4-93D3-9E969A6B0EA7}"/>
    <cellStyle name="千位分隔 2 2 2 2 4 5 2" xfId="34743" xr:uid="{B3FDE9AE-B58C-4F55-8F84-F7F0E793925A}"/>
    <cellStyle name="千位分隔 2 2 2 2 4 6" xfId="29830" xr:uid="{50D77887-5F96-48C7-98D4-E3381BD215F3}"/>
    <cellStyle name="千位分隔 2 2 2 2 4 6 2" xfId="34744" xr:uid="{B14B8E6B-A21F-45AA-A8C3-BDFC90763369}"/>
    <cellStyle name="千位分隔 2 2 2 2 4 7" xfId="29831" xr:uid="{81DD89C5-ADF0-4374-A1FA-5A824F800966}"/>
    <cellStyle name="千位分隔 2 2 2 2 5" xfId="29832" xr:uid="{A1FFE4D7-7A91-47B6-98C2-AEF654C37AEA}"/>
    <cellStyle name="千位分隔 2 2 2 2 5 2" xfId="29833" xr:uid="{ED7FC45A-A615-4E5E-A397-28BCBA255BCC}"/>
    <cellStyle name="千位分隔 2 2 2 2 5 2 2" xfId="29834" xr:uid="{D118C919-B005-49C5-893D-C598861553B8}"/>
    <cellStyle name="千位分隔 2 2 2 2 5 3" xfId="29835" xr:uid="{8031394D-97C6-4DEF-9F96-08E3CEDF135A}"/>
    <cellStyle name="千位分隔 2 2 2 2 5 4" xfId="29836" xr:uid="{1A64BF15-4ABD-4385-9391-576EDE7F0F38}"/>
    <cellStyle name="千位分隔 2 2 2 2 5 5" xfId="29837" xr:uid="{D6AE7E13-FA69-433B-97D1-74EB5F5BFA98}"/>
    <cellStyle name="千位分隔 2 2 2 2 5 5 2" xfId="34745" xr:uid="{4EEB97EC-9761-419F-BB29-85A1BEC45422}"/>
    <cellStyle name="千位分隔 2 2 2 2 5 6" xfId="29838" xr:uid="{98BA1ACC-41AD-4419-9C71-34A657195956}"/>
    <cellStyle name="千位分隔 2 2 2 2 5 6 2" xfId="34746" xr:uid="{8ECEF53D-4F53-4295-9E5D-65D75B7D576A}"/>
    <cellStyle name="千位分隔 2 2 2 2 5 7" xfId="29839" xr:uid="{DBA3A74A-5352-42FA-96B9-A9CE012CF1E8}"/>
    <cellStyle name="千位分隔 2 2 2 2 6" xfId="29840" xr:uid="{494E058E-8607-4B8B-A1ED-2A5754718EB4}"/>
    <cellStyle name="千位分隔 2 2 2 2 6 2" xfId="29841" xr:uid="{FBB65EDD-2186-48A8-BB6C-776D066D94E8}"/>
    <cellStyle name="千位分隔 2 2 2 2 7" xfId="29842" xr:uid="{783538A2-188E-4882-A2C7-EE42E29CD717}"/>
    <cellStyle name="千位分隔 2 2 2 2 7 2" xfId="29843" xr:uid="{6A1E6214-3E60-4168-B95D-06618BD9813C}"/>
    <cellStyle name="千位分隔 2 2 2 2 8" xfId="29844" xr:uid="{619984EC-160D-4362-9649-361F7A07F7B0}"/>
    <cellStyle name="千位分隔 2 2 2 2 8 2" xfId="29845" xr:uid="{DA932321-613F-4942-AC1B-7798D27651A1}"/>
    <cellStyle name="千位分隔 2 2 2 2 9" xfId="29846" xr:uid="{E36D505F-7661-412F-8ACB-383DF1DE964E}"/>
    <cellStyle name="千位分隔 2 2 2 2 9 2" xfId="34747" xr:uid="{9CBE10A1-4DAF-4C1E-BAD2-2BD3A6D34D2E}"/>
    <cellStyle name="千位分隔 2 2 2 3" xfId="29847" xr:uid="{7D2618D1-67F1-4E0F-B999-A68DDB67E808}"/>
    <cellStyle name="千位分隔 2 2 2 3 10" xfId="29848" xr:uid="{81C45450-053E-41F1-8534-D507AB5788F5}"/>
    <cellStyle name="千位分隔 2 2 2 3 10 2" xfId="34748" xr:uid="{38691D84-2DCE-4B04-8375-E2E2B69C7A92}"/>
    <cellStyle name="千位分隔 2 2 2 3 11" xfId="29849" xr:uid="{6D7A9C4B-976B-4152-8874-F3A170AD6663}"/>
    <cellStyle name="千位分隔 2 2 2 3 2" xfId="29850" xr:uid="{C3A5E25B-463D-4CAD-976E-00E904AE27AC}"/>
    <cellStyle name="千位分隔 2 2 2 3 2 2" xfId="29851" xr:uid="{C00902E0-ACDC-4FF2-9FC1-ADD736AF65F8}"/>
    <cellStyle name="千位分隔 2 2 2 3 2 2 2" xfId="29852" xr:uid="{BE7095C4-9A17-46C5-83DB-AC70405A145E}"/>
    <cellStyle name="千位分隔 2 2 2 3 2 2 2 2" xfId="29853" xr:uid="{882E2312-7A0C-460F-8D66-29D1B93260ED}"/>
    <cellStyle name="千位分隔 2 2 2 3 2 2 2 2 2" xfId="29854" xr:uid="{6D29C6A7-E793-4C68-A41E-4A7345D58D3A}"/>
    <cellStyle name="千位分隔 2 2 2 3 2 2 2 3" xfId="29855" xr:uid="{DEDAD5F4-DE2D-49B9-A015-66BB5F58DED6}"/>
    <cellStyle name="千位分隔 2 2 2 3 2 2 2 4" xfId="29856" xr:uid="{741112BA-0524-42A4-873C-9BB33312FD31}"/>
    <cellStyle name="千位分隔 2 2 2 3 2 2 2 5" xfId="29857" xr:uid="{13C5932F-FEBC-46ED-9BB5-B1955F70BA6D}"/>
    <cellStyle name="千位分隔 2 2 2 3 2 2 2 5 2" xfId="34749" xr:uid="{C85F26CC-F27A-428F-AA8B-7A44A7EC8D96}"/>
    <cellStyle name="千位分隔 2 2 2 3 2 2 2 6" xfId="29858" xr:uid="{071C4BB1-6568-49E3-AA79-EE70B92F135B}"/>
    <cellStyle name="千位分隔 2 2 2 3 2 2 2 6 2" xfId="34750" xr:uid="{3B5F34C1-9937-4DA4-995D-6181340A296C}"/>
    <cellStyle name="千位分隔 2 2 2 3 2 2 3" xfId="29859" xr:uid="{6D69A6CC-9F8B-404F-B40C-CD14A00701BE}"/>
    <cellStyle name="千位分隔 2 2 2 3 2 2 3 2" xfId="29860" xr:uid="{45183A35-A156-420A-A3E1-979FF64490C6}"/>
    <cellStyle name="千位分隔 2 2 2 3 2 2 4" xfId="29861" xr:uid="{8C9C9DAB-838A-46E2-A7F9-7E1D59A6545F}"/>
    <cellStyle name="千位分隔 2 2 2 3 2 2 5" xfId="29862" xr:uid="{ADED9156-FD1F-4B39-A11B-E0E90F9A488A}"/>
    <cellStyle name="千位分隔 2 2 2 3 2 2 6" xfId="29863" xr:uid="{AB8CEBA8-81E0-4173-AB3A-17D70604FF27}"/>
    <cellStyle name="千位分隔 2 2 2 3 2 2 6 2" xfId="34751" xr:uid="{6E91B8BF-516E-4467-9950-7F71F9BB2867}"/>
    <cellStyle name="千位分隔 2 2 2 3 2 2 7" xfId="29864" xr:uid="{BBB4DE97-0D8E-49CF-837E-8091D1230D06}"/>
    <cellStyle name="千位分隔 2 2 2 3 2 2 7 2" xfId="34752" xr:uid="{2D8D804B-5DF5-4369-855C-DE7F1A26B97A}"/>
    <cellStyle name="千位分隔 2 2 2 3 2 3" xfId="29865" xr:uid="{F088C881-66E0-4C11-8058-A3AEDAD71D8D}"/>
    <cellStyle name="千位分隔 2 2 2 3 2 3 2" xfId="29866" xr:uid="{F3179126-1B44-424C-BAD6-71D60694F69A}"/>
    <cellStyle name="千位分隔 2 2 2 3 2 3 2 2" xfId="29867" xr:uid="{748F8B0A-7395-495F-B411-143BA668A88F}"/>
    <cellStyle name="千位分隔 2 2 2 3 2 3 3" xfId="29868" xr:uid="{B86BF7FA-1C62-4B64-96DA-EC66591E6989}"/>
    <cellStyle name="千位分隔 2 2 2 3 2 3 4" xfId="29869" xr:uid="{0B7F70C9-9E19-4A59-83F6-794CEC73B4CE}"/>
    <cellStyle name="千位分隔 2 2 2 3 2 3 5" xfId="29870" xr:uid="{3EC6F132-F6E7-40DC-BA1D-6EEA6599092B}"/>
    <cellStyle name="千位分隔 2 2 2 3 2 3 5 2" xfId="34753" xr:uid="{6EFF839B-103B-47D1-89A0-4CCA264962CE}"/>
    <cellStyle name="千位分隔 2 2 2 3 2 3 6" xfId="29871" xr:uid="{C3E66E73-25C0-4E45-A521-1232663C7F7E}"/>
    <cellStyle name="千位分隔 2 2 2 3 2 3 6 2" xfId="34754" xr:uid="{86CA7A31-706C-48A7-9274-0588A3960D0E}"/>
    <cellStyle name="千位分隔 2 2 2 3 2 4" xfId="29872" xr:uid="{6FE09F7D-9C23-4B62-B8D9-EB2750051ADD}"/>
    <cellStyle name="千位分隔 2 2 2 3 2 4 2" xfId="29873" xr:uid="{96900B1F-1C61-4636-A8A4-EB6C8D7AB567}"/>
    <cellStyle name="千位分隔 2 2 2 3 2 5" xfId="29874" xr:uid="{ABA690C0-731D-46A0-A46A-5D5CA03CA3AD}"/>
    <cellStyle name="千位分隔 2 2 2 3 2 6" xfId="29875" xr:uid="{38490DD3-8BD0-4E61-B43A-EBEC8721173D}"/>
    <cellStyle name="千位分隔 2 2 2 3 2 7" xfId="29876" xr:uid="{FA3D6DE6-D2FF-4420-B635-FEED3BC435FD}"/>
    <cellStyle name="千位分隔 2 2 2 3 2 7 2" xfId="34755" xr:uid="{9F14269F-465A-40C7-8972-C5DF5F98CCB1}"/>
    <cellStyle name="千位分隔 2 2 2 3 2 8" xfId="29877" xr:uid="{1811DF95-1031-42BB-B864-FC82E5F0910C}"/>
    <cellStyle name="千位分隔 2 2 2 3 2 8 2" xfId="34756" xr:uid="{6964A35D-3B6F-4E07-9322-255E77094D37}"/>
    <cellStyle name="千位分隔 2 2 2 3 2 9" xfId="29878" xr:uid="{AB1D734E-6BB7-44FF-88FD-ED29DD3B5351}"/>
    <cellStyle name="千位分隔 2 2 2 3 3" xfId="29879" xr:uid="{CF6F4934-37B9-46D9-BA90-13C4EF82A301}"/>
    <cellStyle name="千位分隔 2 2 2 3 3 2" xfId="29880" xr:uid="{80BA6680-CA48-4251-92AC-1D2F9B3773AF}"/>
    <cellStyle name="千位分隔 2 2 2 3 3 2 2" xfId="29881" xr:uid="{AF761E5D-A7F4-48DB-B3A6-BD984752B96F}"/>
    <cellStyle name="千位分隔 2 2 2 3 3 2 2 2" xfId="29882" xr:uid="{144F051E-B916-40CD-9289-E7067020C906}"/>
    <cellStyle name="千位分隔 2 2 2 3 3 2 3" xfId="29883" xr:uid="{2BF7F6F1-1C11-4BBA-B79C-6F7E936AF054}"/>
    <cellStyle name="千位分隔 2 2 2 3 3 2 4" xfId="29884" xr:uid="{A66E8D7F-6EAD-49C0-A362-8D188A414702}"/>
    <cellStyle name="千位分隔 2 2 2 3 3 2 5" xfId="29885" xr:uid="{B33AF036-D2F4-41D9-9E42-D8826CDE91FF}"/>
    <cellStyle name="千位分隔 2 2 2 3 3 2 5 2" xfId="34757" xr:uid="{F1C31A0B-CB8A-4D93-B5F9-3BCE27C5BB8D}"/>
    <cellStyle name="千位分隔 2 2 2 3 3 2 6" xfId="29886" xr:uid="{59B4BEB5-DC5A-450C-B610-E88C35622F52}"/>
    <cellStyle name="千位分隔 2 2 2 3 3 2 6 2" xfId="34758" xr:uid="{E11B8509-1F2A-4CAE-A841-C6CD1B858578}"/>
    <cellStyle name="千位分隔 2 2 2 3 3 2 7" xfId="29887" xr:uid="{94C98C06-7A92-44B6-91AF-C2D9FACEC7AC}"/>
    <cellStyle name="千位分隔 2 2 2 3 3 3" xfId="29888" xr:uid="{C6592698-FAAB-43A6-A2A2-1FF5E7C26113}"/>
    <cellStyle name="千位分隔 2 2 2 3 3 3 2" xfId="29889" xr:uid="{36EADBE4-90C8-454E-9F37-9FDAE83BB8F9}"/>
    <cellStyle name="千位分隔 2 2 2 3 3 3 2 2" xfId="29890" xr:uid="{66A3D998-8EEC-4C82-9128-D5491AA8BBF9}"/>
    <cellStyle name="千位分隔 2 2 2 3 3 3 3" xfId="29891" xr:uid="{C02E56E7-14D4-48CB-B3EA-549B21C79D77}"/>
    <cellStyle name="千位分隔 2 2 2 3 3 3 4" xfId="29892" xr:uid="{B6A1F4EB-368E-499A-BC0D-DA5007B0863E}"/>
    <cellStyle name="千位分隔 2 2 2 3 3 3 5" xfId="29893" xr:uid="{64F859EC-08EC-4B6D-A487-D4356CBE5526}"/>
    <cellStyle name="千位分隔 2 2 2 3 3 3 5 2" xfId="34759" xr:uid="{AD23D16E-C870-45BA-BC36-8F5914CC60DF}"/>
    <cellStyle name="千位分隔 2 2 2 3 3 3 6" xfId="29894" xr:uid="{4F47679C-B35A-44F2-BC84-C800C4B5A5F8}"/>
    <cellStyle name="千位分隔 2 2 2 3 3 3 6 2" xfId="34760" xr:uid="{40541DAD-1ACB-4098-9689-642E26135F5E}"/>
    <cellStyle name="千位分隔 2 2 2 3 3 3 7" xfId="29895" xr:uid="{6D902E4B-7DE7-4A9C-943A-FDDAE9B05833}"/>
    <cellStyle name="千位分隔 2 2 2 3 3 4" xfId="29896" xr:uid="{E6E3BB6F-4D36-4325-A7BB-7983E9590ABE}"/>
    <cellStyle name="千位分隔 2 2 2 3 3 4 2" xfId="29897" xr:uid="{FA782529-1C00-40FB-8A8F-043EA1215578}"/>
    <cellStyle name="千位分隔 2 2 2 3 3 5" xfId="29898" xr:uid="{5462E41D-636E-45E4-B461-2CF4E57A8E64}"/>
    <cellStyle name="千位分隔 2 2 2 3 3 5 2" xfId="29899" xr:uid="{6FFF5754-A1C0-4BCF-BE04-B5ADCDF35896}"/>
    <cellStyle name="千位分隔 2 2 2 3 3 6" xfId="29900" xr:uid="{C35729A9-4191-4072-AC1B-F8616A78D2D9}"/>
    <cellStyle name="千位分隔 2 2 2 3 3 6 2" xfId="29901" xr:uid="{43894F1D-4C7D-4383-9765-217A2916BA70}"/>
    <cellStyle name="千位分隔 2 2 2 3 3 7" xfId="29902" xr:uid="{860557A0-746E-45A3-84FE-23FD408E24F7}"/>
    <cellStyle name="千位分隔 2 2 2 3 3 7 2" xfId="34761" xr:uid="{36C32682-D8CE-4A23-9E05-6A585CD8F171}"/>
    <cellStyle name="千位分隔 2 2 2 3 3 8" xfId="29903" xr:uid="{E53A5A2D-0840-494D-9105-81B383C0713C}"/>
    <cellStyle name="千位分隔 2 2 2 3 3 8 2" xfId="34762" xr:uid="{73D5D985-9BF5-4DFC-A3AE-D4F14E39C21B}"/>
    <cellStyle name="千位分隔 2 2 2 3 3 9" xfId="29904" xr:uid="{8FD24BBB-C80B-4BA3-9C2D-DC129D2E2796}"/>
    <cellStyle name="千位分隔 2 2 2 3 4" xfId="29905" xr:uid="{7603FBD6-3754-480D-A9E1-390B9C476A6E}"/>
    <cellStyle name="千位分隔 2 2 2 3 4 2" xfId="29906" xr:uid="{C2E1E0D1-8B1C-407F-BD64-0B4A32CA1F19}"/>
    <cellStyle name="千位分隔 2 2 2 3 4 2 2" xfId="29907" xr:uid="{4B6239BF-21D9-40A9-BF0C-0941ABF8A208}"/>
    <cellStyle name="千位分隔 2 2 2 3 4 3" xfId="29908" xr:uid="{3068CED8-CC36-4BD7-9E2D-CBF997598E69}"/>
    <cellStyle name="千位分隔 2 2 2 3 4 4" xfId="29909" xr:uid="{F4808F29-1FC7-48F6-A500-5F769E4F800F}"/>
    <cellStyle name="千位分隔 2 2 2 3 4 5" xfId="29910" xr:uid="{6A906199-A7CF-4551-A423-05C758DD1DEF}"/>
    <cellStyle name="千位分隔 2 2 2 3 4 5 2" xfId="34763" xr:uid="{3B876CED-DB30-44C5-AC0F-F041F663D28E}"/>
    <cellStyle name="千位分隔 2 2 2 3 4 6" xfId="29911" xr:uid="{62853996-DB58-467E-9599-36128E68C131}"/>
    <cellStyle name="千位分隔 2 2 2 3 4 6 2" xfId="34764" xr:uid="{F122F9F8-A0E0-4012-9CF2-504E3EF2411B}"/>
    <cellStyle name="千位分隔 2 2 2 3 4 7" xfId="29912" xr:uid="{99546011-435B-4910-911B-41EF9B0D98E1}"/>
    <cellStyle name="千位分隔 2 2 2 3 5" xfId="29913" xr:uid="{68945ADB-7EDE-4309-BA7A-D864D95A1ECD}"/>
    <cellStyle name="千位分隔 2 2 2 3 5 2" xfId="29914" xr:uid="{7D5A1B8D-1B2B-44A2-BC35-986AC4C1320D}"/>
    <cellStyle name="千位分隔 2 2 2 3 5 2 2" xfId="29915" xr:uid="{C90041D3-1361-4CD6-A4B3-CB77F41DE58A}"/>
    <cellStyle name="千位分隔 2 2 2 3 5 3" xfId="29916" xr:uid="{B68C309C-60CA-468F-BBD5-CEA429B885C2}"/>
    <cellStyle name="千位分隔 2 2 2 3 5 4" xfId="29917" xr:uid="{4F85E070-20C7-42FA-87CB-754D3617C686}"/>
    <cellStyle name="千位分隔 2 2 2 3 5 5" xfId="29918" xr:uid="{F8D7F581-43E2-46A9-9C98-3022CA189CD2}"/>
    <cellStyle name="千位分隔 2 2 2 3 5 5 2" xfId="34765" xr:uid="{986260E2-4ABA-443F-9B0B-A4F9099FAA3F}"/>
    <cellStyle name="千位分隔 2 2 2 3 5 6" xfId="29919" xr:uid="{A9DCB2A7-989A-44DC-9E9E-B7CD698EAFD3}"/>
    <cellStyle name="千位分隔 2 2 2 3 5 6 2" xfId="34766" xr:uid="{166ABC52-B7D9-4E76-9CEA-5F4786542266}"/>
    <cellStyle name="千位分隔 2 2 2 3 5 7" xfId="29920" xr:uid="{DBC3FE97-2433-4C6F-A64D-C836937CE4A9}"/>
    <cellStyle name="千位分隔 2 2 2 3 6" xfId="29921" xr:uid="{DC9DBA48-72AA-4055-87AB-D55BFCE99486}"/>
    <cellStyle name="千位分隔 2 2 2 3 6 2" xfId="29922" xr:uid="{2F80E1BC-A94B-46FB-B42B-FA2591685BA4}"/>
    <cellStyle name="千位分隔 2 2 2 3 7" xfId="29923" xr:uid="{50B42F88-514B-402F-96D8-8B54CFC5C252}"/>
    <cellStyle name="千位分隔 2 2 2 3 7 2" xfId="29924" xr:uid="{BA483526-DBA0-46FB-BB65-8377E8C60180}"/>
    <cellStyle name="千位分隔 2 2 2 3 8" xfId="29925" xr:uid="{7F446095-AA72-4EC6-82FE-5389E741674C}"/>
    <cellStyle name="千位分隔 2 2 2 3 8 2" xfId="29926" xr:uid="{AE3DE35C-FB1C-4516-B9FB-674A17104BBE}"/>
    <cellStyle name="千位分隔 2 2 2 3 9" xfId="29927" xr:uid="{67FF6EEC-C5F6-4239-9349-2FC851C6539E}"/>
    <cellStyle name="千位分隔 2 2 2 3 9 2" xfId="34767" xr:uid="{012501C4-579D-40F4-9D8C-E2DB7394F4E9}"/>
    <cellStyle name="千位分隔 2 2 2 4" xfId="29928" xr:uid="{6619C70D-EDEB-417B-AF1C-E31452B31B68}"/>
    <cellStyle name="千位分隔 2 2 2 4 10" xfId="29929" xr:uid="{89649311-678D-48BA-943B-48462646A9DA}"/>
    <cellStyle name="千位分隔 2 2 2 4 2" xfId="29930" xr:uid="{CA19FB10-6F39-4088-9561-70B06B84A6A4}"/>
    <cellStyle name="千位分隔 2 2 2 4 2 2" xfId="29931" xr:uid="{A900B12D-8D30-48EA-A2AF-10D98A545D5F}"/>
    <cellStyle name="千位分隔 2 2 2 4 2 2 2" xfId="29932" xr:uid="{CCFE0EC9-3604-4B43-A671-884D625DD0CD}"/>
    <cellStyle name="千位分隔 2 2 2 4 2 2 2 2" xfId="29933" xr:uid="{35F8968C-8230-48DE-B972-97B5E976B352}"/>
    <cellStyle name="千位分隔 2 2 2 4 2 2 3" xfId="29934" xr:uid="{B9250492-EB53-4F17-B15E-7596068F7C0D}"/>
    <cellStyle name="千位分隔 2 2 2 4 2 2 4" xfId="29935" xr:uid="{CBAB7E39-67A8-4D3F-A2CD-9EFF3644D381}"/>
    <cellStyle name="千位分隔 2 2 2 4 2 2 5" xfId="29936" xr:uid="{A53A68CA-DD95-40DC-8348-9B58E384D057}"/>
    <cellStyle name="千位分隔 2 2 2 4 2 2 5 2" xfId="34768" xr:uid="{4ECBE67A-FE0E-4125-B429-EF7C7A1B1781}"/>
    <cellStyle name="千位分隔 2 2 2 4 2 2 6" xfId="29937" xr:uid="{9FDC72A5-0E75-4564-9C45-99D0C83D271B}"/>
    <cellStyle name="千位分隔 2 2 2 4 2 2 6 2" xfId="34769" xr:uid="{AE9CF677-0FEE-4193-8E29-EEC9E88216F9}"/>
    <cellStyle name="千位分隔 2 2 2 4 2 3" xfId="29938" xr:uid="{1A0CFF29-D01A-4DB4-8638-D76288252D94}"/>
    <cellStyle name="千位分隔 2 2 2 4 2 3 2" xfId="29939" xr:uid="{75252EDE-50FB-463F-A0CF-95FE58B3A326}"/>
    <cellStyle name="千位分隔 2 2 2 4 2 3 2 2" xfId="29940" xr:uid="{719E8444-E226-44B5-A447-6559EEEE07E7}"/>
    <cellStyle name="千位分隔 2 2 2 4 2 3 3" xfId="29941" xr:uid="{980C03F1-87F5-4CA4-8ABC-61C4CA22B21B}"/>
    <cellStyle name="千位分隔 2 2 2 4 2 3 4" xfId="29942" xr:uid="{46B8AA54-CFD1-4E2A-988E-4896D676796F}"/>
    <cellStyle name="千位分隔 2 2 2 4 2 3 5" xfId="29943" xr:uid="{1F001DFA-3C97-4B86-A60A-94E94DE26130}"/>
    <cellStyle name="千位分隔 2 2 2 4 2 3 5 2" xfId="34770" xr:uid="{3B33BFED-C373-4D13-8436-98F04CD06CCE}"/>
    <cellStyle name="千位分隔 2 2 2 4 2 3 6" xfId="29944" xr:uid="{1C4E7A35-F54C-4233-B0E3-9546B6609E08}"/>
    <cellStyle name="千位分隔 2 2 2 4 2 3 6 2" xfId="34771" xr:uid="{853B168E-EC3F-46DB-AB5D-C17638BCA98D}"/>
    <cellStyle name="千位分隔 2 2 2 4 2 4" xfId="29945" xr:uid="{0CA04AE4-590C-41F2-AD58-D78E5EB5B102}"/>
    <cellStyle name="千位分隔 2 2 2 4 2 4 2" xfId="29946" xr:uid="{3A07B621-6F73-4B57-8FFC-2489F562D8A3}"/>
    <cellStyle name="千位分隔 2 2 2 4 2 5" xfId="29947" xr:uid="{7F516322-C7DF-4BC6-AB83-994F8D16206A}"/>
    <cellStyle name="千位分隔 2 2 2 4 2 6" xfId="29948" xr:uid="{89A12D0B-B2B1-48C2-8FBC-04886B199073}"/>
    <cellStyle name="千位分隔 2 2 2 4 2 7" xfId="29949" xr:uid="{10EC0839-828F-4CFF-81A7-B587E20D8EAD}"/>
    <cellStyle name="千位分隔 2 2 2 4 2 7 2" xfId="34772" xr:uid="{817927AC-226C-4500-8D81-C1BD8BB10F56}"/>
    <cellStyle name="千位分隔 2 2 2 4 2 8" xfId="29950" xr:uid="{8DE942F3-83EA-429A-9BCE-742AFB212788}"/>
    <cellStyle name="千位分隔 2 2 2 4 2 8 2" xfId="34773" xr:uid="{9B0DDF77-5A6C-4C62-8831-1D16B5E9D107}"/>
    <cellStyle name="千位分隔 2 2 2 4 3" xfId="29951" xr:uid="{F1B59A23-46A8-402B-A531-9017B793F3A0}"/>
    <cellStyle name="千位分隔 2 2 2 4 3 2" xfId="29952" xr:uid="{39463AB4-B4F6-4F2F-B2D1-832BD9450DD1}"/>
    <cellStyle name="千位分隔 2 2 2 4 3 2 2" xfId="29953" xr:uid="{2130E51F-F4D8-4781-84F0-5BD88136C10E}"/>
    <cellStyle name="千位分隔 2 2 2 4 3 3" xfId="29954" xr:uid="{805FEBBC-9825-4D57-BC2E-770BA449D7C9}"/>
    <cellStyle name="千位分隔 2 2 2 4 3 4" xfId="29955" xr:uid="{83AB94CD-8C30-415E-B04B-B5E9DB7B8216}"/>
    <cellStyle name="千位分隔 2 2 2 4 3 5" xfId="29956" xr:uid="{72AF56D3-8F1D-48A4-ABDC-EA476DFEB1A3}"/>
    <cellStyle name="千位分隔 2 2 2 4 3 5 2" xfId="34774" xr:uid="{57A1A8AE-D903-4D06-AD08-319284854D1A}"/>
    <cellStyle name="千位分隔 2 2 2 4 3 6" xfId="29957" xr:uid="{46F53823-EF37-4D70-B484-AA851FB7EF47}"/>
    <cellStyle name="千位分隔 2 2 2 4 3 6 2" xfId="34775" xr:uid="{9F98146F-3A6D-477A-B475-48E750E15523}"/>
    <cellStyle name="千位分隔 2 2 2 4 4" xfId="29958" xr:uid="{5DEF1E2F-5B3F-4266-A5CC-9F3EF5B8D5C8}"/>
    <cellStyle name="千位分隔 2 2 2 4 4 2" xfId="29959" xr:uid="{22242D1F-CED4-4930-8E3C-6D9196E99910}"/>
    <cellStyle name="千位分隔 2 2 2 4 4 2 2" xfId="29960" xr:uid="{0FA4FB09-4732-44A9-96D6-2761F6BCE070}"/>
    <cellStyle name="千位分隔 2 2 2 4 4 3" xfId="29961" xr:uid="{A0E11BC9-5AE6-4DB4-8847-F45DB5CA9654}"/>
    <cellStyle name="千位分隔 2 2 2 4 4 4" xfId="29962" xr:uid="{E58AB9B4-9118-46AD-9C8F-8C7113FAEEB7}"/>
    <cellStyle name="千位分隔 2 2 2 4 4 5" xfId="29963" xr:uid="{3E1C1DDD-0892-4FDE-A539-D15028C11196}"/>
    <cellStyle name="千位分隔 2 2 2 4 4 5 2" xfId="34776" xr:uid="{3AC0E57A-8ECC-4C07-861C-AD73DAFF387D}"/>
    <cellStyle name="千位分隔 2 2 2 4 4 6" xfId="29964" xr:uid="{2ED010C4-2AC7-4ECD-9D9B-460B8F406DF8}"/>
    <cellStyle name="千位分隔 2 2 2 4 4 6 2" xfId="34777" xr:uid="{F3DE31B6-6633-4FF4-A3B0-2A4973D6CE47}"/>
    <cellStyle name="千位分隔 2 2 2 4 5" xfId="29965" xr:uid="{8B7C7DB0-343C-4726-BE6B-010C42142143}"/>
    <cellStyle name="千位分隔 2 2 2 4 5 2" xfId="29966" xr:uid="{1CEE632B-1D32-4BCE-B83D-FC26A992FA6B}"/>
    <cellStyle name="千位分隔 2 2 2 4 6" xfId="29967" xr:uid="{96F0A418-D91F-489E-8C2A-CAB0AAFE0041}"/>
    <cellStyle name="千位分隔 2 2 2 4 7" xfId="29968" xr:uid="{FFA83110-2990-479D-B86D-D809AA86E383}"/>
    <cellStyle name="千位分隔 2 2 2 4 8" xfId="29969" xr:uid="{7F549842-3B54-4A32-956A-4BC3DC672503}"/>
    <cellStyle name="千位分隔 2 2 2 4 8 2" xfId="34778" xr:uid="{97CF2AF5-7F7D-4679-8642-AB4CD835044C}"/>
    <cellStyle name="千位分隔 2 2 2 4 9" xfId="29970" xr:uid="{83BE9F1E-2FEE-4A1B-BF4C-F48901591143}"/>
    <cellStyle name="千位分隔 2 2 2 4 9 2" xfId="34779" xr:uid="{10832AB4-EBBE-4235-BC4C-716BFB622E13}"/>
    <cellStyle name="千位分隔 2 2 2 5" xfId="29971" xr:uid="{C20C7E99-E589-4B62-B8D5-8800317FF096}"/>
    <cellStyle name="千位分隔 2 2 2 5 2" xfId="29972" xr:uid="{5EDBE6B7-C68A-4542-87B2-4568970CB41B}"/>
    <cellStyle name="千位分隔 2 2 2 5 2 2" xfId="29973" xr:uid="{60249A10-92D8-4D3C-B93F-08C91D4A140C}"/>
    <cellStyle name="千位分隔 2 2 2 5 2 2 2" xfId="29974" xr:uid="{9163C2AC-F8A4-4C9F-999F-7B09E81FF750}"/>
    <cellStyle name="千位分隔 2 2 2 5 2 3" xfId="29975" xr:uid="{01023914-7C6B-4883-8193-08D0668B9331}"/>
    <cellStyle name="千位分隔 2 2 2 5 2 4" xfId="29976" xr:uid="{8310F4AA-5694-461E-8F6A-5032E8FE94F0}"/>
    <cellStyle name="千位分隔 2 2 2 5 2 5" xfId="29977" xr:uid="{65CC6711-F93A-4C22-9BBE-CB7F7B9A2839}"/>
    <cellStyle name="千位分隔 2 2 2 5 2 5 2" xfId="34780" xr:uid="{A2A0B1E1-E831-4193-B9EC-BD972AEEFF34}"/>
    <cellStyle name="千位分隔 2 2 2 5 2 6" xfId="29978" xr:uid="{A1E56E85-C047-4545-8C94-CC01497B8632}"/>
    <cellStyle name="千位分隔 2 2 2 5 2 6 2" xfId="34781" xr:uid="{91D82AD0-832E-48EF-A515-BA6C7ABFDB6A}"/>
    <cellStyle name="千位分隔 2 2 2 5 3" xfId="29979" xr:uid="{88679174-08D5-418B-9F65-615F2C844FBE}"/>
    <cellStyle name="千位分隔 2 2 2 5 3 2" xfId="29980" xr:uid="{4A1C0BA1-1868-43A4-B59D-043D504C2C22}"/>
    <cellStyle name="千位分隔 2 2 2 5 3 2 2" xfId="29981" xr:uid="{5E667E7D-5C4D-46C9-AB2F-5CF78FA43C0B}"/>
    <cellStyle name="千位分隔 2 2 2 5 3 3" xfId="29982" xr:uid="{26B380FD-2810-4C6B-BBB6-51049CFD68B3}"/>
    <cellStyle name="千位分隔 2 2 2 5 3 4" xfId="29983" xr:uid="{2CE7784A-17A8-4405-9EB5-5256B88E5510}"/>
    <cellStyle name="千位分隔 2 2 2 5 3 5" xfId="29984" xr:uid="{38A3C31F-E5E3-4409-8491-5E93A668672D}"/>
    <cellStyle name="千位分隔 2 2 2 5 3 5 2" xfId="34782" xr:uid="{5D14C0E5-5E4E-4AE3-99FE-DEC9BB5C4AC4}"/>
    <cellStyle name="千位分隔 2 2 2 5 3 6" xfId="29985" xr:uid="{05ED158C-6056-4A7A-81A0-42868D40FEC5}"/>
    <cellStyle name="千位分隔 2 2 2 5 3 6 2" xfId="34783" xr:uid="{0AFB60C2-92E6-459C-A1E1-71DD26FBE099}"/>
    <cellStyle name="千位分隔 2 2 2 5 4" xfId="29986" xr:uid="{459EA2DA-CC66-473D-BD9C-823B0EB2A50C}"/>
    <cellStyle name="千位分隔 2 2 2 5 4 2" xfId="29987" xr:uid="{E5634477-E153-4CD9-AA36-6FE3BD262934}"/>
    <cellStyle name="千位分隔 2 2 2 5 5" xfId="29988" xr:uid="{8C7E7148-4FD1-4635-8CF8-6C9B7B2E9742}"/>
    <cellStyle name="千位分隔 2 2 2 5 6" xfId="29989" xr:uid="{9ABD671B-707F-4142-A8D7-D76DE038710F}"/>
    <cellStyle name="千位分隔 2 2 2 5 7" xfId="29990" xr:uid="{C692BE51-80B8-41A0-9112-6F8DB21BCDFF}"/>
    <cellStyle name="千位分隔 2 2 2 5 7 2" xfId="34784" xr:uid="{65FACC5C-1CFF-42F1-9ADA-6271AFEAF808}"/>
    <cellStyle name="千位分隔 2 2 2 5 8" xfId="29991" xr:uid="{A3DEB134-B08B-4B6A-AF30-40A43BE69915}"/>
    <cellStyle name="千位分隔 2 2 2 5 8 2" xfId="34785" xr:uid="{AC23B122-B0D5-4141-A3AE-CA3EE05231E5}"/>
    <cellStyle name="千位分隔 2 2 2 6" xfId="29992" xr:uid="{C3E56A8A-4EEA-41EB-B99E-B9D41885569A}"/>
    <cellStyle name="千位分隔 2 2 2 6 2" xfId="29993" xr:uid="{687A2557-4DEB-43C8-B955-093B01C7302C}"/>
    <cellStyle name="千位分隔 2 2 2 6 2 2" xfId="29994" xr:uid="{9B60779A-7EF2-4813-B1C3-6ADAF8672CB6}"/>
    <cellStyle name="千位分隔 2 2 2 6 3" xfId="29995" xr:uid="{706ED9D4-1B24-49E4-B71A-7A73DE0B2C3C}"/>
    <cellStyle name="千位分隔 2 2 2 6 3 2" xfId="29996" xr:uid="{881A2769-F7F9-4254-96E6-60A9E48F76C2}"/>
    <cellStyle name="千位分隔 2 2 2 6 4" xfId="29997" xr:uid="{57EC3645-9852-436D-A74B-F16B7A42ADAA}"/>
    <cellStyle name="千位分隔 2 2 2 6 4 2" xfId="29998" xr:uid="{9F5A7FCE-ACCB-472C-88B7-5FDE9E6D15DE}"/>
    <cellStyle name="千位分隔 2 2 2 6 5" xfId="29999" xr:uid="{FFB91DFB-4DB6-4EE3-AAD7-8F9319FB2F30}"/>
    <cellStyle name="千位分隔 2 2 2 6 5 2" xfId="34786" xr:uid="{1DEC1C95-086B-4D5F-B41D-792B6159A34E}"/>
    <cellStyle name="千位分隔 2 2 2 6 6" xfId="30000" xr:uid="{0A85705E-C9B5-4D32-9552-0A46C3167E73}"/>
    <cellStyle name="千位分隔 2 2 2 6 6 2" xfId="34787" xr:uid="{542037C8-F6AE-4BF1-B7F4-16695F5D3F10}"/>
    <cellStyle name="千位分隔 2 2 2 6 7" xfId="30001" xr:uid="{31DEA09C-5C77-49B8-AF3A-22C3248B3533}"/>
    <cellStyle name="千位分隔 2 2 2 7" xfId="30002" xr:uid="{343DA5FF-FB5D-45C9-BC05-B6023A61D8E2}"/>
    <cellStyle name="千位分隔 2 2 2 7 2" xfId="30003" xr:uid="{53A0BC56-08F0-41F5-BBCD-C8DAEE2D7C2F}"/>
    <cellStyle name="千位分隔 2 2 2 7 2 2" xfId="30004" xr:uid="{6FB74CC9-EA82-468E-AF45-2B55363C8FE9}"/>
    <cellStyle name="千位分隔 2 2 2 7 3" xfId="30005" xr:uid="{566BF04F-36D0-4E24-9515-96BCCD9B6DDA}"/>
    <cellStyle name="千位分隔 2 2 2 7 4" xfId="30006" xr:uid="{E400E49F-6FBC-47CF-9AA8-D0BE0C61AFA9}"/>
    <cellStyle name="千位分隔 2 2 2 7 5" xfId="30007" xr:uid="{B198DEEE-82EE-4520-A0B2-9A119143A85A}"/>
    <cellStyle name="千位分隔 2 2 2 7 5 2" xfId="34788" xr:uid="{1721B8BC-16C3-4D10-ACC0-5976CE4219A3}"/>
    <cellStyle name="千位分隔 2 2 2 7 6" xfId="30008" xr:uid="{3BFD9968-0D69-430A-85ED-83EE6128F540}"/>
    <cellStyle name="千位分隔 2 2 2 7 6 2" xfId="34789" xr:uid="{5B0C57E1-11B5-4CC7-A39C-8D3CA101304E}"/>
    <cellStyle name="千位分隔 2 2 2 7 7" xfId="30009" xr:uid="{2623AE01-AB4F-4C08-A05A-8346888E24A9}"/>
    <cellStyle name="千位分隔 2 2 2 8" xfId="30010" xr:uid="{56BAF829-858F-45AB-BDA9-D5D6A397F4B1}"/>
    <cellStyle name="千位分隔 2 2 2 8 2" xfId="30011" xr:uid="{AD05AD5B-35BB-4E8C-9FCD-BFC96D4DEA52}"/>
    <cellStyle name="千位分隔 2 2 2 9" xfId="30012" xr:uid="{CD936D89-E7AF-4BA0-97AC-41EBC98DC7EB}"/>
    <cellStyle name="千位分隔 2 2 2 9 2" xfId="30013" xr:uid="{FBED1A43-96E9-4401-A6D2-FE24B0463B79}"/>
    <cellStyle name="千位分隔 2 2 3" xfId="30014" xr:uid="{57D03B98-1726-462A-AA4C-12AA1541E242}"/>
    <cellStyle name="千位分隔 2 2 3 10" xfId="30015" xr:uid="{928E13EC-0054-4309-B344-1FE854E4D8A9}"/>
    <cellStyle name="千位分隔 2 2 3 10 2" xfId="34790" xr:uid="{E538C643-2C27-4872-AD5E-41BE14F627E0}"/>
    <cellStyle name="千位分隔 2 2 3 11" xfId="30016" xr:uid="{B5614ED4-B125-4EA4-AA63-D276BABBB867}"/>
    <cellStyle name="千位分隔 2 2 3 11 2" xfId="34791" xr:uid="{DC084427-3706-4197-A3E6-997E85A5D8CD}"/>
    <cellStyle name="千位分隔 2 2 3 2" xfId="30017" xr:uid="{81DF99BE-94E4-4D33-8C18-03A0D5680521}"/>
    <cellStyle name="千位分隔 2 2 3 2 10" xfId="30018" xr:uid="{191054F7-AC10-4431-A54C-EB43136DB1DF}"/>
    <cellStyle name="千位分隔 2 2 3 2 10 2" xfId="34792" xr:uid="{F51DAD8A-B8B0-4440-8333-F04FA47DEA68}"/>
    <cellStyle name="千位分隔 2 2 3 2 11" xfId="30019" xr:uid="{0C103171-7BB2-48F9-A7DE-0A3E3083FA70}"/>
    <cellStyle name="千位分隔 2 2 3 2 2" xfId="30020" xr:uid="{5CC18403-3F4A-4622-9EB4-14D4066838FF}"/>
    <cellStyle name="千位分隔 2 2 3 2 2 2" xfId="30021" xr:uid="{BA0B2414-044F-46B5-B961-DCEADE218575}"/>
    <cellStyle name="千位分隔 2 2 3 2 2 2 2" xfId="30022" xr:uid="{8BC9F7AD-0F9F-41DE-94F6-1F8025A76FC3}"/>
    <cellStyle name="千位分隔 2 2 3 2 2 2 2 2" xfId="30023" xr:uid="{36710DEB-BDAD-4565-9E17-63C4533B2D7F}"/>
    <cellStyle name="千位分隔 2 2 3 2 2 2 2 2 2" xfId="30024" xr:uid="{169796B0-CF3C-49E1-B95A-938796E5C504}"/>
    <cellStyle name="千位分隔 2 2 3 2 2 2 2 3" xfId="30025" xr:uid="{D3F4CEBE-CA9A-4FA3-8DEF-FACB848FDF8F}"/>
    <cellStyle name="千位分隔 2 2 3 2 2 2 2 4" xfId="30026" xr:uid="{66AD16FD-D0F3-40E7-B392-1725DF54FCBB}"/>
    <cellStyle name="千位分隔 2 2 3 2 2 2 2 5" xfId="30027" xr:uid="{2D7E1125-88BC-4A5D-83E4-8AD25194E7F6}"/>
    <cellStyle name="千位分隔 2 2 3 2 2 2 2 5 2" xfId="34793" xr:uid="{69D3D7CC-4294-44EA-97FC-92DE6D8A50AC}"/>
    <cellStyle name="千位分隔 2 2 3 2 2 2 2 6" xfId="30028" xr:uid="{5655FD16-24CE-497C-BEA5-7332693B7D25}"/>
    <cellStyle name="千位分隔 2 2 3 2 2 2 2 6 2" xfId="34794" xr:uid="{93BE2E07-ED2B-4ABB-8C40-3DDF1E004AE2}"/>
    <cellStyle name="千位分隔 2 2 3 2 2 2 3" xfId="30029" xr:uid="{B6DA9A7C-4822-4A8F-8E60-C6A169268265}"/>
    <cellStyle name="千位分隔 2 2 3 2 2 2 3 2" xfId="30030" xr:uid="{F735EF87-C0FF-43B1-AE9D-D920FC9E5E0A}"/>
    <cellStyle name="千位分隔 2 2 3 2 2 2 4" xfId="30031" xr:uid="{C4B7B0BB-0E16-4268-9C2B-5D54358184D1}"/>
    <cellStyle name="千位分隔 2 2 3 2 2 2 5" xfId="30032" xr:uid="{2DE00564-3856-43B4-8E5F-B718AE819BDF}"/>
    <cellStyle name="千位分隔 2 2 3 2 2 2 6" xfId="30033" xr:uid="{C90B751A-A378-475C-8FEC-343CBB97AED9}"/>
    <cellStyle name="千位分隔 2 2 3 2 2 2 6 2" xfId="34795" xr:uid="{5281013E-D8A3-4D5B-8E0F-558E1EBB39EA}"/>
    <cellStyle name="千位分隔 2 2 3 2 2 2 7" xfId="30034" xr:uid="{8444EFDF-8451-455B-81B5-CD0F47DD6036}"/>
    <cellStyle name="千位分隔 2 2 3 2 2 2 7 2" xfId="34796" xr:uid="{2A864618-DA80-493D-B065-BF4D18D9246B}"/>
    <cellStyle name="千位分隔 2 2 3 2 2 3" xfId="30035" xr:uid="{7CF219D1-9457-4DA6-B79D-39CFC053A4B2}"/>
    <cellStyle name="千位分隔 2 2 3 2 2 3 2" xfId="30036" xr:uid="{4868A0A1-386E-423F-A8A5-E8A403E42668}"/>
    <cellStyle name="千位分隔 2 2 3 2 2 3 2 2" xfId="30037" xr:uid="{2A61173D-4CC5-4E98-895B-E8B38EDB322E}"/>
    <cellStyle name="千位分隔 2 2 3 2 2 3 3" xfId="30038" xr:uid="{0D50D9BC-448C-49D0-A11C-9788782E908D}"/>
    <cellStyle name="千位分隔 2 2 3 2 2 3 4" xfId="30039" xr:uid="{FF1A3006-9503-47EB-8B0B-C5577B64B882}"/>
    <cellStyle name="千位分隔 2 2 3 2 2 3 5" xfId="30040" xr:uid="{88BD4954-4751-4274-AB00-336735630784}"/>
    <cellStyle name="千位分隔 2 2 3 2 2 3 5 2" xfId="34797" xr:uid="{65C667B3-D6CB-412D-A0AD-B4C71230A1E2}"/>
    <cellStyle name="千位分隔 2 2 3 2 2 3 6" xfId="30041" xr:uid="{F906F001-0A3E-4130-B1C0-DFD6D180F38C}"/>
    <cellStyle name="千位分隔 2 2 3 2 2 3 6 2" xfId="34798" xr:uid="{86170968-7D99-4313-B941-5263E1AC72B7}"/>
    <cellStyle name="千位分隔 2 2 3 2 2 4" xfId="30042" xr:uid="{DBF4D020-DC62-43E1-8BE6-C207C40297B9}"/>
    <cellStyle name="千位分隔 2 2 3 2 2 4 2" xfId="30043" xr:uid="{8919F61E-FF0A-46AC-8212-9611DA8AC96A}"/>
    <cellStyle name="千位分隔 2 2 3 2 2 5" xfId="30044" xr:uid="{CA2C94A8-B1BF-44B1-850D-666958E42E98}"/>
    <cellStyle name="千位分隔 2 2 3 2 2 6" xfId="30045" xr:uid="{A50A745C-BBE0-4805-80F7-0D8A9230E94E}"/>
    <cellStyle name="千位分隔 2 2 3 2 2 7" xfId="30046" xr:uid="{246AD005-563F-4319-B070-A9D36AFB50DB}"/>
    <cellStyle name="千位分隔 2 2 3 2 2 7 2" xfId="34799" xr:uid="{6FF76940-1BCD-4943-A15B-DEDEFF56B4CE}"/>
    <cellStyle name="千位分隔 2 2 3 2 2 8" xfId="30047" xr:uid="{591CB45A-1441-4545-9FDA-26252D19067A}"/>
    <cellStyle name="千位分隔 2 2 3 2 2 8 2" xfId="34800" xr:uid="{7B8B6CB5-82E7-457F-8469-E4F4F9DE1D6D}"/>
    <cellStyle name="千位分隔 2 2 3 2 2 9" xfId="30048" xr:uid="{021975D4-A04F-4993-AB26-28D8C2B4446B}"/>
    <cellStyle name="千位分隔 2 2 3 2 3" xfId="30049" xr:uid="{F6661103-9ECE-4FBD-A350-BDEBB071DD48}"/>
    <cellStyle name="千位分隔 2 2 3 2 3 2" xfId="30050" xr:uid="{74EE040B-AC67-45CE-B8F0-34EDE195CD60}"/>
    <cellStyle name="千位分隔 2 2 3 2 3 2 2" xfId="30051" xr:uid="{26247CAA-C743-447A-B9FD-D63EABD6C636}"/>
    <cellStyle name="千位分隔 2 2 3 2 3 2 2 2" xfId="30052" xr:uid="{E3AF9CC4-B98F-461B-B726-9615F172FC3F}"/>
    <cellStyle name="千位分隔 2 2 3 2 3 2 3" xfId="30053" xr:uid="{AA7AFE2D-9233-4EA2-B426-0CF370C4239E}"/>
    <cellStyle name="千位分隔 2 2 3 2 3 2 4" xfId="30054" xr:uid="{7B0DA547-AC7F-4880-96C9-CEBF230662A9}"/>
    <cellStyle name="千位分隔 2 2 3 2 3 2 5" xfId="30055" xr:uid="{B7D58941-3FEF-4E69-8400-59596FAFE253}"/>
    <cellStyle name="千位分隔 2 2 3 2 3 2 5 2" xfId="34801" xr:uid="{25BCDC4C-84C6-4269-A2C0-61B97D86B098}"/>
    <cellStyle name="千位分隔 2 2 3 2 3 2 6" xfId="30056" xr:uid="{199F3C46-4743-4619-A0BD-4A58DA22F5B8}"/>
    <cellStyle name="千位分隔 2 2 3 2 3 2 6 2" xfId="34802" xr:uid="{655B516B-0AF4-45F9-936D-45F771621939}"/>
    <cellStyle name="千位分隔 2 2 3 2 3 2 7" xfId="30057" xr:uid="{10C126C5-4EF0-418B-AE0C-10D958566EF0}"/>
    <cellStyle name="千位分隔 2 2 3 2 3 3" xfId="30058" xr:uid="{83E089F1-1EA9-4453-B06A-7AC477DE7AEB}"/>
    <cellStyle name="千位分隔 2 2 3 2 3 3 2" xfId="30059" xr:uid="{C833F548-4286-401A-AC70-AC730FB2F3E5}"/>
    <cellStyle name="千位分隔 2 2 3 2 3 3 2 2" xfId="30060" xr:uid="{E71DC587-779C-4D5A-BF7D-BCA7C92AD27F}"/>
    <cellStyle name="千位分隔 2 2 3 2 3 3 3" xfId="30061" xr:uid="{073B461A-6903-4137-81FD-ECD51703C8F6}"/>
    <cellStyle name="千位分隔 2 2 3 2 3 3 4" xfId="30062" xr:uid="{DDE05487-A19B-4690-9D48-609024AD1F42}"/>
    <cellStyle name="千位分隔 2 2 3 2 3 3 5" xfId="30063" xr:uid="{E086B74B-FF77-4F95-B264-09AB090AF902}"/>
    <cellStyle name="千位分隔 2 2 3 2 3 3 5 2" xfId="34803" xr:uid="{9D649C5C-2618-4F1E-AAB7-91B1993AD63D}"/>
    <cellStyle name="千位分隔 2 2 3 2 3 3 6" xfId="30064" xr:uid="{714B19A2-A0C7-47DB-AC18-5E7E3C19484C}"/>
    <cellStyle name="千位分隔 2 2 3 2 3 3 6 2" xfId="34804" xr:uid="{18853A15-4FC9-45C7-AB2E-73044096381D}"/>
    <cellStyle name="千位分隔 2 2 3 2 3 3 7" xfId="30065" xr:uid="{C0DF2B4E-59A2-45BB-AF37-C7CE8BA26F2C}"/>
    <cellStyle name="千位分隔 2 2 3 2 3 4" xfId="30066" xr:uid="{28D59B2B-E08B-423A-BBFF-859406569478}"/>
    <cellStyle name="千位分隔 2 2 3 2 3 4 2" xfId="30067" xr:uid="{3B07CB6A-6BC9-4AC1-8D57-CE958BDE4E34}"/>
    <cellStyle name="千位分隔 2 2 3 2 3 5" xfId="30068" xr:uid="{846DE5CE-C037-4E56-87A1-07C672214D96}"/>
    <cellStyle name="千位分隔 2 2 3 2 3 5 2" xfId="30069" xr:uid="{FE2AD076-FA7E-4033-B67D-99251E663115}"/>
    <cellStyle name="千位分隔 2 2 3 2 3 6" xfId="30070" xr:uid="{AC7F7BB1-EF20-4D8D-9DE4-782667F323A1}"/>
    <cellStyle name="千位分隔 2 2 3 2 3 6 2" xfId="30071" xr:uid="{AD967F7E-C89C-410B-91B9-481192BA204E}"/>
    <cellStyle name="千位分隔 2 2 3 2 3 7" xfId="30072" xr:uid="{F7204204-29A1-4096-AAD6-C677EF3A019F}"/>
    <cellStyle name="千位分隔 2 2 3 2 3 7 2" xfId="34805" xr:uid="{A20FB09B-BD96-42CD-8366-70C7FCD23341}"/>
    <cellStyle name="千位分隔 2 2 3 2 3 8" xfId="30073" xr:uid="{5A753B4A-B537-407F-8611-F35E76909F8C}"/>
    <cellStyle name="千位分隔 2 2 3 2 3 8 2" xfId="34806" xr:uid="{269C5BF1-2E36-411E-B9AB-51F0B6F1CD03}"/>
    <cellStyle name="千位分隔 2 2 3 2 3 9" xfId="30074" xr:uid="{4D1B8D2E-DD73-4A27-A861-B3B598660EB4}"/>
    <cellStyle name="千位分隔 2 2 3 2 4" xfId="30075" xr:uid="{F02C4219-5B57-4984-A0BD-A5493308B914}"/>
    <cellStyle name="千位分隔 2 2 3 2 4 2" xfId="30076" xr:uid="{5602C813-7CAA-48F7-9B72-D3877767AA08}"/>
    <cellStyle name="千位分隔 2 2 3 2 4 2 2" xfId="30077" xr:uid="{F68D6245-588E-4B7B-AC4F-D40ACB83B995}"/>
    <cellStyle name="千位分隔 2 2 3 2 4 3" xfId="30078" xr:uid="{6AF09C00-DFF9-490C-B92B-FD1EEC119527}"/>
    <cellStyle name="千位分隔 2 2 3 2 4 4" xfId="30079" xr:uid="{C5AA9C65-8574-460A-8BAF-40E73005F28C}"/>
    <cellStyle name="千位分隔 2 2 3 2 4 5" xfId="30080" xr:uid="{BB16D821-7F40-4EB9-B2EE-21A747108556}"/>
    <cellStyle name="千位分隔 2 2 3 2 4 5 2" xfId="34807" xr:uid="{A39E871D-A9F7-4F4E-B915-2C6D11F3A80F}"/>
    <cellStyle name="千位分隔 2 2 3 2 4 6" xfId="30081" xr:uid="{DD145955-68CA-453E-A574-F85DA09AA669}"/>
    <cellStyle name="千位分隔 2 2 3 2 4 6 2" xfId="34808" xr:uid="{7BC1329F-AA7A-4AAE-8C20-94AF5A834521}"/>
    <cellStyle name="千位分隔 2 2 3 2 4 7" xfId="30082" xr:uid="{795A10AE-1A9F-42DB-86CB-D9A2EE14DEA5}"/>
    <cellStyle name="千位分隔 2 2 3 2 5" xfId="30083" xr:uid="{A631AC69-1DFD-4829-A277-D75002A0E1A2}"/>
    <cellStyle name="千位分隔 2 2 3 2 5 2" xfId="30084" xr:uid="{6A864994-8CE1-43C0-9255-9778C1EF95BD}"/>
    <cellStyle name="千位分隔 2 2 3 2 5 2 2" xfId="30085" xr:uid="{47CDA633-C485-4AF9-980D-6D5443025EC0}"/>
    <cellStyle name="千位分隔 2 2 3 2 5 3" xfId="30086" xr:uid="{69FE8444-273E-49A1-80DA-F06257C1E70C}"/>
    <cellStyle name="千位分隔 2 2 3 2 5 4" xfId="30087" xr:uid="{21619C3B-415C-4498-8323-BF513EDE83C0}"/>
    <cellStyle name="千位分隔 2 2 3 2 5 5" xfId="30088" xr:uid="{C314909A-679B-45E5-8AD4-F796CF2EE2C7}"/>
    <cellStyle name="千位分隔 2 2 3 2 5 5 2" xfId="34809" xr:uid="{524F7A5D-429E-4C97-A905-1FCFEADF9F62}"/>
    <cellStyle name="千位分隔 2 2 3 2 5 6" xfId="30089" xr:uid="{FBFF5AE0-2E4B-4B3D-8AB8-4C247F1A1728}"/>
    <cellStyle name="千位分隔 2 2 3 2 5 6 2" xfId="34810" xr:uid="{3488FF90-18FD-4A07-8CC2-AEA1E959FC94}"/>
    <cellStyle name="千位分隔 2 2 3 2 5 7" xfId="30090" xr:uid="{0CC94A64-4EE6-4F4D-87B6-EA351425F512}"/>
    <cellStyle name="千位分隔 2 2 3 2 6" xfId="30091" xr:uid="{68A2F3E2-5273-40EE-AE44-52816FDD037E}"/>
    <cellStyle name="千位分隔 2 2 3 2 6 2" xfId="30092" xr:uid="{F37504AF-3450-4307-8E64-415C09E8D242}"/>
    <cellStyle name="千位分隔 2 2 3 2 7" xfId="30093" xr:uid="{7ED83934-1431-42D6-BCBE-0A74E45F8CB5}"/>
    <cellStyle name="千位分隔 2 2 3 2 7 2" xfId="30094" xr:uid="{CA38DBAD-0E46-4503-9A94-C477C8440086}"/>
    <cellStyle name="千位分隔 2 2 3 2 8" xfId="30095" xr:uid="{ECEE99CB-82B3-4E30-AD56-20DC15998736}"/>
    <cellStyle name="千位分隔 2 2 3 2 8 2" xfId="30096" xr:uid="{FC20E66B-2D03-412C-B2A0-9FF274671ACB}"/>
    <cellStyle name="千位分隔 2 2 3 2 9" xfId="30097" xr:uid="{06FF2E06-2F01-49D8-910C-C5A637CFB6F3}"/>
    <cellStyle name="千位分隔 2 2 3 2 9 2" xfId="34811" xr:uid="{3F8FD753-2FBE-497F-BD98-5CE4CBB30102}"/>
    <cellStyle name="千位分隔 2 2 3 3" xfId="30098" xr:uid="{D8656F40-04B3-4324-82F2-5FFD573E4A57}"/>
    <cellStyle name="千位分隔 2 2 3 3 2" xfId="30099" xr:uid="{34104461-1406-48F7-A70E-5E2F9E4F3C23}"/>
    <cellStyle name="千位分隔 2 2 3 3 2 2" xfId="30100" xr:uid="{F95DD8DA-9B2A-47C7-A8F4-FB8EC0E5F4B8}"/>
    <cellStyle name="千位分隔 2 2 3 3 2 2 2" xfId="30101" xr:uid="{87562AF3-5EFB-43FE-89CE-9D924F61A6F9}"/>
    <cellStyle name="千位分隔 2 2 3 3 2 2 2 2" xfId="30102" xr:uid="{E3831C69-C0D4-4DAC-BD5A-3FBF764C1000}"/>
    <cellStyle name="千位分隔 2 2 3 3 2 2 3" xfId="30103" xr:uid="{904F0E2B-E332-461D-8D83-750E4F92EC2C}"/>
    <cellStyle name="千位分隔 2 2 3 3 2 2 4" xfId="30104" xr:uid="{568DA8DC-38E2-473B-A263-9BFE69F9B220}"/>
    <cellStyle name="千位分隔 2 2 3 3 2 2 5" xfId="30105" xr:uid="{6BCBE636-31C0-4EA0-ADE2-89A30139DF23}"/>
    <cellStyle name="千位分隔 2 2 3 3 2 2 5 2" xfId="34812" xr:uid="{29DD1D4A-5492-437F-9DF5-F2BCC14F5E45}"/>
    <cellStyle name="千位分隔 2 2 3 3 2 2 6" xfId="30106" xr:uid="{B3AEE83B-9A80-4B37-BA38-4B688F5AB2AE}"/>
    <cellStyle name="千位分隔 2 2 3 3 2 2 6 2" xfId="34813" xr:uid="{1A15EC05-7E4F-4168-B24E-B1132A5A8AC3}"/>
    <cellStyle name="千位分隔 2 2 3 3 2 3" xfId="30107" xr:uid="{7F4AA60F-830D-4397-9331-3094B0925AFE}"/>
    <cellStyle name="千位分隔 2 2 3 3 2 3 2" xfId="30108" xr:uid="{B642874A-876C-4CFD-B8BE-5513E1034D74}"/>
    <cellStyle name="千位分隔 2 2 3 3 2 3 2 2" xfId="30109" xr:uid="{94D045F6-6F70-454E-B103-B4A0E64B1CDE}"/>
    <cellStyle name="千位分隔 2 2 3 3 2 3 3" xfId="30110" xr:uid="{FE601418-728F-4972-AD1A-A12BEE355713}"/>
    <cellStyle name="千位分隔 2 2 3 3 2 3 4" xfId="30111" xr:uid="{23C872FD-3B5C-4228-89C3-6EE265489722}"/>
    <cellStyle name="千位分隔 2 2 3 3 2 3 5" xfId="30112" xr:uid="{F65F8240-564D-4160-98EA-6F37601FA283}"/>
    <cellStyle name="千位分隔 2 2 3 3 2 3 5 2" xfId="34814" xr:uid="{AB1F1625-E9B1-4877-B987-4334FC17AED1}"/>
    <cellStyle name="千位分隔 2 2 3 3 2 3 6" xfId="30113" xr:uid="{2BAEEC7C-6A9B-45D2-8B84-317F4A43FBB5}"/>
    <cellStyle name="千位分隔 2 2 3 3 2 3 6 2" xfId="34815" xr:uid="{85DC3A60-212D-4E41-800D-163EFA6DBB92}"/>
    <cellStyle name="千位分隔 2 2 3 3 2 4" xfId="30114" xr:uid="{466D2630-C818-46DA-9432-5D4BF78644B0}"/>
    <cellStyle name="千位分隔 2 2 3 3 2 4 2" xfId="30115" xr:uid="{82615C9C-8EB1-4E7A-9801-69C6005DB05E}"/>
    <cellStyle name="千位分隔 2 2 3 3 2 5" xfId="30116" xr:uid="{B37CA790-028C-467D-AE91-D7319EFEA7F4}"/>
    <cellStyle name="千位分隔 2 2 3 3 2 6" xfId="30117" xr:uid="{8F450A8D-3CA0-4268-B6FD-AB0CA7ECCC12}"/>
    <cellStyle name="千位分隔 2 2 3 3 2 7" xfId="30118" xr:uid="{DB10A0AB-2F6C-4F2E-B85E-93E5D7AA08D4}"/>
    <cellStyle name="千位分隔 2 2 3 3 2 7 2" xfId="34816" xr:uid="{ACE6D358-E4F0-4D44-ADE9-CBDB38949941}"/>
    <cellStyle name="千位分隔 2 2 3 3 2 8" xfId="30119" xr:uid="{2AF9684C-679F-49C2-80D7-28CE6C5CC626}"/>
    <cellStyle name="千位分隔 2 2 3 3 2 8 2" xfId="34817" xr:uid="{ECDDC43E-163C-4463-B728-3610CA95D3C1}"/>
    <cellStyle name="千位分隔 2 2 3 3 3" xfId="30120" xr:uid="{F7CE9405-6046-4D77-BEC3-9E2C16E7AEF4}"/>
    <cellStyle name="千位分隔 2 2 3 3 3 2" xfId="30121" xr:uid="{B92AB0AB-E409-44FE-8497-102E903305A4}"/>
    <cellStyle name="千位分隔 2 2 3 3 3 2 2" xfId="30122" xr:uid="{D3EC2815-4408-40D1-BC33-916C2FA88B8D}"/>
    <cellStyle name="千位分隔 2 2 3 3 3 3" xfId="30123" xr:uid="{2CEBF625-48F1-4DF3-A37D-A0930371F305}"/>
    <cellStyle name="千位分隔 2 2 3 3 3 4" xfId="30124" xr:uid="{A5AAB393-3202-4803-B598-44B03F7F82FA}"/>
    <cellStyle name="千位分隔 2 2 3 3 3 5" xfId="30125" xr:uid="{41B37C39-9F10-4EB3-9400-8E6076E21D3E}"/>
    <cellStyle name="千位分隔 2 2 3 3 3 5 2" xfId="34818" xr:uid="{4C05F07A-3E23-4193-B5EC-1BECA9679420}"/>
    <cellStyle name="千位分隔 2 2 3 3 3 6" xfId="30126" xr:uid="{50753324-C189-4DEC-B81A-2A3CE7A28D64}"/>
    <cellStyle name="千位分隔 2 2 3 3 3 6 2" xfId="34819" xr:uid="{BDF821B7-4605-4ECC-A42A-C8F1DF427929}"/>
    <cellStyle name="千位分隔 2 2 3 3 4" xfId="30127" xr:uid="{E4BD3D73-71B5-4EDD-AB18-D3C58AA387F9}"/>
    <cellStyle name="千位分隔 2 2 3 3 4 2" xfId="30128" xr:uid="{E52AE550-932C-4BD5-B673-87E98450D635}"/>
    <cellStyle name="千位分隔 2 2 3 3 4 2 2" xfId="30129" xr:uid="{47BA9F3F-8656-4B83-9C62-A1C1C89AE945}"/>
    <cellStyle name="千位分隔 2 2 3 3 4 3" xfId="30130" xr:uid="{60DBC34C-235E-4ED7-B443-C57C505FF7A6}"/>
    <cellStyle name="千位分隔 2 2 3 3 4 4" xfId="30131" xr:uid="{E0DE64A9-1523-4331-B896-46C4DAB4EB43}"/>
    <cellStyle name="千位分隔 2 2 3 3 4 5" xfId="30132" xr:uid="{5AAB8E01-2CA4-4C0F-A12B-4252D5728D7D}"/>
    <cellStyle name="千位分隔 2 2 3 3 4 5 2" xfId="34820" xr:uid="{317C977A-96F0-4C89-A8E3-706682B7D2D1}"/>
    <cellStyle name="千位分隔 2 2 3 3 4 6" xfId="30133" xr:uid="{511E61B3-C6F3-44A5-B5FD-4DCE7CF1377A}"/>
    <cellStyle name="千位分隔 2 2 3 3 4 6 2" xfId="34821" xr:uid="{5A42A2B5-9A67-4007-8517-D69536592B2F}"/>
    <cellStyle name="千位分隔 2 2 3 3 5" xfId="30134" xr:uid="{F434B14E-38A3-40B8-8329-6E8457F94D11}"/>
    <cellStyle name="千位分隔 2 2 3 3 5 2" xfId="30135" xr:uid="{195D56DA-FBF9-49D2-9404-AEA95CC0D128}"/>
    <cellStyle name="千位分隔 2 2 3 3 6" xfId="30136" xr:uid="{94E4EBBC-183F-4B2E-8E67-92BC0848ABAC}"/>
    <cellStyle name="千位分隔 2 2 3 3 7" xfId="30137" xr:uid="{EB385D89-92CC-4DDD-B826-486C26AAB11C}"/>
    <cellStyle name="千位分隔 2 2 3 3 8" xfId="30138" xr:uid="{C3091FA9-28D1-4A86-A9BC-71D95E39CBC8}"/>
    <cellStyle name="千位分隔 2 2 3 3 8 2" xfId="34822" xr:uid="{F3F0035B-B4F6-4FF3-BD84-1EF91EE38225}"/>
    <cellStyle name="千位分隔 2 2 3 3 9" xfId="30139" xr:uid="{41089C09-EAF1-4C1E-85BA-CD1723D5790B}"/>
    <cellStyle name="千位分隔 2 2 3 3 9 2" xfId="34823" xr:uid="{0578B051-BCE1-4851-AFBF-D5B840F8D223}"/>
    <cellStyle name="千位分隔 2 2 3 4" xfId="30140" xr:uid="{B6ADBE6F-58D3-4D25-860E-9FAFEDEC678E}"/>
    <cellStyle name="千位分隔 2 2 3 4 2" xfId="30141" xr:uid="{2B417F59-A8D3-441C-9CB6-ED6FD23BD91B}"/>
    <cellStyle name="千位分隔 2 2 3 4 2 2" xfId="30142" xr:uid="{EA1219BE-94AE-4E90-AE92-C702309A0881}"/>
    <cellStyle name="千位分隔 2 2 3 4 2 2 2" xfId="30143" xr:uid="{C1B209E7-8E35-4741-B252-413BA2DB0E71}"/>
    <cellStyle name="千位分隔 2 2 3 4 2 3" xfId="30144" xr:uid="{600C9507-732A-4A54-B89F-5A1F52B365E8}"/>
    <cellStyle name="千位分隔 2 2 3 4 2 3 2" xfId="30145" xr:uid="{C101EDCD-5ACC-4BA3-9011-188B9D770538}"/>
    <cellStyle name="千位分隔 2 2 3 4 2 4" xfId="30146" xr:uid="{D0E39B3D-8D83-42FB-8687-7D2DD360169F}"/>
    <cellStyle name="千位分隔 2 2 3 4 2 4 2" xfId="30147" xr:uid="{1F0F730A-A35A-43EA-9A92-705C1E335869}"/>
    <cellStyle name="千位分隔 2 2 3 4 2 5" xfId="30148" xr:uid="{3D47EA49-EC76-44DB-93F5-0EB4711A55C0}"/>
    <cellStyle name="千位分隔 2 2 3 4 2 5 2" xfId="34824" xr:uid="{9730463B-980A-40F7-93E1-0FD4108F6BD5}"/>
    <cellStyle name="千位分隔 2 2 3 4 2 6" xfId="30149" xr:uid="{3FADA955-BDD8-4A1E-8A28-D6A4775E26E8}"/>
    <cellStyle name="千位分隔 2 2 3 4 2 6 2" xfId="34825" xr:uid="{B5D70920-8845-4ECA-B20C-EF1C75BC5EF1}"/>
    <cellStyle name="千位分隔 2 2 3 4 2 7" xfId="30150" xr:uid="{3F947A79-97AC-4EDF-A12A-F6575E040DC5}"/>
    <cellStyle name="千位分隔 2 2 3 4 3" xfId="30151" xr:uid="{3FBE4EF0-B1F0-41FB-9166-15D88C53975F}"/>
    <cellStyle name="千位分隔 2 2 3 4 3 2" xfId="30152" xr:uid="{BF97CBA9-BF99-4DF8-B781-8279934889A8}"/>
    <cellStyle name="千位分隔 2 2 3 4 3 2 2" xfId="30153" xr:uid="{46315CC6-729E-4ED3-B089-D0B985E64F09}"/>
    <cellStyle name="千位分隔 2 2 3 4 3 3" xfId="30154" xr:uid="{3CC7BC62-95D7-4073-804E-D0A591AAD680}"/>
    <cellStyle name="千位分隔 2 2 3 4 3 4" xfId="30155" xr:uid="{FD455E54-8DC5-4F52-A9D0-BD3E7B91354F}"/>
    <cellStyle name="千位分隔 2 2 3 4 3 5" xfId="30156" xr:uid="{12F2D51F-B6F0-48EF-AC2C-C52314018D93}"/>
    <cellStyle name="千位分隔 2 2 3 4 3 5 2" xfId="34826" xr:uid="{4918FD6F-D0DE-44D6-AC7A-DA4F45E39D4A}"/>
    <cellStyle name="千位分隔 2 2 3 4 3 6" xfId="30157" xr:uid="{F0141B4B-19DA-4BA3-9F03-C7164081A321}"/>
    <cellStyle name="千位分隔 2 2 3 4 3 6 2" xfId="34827" xr:uid="{17AEB378-9488-4C16-AF5B-4A5E8CB26988}"/>
    <cellStyle name="千位分隔 2 2 3 4 3 7" xfId="30158" xr:uid="{AD66A631-1457-4500-96E8-EDB87A18773D}"/>
    <cellStyle name="千位分隔 2 2 3 4 4" xfId="30159" xr:uid="{B7F1EE80-752B-49AE-B2E1-CBB847E5D4D6}"/>
    <cellStyle name="千位分隔 2 2 3 4 4 2" xfId="30160" xr:uid="{F4D3ADED-48EF-40B5-9915-4CAA195B0A42}"/>
    <cellStyle name="千位分隔 2 2 3 4 5" xfId="30161" xr:uid="{8AE11EF5-C454-4AFD-9A4C-75D2B7EB9161}"/>
    <cellStyle name="千位分隔 2 2 3 4 5 2" xfId="30162" xr:uid="{F76CA9BB-A11A-40A1-88CB-0DC03C137F58}"/>
    <cellStyle name="千位分隔 2 2 3 4 6" xfId="30163" xr:uid="{9D5D3991-A8A2-4437-B4FE-79B5DB229135}"/>
    <cellStyle name="千位分隔 2 2 3 4 6 2" xfId="30164" xr:uid="{EE2BE895-2F2F-404F-981A-AF8B912DE760}"/>
    <cellStyle name="千位分隔 2 2 3 4 7" xfId="30165" xr:uid="{129AA496-72FA-477B-8F98-E8082F358B36}"/>
    <cellStyle name="千位分隔 2 2 3 4 7 2" xfId="34828" xr:uid="{B666F32D-709F-460E-A1EF-4AAA54CF0EC8}"/>
    <cellStyle name="千位分隔 2 2 3 4 8" xfId="30166" xr:uid="{ED5034AD-4B27-43C9-9762-58A256A2B0CB}"/>
    <cellStyle name="千位分隔 2 2 3 4 8 2" xfId="34829" xr:uid="{4B8DBFDF-AE5E-4B12-94FA-E9856DE4CEFA}"/>
    <cellStyle name="千位分隔 2 2 3 4 9" xfId="30167" xr:uid="{BC58A3D4-55E3-4AF9-8E34-A6340BB4A143}"/>
    <cellStyle name="千位分隔 2 2 3 5" xfId="30168" xr:uid="{1714AB42-113C-4C86-B2EB-0DD197D40289}"/>
    <cellStyle name="千位分隔 2 2 3 5 2" xfId="30169" xr:uid="{F8C4D35D-7D2C-42BB-B7DA-3137DA0FB999}"/>
    <cellStyle name="千位分隔 2 2 3 5 2 2" xfId="30170" xr:uid="{E8C18142-B913-4D35-9C4B-82C43C444B91}"/>
    <cellStyle name="千位分隔 2 2 3 5 3" xfId="30171" xr:uid="{6CEC8052-6C80-458A-A2AF-78BF191EBB3B}"/>
    <cellStyle name="千位分隔 2 2 3 5 3 2" xfId="30172" xr:uid="{3D7DC24C-E34D-4C08-BEDB-153035CADC71}"/>
    <cellStyle name="千位分隔 2 2 3 5 4" xfId="30173" xr:uid="{87034163-4490-42E9-AC95-4A8525BB2760}"/>
    <cellStyle name="千位分隔 2 2 3 5 4 2" xfId="30174" xr:uid="{068A6672-5FEC-4745-AF92-E133A0F11865}"/>
    <cellStyle name="千位分隔 2 2 3 5 5" xfId="30175" xr:uid="{6ED7D925-1FBD-48BA-AB67-ED7731DACD1E}"/>
    <cellStyle name="千位分隔 2 2 3 5 5 2" xfId="34830" xr:uid="{75D7EAE1-6B30-4B1D-8459-3AE5B0363827}"/>
    <cellStyle name="千位分隔 2 2 3 5 6" xfId="30176" xr:uid="{DA79E4D2-4EF7-42A0-9015-DCAD3C247370}"/>
    <cellStyle name="千位分隔 2 2 3 5 6 2" xfId="34831" xr:uid="{22DADAE7-F625-41BF-852B-5A58370E2C07}"/>
    <cellStyle name="千位分隔 2 2 3 5 7" xfId="30177" xr:uid="{65B587B5-CD41-430B-8C18-460DD11F4AC5}"/>
    <cellStyle name="千位分隔 2 2 3 6" xfId="30178" xr:uid="{6BCFF7CE-9EB3-4C9B-BF29-394398A9397A}"/>
    <cellStyle name="千位分隔 2 2 3 6 2" xfId="30179" xr:uid="{58F76BBB-FA27-4059-83B1-6CA05869C033}"/>
    <cellStyle name="千位分隔 2 2 3 6 2 2" xfId="30180" xr:uid="{F300A357-F681-4726-AE7A-BA597E77F076}"/>
    <cellStyle name="千位分隔 2 2 3 6 3" xfId="30181" xr:uid="{8AD75E69-FE30-46AF-8A53-7C319FC0E7B4}"/>
    <cellStyle name="千位分隔 2 2 3 6 4" xfId="30182" xr:uid="{E1A44F5E-D50E-4F94-B487-46EC49983D3F}"/>
    <cellStyle name="千位分隔 2 2 3 6 5" xfId="30183" xr:uid="{2E0F797A-8EE5-4987-8289-B71B1FB42CB4}"/>
    <cellStyle name="千位分隔 2 2 3 6 5 2" xfId="34832" xr:uid="{EB46E23C-AC2A-4466-953C-C68D7AB0BED1}"/>
    <cellStyle name="千位分隔 2 2 3 6 6" xfId="30184" xr:uid="{797A1C5E-EEFF-4272-BB35-21AD1F38DD0D}"/>
    <cellStyle name="千位分隔 2 2 3 6 6 2" xfId="34833" xr:uid="{E1C361E3-3A44-4421-9878-47556B67FE58}"/>
    <cellStyle name="千位分隔 2 2 3 6 7" xfId="30185" xr:uid="{A3F5D520-7657-4DC9-80DE-9E0F2FD00134}"/>
    <cellStyle name="千位分隔 2 2 3 7" xfId="30186" xr:uid="{6547FF04-8ABF-4D0D-BD0B-F456E69EC66D}"/>
    <cellStyle name="千位分隔 2 2 3 7 2" xfId="30187" xr:uid="{FD6AC9F2-925F-4098-8010-2C55888B9517}"/>
    <cellStyle name="千位分隔 2 2 3 8" xfId="30188" xr:uid="{2864B560-A69B-444C-891A-E23DFACF85FA}"/>
    <cellStyle name="千位分隔 2 2 3 8 2" xfId="30189" xr:uid="{9CCF574A-9395-4EA1-A0D7-43B2B762C1E3}"/>
    <cellStyle name="千位分隔 2 2 3 9" xfId="30190" xr:uid="{F9EA370F-B1E4-4990-B0A3-D71186AF967F}"/>
    <cellStyle name="千位分隔 2 2 3 9 2" xfId="30191" xr:uid="{9B1A1E4A-1F33-45D6-BA1D-61B831ED70B8}"/>
    <cellStyle name="千位分隔 2 2 4" xfId="30192" xr:uid="{F2685B9C-56FE-43FD-82F4-EBCF58DE78B3}"/>
    <cellStyle name="千位分隔 2 2 4 10" xfId="30193" xr:uid="{3B6707AF-FF4E-4B34-8823-AA487EB3477D}"/>
    <cellStyle name="千位分隔 2 2 4 10 2" xfId="34834" xr:uid="{0F4C82C6-8A6F-42B1-8620-0C791164F5B8}"/>
    <cellStyle name="千位分隔 2 2 4 11" xfId="30194" xr:uid="{06A4CB42-3F5B-4F69-A5BB-C720156C694E}"/>
    <cellStyle name="千位分隔 2 2 4 2" xfId="30195" xr:uid="{D4C3C4D9-1D5C-43DE-B198-9DF5B3515588}"/>
    <cellStyle name="千位分隔 2 2 4 2 10" xfId="30196" xr:uid="{16A8DB77-897A-4EED-A309-AD579C40BFFB}"/>
    <cellStyle name="千位分隔 2 2 4 2 2" xfId="30197" xr:uid="{5CA18DBA-EE17-4183-86C8-581AA65E00B7}"/>
    <cellStyle name="千位分隔 2 2 4 2 2 2" xfId="30198" xr:uid="{3D966845-002D-4D0F-A3FC-1EBD390AD312}"/>
    <cellStyle name="千位分隔 2 2 4 2 2 2 2" xfId="30199" xr:uid="{17C64F9B-EC96-4E59-BDEE-51CCC3A642E8}"/>
    <cellStyle name="千位分隔 2 2 4 2 2 2 2 2" xfId="30200" xr:uid="{6106C7DB-80EC-44B6-8DF9-7826BD517505}"/>
    <cellStyle name="千位分隔 2 2 4 2 2 2 3" xfId="30201" xr:uid="{1971749E-53F0-4AED-B493-95BBCACB5666}"/>
    <cellStyle name="千位分隔 2 2 4 2 2 2 4" xfId="30202" xr:uid="{219E2A07-D71C-4F81-BE88-D2CF1C87E4D4}"/>
    <cellStyle name="千位分隔 2 2 4 2 2 2 5" xfId="30203" xr:uid="{0C021AD4-6F38-43ED-B984-B6EC09684E97}"/>
    <cellStyle name="千位分隔 2 2 4 2 2 2 5 2" xfId="34835" xr:uid="{9D9CC0BF-03F4-4E88-A60F-B0690C7A64C1}"/>
    <cellStyle name="千位分隔 2 2 4 2 2 2 6" xfId="30204" xr:uid="{E1E8AA20-B3C8-4D08-84A1-B2DF51648C3B}"/>
    <cellStyle name="千位分隔 2 2 4 2 2 2 6 2" xfId="34836" xr:uid="{74B4FC28-8FB1-470A-9194-BF011999A3C3}"/>
    <cellStyle name="千位分隔 2 2 4 2 2 3" xfId="30205" xr:uid="{0913A85B-5869-4F44-9AF1-3F0BDBD9BDBC}"/>
    <cellStyle name="千位分隔 2 2 4 2 2 3 2" xfId="30206" xr:uid="{B79DDD78-2504-47F8-B528-ECCC51114665}"/>
    <cellStyle name="千位分隔 2 2 4 2 2 3 2 2" xfId="30207" xr:uid="{4489EB03-B08F-4F17-895B-FF52B3D8F01A}"/>
    <cellStyle name="千位分隔 2 2 4 2 2 3 3" xfId="30208" xr:uid="{D45B38C9-885D-453C-A8BC-CF80B9F4BC0D}"/>
    <cellStyle name="千位分隔 2 2 4 2 2 3 4" xfId="30209" xr:uid="{032BF3D0-CE60-4192-9CA9-B0F3F4A9FDDE}"/>
    <cellStyle name="千位分隔 2 2 4 2 2 3 5" xfId="30210" xr:uid="{07B4FCED-726E-44D1-A1AA-073000EF0B39}"/>
    <cellStyle name="千位分隔 2 2 4 2 2 3 5 2" xfId="34837" xr:uid="{F18BB0C3-6B40-4A1E-B928-47A769C2461C}"/>
    <cellStyle name="千位分隔 2 2 4 2 2 3 6" xfId="30211" xr:uid="{678FB8D2-0AFF-40C9-8FA7-20B889A30D4B}"/>
    <cellStyle name="千位分隔 2 2 4 2 2 3 6 2" xfId="34838" xr:uid="{D0D9EC2D-105B-48F5-92F8-C91E11BDC61D}"/>
    <cellStyle name="千位分隔 2 2 4 2 2 4" xfId="30212" xr:uid="{128F1B31-928C-4C1B-9162-8B331D6B2B05}"/>
    <cellStyle name="千位分隔 2 2 4 2 2 4 2" xfId="30213" xr:uid="{BC750A61-B72A-436C-8668-242469B278D7}"/>
    <cellStyle name="千位分隔 2 2 4 2 2 5" xfId="30214" xr:uid="{9DB1675B-1837-400A-BC96-D8FF12D50875}"/>
    <cellStyle name="千位分隔 2 2 4 2 2 6" xfId="30215" xr:uid="{F757E67E-B5D2-49AB-95D7-5908B5BCCA14}"/>
    <cellStyle name="千位分隔 2 2 4 2 2 7" xfId="30216" xr:uid="{AA49527E-612D-429C-8081-7D7900314465}"/>
    <cellStyle name="千位分隔 2 2 4 2 2 7 2" xfId="34839" xr:uid="{ABFFFCEF-A694-486A-9AEB-2782D9E5B698}"/>
    <cellStyle name="千位分隔 2 2 4 2 2 8" xfId="30217" xr:uid="{0DAE9031-1E0A-4B70-8A01-9FF196F6AC00}"/>
    <cellStyle name="千位分隔 2 2 4 2 2 8 2" xfId="34840" xr:uid="{17E11B62-D6EE-4406-B490-D9CF184C6F11}"/>
    <cellStyle name="千位分隔 2 2 4 2 3" xfId="30218" xr:uid="{395BF910-B645-4666-8F06-25DA7522D1EF}"/>
    <cellStyle name="千位分隔 2 2 4 2 3 2" xfId="30219" xr:uid="{D383A33D-9E6A-464B-A911-BD47361BC4F2}"/>
    <cellStyle name="千位分隔 2 2 4 2 3 2 2" xfId="30220" xr:uid="{42F26EB2-6845-4607-BA62-B995D0E90049}"/>
    <cellStyle name="千位分隔 2 2 4 2 3 3" xfId="30221" xr:uid="{2955D52B-F3D5-412A-B219-55595604748E}"/>
    <cellStyle name="千位分隔 2 2 4 2 3 4" xfId="30222" xr:uid="{991C4DBA-8699-474E-A834-5E392E24FEA5}"/>
    <cellStyle name="千位分隔 2 2 4 2 3 5" xfId="30223" xr:uid="{CB164E4A-5607-4B71-8BC2-39E6B733A8BE}"/>
    <cellStyle name="千位分隔 2 2 4 2 3 5 2" xfId="34841" xr:uid="{C7B83C65-9433-4CD9-8293-F02190578D29}"/>
    <cellStyle name="千位分隔 2 2 4 2 3 6" xfId="30224" xr:uid="{DEFDAB04-E7DC-4D7A-B2ED-9A64182A64BA}"/>
    <cellStyle name="千位分隔 2 2 4 2 3 6 2" xfId="34842" xr:uid="{5B299CC7-242A-4FFA-A5A3-13209D062998}"/>
    <cellStyle name="千位分隔 2 2 4 2 4" xfId="30225" xr:uid="{AE375725-8635-444C-9E52-6CFD493A2BD0}"/>
    <cellStyle name="千位分隔 2 2 4 2 4 2" xfId="30226" xr:uid="{D39AC44F-0939-46CF-B65D-3382DC8BEF61}"/>
    <cellStyle name="千位分隔 2 2 4 2 4 2 2" xfId="30227" xr:uid="{58E62283-7560-41C1-9145-A3512654E7C3}"/>
    <cellStyle name="千位分隔 2 2 4 2 4 3" xfId="30228" xr:uid="{F2CA10AD-231D-4388-B171-0058C62CB1EF}"/>
    <cellStyle name="千位分隔 2 2 4 2 4 4" xfId="30229" xr:uid="{F84A1580-6880-434E-A27A-A7E672A49680}"/>
    <cellStyle name="千位分隔 2 2 4 2 4 5" xfId="30230" xr:uid="{27AC4121-9E80-485F-9E2D-946E1E24868A}"/>
    <cellStyle name="千位分隔 2 2 4 2 4 5 2" xfId="34843" xr:uid="{80481E87-1903-4E84-A6BF-109E78FD2A3C}"/>
    <cellStyle name="千位分隔 2 2 4 2 4 6" xfId="30231" xr:uid="{0DB40D43-C534-45EB-B4DF-D783259F3ECC}"/>
    <cellStyle name="千位分隔 2 2 4 2 4 6 2" xfId="34844" xr:uid="{EA63046E-F812-4EA2-8F2C-7A173AD085EB}"/>
    <cellStyle name="千位分隔 2 2 4 2 5" xfId="30232" xr:uid="{8B1C0DB8-77C8-41F1-BD7F-360C876DC8C6}"/>
    <cellStyle name="千位分隔 2 2 4 2 5 2" xfId="30233" xr:uid="{7B2E4072-00BC-46B0-A8FB-D1FB4CB8FE77}"/>
    <cellStyle name="千位分隔 2 2 4 2 6" xfId="30234" xr:uid="{938968B1-064F-4646-8A5B-9C7F1B0F9C01}"/>
    <cellStyle name="千位分隔 2 2 4 2 7" xfId="30235" xr:uid="{EA41FBEC-1EB2-49A5-A218-9F8D4C71F32B}"/>
    <cellStyle name="千位分隔 2 2 4 2 8" xfId="30236" xr:uid="{41D87131-EB4A-4902-8568-518EE58481D8}"/>
    <cellStyle name="千位分隔 2 2 4 2 8 2" xfId="34845" xr:uid="{12A15F5F-F46C-445B-9174-099E5DF6E19B}"/>
    <cellStyle name="千位分隔 2 2 4 2 9" xfId="30237" xr:uid="{BEB9BADA-8AFA-405D-88CF-E3E387AE1A19}"/>
    <cellStyle name="千位分隔 2 2 4 2 9 2" xfId="34846" xr:uid="{8C3624BD-3E7A-43A4-B837-278B11E905E7}"/>
    <cellStyle name="千位分隔 2 2 4 3" xfId="30238" xr:uid="{CEFB3D93-A31D-4FFD-9075-E79DCC7207AF}"/>
    <cellStyle name="千位分隔 2 2 4 3 2" xfId="30239" xr:uid="{A0A74291-B8C4-46F3-B38D-6794805C6A60}"/>
    <cellStyle name="千位分隔 2 2 4 3 2 2" xfId="30240" xr:uid="{9A7D5E5C-2EE4-4EAE-9566-4C00C4276B58}"/>
    <cellStyle name="千位分隔 2 2 4 3 2 2 2" xfId="30241" xr:uid="{8BB59DA2-D5B2-4A76-9569-34ABB8A5C359}"/>
    <cellStyle name="千位分隔 2 2 4 3 2 3" xfId="30242" xr:uid="{A9F5A4CA-F018-4B36-A8DB-9B8B43138361}"/>
    <cellStyle name="千位分隔 2 2 4 3 2 4" xfId="30243" xr:uid="{2466600A-D7FA-4B8A-8E6B-933EB582C839}"/>
    <cellStyle name="千位分隔 2 2 4 3 2 5" xfId="30244" xr:uid="{F13C771A-4D24-460F-86D6-5E2719AAC0D3}"/>
    <cellStyle name="千位分隔 2 2 4 3 2 5 2" xfId="34847" xr:uid="{1454D876-7E13-4041-85A2-71C31DC1D2DB}"/>
    <cellStyle name="千位分隔 2 2 4 3 2 6" xfId="30245" xr:uid="{6A4DD15C-5F5E-40F1-A913-29DCF70D4200}"/>
    <cellStyle name="千位分隔 2 2 4 3 2 6 2" xfId="34848" xr:uid="{A9D4F99E-E2CA-46FD-8672-67ED3F102EA5}"/>
    <cellStyle name="千位分隔 2 2 4 3 2 7" xfId="30246" xr:uid="{E9967D07-285F-4BEC-8E3C-B6F3E3729BFC}"/>
    <cellStyle name="千位分隔 2 2 4 3 3" xfId="30247" xr:uid="{17423088-11F1-4E25-A08D-0AA864525D8F}"/>
    <cellStyle name="千位分隔 2 2 4 3 3 2" xfId="30248" xr:uid="{DBFBFD55-59C7-4FA0-A8B4-9144433D5B19}"/>
    <cellStyle name="千位分隔 2 2 4 3 3 2 2" xfId="30249" xr:uid="{A1CDE27A-06DA-4213-9840-4BE29DE71948}"/>
    <cellStyle name="千位分隔 2 2 4 3 3 3" xfId="30250" xr:uid="{E067DE06-C5DC-42C4-97AE-FE8533F9392D}"/>
    <cellStyle name="千位分隔 2 2 4 3 3 4" xfId="30251" xr:uid="{CD0A6F34-1C5B-4D5A-88BA-B48B4191AD3E}"/>
    <cellStyle name="千位分隔 2 2 4 3 3 5" xfId="30252" xr:uid="{4160239F-2E12-4463-B074-0CBB0624D450}"/>
    <cellStyle name="千位分隔 2 2 4 3 3 5 2" xfId="34849" xr:uid="{F610B4F1-4062-4656-9333-53DB6A266319}"/>
    <cellStyle name="千位分隔 2 2 4 3 3 6" xfId="30253" xr:uid="{D6EC1506-45FB-4CE1-AC32-1CB7A996EE68}"/>
    <cellStyle name="千位分隔 2 2 4 3 3 6 2" xfId="34850" xr:uid="{8ABB3979-D5DE-4671-A1F3-30547D16D575}"/>
    <cellStyle name="千位分隔 2 2 4 3 3 7" xfId="30254" xr:uid="{93389B81-BA39-45CC-BEED-F4D6A677E2FC}"/>
    <cellStyle name="千位分隔 2 2 4 3 4" xfId="30255" xr:uid="{FABDE61D-3394-4A36-B2F7-E9AF4A7837E9}"/>
    <cellStyle name="千位分隔 2 2 4 3 4 2" xfId="30256" xr:uid="{7AD498B8-1F46-4FDB-8750-888C80DEC5FB}"/>
    <cellStyle name="千位分隔 2 2 4 3 5" xfId="30257" xr:uid="{ECC106F5-597D-44FB-A297-06EF4C5403C9}"/>
    <cellStyle name="千位分隔 2 2 4 3 5 2" xfId="30258" xr:uid="{8EECB9D2-26AB-4423-AE71-3DE663B276F9}"/>
    <cellStyle name="千位分隔 2 2 4 3 6" xfId="30259" xr:uid="{557D59BA-0AEC-4614-83A1-02E9302B94F1}"/>
    <cellStyle name="千位分隔 2 2 4 3 6 2" xfId="30260" xr:uid="{E8FC86AB-B24C-435B-A17D-37F20A3FE948}"/>
    <cellStyle name="千位分隔 2 2 4 3 7" xfId="30261" xr:uid="{188C0114-F446-41CD-A59C-94807FBC8F15}"/>
    <cellStyle name="千位分隔 2 2 4 3 7 2" xfId="34851" xr:uid="{70DCC5E5-085B-412D-9D30-1191AC96E8AC}"/>
    <cellStyle name="千位分隔 2 2 4 3 8" xfId="30262" xr:uid="{F0AD237D-FBAF-41FC-B5B4-4874D2FE1E57}"/>
    <cellStyle name="千位分隔 2 2 4 3 8 2" xfId="34852" xr:uid="{B200A915-7621-4058-96A7-8F9C3298788B}"/>
    <cellStyle name="千位分隔 2 2 4 3 9" xfId="30263" xr:uid="{3613EED6-DABD-47F4-B523-FDFB1F8AA584}"/>
    <cellStyle name="千位分隔 2 2 4 4" xfId="30264" xr:uid="{56AB5156-6BFE-4A10-BFC0-9E0F30ABB884}"/>
    <cellStyle name="千位分隔 2 2 4 4 2" xfId="30265" xr:uid="{0A921155-DACA-4402-AB89-E3E7B530F5B6}"/>
    <cellStyle name="千位分隔 2 2 4 4 2 2" xfId="30266" xr:uid="{0937D52A-EFEC-4E18-A633-88F4FF79EFE8}"/>
    <cellStyle name="千位分隔 2 2 4 4 3" xfId="30267" xr:uid="{63B99C65-D6D6-43F5-A2C6-5A375C114391}"/>
    <cellStyle name="千位分隔 2 2 4 4 4" xfId="30268" xr:uid="{02339477-0AE9-4C07-B8F9-F8B6820FB507}"/>
    <cellStyle name="千位分隔 2 2 4 4 5" xfId="30269" xr:uid="{1ED75F6A-5AFD-465E-BFE3-06AFA73D5289}"/>
    <cellStyle name="千位分隔 2 2 4 4 5 2" xfId="34853" xr:uid="{F96BE16B-00D7-4CD9-9AAE-1956EE4A1A5C}"/>
    <cellStyle name="千位分隔 2 2 4 4 6" xfId="30270" xr:uid="{1E556BEF-1CC8-441A-A58B-A6E6D33AC514}"/>
    <cellStyle name="千位分隔 2 2 4 4 6 2" xfId="34854" xr:uid="{E5DF6B8F-3839-42F9-AE34-EC1EE2546CCF}"/>
    <cellStyle name="千位分隔 2 2 4 4 7" xfId="30271" xr:uid="{C30EACA8-7BB5-4F26-9E71-07A6C0B0907A}"/>
    <cellStyle name="千位分隔 2 2 4 5" xfId="30272" xr:uid="{901C582B-1BB1-4E57-9736-C5024C76C5D0}"/>
    <cellStyle name="千位分隔 2 2 4 5 2" xfId="30273" xr:uid="{DCA54874-F7F4-4D82-B0D3-3D2D2F452B22}"/>
    <cellStyle name="千位分隔 2 2 4 5 2 2" xfId="30274" xr:uid="{F826CEFB-240D-454B-96A9-98C41CDF4F57}"/>
    <cellStyle name="千位分隔 2 2 4 5 3" xfId="30275" xr:uid="{FC72DBBA-7677-43F5-9212-7389E34D21C1}"/>
    <cellStyle name="千位分隔 2 2 4 5 4" xfId="30276" xr:uid="{7A8C2222-5EFA-4F54-803E-6F2E159F7B1E}"/>
    <cellStyle name="千位分隔 2 2 4 5 5" xfId="30277" xr:uid="{3D62B873-7794-4E05-9B7D-97F799F5F1B8}"/>
    <cellStyle name="千位分隔 2 2 4 5 5 2" xfId="34855" xr:uid="{F24F1527-7521-479B-A713-35157BC61BE5}"/>
    <cellStyle name="千位分隔 2 2 4 5 6" xfId="30278" xr:uid="{82734982-6DF1-4342-AF6D-2634E1BB835F}"/>
    <cellStyle name="千位分隔 2 2 4 5 6 2" xfId="34856" xr:uid="{4DE2C9E0-73EF-4B8D-A1DC-249430B17C45}"/>
    <cellStyle name="千位分隔 2 2 4 5 7" xfId="30279" xr:uid="{2CA095DE-AF43-4613-AAEE-7BEF74F445EA}"/>
    <cellStyle name="千位分隔 2 2 4 6" xfId="30280" xr:uid="{F36EC680-89ED-40AD-8857-37686E56D3BF}"/>
    <cellStyle name="千位分隔 2 2 4 6 2" xfId="30281" xr:uid="{518E3EE0-6952-4ADE-83DB-6E68EE9C18DC}"/>
    <cellStyle name="千位分隔 2 2 4 7" xfId="30282" xr:uid="{F59B84BE-F1B2-41DA-89D9-1C6FE8395ACA}"/>
    <cellStyle name="千位分隔 2 2 4 7 2" xfId="30283" xr:uid="{0B35929A-D52B-4C9A-9886-445BF9CD970E}"/>
    <cellStyle name="千位分隔 2 2 4 8" xfId="30284" xr:uid="{E49029EA-2B53-490D-91EF-485812373AD9}"/>
    <cellStyle name="千位分隔 2 2 4 8 2" xfId="30285" xr:uid="{FFA3CD10-04DF-4B6C-9571-9D407637B499}"/>
    <cellStyle name="千位分隔 2 2 4 9" xfId="30286" xr:uid="{05738880-4428-4829-AAC8-DBA08C039500}"/>
    <cellStyle name="千位分隔 2 2 4 9 2" xfId="34857" xr:uid="{40CC1D92-D999-4B68-A1ED-DFB7490E896A}"/>
    <cellStyle name="千位分隔 2 2 5" xfId="30287" xr:uid="{308E05A1-6E04-45F9-822C-BFC4E63C42A8}"/>
    <cellStyle name="千位分隔 2 2 5 10" xfId="30288" xr:uid="{966983FE-0861-4742-B8D3-8387FB9D7C7A}"/>
    <cellStyle name="千位分隔 2 2 5 10 2" xfId="34858" xr:uid="{D7E44F7D-A030-4690-92A9-4EAA97DA1333}"/>
    <cellStyle name="千位分隔 2 2 5 11" xfId="30289" xr:uid="{B8EEF715-A83E-4E9A-B72E-E98AE8AA677E}"/>
    <cellStyle name="千位分隔 2 2 5 2" xfId="30290" xr:uid="{20D18265-B3F6-4148-92EF-335008DC8FA5}"/>
    <cellStyle name="千位分隔 2 2 5 2 2" xfId="30291" xr:uid="{7559FCA4-30DF-4D2A-8CF4-D386F7A4DDAA}"/>
    <cellStyle name="千位分隔 2 2 5 2 2 2" xfId="30292" xr:uid="{DFECA471-F8FF-47C2-B546-249EE65D3544}"/>
    <cellStyle name="千位分隔 2 2 5 2 2 2 2" xfId="30293" xr:uid="{C18A0F5B-32A2-49BE-837C-9482E14DEC75}"/>
    <cellStyle name="千位分隔 2 2 5 2 2 2 2 2" xfId="30294" xr:uid="{3C3EA293-11B0-4752-9703-387FF6B820EE}"/>
    <cellStyle name="千位分隔 2 2 5 2 2 2 3" xfId="30295" xr:uid="{A00F05BC-DE9B-4239-9EAF-6D0015BB47E3}"/>
    <cellStyle name="千位分隔 2 2 5 2 2 2 4" xfId="30296" xr:uid="{2F628662-EA9A-47AF-855C-1F235B41A00B}"/>
    <cellStyle name="千位分隔 2 2 5 2 2 2 5" xfId="30297" xr:uid="{4B6713F4-CFE7-4BC6-8300-4A1F4D45D0D1}"/>
    <cellStyle name="千位分隔 2 2 5 2 2 2 5 2" xfId="34859" xr:uid="{206621B7-2F19-4522-A0EB-D39A7622BA80}"/>
    <cellStyle name="千位分隔 2 2 5 2 2 2 6" xfId="30298" xr:uid="{E17B0405-CCCE-4BD6-97BE-E6C15040E32F}"/>
    <cellStyle name="千位分隔 2 2 5 2 2 2 6 2" xfId="34860" xr:uid="{2934D9AE-92BA-48A4-AF5C-DCFFEFFA0F1B}"/>
    <cellStyle name="千位分隔 2 2 5 2 2 3" xfId="30299" xr:uid="{5C2F4FA2-0FFD-42D0-9474-D0060475F861}"/>
    <cellStyle name="千位分隔 2 2 5 2 2 3 2" xfId="30300" xr:uid="{492B236A-DE4C-4CAD-9DB2-1BC8CA8E59D7}"/>
    <cellStyle name="千位分隔 2 2 5 2 2 4" xfId="30301" xr:uid="{130EAAD9-636F-4693-953B-5B6074256A9A}"/>
    <cellStyle name="千位分隔 2 2 5 2 2 5" xfId="30302" xr:uid="{9CD1E8FA-CFF2-4931-8EEE-27816324CA0D}"/>
    <cellStyle name="千位分隔 2 2 5 2 2 6" xfId="30303" xr:uid="{8A12D92D-C710-4FBA-86F3-B9652CB2161E}"/>
    <cellStyle name="千位分隔 2 2 5 2 2 6 2" xfId="34861" xr:uid="{68EB2269-4083-4E71-B61B-F1CDC1161940}"/>
    <cellStyle name="千位分隔 2 2 5 2 2 7" xfId="30304" xr:uid="{EB5F9811-C919-4D0C-9A48-99ABAC2116FD}"/>
    <cellStyle name="千位分隔 2 2 5 2 2 7 2" xfId="34862" xr:uid="{6F12FCF5-C622-4D8D-96CC-0E89965F47EA}"/>
    <cellStyle name="千位分隔 2 2 5 2 3" xfId="30305" xr:uid="{5CF6E405-8228-4189-91B6-EA25A5036A11}"/>
    <cellStyle name="千位分隔 2 2 5 2 3 2" xfId="30306" xr:uid="{15C9DA0C-B2A5-44D1-A289-8792E2CCAA54}"/>
    <cellStyle name="千位分隔 2 2 5 2 3 2 2" xfId="30307" xr:uid="{5C2929FB-6D7D-423E-9580-51BF5D8231B1}"/>
    <cellStyle name="千位分隔 2 2 5 2 3 3" xfId="30308" xr:uid="{8B79BA14-6EEC-46A8-A472-BE761AF41324}"/>
    <cellStyle name="千位分隔 2 2 5 2 3 4" xfId="30309" xr:uid="{D23D9F41-AACE-4EB9-91B9-95FB0D9FA3F8}"/>
    <cellStyle name="千位分隔 2 2 5 2 3 5" xfId="30310" xr:uid="{C12DF099-79BC-4345-9470-6109E0E652A2}"/>
    <cellStyle name="千位分隔 2 2 5 2 3 5 2" xfId="34863" xr:uid="{16A3CB3C-6809-42C6-B65C-7A7F2A64B3CD}"/>
    <cellStyle name="千位分隔 2 2 5 2 3 6" xfId="30311" xr:uid="{71130878-D09E-4540-94CE-F6E95D357EBE}"/>
    <cellStyle name="千位分隔 2 2 5 2 3 6 2" xfId="34864" xr:uid="{73CE91E0-6821-4F1A-9E4D-6B73AC10BEB4}"/>
    <cellStyle name="千位分隔 2 2 5 2 4" xfId="30312" xr:uid="{91F343E9-1911-47E7-BC2E-FB0F1823B36E}"/>
    <cellStyle name="千位分隔 2 2 5 2 4 2" xfId="30313" xr:uid="{523013F4-D15B-4050-8633-8413BA930F32}"/>
    <cellStyle name="千位分隔 2 2 5 2 5" xfId="30314" xr:uid="{9A907E42-B5D4-42E1-86C3-F8B73F45C05F}"/>
    <cellStyle name="千位分隔 2 2 5 2 6" xfId="30315" xr:uid="{C6BE0D9E-B992-41E9-BEB5-B625C7AF15A6}"/>
    <cellStyle name="千位分隔 2 2 5 2 7" xfId="30316" xr:uid="{3D2560D3-62FE-46C5-A558-9098A56B2267}"/>
    <cellStyle name="千位分隔 2 2 5 2 7 2" xfId="34865" xr:uid="{50CC8334-33DB-4FE0-B3B7-36739878C38D}"/>
    <cellStyle name="千位分隔 2 2 5 2 8" xfId="30317" xr:uid="{E11F92A1-236B-4FBC-BEE7-48D12FC47291}"/>
    <cellStyle name="千位分隔 2 2 5 2 8 2" xfId="34866" xr:uid="{F5F009F9-A33E-432D-B1B6-75F4F642DAE5}"/>
    <cellStyle name="千位分隔 2 2 5 3" xfId="30318" xr:uid="{9E543642-A225-42E9-9A66-CBDC9ED2E4E3}"/>
    <cellStyle name="千位分隔 2 2 5 3 2" xfId="30319" xr:uid="{CB433171-8A69-4B69-9328-B27B7F7CF86D}"/>
    <cellStyle name="千位分隔 2 2 5 3 2 2" xfId="30320" xr:uid="{801BBBE3-B0FB-425A-9907-CE102AF5A4A2}"/>
    <cellStyle name="千位分隔 2 2 5 3 2 2 2" xfId="30321" xr:uid="{D2CEA6E1-C083-4794-9BE9-F99FB776CFA3}"/>
    <cellStyle name="千位分隔 2 2 5 3 2 3" xfId="30322" xr:uid="{124AF001-27AC-432F-968C-210672602E7C}"/>
    <cellStyle name="千位分隔 2 2 5 3 2 4" xfId="30323" xr:uid="{3690E422-F955-413A-A348-00268C49AC54}"/>
    <cellStyle name="千位分隔 2 2 5 3 2 5" xfId="30324" xr:uid="{9C784560-08D3-44B4-9196-40F99C53BEEF}"/>
    <cellStyle name="千位分隔 2 2 5 3 2 5 2" xfId="34867" xr:uid="{E90C8D6D-34C8-4D7A-802F-1BEBE3E85BE9}"/>
    <cellStyle name="千位分隔 2 2 5 3 2 6" xfId="30325" xr:uid="{37D166A4-779A-418E-A45B-B2EBD1C66C39}"/>
    <cellStyle name="千位分隔 2 2 5 3 2 6 2" xfId="34868" xr:uid="{5BCBF7CA-92C9-44FE-B067-3FB881EFC093}"/>
    <cellStyle name="千位分隔 2 2 5 3 3" xfId="30326" xr:uid="{0362FAEE-B744-4EE6-9396-5E8BA61BDD46}"/>
    <cellStyle name="千位分隔 2 2 5 3 3 2" xfId="30327" xr:uid="{A1B07459-650C-49DD-80F7-880CB22370F9}"/>
    <cellStyle name="千位分隔 2 2 5 3 3 2 2" xfId="30328" xr:uid="{12B5C235-4ABC-491F-A874-EA5886527897}"/>
    <cellStyle name="千位分隔 2 2 5 3 3 3" xfId="30329" xr:uid="{A24E3AE1-032B-430D-BA1C-B922EBE59072}"/>
    <cellStyle name="千位分隔 2 2 5 3 3 4" xfId="30330" xr:uid="{5C3A7B6D-B02D-4124-9813-E2B44C935ACA}"/>
    <cellStyle name="千位分隔 2 2 5 3 3 5" xfId="30331" xr:uid="{E5E6EFC5-9A44-4BF5-8B6B-A2B33FAA9719}"/>
    <cellStyle name="千位分隔 2 2 5 3 3 5 2" xfId="34869" xr:uid="{3EF93BAA-90B7-4F93-9A4B-547668E67B2A}"/>
    <cellStyle name="千位分隔 2 2 5 3 3 6" xfId="30332" xr:uid="{EDC0CB26-E5F4-45E4-A04E-8650F560CADC}"/>
    <cellStyle name="千位分隔 2 2 5 3 3 6 2" xfId="34870" xr:uid="{77AE3D25-A928-4AF9-A25A-325DAAE8847E}"/>
    <cellStyle name="千位分隔 2 2 5 3 4" xfId="30333" xr:uid="{0738B839-D8D6-4F92-9920-545E98E67141}"/>
    <cellStyle name="千位分隔 2 2 5 3 4 2" xfId="30334" xr:uid="{A9609161-67B2-4F71-A166-82D8746AED75}"/>
    <cellStyle name="千位分隔 2 2 5 3 5" xfId="30335" xr:uid="{E3D5C664-E6DB-42B2-A333-C0E731526206}"/>
    <cellStyle name="千位分隔 2 2 5 3 6" xfId="30336" xr:uid="{795993E5-F00A-4040-95D0-9EC53BE6B8E5}"/>
    <cellStyle name="千位分隔 2 2 5 3 7" xfId="30337" xr:uid="{51360F13-DEE7-44CF-BD20-A37776EB626F}"/>
    <cellStyle name="千位分隔 2 2 5 3 7 2" xfId="34871" xr:uid="{8C90784A-648F-478E-9034-C32107441E91}"/>
    <cellStyle name="千位分隔 2 2 5 3 8" xfId="30338" xr:uid="{1A070D24-CE0B-4D00-B7B4-3BF02C36BA79}"/>
    <cellStyle name="千位分隔 2 2 5 3 8 2" xfId="34872" xr:uid="{EF780B1A-7192-46E3-9BCC-365938B68688}"/>
    <cellStyle name="千位分隔 2 2 5 4" xfId="30339" xr:uid="{3B7D3EC4-425A-4632-9F27-A15AF16016B2}"/>
    <cellStyle name="千位分隔 2 2 5 4 2" xfId="30340" xr:uid="{78E97617-EE88-4F2C-812D-E3A4653F1549}"/>
    <cellStyle name="千位分隔 2 2 5 4 2 2" xfId="30341" xr:uid="{4AC63CBC-9B33-41F7-B191-A97B5D6B6FAA}"/>
    <cellStyle name="千位分隔 2 2 5 4 3" xfId="30342" xr:uid="{1AD8EF66-CA72-4DE9-AF39-CD21AF861A8B}"/>
    <cellStyle name="千位分隔 2 2 5 4 4" xfId="30343" xr:uid="{ACEC2DE7-62C3-434E-84B5-DBC7AA45C6A2}"/>
    <cellStyle name="千位分隔 2 2 5 4 5" xfId="30344" xr:uid="{9AE8FDD9-2697-4AD7-97AD-8E79FAAC279A}"/>
    <cellStyle name="千位分隔 2 2 5 4 5 2" xfId="34873" xr:uid="{3A2B123F-9C31-4FD2-85F3-06ED15F30113}"/>
    <cellStyle name="千位分隔 2 2 5 4 6" xfId="30345" xr:uid="{06E11AAB-5FC7-4ED3-9A1A-26DD62E26597}"/>
    <cellStyle name="千位分隔 2 2 5 4 6 2" xfId="34874" xr:uid="{4F5F6205-D86B-40E0-B0F1-CE2D1B036A39}"/>
    <cellStyle name="千位分隔 2 2 5 5" xfId="30346" xr:uid="{1F6C2C1A-2957-4E2F-9DD9-9F0F209EDA77}"/>
    <cellStyle name="千位分隔 2 2 5 5 2" xfId="30347" xr:uid="{BA51E21D-D71D-4090-B0D6-6E7E79CE40FA}"/>
    <cellStyle name="千位分隔 2 2 5 5 2 2" xfId="30348" xr:uid="{F5F12D87-5978-43CD-8DE7-5F5F693BF6FD}"/>
    <cellStyle name="千位分隔 2 2 5 5 3" xfId="30349" xr:uid="{C7F4B4AD-9258-4A14-B1C0-DB87A05B28D4}"/>
    <cellStyle name="千位分隔 2 2 5 5 4" xfId="30350" xr:uid="{6F4700A9-3A47-4469-B9A6-279E23737D1D}"/>
    <cellStyle name="千位分隔 2 2 5 5 5" xfId="30351" xr:uid="{CD01A1F7-EFCC-4315-82F8-B05F728B135A}"/>
    <cellStyle name="千位分隔 2 2 5 5 5 2" xfId="34875" xr:uid="{A5B2C18D-C88F-4657-B8D3-2C87EB5CC61A}"/>
    <cellStyle name="千位分隔 2 2 5 5 6" xfId="30352" xr:uid="{8873CFE2-B3B7-4985-B0F2-0E911C8632E0}"/>
    <cellStyle name="千位分隔 2 2 5 5 6 2" xfId="34876" xr:uid="{CC15EAF5-25E2-4F50-BA11-71B55CE62751}"/>
    <cellStyle name="千位分隔 2 2 5 6" xfId="30353" xr:uid="{886EC686-FCC5-4151-B8A8-B779FA631437}"/>
    <cellStyle name="千位分隔 2 2 5 6 2" xfId="30354" xr:uid="{301E5BE0-54E6-4E34-9062-086B938AE363}"/>
    <cellStyle name="千位分隔 2 2 5 7" xfId="30355" xr:uid="{D7ECF411-5E5E-46C4-9F5A-DF0A03858E3E}"/>
    <cellStyle name="千位分隔 2 2 5 8" xfId="30356" xr:uid="{5F957972-B5AD-437D-A953-A6D823124FB3}"/>
    <cellStyle name="千位分隔 2 2 5 9" xfId="30357" xr:uid="{E6FE2A44-9968-4D78-B31A-6D53A216C5D8}"/>
    <cellStyle name="千位分隔 2 2 5 9 2" xfId="34877" xr:uid="{B8C432D3-528F-4F97-B56F-9F1675970429}"/>
    <cellStyle name="千位分隔 2 2 6" xfId="30358" xr:uid="{E77A4195-676B-45AB-8F3F-E7D231EC7BC3}"/>
    <cellStyle name="千位分隔 2 2 6 10" xfId="30359" xr:uid="{AFD27C58-8AA7-4E3F-8E5B-1E66FE84D1E7}"/>
    <cellStyle name="千位分隔 2 2 6 2" xfId="30360" xr:uid="{2F89F90E-5AA0-4013-8325-9CF458395B7D}"/>
    <cellStyle name="千位分隔 2 2 6 2 2" xfId="30361" xr:uid="{E648CDD3-2D77-4EA3-B47E-A2DAA8182AFD}"/>
    <cellStyle name="千位分隔 2 2 6 2 2 2" xfId="30362" xr:uid="{095895FB-4428-410A-BD15-A8BC36B7FF0F}"/>
    <cellStyle name="千位分隔 2 2 6 2 2 2 2" xfId="30363" xr:uid="{69FD1FBF-FA88-4E21-95AB-3B272F574F12}"/>
    <cellStyle name="千位分隔 2 2 6 2 2 3" xfId="30364" xr:uid="{FF183F11-71AF-46DA-8970-5A967CACCA44}"/>
    <cellStyle name="千位分隔 2 2 6 2 2 4" xfId="30365" xr:uid="{22345451-8DDA-4FD6-B578-C69E7DF1E85C}"/>
    <cellStyle name="千位分隔 2 2 6 2 2 5" xfId="30366" xr:uid="{E489C3BB-2984-44AE-80B8-74D787935238}"/>
    <cellStyle name="千位分隔 2 2 6 2 2 5 2" xfId="34878" xr:uid="{4B18AFA6-DDE8-419F-8B3D-20D034C9987C}"/>
    <cellStyle name="千位分隔 2 2 6 2 2 6" xfId="30367" xr:uid="{C7C3FF31-20EF-4ED0-903C-324033F1C856}"/>
    <cellStyle name="千位分隔 2 2 6 2 2 6 2" xfId="34879" xr:uid="{C3CDCA8A-B23D-435D-AE6F-992EF73062FA}"/>
    <cellStyle name="千位分隔 2 2 6 2 3" xfId="30368" xr:uid="{EAC4D0B6-CAD7-4020-841F-6C7B150B55E9}"/>
    <cellStyle name="千位分隔 2 2 6 2 3 2" xfId="30369" xr:uid="{903E65C5-8F4E-496F-BCB2-F9F9D14100E2}"/>
    <cellStyle name="千位分隔 2 2 6 2 3 2 2" xfId="30370" xr:uid="{966E8481-D7F0-4D55-929E-0303C8E2E796}"/>
    <cellStyle name="千位分隔 2 2 6 2 3 3" xfId="30371" xr:uid="{5FDF579E-D53D-4BA3-B699-C7D7E66C660B}"/>
    <cellStyle name="千位分隔 2 2 6 2 3 4" xfId="30372" xr:uid="{9510B387-C4BA-452B-A8C3-6B6893A02A58}"/>
    <cellStyle name="千位分隔 2 2 6 2 3 5" xfId="30373" xr:uid="{F9B96449-3E2A-4C41-A01B-15684AB16BCA}"/>
    <cellStyle name="千位分隔 2 2 6 2 3 5 2" xfId="34880" xr:uid="{F6FBB67F-E6D6-4AE5-AD00-473825F0639A}"/>
    <cellStyle name="千位分隔 2 2 6 2 3 6" xfId="30374" xr:uid="{4430CDD5-E916-4631-8C17-EAAD6739C1EB}"/>
    <cellStyle name="千位分隔 2 2 6 2 3 6 2" xfId="34881" xr:uid="{E56422DC-A049-4782-AC19-EE4B188410F9}"/>
    <cellStyle name="千位分隔 2 2 6 2 4" xfId="30375" xr:uid="{A1963F82-F30D-433C-90B8-4DC679BCDF27}"/>
    <cellStyle name="千位分隔 2 2 6 2 4 2" xfId="30376" xr:uid="{5700AAD6-752D-49A4-B5E9-9AA57C92A61C}"/>
    <cellStyle name="千位分隔 2 2 6 2 5" xfId="30377" xr:uid="{85AE90E8-76AE-4448-9A2D-142941B03407}"/>
    <cellStyle name="千位分隔 2 2 6 2 6" xfId="30378" xr:uid="{A67261EC-7FB1-4FEC-88CE-9F8E6726E761}"/>
    <cellStyle name="千位分隔 2 2 6 2 7" xfId="30379" xr:uid="{0D128117-8A22-4A47-BBF4-6CF0924B171A}"/>
    <cellStyle name="千位分隔 2 2 6 2 7 2" xfId="34882" xr:uid="{8EAB8E86-CD77-4817-BE3C-640E1344A4FF}"/>
    <cellStyle name="千位分隔 2 2 6 2 8" xfId="30380" xr:uid="{078F62C3-9712-41B3-8667-F09641501759}"/>
    <cellStyle name="千位分隔 2 2 6 2 8 2" xfId="34883" xr:uid="{5D2A01B4-5342-4A6A-B83D-EE72691FF2A2}"/>
    <cellStyle name="千位分隔 2 2 6 3" xfId="30381" xr:uid="{BCCE5CF9-C1A6-4F3C-8ADF-DDA78D39CBB0}"/>
    <cellStyle name="千位分隔 2 2 6 3 2" xfId="30382" xr:uid="{F8626E51-9282-4BED-9395-7B4FA89ADB9C}"/>
    <cellStyle name="千位分隔 2 2 6 3 2 2" xfId="30383" xr:uid="{75763F85-D6E3-45DB-8E41-28852D2F0E17}"/>
    <cellStyle name="千位分隔 2 2 6 3 3" xfId="30384" xr:uid="{817C1248-25E9-40F0-BFB1-BAE20E4493CA}"/>
    <cellStyle name="千位分隔 2 2 6 3 4" xfId="30385" xr:uid="{9A108702-1339-4E60-806D-5D06447FBF11}"/>
    <cellStyle name="千位分隔 2 2 6 3 5" xfId="30386" xr:uid="{0AFF7E6B-16F0-4837-B023-E127A4FC9BF1}"/>
    <cellStyle name="千位分隔 2 2 6 3 5 2" xfId="34884" xr:uid="{B6B494A7-0977-41C4-B1DB-8597640ACD01}"/>
    <cellStyle name="千位分隔 2 2 6 3 6" xfId="30387" xr:uid="{A1124956-EFF7-44F6-BBD7-17604C787E5E}"/>
    <cellStyle name="千位分隔 2 2 6 3 6 2" xfId="34885" xr:uid="{4BFE0436-E08D-4E3A-A43E-3D493386E9A2}"/>
    <cellStyle name="千位分隔 2 2 6 4" xfId="30388" xr:uid="{94ABFEB6-D60C-41C4-A27E-2A109C9A8F9C}"/>
    <cellStyle name="千位分隔 2 2 6 4 2" xfId="30389" xr:uid="{4958FBD2-5EC9-4A2E-9D8B-13C8677D1629}"/>
    <cellStyle name="千位分隔 2 2 6 4 2 2" xfId="30390" xr:uid="{A1752214-A71F-4EDB-BFBA-1C9A872A237C}"/>
    <cellStyle name="千位分隔 2 2 6 4 3" xfId="30391" xr:uid="{35E49D97-C430-493C-9448-1CC95F278BEB}"/>
    <cellStyle name="千位分隔 2 2 6 4 4" xfId="30392" xr:uid="{4C14BB53-51E0-43B3-B3BA-86F20A667CB7}"/>
    <cellStyle name="千位分隔 2 2 6 4 5" xfId="30393" xr:uid="{EA4ABF96-CD15-46D6-9551-8246D6C97180}"/>
    <cellStyle name="千位分隔 2 2 6 4 5 2" xfId="34886" xr:uid="{FBDC1291-F889-43EE-A1C0-C1DCA08B3667}"/>
    <cellStyle name="千位分隔 2 2 6 4 6" xfId="30394" xr:uid="{2DA56361-2D58-46FB-8530-333E41B9549C}"/>
    <cellStyle name="千位分隔 2 2 6 4 6 2" xfId="34887" xr:uid="{2C6C0356-5452-480B-8CAA-F80A32F9A472}"/>
    <cellStyle name="千位分隔 2 2 6 5" xfId="30395" xr:uid="{B3BDFD1B-F14A-4E54-9AD5-881E36E1B911}"/>
    <cellStyle name="千位分隔 2 2 6 5 2" xfId="30396" xr:uid="{CE99DBD0-9E00-4CE6-960F-5DECACED2E65}"/>
    <cellStyle name="千位分隔 2 2 6 6" xfId="30397" xr:uid="{23E49C8B-5885-46CE-97F5-C341B79ED06A}"/>
    <cellStyle name="千位分隔 2 2 6 7" xfId="30398" xr:uid="{0504A2DF-75BB-44AE-BEF2-138449F9C3BF}"/>
    <cellStyle name="千位分隔 2 2 6 8" xfId="30399" xr:uid="{0073A6F7-070F-43BC-8654-78DC10159D4F}"/>
    <cellStyle name="千位分隔 2 2 6 8 2" xfId="34888" xr:uid="{84C48AEA-87BE-42CE-85B2-5E426CBB322F}"/>
    <cellStyle name="千位分隔 2 2 6 9" xfId="30400" xr:uid="{C672C668-21B5-4BAA-AE99-DA6D2B3F7FC5}"/>
    <cellStyle name="千位分隔 2 2 6 9 2" xfId="34889" xr:uid="{65BD5345-1296-4F56-96CE-1148D38E60B4}"/>
    <cellStyle name="千位分隔 2 2 7" xfId="30401" xr:uid="{F6E0B498-B9BF-4E37-A22B-8CB97BB1E2E7}"/>
    <cellStyle name="千位分隔 2 2 7 2" xfId="30402" xr:uid="{AF37D936-8EE0-4FF5-BE77-A3DCC75CC790}"/>
    <cellStyle name="千位分隔 2 2 7 2 2" xfId="30403" xr:uid="{26108CF9-422A-486F-9815-B3814E31BE28}"/>
    <cellStyle name="千位分隔 2 2 7 2 2 2" xfId="30404" xr:uid="{7F524079-088A-44D4-A168-8563C9588755}"/>
    <cellStyle name="千位分隔 2 2 7 2 3" xfId="30405" xr:uid="{3F0C614C-0854-45A8-AA9A-FFB6DEB39AF8}"/>
    <cellStyle name="千位分隔 2 2 7 2 4" xfId="30406" xr:uid="{27936CEE-A4B9-436F-B599-FB5EB8051610}"/>
    <cellStyle name="千位分隔 2 2 7 2 5" xfId="30407" xr:uid="{D35CE878-7BD8-4BD8-8E7A-C0CE0224C02A}"/>
    <cellStyle name="千位分隔 2 2 7 2 5 2" xfId="34890" xr:uid="{A4A94ACF-64BF-400D-92D5-ADEFF6C965EB}"/>
    <cellStyle name="千位分隔 2 2 7 2 6" xfId="30408" xr:uid="{97E6B9A0-FED0-4EEC-9B7A-3B3D514447B8}"/>
    <cellStyle name="千位分隔 2 2 7 2 6 2" xfId="34891" xr:uid="{0B14CE52-BD2C-4B4F-B260-C853A9CD4936}"/>
    <cellStyle name="千位分隔 2 2 7 3" xfId="30409" xr:uid="{71814764-C023-4364-A912-5186257660DF}"/>
    <cellStyle name="千位分隔 2 2 7 3 2" xfId="30410" xr:uid="{62FD4089-4C75-40A4-9A66-C50126D0F5D4}"/>
    <cellStyle name="千位分隔 2 2 7 3 2 2" xfId="30411" xr:uid="{0A5E57F2-B6BE-45BD-8D55-3CF0A28ED9B6}"/>
    <cellStyle name="千位分隔 2 2 7 3 3" xfId="30412" xr:uid="{E90AE275-88D5-46C1-B6C0-1661332ECBB5}"/>
    <cellStyle name="千位分隔 2 2 7 3 4" xfId="30413" xr:uid="{276EB9F3-4DD5-4CE9-85C5-F628BCA5B58C}"/>
    <cellStyle name="千位分隔 2 2 7 3 5" xfId="30414" xr:uid="{758473AC-2457-4376-934E-1E1CC46C0B0E}"/>
    <cellStyle name="千位分隔 2 2 7 3 5 2" xfId="34892" xr:uid="{8FFEE81A-8E77-4641-A484-196276B98E6E}"/>
    <cellStyle name="千位分隔 2 2 7 3 6" xfId="30415" xr:uid="{DAC338E6-2B3D-434E-9390-095A7CAED67B}"/>
    <cellStyle name="千位分隔 2 2 7 3 6 2" xfId="34893" xr:uid="{AA0A29F8-28EE-4A21-B72C-8394F2DB33D9}"/>
    <cellStyle name="千位分隔 2 2 7 4" xfId="30416" xr:uid="{3DEA4D0A-490F-4DD0-9AE5-277FC26A092D}"/>
    <cellStyle name="千位分隔 2 2 7 4 2" xfId="30417" xr:uid="{274380E9-C2F1-42E1-AF9D-E752E953D693}"/>
    <cellStyle name="千位分隔 2 2 7 5" xfId="30418" xr:uid="{5723E028-5F42-40EB-9AA3-057706DD2261}"/>
    <cellStyle name="千位分隔 2 2 7 6" xfId="30419" xr:uid="{6D04CBE1-8757-4CCE-AA24-BD91CBFE12E4}"/>
    <cellStyle name="千位分隔 2 2 7 7" xfId="30420" xr:uid="{531EDBB7-A41E-4B6A-AA2A-C29CB5EF755C}"/>
    <cellStyle name="千位分隔 2 2 7 7 2" xfId="34894" xr:uid="{5E585321-7E55-4997-B89B-8494BE719DB6}"/>
    <cellStyle name="千位分隔 2 2 7 8" xfId="30421" xr:uid="{6412C871-6E80-47C2-9327-AD74C7B77895}"/>
    <cellStyle name="千位分隔 2 2 7 8 2" xfId="34895" xr:uid="{B6EC7776-8E3F-4A87-A657-ADFFBBFE5876}"/>
    <cellStyle name="千位分隔 2 2 7 9" xfId="30422" xr:uid="{CF731A88-ED2F-4885-A1C5-E713994096E9}"/>
    <cellStyle name="千位分隔 2 2 8" xfId="30423" xr:uid="{9FCF7ED7-BB99-4839-A8EA-322A15FFBD99}"/>
    <cellStyle name="千位分隔 2 2 8 2" xfId="30424" xr:uid="{A3E47863-398E-44EB-A6B5-3C0FE41B8B8F}"/>
    <cellStyle name="千位分隔 2 2 8 2 2" xfId="30425" xr:uid="{C4DD1EB6-FCCB-49AB-BB72-DA3BABE54B9E}"/>
    <cellStyle name="千位分隔 2 2 8 2 2 2" xfId="30426" xr:uid="{F6895CEA-DC8A-4E0A-BBF6-4894A493A8AC}"/>
    <cellStyle name="千位分隔 2 2 8 3" xfId="30427" xr:uid="{0F9F351E-C580-4914-BB4A-9F5FEB36BAC6}"/>
    <cellStyle name="千位分隔 2 2 8 3 2" xfId="30428" xr:uid="{70F93BD0-C1EF-4C8D-837F-96EFC4857214}"/>
    <cellStyle name="千位分隔 2 2 8 4" xfId="30429" xr:uid="{9FE38FD8-7236-405E-90D8-250FD52F8666}"/>
    <cellStyle name="千位分隔 2 2 8 4 2" xfId="30430" xr:uid="{8FFDEFA9-5E0B-4FCE-9712-56FA6374EDE6}"/>
    <cellStyle name="千位分隔 2 2 8 5" xfId="30431" xr:uid="{2151973D-71AC-4348-9DC7-3697716977CE}"/>
    <cellStyle name="千位分隔 2 2 8 5 2" xfId="34896" xr:uid="{B608A402-EF01-4F13-BBF2-8A5CA62C095C}"/>
    <cellStyle name="千位分隔 2 2 8 6" xfId="30432" xr:uid="{206F6908-CC9D-4394-B67C-FEEBF323572E}"/>
    <cellStyle name="千位分隔 2 2 8 6 2" xfId="34897" xr:uid="{2E2DEA9E-E89F-4FFB-8768-2452ABED9566}"/>
    <cellStyle name="千位分隔 2 2 8 7" xfId="30433" xr:uid="{97F81945-B215-4D7B-937E-BE4F15B0072C}"/>
    <cellStyle name="千位分隔 2 2 9" xfId="30434" xr:uid="{D491C911-DFFB-4EC9-9824-EC908C7F3234}"/>
    <cellStyle name="千位分隔 2 2 9 2" xfId="30435" xr:uid="{F440CBDE-9020-4C33-B8AF-DCD4F849CFD8}"/>
    <cellStyle name="千位分隔 2 2 9 2 2" xfId="30436" xr:uid="{6D07EA3A-38C1-451F-BFA5-724B10618541}"/>
    <cellStyle name="千位分隔 2 2 9 2 3" xfId="30437" xr:uid="{FBD2CBCC-BC30-4B77-8289-7B224B95EC33}"/>
    <cellStyle name="千位分隔 2 2 9 3" xfId="30438" xr:uid="{AF35E1F7-6083-4B49-8355-25175CF47EA7}"/>
    <cellStyle name="千位分隔 2 2 9 3 2" xfId="30439" xr:uid="{2CDB7837-E369-4B40-9C46-971D915CF078}"/>
    <cellStyle name="千位分隔 2 2 9 4" xfId="30440" xr:uid="{5AEFC3A3-070F-4EBC-B42E-41FED961E4AB}"/>
    <cellStyle name="千位分隔 2 2 9 5" xfId="30441" xr:uid="{17937561-FE83-4FCF-BF2D-6853F2FADCF8}"/>
    <cellStyle name="千位分隔 2 2 9 5 2" xfId="34898" xr:uid="{8A384A49-58CB-4A8B-B7C0-2C5D3C98C340}"/>
    <cellStyle name="千位分隔 2 2 9 6" xfId="30442" xr:uid="{FA6BDD1D-13C3-4F31-8B92-33147A9E5517}"/>
    <cellStyle name="千位分隔 2 2 9 6 2" xfId="34899" xr:uid="{9EE844A0-90F3-4EF0-B113-DA64E8CF051F}"/>
    <cellStyle name="千位分隔 2 2 9 7" xfId="30443" xr:uid="{AB47B11D-DEEF-4C86-8560-B308A9461385}"/>
    <cellStyle name="千位分隔 2 3" xfId="30444" xr:uid="{F3649DB3-C9C5-4702-B1B2-76E9E9102705}"/>
    <cellStyle name="千位分隔 2 3 2" xfId="30445" xr:uid="{58E03517-50E3-47F9-BECF-E8E214CC3D2A}"/>
    <cellStyle name="千位分隔 2 3 2 2" xfId="30446" xr:uid="{FD9B694C-64B8-4FBF-928E-7316DE15C9C8}"/>
    <cellStyle name="千位分隔 2 3 2 2 2" xfId="30447" xr:uid="{DD695FE9-8D5B-4A83-95E2-86A8E309133B}"/>
    <cellStyle name="千位分隔 2 3 2 3" xfId="30448" xr:uid="{4B405ACD-7C50-4A9A-A1DE-E1BCCEBDEAD5}"/>
    <cellStyle name="千位分隔 2 3 2 4" xfId="30449" xr:uid="{C26916FC-179A-4143-9928-D759364CDE1D}"/>
    <cellStyle name="千位分隔 2 3 2 5" xfId="30450" xr:uid="{4198F28F-6468-46FA-8981-B05CEFA3398E}"/>
    <cellStyle name="千位分隔 2 3 3" xfId="30451" xr:uid="{B31D4B90-D8E6-476E-8EC7-6DE301F177C8}"/>
    <cellStyle name="千位分隔 2 3 3 2" xfId="30452" xr:uid="{E44E092E-52BD-4886-A9BE-52456FC0B5AD}"/>
    <cellStyle name="千位分隔 2 3 4" xfId="30453" xr:uid="{01F5FA50-95EA-442B-856B-1E154FC6B724}"/>
    <cellStyle name="千位分隔 2 3 4 2" xfId="30454" xr:uid="{77077230-6338-4770-B69F-9F317CFD470A}"/>
    <cellStyle name="千位分隔 2 3 5" xfId="30455" xr:uid="{7A30FF63-439B-468D-B70F-76839147C757}"/>
    <cellStyle name="千位分隔 2 3 6" xfId="34900" xr:uid="{58F923C9-A35C-4547-9359-2F7273F9283B}"/>
    <cellStyle name="千位分隔 2 4" xfId="30456" xr:uid="{457D7303-9372-42F5-90DF-A313E5B01960}"/>
    <cellStyle name="千位分隔 2 4 10" xfId="30457" xr:uid="{36BC5CBD-A61B-409A-9127-DA112D25BA78}"/>
    <cellStyle name="千位分隔 2 4 10 2" xfId="30458" xr:uid="{5897EE72-200F-47D1-8439-0A3710A6F22C}"/>
    <cellStyle name="千位分隔 2 4 11" xfId="30459" xr:uid="{B76AEABE-29EF-4894-BC03-3246C93188A8}"/>
    <cellStyle name="千位分隔 2 4 11 2" xfId="34901" xr:uid="{C015F055-04D7-400D-B37D-5C2E6DCF4226}"/>
    <cellStyle name="千位分隔 2 4 12" xfId="30460" xr:uid="{8C82A6D2-1393-44C8-BEAB-8A125E127B14}"/>
    <cellStyle name="千位分隔 2 4 12 2" xfId="34902" xr:uid="{566B48A9-FB4A-4456-8CA6-D7D93AF55FAF}"/>
    <cellStyle name="千位分隔 2 4 13" xfId="30461" xr:uid="{B64BF97C-C2FE-4C65-8AD2-B84046F8947A}"/>
    <cellStyle name="千位分隔 2 4 2" xfId="30462" xr:uid="{5CB7FE8E-08A2-4740-B05D-78422C1682B1}"/>
    <cellStyle name="千位分隔 2 4 2 10" xfId="30463" xr:uid="{80006A69-49C6-477F-855E-83518DEA0647}"/>
    <cellStyle name="千位分隔 2 4 2 10 2" xfId="34903" xr:uid="{5E729E2F-6DC3-4005-83BD-D60F447AE281}"/>
    <cellStyle name="千位分隔 2 4 2 11" xfId="30464" xr:uid="{22BD9472-9406-47C8-BB01-230A28A70123}"/>
    <cellStyle name="千位分隔 2 4 2 2" xfId="30465" xr:uid="{B78A0633-A76B-4C8E-B360-92B15246A832}"/>
    <cellStyle name="千位分隔 2 4 2 2 10" xfId="30466" xr:uid="{F57A7FA0-9B0A-45A0-8BC8-C31C6B03D466}"/>
    <cellStyle name="千位分隔 2 4 2 2 2" xfId="30467" xr:uid="{C959F1F0-8B12-4022-8BBD-11ACF144021D}"/>
    <cellStyle name="千位分隔 2 4 2 2 2 2" xfId="30468" xr:uid="{25113647-70B1-4024-A78A-7E9A0FC37A0F}"/>
    <cellStyle name="千位分隔 2 4 2 2 2 2 2" xfId="30469" xr:uid="{A3DA070B-D12D-4E48-AD6D-01F5E5F9F30B}"/>
    <cellStyle name="千位分隔 2 4 2 2 2 2 2 2" xfId="30470" xr:uid="{AAA746B0-BEF0-4C6D-954F-F1847DA76D65}"/>
    <cellStyle name="千位分隔 2 4 2 2 2 2 3" xfId="30471" xr:uid="{1C09E822-26B2-4BEF-B497-4AD38C558690}"/>
    <cellStyle name="千位分隔 2 4 2 2 2 2 4" xfId="30472" xr:uid="{84246563-F43E-4A12-BEE0-2B90C16E8AE2}"/>
    <cellStyle name="千位分隔 2 4 2 2 2 2 5" xfId="30473" xr:uid="{D4894946-BFFB-4F5F-8C38-3ADBB9B42A3D}"/>
    <cellStyle name="千位分隔 2 4 2 2 2 2 5 2" xfId="34904" xr:uid="{01A62C65-6FFF-48F8-97C8-2D8ACD342D6E}"/>
    <cellStyle name="千位分隔 2 4 2 2 2 2 6" xfId="30474" xr:uid="{985AA5C9-A0A6-4383-9680-BCF5B1CD2350}"/>
    <cellStyle name="千位分隔 2 4 2 2 2 2 6 2" xfId="34905" xr:uid="{1E6FE9F7-AF54-47F3-95CA-FFA04AC724ED}"/>
    <cellStyle name="千位分隔 2 4 2 2 2 2 7" xfId="30475" xr:uid="{B961BD06-312A-4770-9A47-34FC29D40024}"/>
    <cellStyle name="千位分隔 2 4 2 2 2 3" xfId="30476" xr:uid="{1E602315-00A0-4B37-836D-D4ED03A7F29C}"/>
    <cellStyle name="千位分隔 2 4 2 2 2 3 2" xfId="30477" xr:uid="{C48E7029-61D0-4133-B4A2-87F2AB3F9F81}"/>
    <cellStyle name="千位分隔 2 4 2 2 2 3 2 2" xfId="30478" xr:uid="{DCE154BB-0F54-4DE1-9B1E-C656F7B2A21A}"/>
    <cellStyle name="千位分隔 2 4 2 2 2 3 3" xfId="30479" xr:uid="{4DDC8812-75DB-4167-9899-9FA0CE408180}"/>
    <cellStyle name="千位分隔 2 4 2 2 2 3 4" xfId="30480" xr:uid="{F08DAC68-36F8-4173-8A95-BC3EA85A332F}"/>
    <cellStyle name="千位分隔 2 4 2 2 2 3 5" xfId="30481" xr:uid="{0A801657-64C9-4A9A-8B3C-3B253AB09251}"/>
    <cellStyle name="千位分隔 2 4 2 2 2 3 5 2" xfId="34906" xr:uid="{BCE1610F-36C1-4672-A2AB-D965C4CD8F5A}"/>
    <cellStyle name="千位分隔 2 4 2 2 2 3 6" xfId="30482" xr:uid="{4DA75F88-25D3-4B5F-AB1A-9AC742DFB2B0}"/>
    <cellStyle name="千位分隔 2 4 2 2 2 3 6 2" xfId="34907" xr:uid="{DCBF435D-6B55-46AB-8CE1-44443270CC0D}"/>
    <cellStyle name="千位分隔 2 4 2 2 2 3 7" xfId="30483" xr:uid="{9F297390-81B8-4669-AA41-1B34BB7DDD4F}"/>
    <cellStyle name="千位分隔 2 4 2 2 2 4" xfId="30484" xr:uid="{F8F7D01F-06BF-4B89-A4DE-F12E1C60C964}"/>
    <cellStyle name="千位分隔 2 4 2 2 2 4 2" xfId="30485" xr:uid="{9095A1B7-3E41-4A19-8490-F0984FED8909}"/>
    <cellStyle name="千位分隔 2 4 2 2 2 5" xfId="30486" xr:uid="{EAC633A6-24BE-4607-ACB0-947B5CB6B7C7}"/>
    <cellStyle name="千位分隔 2 4 2 2 2 5 2" xfId="30487" xr:uid="{99F571E0-CDE9-4BB4-A529-9FE1086A9321}"/>
    <cellStyle name="千位分隔 2 4 2 2 2 6" xfId="30488" xr:uid="{6AAAF654-580E-4D17-B20A-B728F7AB2DF2}"/>
    <cellStyle name="千位分隔 2 4 2 2 2 6 2" xfId="30489" xr:uid="{EC8658B7-4898-4E74-A68C-6B2064E82FCB}"/>
    <cellStyle name="千位分隔 2 4 2 2 2 7" xfId="30490" xr:uid="{C3F96C57-E047-4725-AF2B-FC65BDEA62C5}"/>
    <cellStyle name="千位分隔 2 4 2 2 2 7 2" xfId="34908" xr:uid="{A110B2EC-3B1C-4AE4-8665-0AB059DDC24C}"/>
    <cellStyle name="千位分隔 2 4 2 2 2 8" xfId="30491" xr:uid="{1F605127-549B-4E79-8A35-9B7C712F5FAE}"/>
    <cellStyle name="千位分隔 2 4 2 2 2 8 2" xfId="34909" xr:uid="{8B7B5DE4-8BC0-4037-BD9A-63E86BA1F409}"/>
    <cellStyle name="千位分隔 2 4 2 2 2 9" xfId="30492" xr:uid="{38D350E6-876C-4325-94F0-0D7BB63830C1}"/>
    <cellStyle name="千位分隔 2 4 2 2 3" xfId="30493" xr:uid="{26BBED34-3D2B-4A1E-AC84-782C449A1F76}"/>
    <cellStyle name="千位分隔 2 4 2 2 3 2" xfId="30494" xr:uid="{47A3865B-C4E8-4976-990D-10F4AE6DE737}"/>
    <cellStyle name="千位分隔 2 4 2 2 3 2 2" xfId="30495" xr:uid="{9C87DA1A-1F6A-44CE-878F-F7DA89787044}"/>
    <cellStyle name="千位分隔 2 4 2 2 3 3" xfId="30496" xr:uid="{8632AE3C-F1B4-40B8-9B37-C898DE0275FD}"/>
    <cellStyle name="千位分隔 2 4 2 2 3 4" xfId="30497" xr:uid="{9668F99A-0693-40F8-ABF2-DE9C599A2A53}"/>
    <cellStyle name="千位分隔 2 4 2 2 3 5" xfId="30498" xr:uid="{197D51A5-970B-453A-AD34-38A197F9F84A}"/>
    <cellStyle name="千位分隔 2 4 2 2 3 5 2" xfId="34910" xr:uid="{90B8867F-2319-45FC-A1BE-C01E694FB477}"/>
    <cellStyle name="千位分隔 2 4 2 2 3 6" xfId="30499" xr:uid="{9E439A63-D357-47D7-A3ED-1767E268CD6C}"/>
    <cellStyle name="千位分隔 2 4 2 2 3 6 2" xfId="34911" xr:uid="{044B056C-5BCA-4551-9483-72F2DBA569C8}"/>
    <cellStyle name="千位分隔 2 4 2 2 3 7" xfId="30500" xr:uid="{726751BA-16F7-482E-B54E-5A016F4898A7}"/>
    <cellStyle name="千位分隔 2 4 2 2 4" xfId="30501" xr:uid="{B6556280-6434-4BC4-B0C4-C5254CAA61A5}"/>
    <cellStyle name="千位分隔 2 4 2 2 4 2" xfId="30502" xr:uid="{473B06B7-DCC5-4F97-B5E1-0A1AE7434783}"/>
    <cellStyle name="千位分隔 2 4 2 2 4 2 2" xfId="30503" xr:uid="{F4CAD803-50CA-407A-846B-55C17C975307}"/>
    <cellStyle name="千位分隔 2 4 2 2 4 3" xfId="30504" xr:uid="{10E3D542-83C1-4075-94E7-C8BAB3A9DA7F}"/>
    <cellStyle name="千位分隔 2 4 2 2 4 4" xfId="30505" xr:uid="{19E8C04B-EB1F-4544-9ED1-6D6CFE73D0F4}"/>
    <cellStyle name="千位分隔 2 4 2 2 4 5" xfId="30506" xr:uid="{CF0132CD-936D-41EE-BCE6-4F6AE3F38186}"/>
    <cellStyle name="千位分隔 2 4 2 2 4 5 2" xfId="34912" xr:uid="{32773F56-FEE2-4981-B71E-3A23B4972628}"/>
    <cellStyle name="千位分隔 2 4 2 2 4 6" xfId="30507" xr:uid="{307E70AC-1FF9-45AE-9CE0-463DA022EB64}"/>
    <cellStyle name="千位分隔 2 4 2 2 4 6 2" xfId="34913" xr:uid="{0880C1FB-0A5F-46B8-B5B9-BA9F18DC9B8C}"/>
    <cellStyle name="千位分隔 2 4 2 2 4 7" xfId="30508" xr:uid="{55FBA83F-A53E-4AED-8A50-41330B92A95A}"/>
    <cellStyle name="千位分隔 2 4 2 2 5" xfId="30509" xr:uid="{48D617D4-DB2B-42D6-92DB-ADF1135ADAF6}"/>
    <cellStyle name="千位分隔 2 4 2 2 5 2" xfId="30510" xr:uid="{B011BC99-95C2-45E3-85EC-B3F1D0F4428F}"/>
    <cellStyle name="千位分隔 2 4 2 2 6" xfId="30511" xr:uid="{B605B65F-9FF1-4ECE-AF6A-1CEFBC12E7EE}"/>
    <cellStyle name="千位分隔 2 4 2 2 6 2" xfId="30512" xr:uid="{116527A2-9048-4551-B960-84A467CE069C}"/>
    <cellStyle name="千位分隔 2 4 2 2 7" xfId="30513" xr:uid="{D7D45C88-0706-4436-A0E2-75F523E37EBD}"/>
    <cellStyle name="千位分隔 2 4 2 2 7 2" xfId="30514" xr:uid="{265A8E04-3877-43D3-9D6B-52DB81A619CD}"/>
    <cellStyle name="千位分隔 2 4 2 2 8" xfId="30515" xr:uid="{793E53FA-7571-46B9-A9AF-5CB380C7D478}"/>
    <cellStyle name="千位分隔 2 4 2 2 8 2" xfId="34914" xr:uid="{8F198113-6781-44CD-A341-A78CE57E147A}"/>
    <cellStyle name="千位分隔 2 4 2 2 9" xfId="30516" xr:uid="{C11AC519-C59A-49F4-9749-0B3BDE0D1CBE}"/>
    <cellStyle name="千位分隔 2 4 2 2 9 2" xfId="34915" xr:uid="{59160549-64C7-4FEF-A1C4-BFC49D2A0256}"/>
    <cellStyle name="千位分隔 2 4 2 3" xfId="30517" xr:uid="{EE8EC6E2-DB59-4751-BD3F-92335C1C1B15}"/>
    <cellStyle name="千位分隔 2 4 2 3 2" xfId="30518" xr:uid="{A94747AD-4790-486D-B532-B27A4BBEF1AF}"/>
    <cellStyle name="千位分隔 2 4 2 3 2 2" xfId="30519" xr:uid="{535969FD-6379-4BCA-9DC1-009A1ECC14BD}"/>
    <cellStyle name="千位分隔 2 4 2 3 2 2 2" xfId="30520" xr:uid="{7FEB6F5E-7B1C-4ED4-97A8-0E5D115B4FDA}"/>
    <cellStyle name="千位分隔 2 4 2 3 2 3" xfId="30521" xr:uid="{B4894582-112E-4508-92F3-405BBD956860}"/>
    <cellStyle name="千位分隔 2 4 2 3 2 3 2" xfId="30522" xr:uid="{C34B132F-A808-49E0-A572-63AE52315258}"/>
    <cellStyle name="千位分隔 2 4 2 3 2 4" xfId="30523" xr:uid="{50018123-4797-40B4-8467-48174D820E80}"/>
    <cellStyle name="千位分隔 2 4 2 3 2 4 2" xfId="30524" xr:uid="{A1F89C86-2C43-47D3-AA33-12EDADF01DDC}"/>
    <cellStyle name="千位分隔 2 4 2 3 2 5" xfId="30525" xr:uid="{BF7685CD-6548-4BF6-BAFE-7F3E43BDAB19}"/>
    <cellStyle name="千位分隔 2 4 2 3 2 5 2" xfId="34916" xr:uid="{D03671E2-5050-4328-BA9A-E9D8F44E6056}"/>
    <cellStyle name="千位分隔 2 4 2 3 2 6" xfId="30526" xr:uid="{6B41F218-20D0-4A0A-8A1C-86BB322C60C2}"/>
    <cellStyle name="千位分隔 2 4 2 3 2 6 2" xfId="34917" xr:uid="{2945AF4F-BEF1-40B9-8038-EFC86F803B0A}"/>
    <cellStyle name="千位分隔 2 4 2 3 2 7" xfId="30527" xr:uid="{6A704012-37D3-4184-9640-4A921E03D62A}"/>
    <cellStyle name="千位分隔 2 4 2 3 3" xfId="30528" xr:uid="{FEEBF3BA-356C-4B54-8D3F-111DB7DCA231}"/>
    <cellStyle name="千位分隔 2 4 2 3 3 2" xfId="30529" xr:uid="{0C0C0846-F757-4F8A-B56A-6F569B660308}"/>
    <cellStyle name="千位分隔 2 4 2 3 3 2 2" xfId="30530" xr:uid="{5F2FFB87-9CB1-456E-9909-5116AAC569BD}"/>
    <cellStyle name="千位分隔 2 4 2 3 3 3" xfId="30531" xr:uid="{49ACBD2E-CF04-4168-BA70-843B4853C27C}"/>
    <cellStyle name="千位分隔 2 4 2 3 3 4" xfId="30532" xr:uid="{A2660788-E993-45C8-8F6F-128E23C4BD9A}"/>
    <cellStyle name="千位分隔 2 4 2 3 3 5" xfId="30533" xr:uid="{1F2FE3B4-83F6-4B61-B27D-D21A63FB71B6}"/>
    <cellStyle name="千位分隔 2 4 2 3 3 5 2" xfId="34918" xr:uid="{67EB17B2-9035-4E8A-AF64-821AC7DAE1AC}"/>
    <cellStyle name="千位分隔 2 4 2 3 3 6" xfId="30534" xr:uid="{BA3E7494-903B-43F7-A89B-62115A12B94E}"/>
    <cellStyle name="千位分隔 2 4 2 3 3 6 2" xfId="34919" xr:uid="{3DE24678-9D33-49DC-BF51-87F3E07A1585}"/>
    <cellStyle name="千位分隔 2 4 2 3 3 7" xfId="30535" xr:uid="{B1C29277-AB31-4A98-8812-F5EBC33C89CA}"/>
    <cellStyle name="千位分隔 2 4 2 3 4" xfId="30536" xr:uid="{DEAFB713-92EB-431A-97C8-59F648F87F09}"/>
    <cellStyle name="千位分隔 2 4 2 3 4 2" xfId="30537" xr:uid="{0E74EE6A-96B1-4F70-807C-7DAF633217F8}"/>
    <cellStyle name="千位分隔 2 4 2 3 5" xfId="30538" xr:uid="{2A4548C1-CF30-4F64-A7CC-B25B54ADF99C}"/>
    <cellStyle name="千位分隔 2 4 2 3 5 2" xfId="30539" xr:uid="{E7B4D09E-741F-47C8-AA4A-943CC4C19D08}"/>
    <cellStyle name="千位分隔 2 4 2 3 6" xfId="30540" xr:uid="{3480A146-11B6-4281-A6B1-10F96EC8D1BB}"/>
    <cellStyle name="千位分隔 2 4 2 3 6 2" xfId="30541" xr:uid="{E7D81689-47DD-4C3E-98C6-6F6AB9A7A48C}"/>
    <cellStyle name="千位分隔 2 4 2 3 7" xfId="30542" xr:uid="{6B5FBD40-4E47-4AFB-8D3E-DC0B1CCBCB90}"/>
    <cellStyle name="千位分隔 2 4 2 3 7 2" xfId="34920" xr:uid="{B80E6089-DAB4-4083-A473-AF1030B089AC}"/>
    <cellStyle name="千位分隔 2 4 2 3 8" xfId="30543" xr:uid="{9894B5FD-7945-4805-919F-B1617FE05B80}"/>
    <cellStyle name="千位分隔 2 4 2 3 8 2" xfId="34921" xr:uid="{A07B148C-53C3-4E60-B596-08D658283DEE}"/>
    <cellStyle name="千位分隔 2 4 2 3 9" xfId="30544" xr:uid="{2AB51ABB-717F-42B5-BCE4-C287E9C89DD3}"/>
    <cellStyle name="千位分隔 2 4 2 4" xfId="30545" xr:uid="{335B36DC-9321-477A-A511-F2E923426455}"/>
    <cellStyle name="千位分隔 2 4 2 4 2" xfId="30546" xr:uid="{1405816F-16B9-4694-B4A2-8DD871E3771A}"/>
    <cellStyle name="千位分隔 2 4 2 4 2 2" xfId="30547" xr:uid="{2355FD90-59FE-434B-A14D-F1A95561FDEA}"/>
    <cellStyle name="千位分隔 2 4 2 4 3" xfId="30548" xr:uid="{1C0F0535-F215-4D20-91F2-8F5940768A85}"/>
    <cellStyle name="千位分隔 2 4 2 4 3 2" xfId="30549" xr:uid="{D11773CF-0ECF-4D4E-8DBB-5C1DEB4FA333}"/>
    <cellStyle name="千位分隔 2 4 2 4 4" xfId="30550" xr:uid="{28B5023F-DA0F-459D-940B-558A9C06DEE2}"/>
    <cellStyle name="千位分隔 2 4 2 4 4 2" xfId="30551" xr:uid="{D8F7AD2B-E38B-455C-B887-34D2E9D9D254}"/>
    <cellStyle name="千位分隔 2 4 2 4 5" xfId="30552" xr:uid="{607841A2-3C0B-459F-A429-9BA6924D48DC}"/>
    <cellStyle name="千位分隔 2 4 2 4 5 2" xfId="34922" xr:uid="{4FA11452-A365-458A-9702-6E2D616B8BB4}"/>
    <cellStyle name="千位分隔 2 4 2 4 6" xfId="30553" xr:uid="{54A177D3-8918-4CC2-8099-51832A74A1D6}"/>
    <cellStyle name="千位分隔 2 4 2 4 6 2" xfId="34923" xr:uid="{14E048CB-18CD-402F-A0FD-0EF56A1E56CF}"/>
    <cellStyle name="千位分隔 2 4 2 4 7" xfId="30554" xr:uid="{41449885-5432-45A6-9AB0-D2356514FEF1}"/>
    <cellStyle name="千位分隔 2 4 2 5" xfId="30555" xr:uid="{95A94E12-30DF-49E1-8B09-B09C280F80A6}"/>
    <cellStyle name="千位分隔 2 4 2 5 2" xfId="30556" xr:uid="{F75FCF22-5567-45A6-A057-1290FFC362FB}"/>
    <cellStyle name="千位分隔 2 4 2 5 2 2" xfId="30557" xr:uid="{CFC82B32-3F51-449F-9141-C0C275F1557E}"/>
    <cellStyle name="千位分隔 2 4 2 5 3" xfId="30558" xr:uid="{7A09E4DA-329B-44F1-B73F-9A3F1A37CF5B}"/>
    <cellStyle name="千位分隔 2 4 2 5 4" xfId="30559" xr:uid="{473F7334-FF1F-4FF9-A076-80AB2DF0B51F}"/>
    <cellStyle name="千位分隔 2 4 2 5 5" xfId="30560" xr:uid="{E7F8E886-85FF-46E8-BEFA-314FA985FB1D}"/>
    <cellStyle name="千位分隔 2 4 2 5 5 2" xfId="34924" xr:uid="{4F3108BE-E864-45AF-AD94-073C770CEE8B}"/>
    <cellStyle name="千位分隔 2 4 2 5 6" xfId="30561" xr:uid="{C0A63901-0E43-498A-BC80-40C9B4045003}"/>
    <cellStyle name="千位分隔 2 4 2 5 6 2" xfId="34925" xr:uid="{2E7AD666-0819-4634-A09F-8A53EBA8697B}"/>
    <cellStyle name="千位分隔 2 4 2 5 7" xfId="30562" xr:uid="{5B3B8100-8D40-44EA-A4A8-85EBBFF1256D}"/>
    <cellStyle name="千位分隔 2 4 2 6" xfId="30563" xr:uid="{2E2C7A44-C9D5-4F73-B6CF-C4F2100C512A}"/>
    <cellStyle name="千位分隔 2 4 2 6 2" xfId="30564" xr:uid="{2CE5578D-8C0F-4020-9E09-58A28EE2B887}"/>
    <cellStyle name="千位分隔 2 4 2 7" xfId="30565" xr:uid="{A30D6083-6D37-4ABF-A061-ABBC3F366480}"/>
    <cellStyle name="千位分隔 2 4 2 7 2" xfId="30566" xr:uid="{B291F4CD-B366-4C8F-9F09-ED203308D95E}"/>
    <cellStyle name="千位分隔 2 4 2 8" xfId="30567" xr:uid="{F512A7F9-53FB-4985-A2D9-8EC185E48D82}"/>
    <cellStyle name="千位分隔 2 4 2 8 2" xfId="30568" xr:uid="{3FD94B45-1657-4BBB-A3F3-5D6A70B8707F}"/>
    <cellStyle name="千位分隔 2 4 2 9" xfId="30569" xr:uid="{C4D8982C-CA8E-4F0A-B944-C36FCC514D8A}"/>
    <cellStyle name="千位分隔 2 4 2 9 2" xfId="34926" xr:uid="{38ABC897-627F-4D3A-85AF-C6A13177C0A2}"/>
    <cellStyle name="千位分隔 2 4 3" xfId="30570" xr:uid="{6F3CB78B-8B46-41A6-8883-DB3B65DCDCC3}"/>
    <cellStyle name="千位分隔 2 4 3 10" xfId="30571" xr:uid="{32DCDCB2-9A1F-4D84-B859-AE6FA0FB3144}"/>
    <cellStyle name="千位分隔 2 4 3 10 2" xfId="34927" xr:uid="{65F87C72-C63D-466E-BE68-334452E8DAC0}"/>
    <cellStyle name="千位分隔 2 4 3 11" xfId="30572" xr:uid="{4FAACA0C-ED5C-4C68-BD5C-526C2CC254E8}"/>
    <cellStyle name="千位分隔 2 4 3 2" xfId="30573" xr:uid="{B3A6D932-616A-46AF-B7F2-DC95C17A4580}"/>
    <cellStyle name="千位分隔 2 4 3 2 2" xfId="30574" xr:uid="{DEA37C1A-A500-400C-B230-1542311D02AB}"/>
    <cellStyle name="千位分隔 2 4 3 2 2 2" xfId="30575" xr:uid="{692D5508-2846-46F4-B046-3B6621CDA186}"/>
    <cellStyle name="千位分隔 2 4 3 2 2 2 2" xfId="30576" xr:uid="{44FF00AD-8658-4441-849C-0E400C2CCDEA}"/>
    <cellStyle name="千位分隔 2 4 3 2 2 2 2 2" xfId="30577" xr:uid="{CB09E304-6732-4ED9-A9D2-1AD49FA63392}"/>
    <cellStyle name="千位分隔 2 4 3 2 2 2 3" xfId="30578" xr:uid="{3D0DB763-B2F4-46FF-9391-441D275674A7}"/>
    <cellStyle name="千位分隔 2 4 3 2 2 2 4" xfId="30579" xr:uid="{FB8DA00C-86FC-462D-B037-E54FB940EE7C}"/>
    <cellStyle name="千位分隔 2 4 3 2 2 2 5" xfId="30580" xr:uid="{B578E6EC-1F7B-4044-A81B-47EFA9F18DE2}"/>
    <cellStyle name="千位分隔 2 4 3 2 2 2 5 2" xfId="34928" xr:uid="{B4A02F3A-12B0-4063-B8CD-5CE0A4A1128B}"/>
    <cellStyle name="千位分隔 2 4 3 2 2 2 6" xfId="30581" xr:uid="{471A52CB-CF0D-437E-91F4-ABF2FCADACBC}"/>
    <cellStyle name="千位分隔 2 4 3 2 2 2 6 2" xfId="34929" xr:uid="{EDD9F7ED-1E84-4B46-85FC-6A8A400F4859}"/>
    <cellStyle name="千位分隔 2 4 3 2 2 3" xfId="30582" xr:uid="{845F52F1-9339-44CF-8748-247E8EAA18B9}"/>
    <cellStyle name="千位分隔 2 4 3 2 2 3 2" xfId="30583" xr:uid="{1C360B17-18D3-4F4F-A9E9-ECFD63595191}"/>
    <cellStyle name="千位分隔 2 4 3 2 2 4" xfId="30584" xr:uid="{0A811587-E105-46C5-853C-175B7D4877E2}"/>
    <cellStyle name="千位分隔 2 4 3 2 2 5" xfId="30585" xr:uid="{8DFEF6DE-B98F-4D9A-8C97-99C8186FBB2D}"/>
    <cellStyle name="千位分隔 2 4 3 2 2 6" xfId="30586" xr:uid="{31E9B95D-7F92-4D73-8FB2-427CABCAAC02}"/>
    <cellStyle name="千位分隔 2 4 3 2 2 6 2" xfId="34930" xr:uid="{FD2FAD60-8CCB-49D0-A387-C2A2ED400FE1}"/>
    <cellStyle name="千位分隔 2 4 3 2 2 7" xfId="30587" xr:uid="{E5DA9B22-6E90-4F99-B134-25A319E58B4B}"/>
    <cellStyle name="千位分隔 2 4 3 2 2 7 2" xfId="34931" xr:uid="{9C1410AD-2578-4703-8DB1-3F48E6D92634}"/>
    <cellStyle name="千位分隔 2 4 3 2 3" xfId="30588" xr:uid="{370DC9A9-897A-4D30-A6D3-85CE1A62282D}"/>
    <cellStyle name="千位分隔 2 4 3 2 3 2" xfId="30589" xr:uid="{6B4667CE-C514-4C89-B892-EA3856B9DA3E}"/>
    <cellStyle name="千位分隔 2 4 3 2 3 2 2" xfId="30590" xr:uid="{BEC5FBDC-2EF1-452D-B7AB-1B5E57C467B3}"/>
    <cellStyle name="千位分隔 2 4 3 2 3 3" xfId="30591" xr:uid="{DD7E4210-CCFC-47A6-A8D1-E525063E10EE}"/>
    <cellStyle name="千位分隔 2 4 3 2 3 4" xfId="30592" xr:uid="{08B38C3C-0A47-4AA9-86F4-B4303D83FD57}"/>
    <cellStyle name="千位分隔 2 4 3 2 3 5" xfId="30593" xr:uid="{42B87989-4B89-407B-8F8C-F815080A295D}"/>
    <cellStyle name="千位分隔 2 4 3 2 3 5 2" xfId="34932" xr:uid="{C0FB8419-96ED-4C90-B774-F2E9E5AFF79A}"/>
    <cellStyle name="千位分隔 2 4 3 2 3 6" xfId="30594" xr:uid="{8D0CA172-8E6A-4434-BE7E-25BD848D1A48}"/>
    <cellStyle name="千位分隔 2 4 3 2 3 6 2" xfId="34933" xr:uid="{52ED9316-F2CD-476D-A334-63A03564A5EF}"/>
    <cellStyle name="千位分隔 2 4 3 2 4" xfId="30595" xr:uid="{C5D55EED-925D-463F-8B49-E70A4C9D5676}"/>
    <cellStyle name="千位分隔 2 4 3 2 4 2" xfId="30596" xr:uid="{712CB65B-27AC-4EBF-9664-68004A8156F6}"/>
    <cellStyle name="千位分隔 2 4 3 2 5" xfId="30597" xr:uid="{E15F2E19-F675-4A59-B064-5F9497D8E123}"/>
    <cellStyle name="千位分隔 2 4 3 2 6" xfId="30598" xr:uid="{F0094EC1-1884-4852-80E7-6CB31DDC0A29}"/>
    <cellStyle name="千位分隔 2 4 3 2 7" xfId="30599" xr:uid="{127E347B-EDF0-43C5-8833-F68CDB0354FA}"/>
    <cellStyle name="千位分隔 2 4 3 2 7 2" xfId="34934" xr:uid="{4F13420F-89C7-4AC6-8EAF-0469AC57F91C}"/>
    <cellStyle name="千位分隔 2 4 3 2 8" xfId="30600" xr:uid="{4724DACB-5052-4A02-A672-4E3E9396370A}"/>
    <cellStyle name="千位分隔 2 4 3 2 8 2" xfId="34935" xr:uid="{29751464-F940-4835-A68A-80A8B7DCCA4B}"/>
    <cellStyle name="千位分隔 2 4 3 3" xfId="30601" xr:uid="{5F132615-798D-4837-842D-534D58E62947}"/>
    <cellStyle name="千位分隔 2 4 3 3 2" xfId="30602" xr:uid="{B064D89C-41B6-4CD5-B4DA-EB99A00E0CAA}"/>
    <cellStyle name="千位分隔 2 4 3 3 2 2" xfId="30603" xr:uid="{B2568E59-8940-4CE3-8F78-5628938AF07F}"/>
    <cellStyle name="千位分隔 2 4 3 3 2 2 2" xfId="30604" xr:uid="{29AD13F5-3A1B-45AF-AB44-9419FB593BE3}"/>
    <cellStyle name="千位分隔 2 4 3 3 2 3" xfId="30605" xr:uid="{FC24A5E7-6E12-430C-893B-F6AB928B2767}"/>
    <cellStyle name="千位分隔 2 4 3 3 2 4" xfId="30606" xr:uid="{B594DCF0-5BB1-49D8-BE6C-0ADBE16B44A8}"/>
    <cellStyle name="千位分隔 2 4 3 3 2 5" xfId="30607" xr:uid="{21FDEE88-EB24-4163-AA5C-6007EF2D1D33}"/>
    <cellStyle name="千位分隔 2 4 3 3 2 5 2" xfId="34936" xr:uid="{2949B834-2214-4323-B18C-4028C2F21878}"/>
    <cellStyle name="千位分隔 2 4 3 3 2 6" xfId="30608" xr:uid="{AFE91D37-55DC-465F-90C5-ACB65E7858A8}"/>
    <cellStyle name="千位分隔 2 4 3 3 2 6 2" xfId="34937" xr:uid="{3FF9C367-1278-4A8E-B00E-E566F8329CF2}"/>
    <cellStyle name="千位分隔 2 4 3 3 2 7" xfId="30609" xr:uid="{866CE088-DE40-483D-AF08-1089A5E5B576}"/>
    <cellStyle name="千位分隔 2 4 3 3 3" xfId="30610" xr:uid="{5A834C6B-EB89-416D-BEB1-1CA6C0E5F573}"/>
    <cellStyle name="千位分隔 2 4 3 3 3 2" xfId="30611" xr:uid="{50C9E48E-74E6-4CD3-8B1D-4E4B4093F7EA}"/>
    <cellStyle name="千位分隔 2 4 3 3 3 2 2" xfId="30612" xr:uid="{2FC264EC-270C-41BF-BC4F-DA625AFFC1E1}"/>
    <cellStyle name="千位分隔 2 4 3 3 3 3" xfId="30613" xr:uid="{86731E20-3A22-460F-97E9-C9A8BF0C7CD8}"/>
    <cellStyle name="千位分隔 2 4 3 3 3 4" xfId="30614" xr:uid="{BD00D98E-089D-43D4-B0E1-94F6CD8083D4}"/>
    <cellStyle name="千位分隔 2 4 3 3 3 5" xfId="30615" xr:uid="{6BB7310A-5920-4215-91D6-FC0EFAE79E3B}"/>
    <cellStyle name="千位分隔 2 4 3 3 3 5 2" xfId="34938" xr:uid="{758E8841-FD49-4A7B-9307-F9207DE73811}"/>
    <cellStyle name="千位分隔 2 4 3 3 3 6" xfId="30616" xr:uid="{F84D54BA-B35C-49FB-AA8C-DB5B51F9A7DD}"/>
    <cellStyle name="千位分隔 2 4 3 3 3 6 2" xfId="34939" xr:uid="{BFE71091-196B-472A-9876-0DB14E8B86C4}"/>
    <cellStyle name="千位分隔 2 4 3 3 3 7" xfId="30617" xr:uid="{E53C2571-BD57-4907-89A7-3806DC68DB54}"/>
    <cellStyle name="千位分隔 2 4 3 3 4" xfId="30618" xr:uid="{95CF8101-DB0B-4FD3-B53F-5D2CED8B8C3F}"/>
    <cellStyle name="千位分隔 2 4 3 3 4 2" xfId="30619" xr:uid="{8A69CC94-DAF1-4255-A504-6E13289EA186}"/>
    <cellStyle name="千位分隔 2 4 3 3 5" xfId="30620" xr:uid="{1BB9B60E-53E9-4413-916C-E09E61BD18FC}"/>
    <cellStyle name="千位分隔 2 4 3 3 5 2" xfId="30621" xr:uid="{7E3D417B-5148-4328-9F13-E8DF04755475}"/>
    <cellStyle name="千位分隔 2 4 3 3 6" xfId="30622" xr:uid="{C2BF01D0-CC92-4F82-900E-FDFE5DE93A04}"/>
    <cellStyle name="千位分隔 2 4 3 3 6 2" xfId="30623" xr:uid="{94FB2C65-EF6E-4D1E-987A-71BB19D19ADF}"/>
    <cellStyle name="千位分隔 2 4 3 3 7" xfId="30624" xr:uid="{96F3690B-0A03-4D44-8655-4E569980DDC0}"/>
    <cellStyle name="千位分隔 2 4 3 3 7 2" xfId="34940" xr:uid="{8186C1CB-DC63-4228-B138-C8112E6C3FD6}"/>
    <cellStyle name="千位分隔 2 4 3 3 8" xfId="30625" xr:uid="{E54B702E-003D-41C2-86E7-73F1151C3CBC}"/>
    <cellStyle name="千位分隔 2 4 3 3 8 2" xfId="34941" xr:uid="{4FB833FA-1660-4825-9E2F-2C37D7C4FA84}"/>
    <cellStyle name="千位分隔 2 4 3 3 9" xfId="30626" xr:uid="{4EC25542-4DB3-400C-9D9B-768F6451F129}"/>
    <cellStyle name="千位分隔 2 4 3 4" xfId="30627" xr:uid="{C1F3C1B4-62AB-4800-A0E2-A371633BDDC9}"/>
    <cellStyle name="千位分隔 2 4 3 4 2" xfId="30628" xr:uid="{33BA1D27-C8AD-45F9-8048-1883DAA8005F}"/>
    <cellStyle name="千位分隔 2 4 3 4 2 2" xfId="30629" xr:uid="{9AAC80A6-B70F-492A-AA6D-456194D8D8D6}"/>
    <cellStyle name="千位分隔 2 4 3 4 3" xfId="30630" xr:uid="{2231D673-F09A-46C8-8724-CE731AD30E52}"/>
    <cellStyle name="千位分隔 2 4 3 4 4" xfId="30631" xr:uid="{1179F7A8-3D34-472F-A5CB-CD33FA3D4AD3}"/>
    <cellStyle name="千位分隔 2 4 3 4 5" xfId="30632" xr:uid="{BE27425B-F8A6-4426-8F44-0B72F78F75D7}"/>
    <cellStyle name="千位分隔 2 4 3 4 5 2" xfId="34942" xr:uid="{2B7B9723-5409-4F88-836C-DE49874DFE72}"/>
    <cellStyle name="千位分隔 2 4 3 4 6" xfId="30633" xr:uid="{D4988829-4EF7-4353-8064-6E3FD8EA9011}"/>
    <cellStyle name="千位分隔 2 4 3 4 6 2" xfId="34943" xr:uid="{8F153EEF-4E01-4106-AB68-9392109C0BD0}"/>
    <cellStyle name="千位分隔 2 4 3 4 7" xfId="30634" xr:uid="{8DF8A5B7-37FD-4FC7-B1A5-FC941507A1A3}"/>
    <cellStyle name="千位分隔 2 4 3 5" xfId="30635" xr:uid="{90C795E3-395B-4C31-B8EB-4123EA14C742}"/>
    <cellStyle name="千位分隔 2 4 3 5 2" xfId="30636" xr:uid="{86C06374-7FF0-433B-9627-B58554B7CB4D}"/>
    <cellStyle name="千位分隔 2 4 3 5 2 2" xfId="30637" xr:uid="{28DFD33A-BDBB-44A0-9F48-C97B8B56AC9E}"/>
    <cellStyle name="千位分隔 2 4 3 5 3" xfId="30638" xr:uid="{66194C0B-CA20-4E5F-9067-9EE79E6FEE7C}"/>
    <cellStyle name="千位分隔 2 4 3 5 4" xfId="30639" xr:uid="{53454E10-3462-4E5A-A5B1-5D5FD7F91E84}"/>
    <cellStyle name="千位分隔 2 4 3 5 5" xfId="30640" xr:uid="{81133F68-5D0D-4CA1-9E9C-5C2D0C4AD0F7}"/>
    <cellStyle name="千位分隔 2 4 3 5 5 2" xfId="34944" xr:uid="{B5CB3889-79F4-4C71-9447-4E56ED96C73C}"/>
    <cellStyle name="千位分隔 2 4 3 5 6" xfId="30641" xr:uid="{D108317F-2C6F-4DB6-8CBF-2C3BAC043B1F}"/>
    <cellStyle name="千位分隔 2 4 3 5 6 2" xfId="34945" xr:uid="{79467F4A-4BD3-4D4A-900F-C03D0FEB7B5D}"/>
    <cellStyle name="千位分隔 2 4 3 5 7" xfId="30642" xr:uid="{6E67CFD8-A2FB-44A2-B456-6D44E7729A94}"/>
    <cellStyle name="千位分隔 2 4 3 6" xfId="30643" xr:uid="{A4B06288-DC51-4A48-9FA1-763EBAE3D60C}"/>
    <cellStyle name="千位分隔 2 4 3 6 2" xfId="30644" xr:uid="{82E56FEF-9260-4138-AF43-86BD701824FF}"/>
    <cellStyle name="千位分隔 2 4 3 7" xfId="30645" xr:uid="{5D0EDB88-EFA8-461A-97A3-3649C89BC445}"/>
    <cellStyle name="千位分隔 2 4 3 7 2" xfId="30646" xr:uid="{F67385F7-E150-4E7D-9103-EEC13CDCDAE3}"/>
    <cellStyle name="千位分隔 2 4 3 8" xfId="30647" xr:uid="{CD665527-9B63-4B37-9E25-EB09CE9B5A4B}"/>
    <cellStyle name="千位分隔 2 4 3 8 2" xfId="30648" xr:uid="{A78F084E-9545-444A-B212-49860D1C70EB}"/>
    <cellStyle name="千位分隔 2 4 3 9" xfId="30649" xr:uid="{901BBFDB-FC36-49D0-9D07-928D58C2CD28}"/>
    <cellStyle name="千位分隔 2 4 3 9 2" xfId="34946" xr:uid="{F51E3806-303C-4BAF-9244-CC3522504E4D}"/>
    <cellStyle name="千位分隔 2 4 4" xfId="30650" xr:uid="{45E1B044-FD38-415C-B5AA-E674C059698C}"/>
    <cellStyle name="千位分隔 2 4 4 10" xfId="30651" xr:uid="{8525178C-BD49-4FC8-AB69-E2AB57F997E5}"/>
    <cellStyle name="千位分隔 2 4 4 2" xfId="30652" xr:uid="{37993EC2-281D-48B5-8B60-9236835DD377}"/>
    <cellStyle name="千位分隔 2 4 4 2 2" xfId="30653" xr:uid="{AB9FF94A-E556-498E-934D-2C74C748D79F}"/>
    <cellStyle name="千位分隔 2 4 4 2 2 2" xfId="30654" xr:uid="{A851C3E3-3D2C-4227-9C5B-E44D6F0674C6}"/>
    <cellStyle name="千位分隔 2 4 4 2 2 2 2" xfId="30655" xr:uid="{F41EA7A3-9F90-4F13-A189-3997646493F2}"/>
    <cellStyle name="千位分隔 2 4 4 2 2 3" xfId="30656" xr:uid="{5ABC6F7C-03B3-443B-AAE9-C1DDEDB70311}"/>
    <cellStyle name="千位分隔 2 4 4 2 2 4" xfId="30657" xr:uid="{970E99F8-DE2E-4F25-8C82-2C215EE12AF6}"/>
    <cellStyle name="千位分隔 2 4 4 2 2 5" xfId="30658" xr:uid="{DF51C1F6-05AD-449C-9EBC-8809FAC87053}"/>
    <cellStyle name="千位分隔 2 4 4 2 2 5 2" xfId="34947" xr:uid="{097F9859-C5CE-4E40-8CF3-51F7F505A6BA}"/>
    <cellStyle name="千位分隔 2 4 4 2 2 6" xfId="30659" xr:uid="{876A1852-39A8-45D6-A867-9ED8AC0F95B4}"/>
    <cellStyle name="千位分隔 2 4 4 2 2 6 2" xfId="34948" xr:uid="{A93F6567-2413-4A7F-A136-712F5976CE1F}"/>
    <cellStyle name="千位分隔 2 4 4 2 3" xfId="30660" xr:uid="{1BCEF49D-5722-4404-89C5-7500B3456051}"/>
    <cellStyle name="千位分隔 2 4 4 2 3 2" xfId="30661" xr:uid="{4A4E8C2B-69F8-4869-888E-EB3837B13A42}"/>
    <cellStyle name="千位分隔 2 4 4 2 3 2 2" xfId="30662" xr:uid="{FF843260-B298-46B9-97A1-1C9CAA3EF81A}"/>
    <cellStyle name="千位分隔 2 4 4 2 3 3" xfId="30663" xr:uid="{F2E1CDFE-4BFB-4C23-A79A-44565F3949ED}"/>
    <cellStyle name="千位分隔 2 4 4 2 3 4" xfId="30664" xr:uid="{4DABAD97-5BDB-4ACA-A499-9ACD5DD7F0D4}"/>
    <cellStyle name="千位分隔 2 4 4 2 3 5" xfId="30665" xr:uid="{3B353DDE-ACEA-4545-ACB5-F7CD1CA6F649}"/>
    <cellStyle name="千位分隔 2 4 4 2 3 5 2" xfId="34949" xr:uid="{9C1D348B-29C0-4EF1-A3BE-FDFA0280626A}"/>
    <cellStyle name="千位分隔 2 4 4 2 3 6" xfId="30666" xr:uid="{0EDA0D7A-DFBD-4704-9890-E3C93637BD7E}"/>
    <cellStyle name="千位分隔 2 4 4 2 3 6 2" xfId="34950" xr:uid="{B923577D-0B56-44FF-92BA-230305D4F839}"/>
    <cellStyle name="千位分隔 2 4 4 2 4" xfId="30667" xr:uid="{F7813521-AA59-44E1-B6B2-989A6F638AC5}"/>
    <cellStyle name="千位分隔 2 4 4 2 4 2" xfId="30668" xr:uid="{BDEBE771-EBF3-4031-BCFB-DFE97C534BFB}"/>
    <cellStyle name="千位分隔 2 4 4 2 5" xfId="30669" xr:uid="{2BC7D337-1D12-4BF2-9E00-74591C3E0BD7}"/>
    <cellStyle name="千位分隔 2 4 4 2 6" xfId="30670" xr:uid="{EA66A923-79B1-4350-8B4C-33265951D5FF}"/>
    <cellStyle name="千位分隔 2 4 4 2 7" xfId="30671" xr:uid="{81FD1E8C-AF0C-4E5B-AC32-AC7DB5DFA0AE}"/>
    <cellStyle name="千位分隔 2 4 4 2 7 2" xfId="34951" xr:uid="{E13DDAC6-B535-47D3-93CC-2FEFD0AF5038}"/>
    <cellStyle name="千位分隔 2 4 4 2 8" xfId="30672" xr:uid="{1B53C46B-5615-4C37-8B91-8AED52DC34B4}"/>
    <cellStyle name="千位分隔 2 4 4 2 8 2" xfId="34952" xr:uid="{541017C2-D1B6-4BC0-B9D6-663C71B0AD6A}"/>
    <cellStyle name="千位分隔 2 4 4 3" xfId="30673" xr:uid="{E0CB6C59-764F-4C0A-9DDE-BB52129002AA}"/>
    <cellStyle name="千位分隔 2 4 4 3 2" xfId="30674" xr:uid="{3957BDEC-15C7-46C9-A85B-7196EA834699}"/>
    <cellStyle name="千位分隔 2 4 4 3 2 2" xfId="30675" xr:uid="{333CC759-3254-4D03-9B43-0C28E9A8430F}"/>
    <cellStyle name="千位分隔 2 4 4 3 3" xfId="30676" xr:uid="{D6E079AA-FF88-41C5-96F8-0DF32889EA75}"/>
    <cellStyle name="千位分隔 2 4 4 3 4" xfId="30677" xr:uid="{6CFCD515-DCC8-4E63-A087-8B4A490FD7F8}"/>
    <cellStyle name="千位分隔 2 4 4 3 5" xfId="30678" xr:uid="{DCC0D96A-A6AE-48D3-B16C-897EE2B47FF3}"/>
    <cellStyle name="千位分隔 2 4 4 3 5 2" xfId="34953" xr:uid="{EF57C363-5D77-4740-A3CF-8C860E1D9EEE}"/>
    <cellStyle name="千位分隔 2 4 4 3 6" xfId="30679" xr:uid="{FDF24E9E-802A-4888-A94E-31A94784DCE7}"/>
    <cellStyle name="千位分隔 2 4 4 3 6 2" xfId="34954" xr:uid="{49F379F2-F7AF-462E-851F-267D98E8941D}"/>
    <cellStyle name="千位分隔 2 4 4 4" xfId="30680" xr:uid="{37A0C772-BBFF-4748-9201-DE29DC392519}"/>
    <cellStyle name="千位分隔 2 4 4 4 2" xfId="30681" xr:uid="{E9A9C1EA-8802-4510-BA42-091BFE6CBA91}"/>
    <cellStyle name="千位分隔 2 4 4 4 2 2" xfId="30682" xr:uid="{28E6F23C-AAB2-4531-AA5E-8E3086B256DD}"/>
    <cellStyle name="千位分隔 2 4 4 4 3" xfId="30683" xr:uid="{0035E30B-4E90-46AA-B17F-96D6E6E9BA94}"/>
    <cellStyle name="千位分隔 2 4 4 4 4" xfId="30684" xr:uid="{71E6871A-3128-4B8E-9390-85F57B8666A9}"/>
    <cellStyle name="千位分隔 2 4 4 4 5" xfId="30685" xr:uid="{67811CE5-065F-4FD0-BA3F-4B65A04400EC}"/>
    <cellStyle name="千位分隔 2 4 4 4 5 2" xfId="34955" xr:uid="{C210DA4A-BDB3-4D8F-A42A-C109C7561A0E}"/>
    <cellStyle name="千位分隔 2 4 4 4 6" xfId="30686" xr:uid="{FAA9B6A4-BEAA-4097-BCC3-CC4B26ACE339}"/>
    <cellStyle name="千位分隔 2 4 4 4 6 2" xfId="34956" xr:uid="{5C08C12E-F417-4925-A575-0489F789AA0C}"/>
    <cellStyle name="千位分隔 2 4 4 5" xfId="30687" xr:uid="{153BAD0E-6E42-4783-89FE-CD529611D156}"/>
    <cellStyle name="千位分隔 2 4 4 5 2" xfId="30688" xr:uid="{6E667CAE-5AE7-4ADB-99E7-063CE0271D64}"/>
    <cellStyle name="千位分隔 2 4 4 6" xfId="30689" xr:uid="{E8732463-AD23-46AC-9AE4-B6927721D0F7}"/>
    <cellStyle name="千位分隔 2 4 4 7" xfId="30690" xr:uid="{43D6DBD0-C6E2-432C-A543-9538134EBBF9}"/>
    <cellStyle name="千位分隔 2 4 4 8" xfId="30691" xr:uid="{9954C154-5E74-4533-BAA4-D478FA8C0D65}"/>
    <cellStyle name="千位分隔 2 4 4 8 2" xfId="34957" xr:uid="{89FE70F8-D7A6-4E27-AFB9-02F206648793}"/>
    <cellStyle name="千位分隔 2 4 4 9" xfId="30692" xr:uid="{3AEF7BA4-D860-45D2-B857-04E985517867}"/>
    <cellStyle name="千位分隔 2 4 4 9 2" xfId="34958" xr:uid="{6E4604BF-9D35-4E26-9A11-2783B36D9130}"/>
    <cellStyle name="千位分隔 2 4 5" xfId="30693" xr:uid="{CFB56038-CF4D-44CB-A1D3-3A6DE9216A82}"/>
    <cellStyle name="千位分隔 2 4 5 2" xfId="30694" xr:uid="{C4362EBD-0990-4212-B53F-42DCF91013CC}"/>
    <cellStyle name="千位分隔 2 4 5 2 2" xfId="30695" xr:uid="{8FD451FD-08CF-4C8C-ABD9-27AB6234415E}"/>
    <cellStyle name="千位分隔 2 4 5 2 2 2" xfId="30696" xr:uid="{CD74BA49-BE01-4D17-AE67-F7510DD9D504}"/>
    <cellStyle name="千位分隔 2 4 5 2 3" xfId="30697" xr:uid="{02EA3509-E192-4FA0-BCA1-6DE73BF23D66}"/>
    <cellStyle name="千位分隔 2 4 5 2 4" xfId="30698" xr:uid="{A8CE494A-3978-4EC3-A832-BA8526E48494}"/>
    <cellStyle name="千位分隔 2 4 5 2 5" xfId="30699" xr:uid="{B42B29C4-F2AD-44D7-9620-DD893621D2D5}"/>
    <cellStyle name="千位分隔 2 4 5 2 5 2" xfId="34959" xr:uid="{D64B40BD-BD52-43C7-9E19-E023CD2A34A8}"/>
    <cellStyle name="千位分隔 2 4 5 2 6" xfId="30700" xr:uid="{95A0E73C-2957-4A43-8018-5CAB5AF61FA9}"/>
    <cellStyle name="千位分隔 2 4 5 2 6 2" xfId="34960" xr:uid="{1606DB5A-D2ED-47F7-BF20-3690452072C5}"/>
    <cellStyle name="千位分隔 2 4 5 3" xfId="30701" xr:uid="{511350AF-DBD0-49AF-82DC-4D2D8B55DBE6}"/>
    <cellStyle name="千位分隔 2 4 5 3 2" xfId="30702" xr:uid="{C9A84921-64B6-40BE-8CE6-3334DE237C1A}"/>
    <cellStyle name="千位分隔 2 4 5 3 2 2" xfId="30703" xr:uid="{57874DF8-3925-417A-9098-B6C07677BB99}"/>
    <cellStyle name="千位分隔 2 4 5 3 3" xfId="30704" xr:uid="{B66F5CEF-3AFB-4BA0-966F-170C73663FA2}"/>
    <cellStyle name="千位分隔 2 4 5 3 4" xfId="30705" xr:uid="{40EBC8B8-D232-4E41-AFEA-B4769ACE25A1}"/>
    <cellStyle name="千位分隔 2 4 5 3 5" xfId="30706" xr:uid="{C925DBEA-179F-43EA-89D7-3DEA5CAA6BE7}"/>
    <cellStyle name="千位分隔 2 4 5 3 5 2" xfId="34961" xr:uid="{35288629-09DE-4CE3-965C-50E70ED30078}"/>
    <cellStyle name="千位分隔 2 4 5 3 6" xfId="30707" xr:uid="{D3D791CC-BF6B-49E2-83F2-D376B33F724D}"/>
    <cellStyle name="千位分隔 2 4 5 3 6 2" xfId="34962" xr:uid="{A93BF32A-20E6-4EFD-B2B3-FA02BFFC8556}"/>
    <cellStyle name="千位分隔 2 4 5 4" xfId="30708" xr:uid="{88DD6FBC-E5B3-4A70-8C6F-C8FEB1C119B4}"/>
    <cellStyle name="千位分隔 2 4 5 4 2" xfId="30709" xr:uid="{0FD080D8-B4C4-4FF1-803E-5866B9238674}"/>
    <cellStyle name="千位分隔 2 4 5 5" xfId="30710" xr:uid="{5DA52B56-4F30-4064-BE1D-744230C4159B}"/>
    <cellStyle name="千位分隔 2 4 5 6" xfId="30711" xr:uid="{3F358246-A884-4EC3-88EC-6A4161CCEC02}"/>
    <cellStyle name="千位分隔 2 4 5 7" xfId="30712" xr:uid="{855791AD-3114-4FA5-AB06-33075E9147B1}"/>
    <cellStyle name="千位分隔 2 4 5 7 2" xfId="34963" xr:uid="{60097E8C-0D87-48E0-B454-0C94ABEA143A}"/>
    <cellStyle name="千位分隔 2 4 5 8" xfId="30713" xr:uid="{CD474A35-83CE-4237-A0E4-68D980A5EB02}"/>
    <cellStyle name="千位分隔 2 4 5 8 2" xfId="34964" xr:uid="{B3CE8AA8-6E6F-4A9C-8A85-C9B2184AA018}"/>
    <cellStyle name="千位分隔 2 4 6" xfId="30714" xr:uid="{E36C49A6-9A33-41A2-A85C-F07BEBED93DC}"/>
    <cellStyle name="千位分隔 2 4 6 2" xfId="30715" xr:uid="{049FC334-E280-4B7F-AF3B-ACC975D3EAB1}"/>
    <cellStyle name="千位分隔 2 4 6 2 2" xfId="30716" xr:uid="{A1706C88-8910-4818-8689-559A2DBBE22D}"/>
    <cellStyle name="千位分隔 2 4 6 3" xfId="30717" xr:uid="{89BC77C7-9DB7-4645-B979-3E173F3138BB}"/>
    <cellStyle name="千位分隔 2 4 6 3 2" xfId="30718" xr:uid="{69BDEE0D-6A8F-4FF3-BC94-6F8CB79E4E31}"/>
    <cellStyle name="千位分隔 2 4 6 4" xfId="30719" xr:uid="{B45F8202-92D6-4E04-BE82-49A0D2C51ABB}"/>
    <cellStyle name="千位分隔 2 4 6 4 2" xfId="30720" xr:uid="{C2A8FBCE-5F3D-4162-8633-33DE867261DA}"/>
    <cellStyle name="千位分隔 2 4 6 5" xfId="30721" xr:uid="{446AC4CE-BE3C-42BF-A6A9-79A9F1FC1BE6}"/>
    <cellStyle name="千位分隔 2 4 6 5 2" xfId="34965" xr:uid="{6AAC409A-C6D2-4614-8C2C-EEF6F0DB16A9}"/>
    <cellStyle name="千位分隔 2 4 6 6" xfId="30722" xr:uid="{DE8904D3-4905-46E0-A172-677985AB0AE7}"/>
    <cellStyle name="千位分隔 2 4 6 6 2" xfId="34966" xr:uid="{7F91BF3B-9F25-4118-93A7-06AFC6FB9C3C}"/>
    <cellStyle name="千位分隔 2 4 6 7" xfId="30723" xr:uid="{00D83BE6-A263-48AA-9E3A-DE99E908D05E}"/>
    <cellStyle name="千位分隔 2 4 7" xfId="30724" xr:uid="{44177381-3F34-4894-99F9-6A2A999F2C94}"/>
    <cellStyle name="千位分隔 2 4 7 2" xfId="30725" xr:uid="{3E272AAF-4F9F-4F68-BF4F-80D9AAFA6928}"/>
    <cellStyle name="千位分隔 2 4 7 2 2" xfId="30726" xr:uid="{5D392EC8-F641-4CB3-B492-A25BD46B762F}"/>
    <cellStyle name="千位分隔 2 4 7 3" xfId="30727" xr:uid="{FE4EE983-94C2-4762-AFFB-2CF1E1267790}"/>
    <cellStyle name="千位分隔 2 4 7 4" xfId="30728" xr:uid="{BCAF1C33-8F99-47F1-9DC4-CBB11954859B}"/>
    <cellStyle name="千位分隔 2 4 7 5" xfId="30729" xr:uid="{D43BC5E0-F7ED-4ACA-8394-37192C821FDE}"/>
    <cellStyle name="千位分隔 2 4 7 5 2" xfId="34967" xr:uid="{B1872242-C26A-4560-9410-1620087A5BA8}"/>
    <cellStyle name="千位分隔 2 4 7 6" xfId="30730" xr:uid="{6446439B-C445-4808-A48D-72FA7BFC5BE2}"/>
    <cellStyle name="千位分隔 2 4 7 6 2" xfId="34968" xr:uid="{0890B749-711A-4FD6-9412-F7167523B24B}"/>
    <cellStyle name="千位分隔 2 4 7 7" xfId="30731" xr:uid="{D7DA8135-EE24-413A-A6DF-1EC3CAB59B62}"/>
    <cellStyle name="千位分隔 2 4 8" xfId="30732" xr:uid="{18EC8100-0A5E-431B-BEBD-C8516B3278FF}"/>
    <cellStyle name="千位分隔 2 4 8 2" xfId="30733" xr:uid="{844F108B-6B6A-4697-B249-88E3E294CDBA}"/>
    <cellStyle name="千位分隔 2 4 9" xfId="30734" xr:uid="{1DCE9EA7-D4D5-4CBB-8D12-A72114654F7A}"/>
    <cellStyle name="千位分隔 2 4 9 2" xfId="30735" xr:uid="{CFAE80D7-D638-46C8-8EEC-90F09EBF2A7E}"/>
    <cellStyle name="千位分隔 2 5" xfId="30736" xr:uid="{81B7A8BA-AC98-469E-9766-C199BA02C967}"/>
    <cellStyle name="千位分隔 2 5 2" xfId="30737" xr:uid="{23C2E6BC-829B-4D8E-8684-5CF87A62A8B6}"/>
    <cellStyle name="千位分隔 2 5 2 2" xfId="30738" xr:uid="{57622363-5EBD-4DD6-86B8-EFB5B819E377}"/>
    <cellStyle name="千位分隔 2 5 2 2 2" xfId="30739" xr:uid="{56BA410D-985A-4133-9ED2-7A9AD0CF346F}"/>
    <cellStyle name="千位分隔 2 5 2 3" xfId="30740" xr:uid="{517C7AE7-2077-48E0-A460-83C628DB5037}"/>
    <cellStyle name="千位分隔 2 5 3" xfId="30741" xr:uid="{06FF5AED-2C40-4C3E-AF1C-21F449F773E7}"/>
    <cellStyle name="千位分隔 2 5 4" xfId="30742" xr:uid="{8094CC56-ABE1-4ABB-8412-7242B2E363BB}"/>
    <cellStyle name="千位分隔 2 5 5" xfId="30743" xr:uid="{3305F420-BC89-4831-B9BE-C9751C40F9EE}"/>
    <cellStyle name="千位分隔 2 6" xfId="30744" xr:uid="{799F6ECF-202B-4E3B-83A7-BB34A5B30ECD}"/>
    <cellStyle name="千位分隔 2 6 2" xfId="30745" xr:uid="{F7F60ED3-E501-4D3C-BCDC-B1FD9A6B513C}"/>
    <cellStyle name="千位分隔 2 6 2 2" xfId="30746" xr:uid="{78996714-4FB2-4297-9DCC-D32D08209C3D}"/>
    <cellStyle name="千位分隔 2 6 2 2 2" xfId="30747" xr:uid="{F64BF3BA-893F-4DDA-AFA3-C842892D237F}"/>
    <cellStyle name="千位分隔 2 6 2 3" xfId="30748" xr:uid="{06064A88-9462-44CC-9AFA-DDC23E1185BE}"/>
    <cellStyle name="千位分隔 2 6 3" xfId="30749" xr:uid="{399B860C-8CD3-418F-A871-27B70F553447}"/>
    <cellStyle name="千位分隔 2 6 4" xfId="30750" xr:uid="{AC3DEAF6-8FAE-43B2-8FB7-FADA876D90D5}"/>
    <cellStyle name="千位分隔 2 6 5" xfId="30751" xr:uid="{092180C2-D440-4080-A759-4157D1CE7893}"/>
    <cellStyle name="千位分隔 2 7" xfId="30752" xr:uid="{26012E8C-FAEC-4D2B-B743-0CBFD03567FB}"/>
    <cellStyle name="千位分隔 2 7 10" xfId="30753" xr:uid="{F8011832-9CB3-44C0-9CD5-E68BFE19ABDE}"/>
    <cellStyle name="千位分隔 2 7 10 2" xfId="34969" xr:uid="{05C3D650-36C4-4AFF-A2B4-7DF94C0DBF2B}"/>
    <cellStyle name="千位分隔 2 7 11" xfId="30754" xr:uid="{2951D989-DD1F-4F01-8AA8-3BE75714558E}"/>
    <cellStyle name="千位分隔 2 7 11 2" xfId="30755" xr:uid="{0F0D86B7-2C15-4501-A6F9-93C408441321}"/>
    <cellStyle name="千位分隔 2 7 2" xfId="30756" xr:uid="{7F55A025-6C8C-4FED-B32A-633FADFC7E33}"/>
    <cellStyle name="千位分隔 2 7 2 10" xfId="30757" xr:uid="{01870852-1803-4D5C-AA09-D1F52DAB435F}"/>
    <cellStyle name="千位分隔 2 7 2 2" xfId="30758" xr:uid="{BCB44241-DFB7-4E45-BBB3-AA5C05F1D9AD}"/>
    <cellStyle name="千位分隔 2 7 2 2 2" xfId="30759" xr:uid="{1B3ECBA4-D00E-4ACB-AD56-192E8727CE77}"/>
    <cellStyle name="千位分隔 2 7 2 2 2 2" xfId="30760" xr:uid="{883686EC-3624-4CCD-AC11-C4E2DC04BFCF}"/>
    <cellStyle name="千位分隔 2 7 2 2 2 2 2" xfId="30761" xr:uid="{F11DD013-DF49-4149-A50C-F771114659A6}"/>
    <cellStyle name="千位分隔 2 7 2 2 2 3" xfId="30762" xr:uid="{B50E3C94-DEE7-485F-9199-A728EDC6BF6D}"/>
    <cellStyle name="千位分隔 2 7 2 2 2 3 2" xfId="30763" xr:uid="{E462AE1E-409E-43B9-BF2B-727ABDE7A9F6}"/>
    <cellStyle name="千位分隔 2 7 2 2 2 4" xfId="30764" xr:uid="{C44E65E0-E463-4956-B338-887631D9EB6E}"/>
    <cellStyle name="千位分隔 2 7 2 2 2 4 2" xfId="30765" xr:uid="{51A02B9B-7080-4823-88F8-24F72990B94B}"/>
    <cellStyle name="千位分隔 2 7 2 2 2 5" xfId="30766" xr:uid="{A368E20D-7958-482E-9FBB-E92A88EBA3E8}"/>
    <cellStyle name="千位分隔 2 7 2 2 2 5 2" xfId="34970" xr:uid="{0A933E12-4749-4F9C-9159-B6BE6E639CD9}"/>
    <cellStyle name="千位分隔 2 7 2 2 2 6" xfId="30767" xr:uid="{0701B023-3307-49DF-A5B5-3F601C15700C}"/>
    <cellStyle name="千位分隔 2 7 2 2 2 6 2" xfId="34971" xr:uid="{889DDE59-7A31-4977-87BA-66966896ECC3}"/>
    <cellStyle name="千位分隔 2 7 2 2 2 7" xfId="30768" xr:uid="{69B20E3F-7E2A-483F-8886-7FC941B8A666}"/>
    <cellStyle name="千位分隔 2 7 2 2 3" xfId="30769" xr:uid="{8E3DF791-D22E-4E65-993B-59D5A67CA50A}"/>
    <cellStyle name="千位分隔 2 7 2 2 3 2" xfId="30770" xr:uid="{EA53338D-3A0B-4971-9F51-0CCDE9D8CC3A}"/>
    <cellStyle name="千位分隔 2 7 2 2 3 2 2" xfId="30771" xr:uid="{493092E4-6BB9-453A-879D-A405F20D8CB7}"/>
    <cellStyle name="千位分隔 2 7 2 2 3 3" xfId="30772" xr:uid="{A3B6D80A-7170-4A1D-922B-8380FEA87B8C}"/>
    <cellStyle name="千位分隔 2 7 2 2 3 4" xfId="30773" xr:uid="{05714537-AF8D-4080-99ED-457B2B145B5A}"/>
    <cellStyle name="千位分隔 2 7 2 2 3 5" xfId="30774" xr:uid="{4071B680-286C-432F-9ECC-2FEE647BFC32}"/>
    <cellStyle name="千位分隔 2 7 2 2 3 5 2" xfId="34972" xr:uid="{D1D1C4B2-D423-4248-8E73-575419BBD7AF}"/>
    <cellStyle name="千位分隔 2 7 2 2 3 6" xfId="30775" xr:uid="{E52075B2-B744-4E7B-A7ED-148F18B2A85F}"/>
    <cellStyle name="千位分隔 2 7 2 2 3 6 2" xfId="34973" xr:uid="{2C583E7E-E61B-4321-A020-C79C2B0BCA8B}"/>
    <cellStyle name="千位分隔 2 7 2 2 3 7" xfId="30776" xr:uid="{1BDCEFC1-8FB7-4DCA-9CDA-22DBCFE3EB26}"/>
    <cellStyle name="千位分隔 2 7 2 2 4" xfId="30777" xr:uid="{1A29A618-4948-4A10-B877-CEB4D10523A4}"/>
    <cellStyle name="千位分隔 2 7 2 2 4 2" xfId="30778" xr:uid="{8D856752-126F-4845-9716-1DF4C68BD1D4}"/>
    <cellStyle name="千位分隔 2 7 2 2 5" xfId="30779" xr:uid="{9A099EC4-C30D-4CA6-ACB7-1E262AA2EEE0}"/>
    <cellStyle name="千位分隔 2 7 2 2 5 2" xfId="30780" xr:uid="{02EE0EE4-46DF-4FD6-A53E-2656B0B9CC11}"/>
    <cellStyle name="千位分隔 2 7 2 2 6" xfId="30781" xr:uid="{71E0F718-7994-4BBF-B335-B85A63FFBCBF}"/>
    <cellStyle name="千位分隔 2 7 2 2 6 2" xfId="30782" xr:uid="{DA4F6647-EE84-40FE-9754-C873E0DF1C2A}"/>
    <cellStyle name="千位分隔 2 7 2 2 7" xfId="30783" xr:uid="{F4DDB0BE-8905-4434-99D6-FE6CE0201EB9}"/>
    <cellStyle name="千位分隔 2 7 2 2 7 2" xfId="34974" xr:uid="{818776DE-9AD4-4612-8F72-C070BBC792C8}"/>
    <cellStyle name="千位分隔 2 7 2 2 8" xfId="30784" xr:uid="{31B960CE-0296-4032-84D9-6F5063DB4EE9}"/>
    <cellStyle name="千位分隔 2 7 2 2 8 2" xfId="34975" xr:uid="{D88939A4-3FC0-4897-A9D5-A0B487F35FF3}"/>
    <cellStyle name="千位分隔 2 7 2 2 9" xfId="30785" xr:uid="{770D73F1-77CB-4833-A2E8-2338FD68B843}"/>
    <cellStyle name="千位分隔 2 7 2 3" xfId="30786" xr:uid="{838F7428-3F5E-4AC4-B279-A61E19AEBE7E}"/>
    <cellStyle name="千位分隔 2 7 2 3 2" xfId="30787" xr:uid="{D6646D7C-B02A-41FD-9CC2-35D73CB01357}"/>
    <cellStyle name="千位分隔 2 7 2 3 2 2" xfId="30788" xr:uid="{25D23B9F-E8B0-4BCC-AC61-F05ECEA401B7}"/>
    <cellStyle name="千位分隔 2 7 2 3 2 3" xfId="30789" xr:uid="{0A7E9F5D-2CE0-4264-8F49-A8F51F929A4A}"/>
    <cellStyle name="千位分隔 2 7 2 3 2 4" xfId="30790" xr:uid="{85E14D2C-6241-445D-B3D1-D232C7E3CB1A}"/>
    <cellStyle name="千位分隔 2 7 2 3 2 5" xfId="30791" xr:uid="{5DA02ACB-6E7A-42D9-913E-370256BC23AF}"/>
    <cellStyle name="千位分隔 2 7 2 3 2 6" xfId="30792" xr:uid="{56BC9585-D72D-4B8D-8AC2-86FACB2274EC}"/>
    <cellStyle name="千位分隔 2 7 2 3 2 7" xfId="30793" xr:uid="{94E4BA4E-FB4B-48FD-B2BE-EB00454CCEB1}"/>
    <cellStyle name="千位分隔 2 7 2 3 3" xfId="30794" xr:uid="{C3B9B315-A4A3-48A0-8AE1-B40C42957D8B}"/>
    <cellStyle name="千位分隔 2 7 2 3 3 2" xfId="30795" xr:uid="{C400D155-563E-4972-8093-F45719992A41}"/>
    <cellStyle name="千位分隔 2 7 2 3 4" xfId="30796" xr:uid="{E158DCA7-0545-493D-B3E1-4B131AF605E3}"/>
    <cellStyle name="千位分隔 2 7 2 3 4 2" xfId="30797" xr:uid="{9F911BEF-D6E0-4877-AB16-1C41978E9ADA}"/>
    <cellStyle name="千位分隔 2 7 2 3 5" xfId="30798" xr:uid="{3054EEAA-2598-423C-84D8-93B08089D812}"/>
    <cellStyle name="千位分隔 2 7 2 3 5 2" xfId="34976" xr:uid="{28EF0A04-5C88-4BB2-B368-455359A5D540}"/>
    <cellStyle name="千位分隔 2 7 2 3 6" xfId="30799" xr:uid="{2D52C8A4-C3EC-4E3C-9407-7197A365F34E}"/>
    <cellStyle name="千位分隔 2 7 2 3 6 2" xfId="34977" xr:uid="{98FBC435-1ABF-455F-8B7A-AABDDDE59B03}"/>
    <cellStyle name="千位分隔 2 7 2 3 7" xfId="30800" xr:uid="{6056BB0F-34A4-4A5B-8B51-64B5E7450780}"/>
    <cellStyle name="千位分隔 2 7 2 3 8" xfId="30801" xr:uid="{FDE5A5B6-8C1D-4478-940A-5FA42D977B0A}"/>
    <cellStyle name="千位分隔 2 7 2 4" xfId="30802" xr:uid="{62426BF0-FABF-470E-93C7-1B521A051A1E}"/>
    <cellStyle name="千位分隔 2 7 2 4 2" xfId="30803" xr:uid="{0B17AF11-B5BD-49D3-B4E0-DA549F2C56DD}"/>
    <cellStyle name="千位分隔 2 7 2 4 2 2" xfId="30804" xr:uid="{1CC136DD-AC5C-49B6-B7CC-2AC1D6C7E7AD}"/>
    <cellStyle name="千位分隔 2 7 2 4 3" xfId="30805" xr:uid="{015003F6-5C70-4AC0-9373-CBFF6FF0DDA6}"/>
    <cellStyle name="千位分隔 2 7 2 4 3 2" xfId="30806" xr:uid="{19AF7513-8711-4E21-8BBF-B5DCE4719B2C}"/>
    <cellStyle name="千位分隔 2 7 2 4 4" xfId="30807" xr:uid="{D4D1BE60-70BC-4B0F-B814-4B743CAB9B55}"/>
    <cellStyle name="千位分隔 2 7 2 4 4 2" xfId="30808" xr:uid="{74DA390F-D730-440F-8F65-358C41654DCF}"/>
    <cellStyle name="千位分隔 2 7 2 4 5" xfId="30809" xr:uid="{7C06BF5E-20CC-4770-AF29-5A8BDB91D27D}"/>
    <cellStyle name="千位分隔 2 7 2 4 5 2" xfId="34978" xr:uid="{40420032-35A2-4170-9001-7B7E20ED126A}"/>
    <cellStyle name="千位分隔 2 7 2 4 6" xfId="30810" xr:uid="{7DE86AE8-1150-4403-A5F1-2D425C5427D0}"/>
    <cellStyle name="千位分隔 2 7 2 4 6 2" xfId="34979" xr:uid="{4ACBD442-722A-44C5-AFDC-6C93E874AF52}"/>
    <cellStyle name="千位分隔 2 7 2 4 7" xfId="30811" xr:uid="{B3679CDC-C1C7-4B8B-A1B0-274D0F99C108}"/>
    <cellStyle name="千位分隔 2 7 2 5" xfId="30812" xr:uid="{7FF118FE-F5A2-482E-9FDB-074421C7AA73}"/>
    <cellStyle name="千位分隔 2 7 2 5 2" xfId="30813" xr:uid="{41255242-E906-4585-BB29-DD0F7BA481D3}"/>
    <cellStyle name="千位分隔 2 7 2 6" xfId="30814" xr:uid="{EA823A3A-E17B-4E1C-8CD3-8C3EF25FF4FD}"/>
    <cellStyle name="千位分隔 2 7 2 6 2" xfId="30815" xr:uid="{1D2837BF-8CE5-40C7-A0CE-7B8BC1AF5495}"/>
    <cellStyle name="千位分隔 2 7 2 7" xfId="30816" xr:uid="{30863361-9CA2-4621-8286-6FEFB814BA24}"/>
    <cellStyle name="千位分隔 2 7 2 7 2" xfId="30817" xr:uid="{1A824B17-B895-4E6E-B558-297F565BE901}"/>
    <cellStyle name="千位分隔 2 7 2 8" xfId="30818" xr:uid="{2AA66120-099A-4B64-A460-704963BD4F0D}"/>
    <cellStyle name="千位分隔 2 7 2 8 2" xfId="34980" xr:uid="{D92EB3FF-DB43-462D-8B4D-33C253A3C0C0}"/>
    <cellStyle name="千位分隔 2 7 2 9" xfId="30819" xr:uid="{AE8F31A3-C9A2-47E7-901C-EBF9EE4F7CC7}"/>
    <cellStyle name="千位分隔 2 7 2 9 2" xfId="34981" xr:uid="{6B8B7EAE-C569-4D3A-A5B2-2F892031B663}"/>
    <cellStyle name="千位分隔 2 7 3" xfId="30820" xr:uid="{44AD3BCB-DA4D-48A3-9C6F-E75BB4B5E11D}"/>
    <cellStyle name="千位分隔 2 7 3 2" xfId="30821" xr:uid="{F0D68819-7975-45B3-AD49-4D3D9C17E685}"/>
    <cellStyle name="千位分隔 2 7 3 2 2" xfId="30822" xr:uid="{D6BDA350-3AD2-43DF-84BF-3915906A3076}"/>
    <cellStyle name="千位分隔 2 7 3 2 2 2" xfId="30823" xr:uid="{87D1ECCC-B202-4CE3-AE4C-580A2DAA3B61}"/>
    <cellStyle name="千位分隔 2 7 3 2 3" xfId="30824" xr:uid="{269DF390-D920-41F2-A6E2-8857D18E101A}"/>
    <cellStyle name="千位分隔 2 7 3 2 4" xfId="30825" xr:uid="{08A08CCB-D335-4BFE-A7E4-7ED52902A71E}"/>
    <cellStyle name="千位分隔 2 7 3 2 5" xfId="30826" xr:uid="{5CB0292B-D1AF-4978-AD16-083B6AACFA05}"/>
    <cellStyle name="千位分隔 2 7 3 2 5 2" xfId="34982" xr:uid="{2710A609-C92C-46C9-A915-6F60E60EDCA3}"/>
    <cellStyle name="千位分隔 2 7 3 2 6" xfId="30827" xr:uid="{A552C9B3-0CE8-41D7-A081-669990FC1EC3}"/>
    <cellStyle name="千位分隔 2 7 3 2 6 2" xfId="34983" xr:uid="{A78B00CD-EA92-4083-9EAF-472D7ADD261C}"/>
    <cellStyle name="千位分隔 2 7 3 2 7" xfId="30828" xr:uid="{77C49770-E008-40E4-89C6-20E4C8EC9871}"/>
    <cellStyle name="千位分隔 2 7 3 3" xfId="30829" xr:uid="{604C88D6-65AE-4D41-ABB3-977D2E8B838F}"/>
    <cellStyle name="千位分隔 2 7 3 3 2" xfId="30830" xr:uid="{82CFBF8D-7434-4AB1-BF00-7A3D2FC262CE}"/>
    <cellStyle name="千位分隔 2 7 3 3 2 2" xfId="30831" xr:uid="{6A983B8B-5DB3-4F8D-A2F4-405145543AD1}"/>
    <cellStyle name="千位分隔 2 7 3 3 3" xfId="30832" xr:uid="{9B79A512-FF03-4FCF-A234-9DD4EC8B28EA}"/>
    <cellStyle name="千位分隔 2 7 3 3 3 2" xfId="30833" xr:uid="{A327FBEE-1371-4F05-AC12-ABD229C7728D}"/>
    <cellStyle name="千位分隔 2 7 3 3 4" xfId="30834" xr:uid="{58EA77B3-32D9-4C72-897D-44BA5A86DE21}"/>
    <cellStyle name="千位分隔 2 7 3 3 5" xfId="30835" xr:uid="{9D4387B8-74C5-443C-97A6-ED59B541C8E8}"/>
    <cellStyle name="千位分隔 2 7 3 3 6" xfId="30836" xr:uid="{4D427D48-B809-4891-8C35-9DB4B6E565C2}"/>
    <cellStyle name="千位分隔 2 7 3 3 7" xfId="30837" xr:uid="{0BE1B3C7-515F-4B09-98CD-51404864B6B9}"/>
    <cellStyle name="千位分隔 2 7 3 4" xfId="30838" xr:uid="{727583F6-FEF1-43E8-8CA7-8AB3647B751D}"/>
    <cellStyle name="千位分隔 2 7 3 4 2" xfId="30839" xr:uid="{CD026270-F63A-4446-B648-367057906BD7}"/>
    <cellStyle name="千位分隔 2 7 3 5" xfId="30840" xr:uid="{87F57953-E3ED-41C0-B24F-954DBEA56F5D}"/>
    <cellStyle name="千位分隔 2 7 3 5 2" xfId="30841" xr:uid="{27D90139-396E-4BE2-B1D7-1B07949522DB}"/>
    <cellStyle name="千位分隔 2 7 3 6" xfId="30842" xr:uid="{20BE6DC3-2862-4FC7-822C-5EA80B153A73}"/>
    <cellStyle name="千位分隔 2 7 3 6 2" xfId="30843" xr:uid="{669B4F18-80D8-4895-B9C0-59C692C8AEAF}"/>
    <cellStyle name="千位分隔 2 7 3 7" xfId="30844" xr:uid="{863BDB31-D676-47BD-8944-3178CF8122E5}"/>
    <cellStyle name="千位分隔 2 7 3 7 2" xfId="34984" xr:uid="{C0D5B457-729C-44E9-9E27-15F586B267AB}"/>
    <cellStyle name="千位分隔 2 7 3 8" xfId="30845" xr:uid="{C45ACBEE-5AE7-44C3-AED2-A52B5E42BD1E}"/>
    <cellStyle name="千位分隔 2 7 3 8 2" xfId="34985" xr:uid="{74C5E38C-5D74-4EB7-A084-4A9D25E9EFFF}"/>
    <cellStyle name="千位分隔 2 7 3 9" xfId="30846" xr:uid="{BE933148-2EE1-4CC8-B5BF-4CB504F70FED}"/>
    <cellStyle name="千位分隔 2 7 4" xfId="30847" xr:uid="{DE6FA599-D7CF-4C14-9F28-5D210354CCF9}"/>
    <cellStyle name="千位分隔 2 7 4 2" xfId="30848" xr:uid="{8D1C70CC-BDC8-41D6-96A6-49B8B6ADD5CD}"/>
    <cellStyle name="千位分隔 2 7 4 2 2" xfId="30849" xr:uid="{F399F6FF-842C-466D-9745-6F85A5F2FFE4}"/>
    <cellStyle name="千位分隔 2 7 4 2 2 2" xfId="30850" xr:uid="{74D0DDDE-89AB-48F2-ABAC-2BDBFC4CF429}"/>
    <cellStyle name="千位分隔 2 7 4 2 3" xfId="30851" xr:uid="{6E3F399F-FA9B-4BC6-B65B-1B68514F7548}"/>
    <cellStyle name="千位分隔 2 7 4 2 4" xfId="30852" xr:uid="{48C31F74-A9D9-4453-BEA9-3FA630919A63}"/>
    <cellStyle name="千位分隔 2 7 4 2 5" xfId="30853" xr:uid="{6318C9A9-D04E-4B92-B810-558F3BDB62A2}"/>
    <cellStyle name="千位分隔 2 7 4 2 5 2" xfId="34986" xr:uid="{0C3F3E2D-5B24-4FA3-9650-362717EC3FDA}"/>
    <cellStyle name="千位分隔 2 7 4 2 6" xfId="30854" xr:uid="{06A2D323-10B2-4124-8438-8853CADD0DD3}"/>
    <cellStyle name="千位分隔 2 7 4 2 6 2" xfId="34987" xr:uid="{3A70E41A-8520-46B9-911E-F477AF135C86}"/>
    <cellStyle name="千位分隔 2 7 4 3" xfId="30855" xr:uid="{4A91A950-73BF-4AFC-8931-7C9C3A9480A2}"/>
    <cellStyle name="千位分隔 2 7 4 3 2" xfId="30856" xr:uid="{AC3B97E9-5797-4BBF-8091-266131314A62}"/>
    <cellStyle name="千位分隔 2 7 4 4" xfId="30857" xr:uid="{632E9288-B02A-4646-ABF7-DDCA252E8F00}"/>
    <cellStyle name="千位分隔 2 7 4 5" xfId="30858" xr:uid="{5D05C365-FB37-428F-A3E3-78DFFB265736}"/>
    <cellStyle name="千位分隔 2 7 4 6" xfId="30859" xr:uid="{06E97162-EEC2-4D92-BE58-5625FFE4B3CD}"/>
    <cellStyle name="千位分隔 2 7 4 6 2" xfId="34988" xr:uid="{E316EFE3-AA4B-4351-8FBF-028A789270FF}"/>
    <cellStyle name="千位分隔 2 7 4 7" xfId="30860" xr:uid="{46B4644C-D209-438C-B5CF-677842DD87CA}"/>
    <cellStyle name="千位分隔 2 7 4 7 2" xfId="34989" xr:uid="{0AF98452-5AE3-441C-8D8D-76AB43FF5723}"/>
    <cellStyle name="千位分隔 2 7 4 8" xfId="30861" xr:uid="{070A0DAE-5B5B-4FC2-B9E9-1EF3D8A25349}"/>
    <cellStyle name="千位分隔 2 7 5" xfId="30862" xr:uid="{6936F1BD-4143-4D55-9CC6-F7076D24EBC3}"/>
    <cellStyle name="千位分隔 2 7 5 2" xfId="30863" xr:uid="{003DDC08-57EA-4E8D-84C5-7A03763FEE7C}"/>
    <cellStyle name="千位分隔 2 7 5 2 2" xfId="30864" xr:uid="{0CD1A5C8-F898-4BA2-B295-AC95012C00D9}"/>
    <cellStyle name="千位分隔 2 7 5 3" xfId="30865" xr:uid="{92CBC6A2-BB28-4073-B2B4-E1D2DDD514E8}"/>
    <cellStyle name="千位分隔 2 7 5 4" xfId="30866" xr:uid="{4691BEE0-F8D2-4064-BC29-92076D56CF44}"/>
    <cellStyle name="千位分隔 2 7 5 5" xfId="30867" xr:uid="{497C9AF5-122F-4FFB-A6FE-540AC0072231}"/>
    <cellStyle name="千位分隔 2 7 5 5 2" xfId="34990" xr:uid="{80BF1D48-9C4A-48EF-91DB-5419B90CF0FF}"/>
    <cellStyle name="千位分隔 2 7 5 6" xfId="30868" xr:uid="{B558DAD4-E695-4861-B40B-CBB9DEA69539}"/>
    <cellStyle name="千位分隔 2 7 5 6 2" xfId="34991" xr:uid="{E4BFF594-BFE5-4401-A1CA-2B7462CEA5DD}"/>
    <cellStyle name="千位分隔 2 7 6" xfId="30869" xr:uid="{52D35625-13C3-469A-B358-926C686BB1A6}"/>
    <cellStyle name="千位分隔 2 7 6 2" xfId="30870" xr:uid="{5DFEDA05-C5B1-4150-8686-B21C46E70502}"/>
    <cellStyle name="千位分隔 2 7 6 3" xfId="30871" xr:uid="{A0462DE9-817E-4AC8-B472-A931DEC5B537}"/>
    <cellStyle name="千位分隔 2 7 6 4" xfId="30872" xr:uid="{F1603DFF-2D52-4653-9A42-B0218CE9BDE6}"/>
    <cellStyle name="千位分隔 2 7 6 5" xfId="30873" xr:uid="{ADF1B8B5-317B-42E2-85D9-1F4A2B5146A0}"/>
    <cellStyle name="千位分隔 2 7 6 6" xfId="30874" xr:uid="{143B7F4D-BC58-4B09-9E9C-802BADC611D1}"/>
    <cellStyle name="千位分隔 2 7 6 7" xfId="30875" xr:uid="{1CA8D164-0D32-4D14-9B35-68AE09892F83}"/>
    <cellStyle name="千位分隔 2 7 7" xfId="30876" xr:uid="{8A79519B-0BAD-40D6-A5DF-655CA81F6EB7}"/>
    <cellStyle name="千位分隔 2 7 7 2" xfId="30877" xr:uid="{D285A098-71CE-403C-9B57-4F8CC24400A7}"/>
    <cellStyle name="千位分隔 2 7 8" xfId="30878" xr:uid="{4E36A7A8-05D5-490C-8C94-EE9208738B52}"/>
    <cellStyle name="千位分隔 2 7 8 2" xfId="30879" xr:uid="{4EA81536-A118-4E7A-8D72-59E339758339}"/>
    <cellStyle name="千位分隔 2 7 9" xfId="30880" xr:uid="{E5BAFCF7-7A1C-474D-8059-621C5BE3A6EB}"/>
    <cellStyle name="千位分隔 2 7 9 2" xfId="34992" xr:uid="{EE27A136-ACF3-4D96-B952-B3AD67338A1A}"/>
    <cellStyle name="千位分隔 2 8" xfId="30881" xr:uid="{EC60A50C-B33D-4191-B892-7C77A56254D1}"/>
    <cellStyle name="千位分隔 2 8 10" xfId="30882" xr:uid="{AA0CF391-3497-4082-B5FC-9BA76163D8E8}"/>
    <cellStyle name="千位分隔 2 8 11" xfId="30883" xr:uid="{70CDAE1B-867F-4492-9BBA-F28E573DFF87}"/>
    <cellStyle name="千位分隔 2 8 2" xfId="30884" xr:uid="{BD236923-454B-4509-AD47-6FEBF6C3AE61}"/>
    <cellStyle name="千位分隔 2 8 2 2" xfId="30885" xr:uid="{4648216B-C828-423F-A95F-A076D23D2B37}"/>
    <cellStyle name="千位分隔 2 8 2 2 2" xfId="30886" xr:uid="{E3D23A11-4CF0-4F0E-A520-E61B839950A0}"/>
    <cellStyle name="千位分隔 2 8 2 2 2 2" xfId="30887" xr:uid="{27674F1F-4400-4AEA-ADC2-23A45A616254}"/>
    <cellStyle name="千位分隔 2 8 2 2 3" xfId="30888" xr:uid="{FD270602-ECF4-453E-B3B0-4E923D3E7FF0}"/>
    <cellStyle name="千位分隔 2 8 2 2 4" xfId="30889" xr:uid="{8295FC0A-4C84-41A4-9872-F1126D238E56}"/>
    <cellStyle name="千位分隔 2 8 2 2 5" xfId="30890" xr:uid="{1A5770FD-9D33-42B2-B4B6-E19BBE4CC681}"/>
    <cellStyle name="千位分隔 2 8 2 2 5 2" xfId="34993" xr:uid="{9B6C70B0-CDA4-48C1-AA4E-A74869937479}"/>
    <cellStyle name="千位分隔 2 8 2 2 6" xfId="30891" xr:uid="{880C010C-B306-400C-9C0C-CF475323059C}"/>
    <cellStyle name="千位分隔 2 8 2 2 6 2" xfId="34994" xr:uid="{FF67EEBA-9094-4131-BE85-4784FD0B699B}"/>
    <cellStyle name="千位分隔 2 8 2 3" xfId="30892" xr:uid="{1E7BE386-8FEC-490E-9DF1-7570616B73EF}"/>
    <cellStyle name="千位分隔 2 8 2 3 2" xfId="30893" xr:uid="{078E9093-EF78-4441-9EE1-949A0F38BD6D}"/>
    <cellStyle name="千位分隔 2 8 2 3 2 2" xfId="30894" xr:uid="{A8AAAEA3-4BE4-43E3-BA6F-DF9191AE0110}"/>
    <cellStyle name="千位分隔 2 8 2 3 3" xfId="30895" xr:uid="{14BE8044-01BC-4BC3-A629-676DA043DB79}"/>
    <cellStyle name="千位分隔 2 8 2 3 4" xfId="30896" xr:uid="{160AEA89-42C5-460F-AF3B-7E2F78593E80}"/>
    <cellStyle name="千位分隔 2 8 2 3 5" xfId="30897" xr:uid="{48FA0BB2-4823-4AFE-96F0-97F0A1AF0E57}"/>
    <cellStyle name="千位分隔 2 8 2 3 5 2" xfId="34995" xr:uid="{3BE1F553-723A-4EE2-A3DF-E53755AB9D6C}"/>
    <cellStyle name="千位分隔 2 8 2 3 6" xfId="30898" xr:uid="{0EE0950D-C796-43D3-B3E9-292D8D2F673C}"/>
    <cellStyle name="千位分隔 2 8 2 3 6 2" xfId="34996" xr:uid="{D41F279B-4702-4934-8BB0-6F3F7D3EE6A6}"/>
    <cellStyle name="千位分隔 2 8 2 4" xfId="30899" xr:uid="{B482D580-92B4-4575-BFC1-221CDA77DA8A}"/>
    <cellStyle name="千位分隔 2 8 2 4 2" xfId="30900" xr:uid="{D0B441F4-B4BD-4FC9-9C66-5F41619E1F3B}"/>
    <cellStyle name="千位分隔 2 8 2 5" xfId="30901" xr:uid="{BB5F3BA7-097C-4934-A678-028E9056C03F}"/>
    <cellStyle name="千位分隔 2 8 2 6" xfId="30902" xr:uid="{DF63BCDB-4E1E-4F10-9DD8-E95281DF6F9D}"/>
    <cellStyle name="千位分隔 2 8 2 7" xfId="30903" xr:uid="{A3C4F164-99FC-40F6-A6D0-30A37F3B03F4}"/>
    <cellStyle name="千位分隔 2 8 2 7 2" xfId="34997" xr:uid="{891A048E-B394-4419-8CBD-C79289065901}"/>
    <cellStyle name="千位分隔 2 8 2 8" xfId="30904" xr:uid="{4A7EFB25-B4F1-4514-866B-7CE50822F366}"/>
    <cellStyle name="千位分隔 2 8 2 8 2" xfId="34998" xr:uid="{719199AD-E7C1-4EED-A30B-46481B8DA719}"/>
    <cellStyle name="千位分隔 2 8 3" xfId="30905" xr:uid="{6C1A031B-E2F7-4828-ADD6-C2748F3CB5A4}"/>
    <cellStyle name="千位分隔 2 8 3 2" xfId="30906" xr:uid="{16BFFC8F-7FD2-49FD-87A3-97A1DC9D1BCF}"/>
    <cellStyle name="千位分隔 2 8 3 2 2" xfId="30907" xr:uid="{E60989D0-2FC7-4714-AEDA-B3ABD01EB01E}"/>
    <cellStyle name="千位分隔 2 8 3 3" xfId="30908" xr:uid="{EEF5A295-7F0F-4F75-97A1-6D08154599A7}"/>
    <cellStyle name="千位分隔 2 8 3 4" xfId="30909" xr:uid="{F3391765-0337-484F-BD01-DDEFDF3935DB}"/>
    <cellStyle name="千位分隔 2 8 3 5" xfId="30910" xr:uid="{660E8137-2F3F-47B5-8A69-423499979792}"/>
    <cellStyle name="千位分隔 2 8 3 5 2" xfId="34999" xr:uid="{2BD51C71-6FB9-49A4-A074-868EAA7358EA}"/>
    <cellStyle name="千位分隔 2 8 3 6" xfId="30911" xr:uid="{C4F424F5-CCDF-42B7-9332-AEA909D527F4}"/>
    <cellStyle name="千位分隔 2 8 3 6 2" xfId="35000" xr:uid="{5A66AA07-D08D-4340-BD00-B9C56AA8A674}"/>
    <cellStyle name="千位分隔 2 8 4" xfId="30912" xr:uid="{5D229139-E295-481C-8605-E0FC6A245984}"/>
    <cellStyle name="千位分隔 2 8 4 2" xfId="30913" xr:uid="{9E43FC9D-E607-4F8C-906A-B11EAA443C3C}"/>
    <cellStyle name="千位分隔 2 8 4 2 2" xfId="30914" xr:uid="{2BD47655-F143-4568-BA97-0EBC293CDF03}"/>
    <cellStyle name="千位分隔 2 8 4 3" xfId="30915" xr:uid="{72EACAEA-9FE5-49FD-B7B9-591DFA7D513A}"/>
    <cellStyle name="千位分隔 2 8 4 4" xfId="30916" xr:uid="{DD67C310-A072-4A67-807E-13DC7803726D}"/>
    <cellStyle name="千位分隔 2 8 4 5" xfId="30917" xr:uid="{158E7962-CD4C-44F6-AA3F-419C2425B99B}"/>
    <cellStyle name="千位分隔 2 8 4 5 2" xfId="35001" xr:uid="{32E14ACA-051C-48AE-BB11-96FC830FFCC9}"/>
    <cellStyle name="千位分隔 2 8 4 6" xfId="30918" xr:uid="{6A9EB031-726D-48BE-AC89-6853006F174F}"/>
    <cellStyle name="千位分隔 2 8 4 6 2" xfId="35002" xr:uid="{0016530F-16BA-4BDE-BA8E-E757FCE2F557}"/>
    <cellStyle name="千位分隔 2 8 5" xfId="30919" xr:uid="{D4B57BFF-26EB-4DDA-B002-8BC1818911D7}"/>
    <cellStyle name="千位分隔 2 8 5 2" xfId="30920" xr:uid="{4DBC385F-ABCD-4F5B-ABD3-1FE089563FFB}"/>
    <cellStyle name="千位分隔 2 8 6" xfId="30921" xr:uid="{DDEDE51B-0FC7-44C7-A1C3-6B9EFF0DD72F}"/>
    <cellStyle name="千位分隔 2 8 7" xfId="30922" xr:uid="{FB05C43D-A988-4F69-A695-1D8014C930D4}"/>
    <cellStyle name="千位分隔 2 8 8" xfId="30923" xr:uid="{82D8112D-BB39-4CF0-A9B6-80B9AC7B4E97}"/>
    <cellStyle name="千位分隔 2 8 8 2" xfId="35003" xr:uid="{6399BD1B-6BBA-48F9-9CC9-D2BBF52ADBEA}"/>
    <cellStyle name="千位分隔 2 8 9" xfId="30924" xr:uid="{56420332-A4C5-41E9-A390-63D133F6BEF4}"/>
    <cellStyle name="千位分隔 2 8 9 2" xfId="35004" xr:uid="{243B6AE1-B6E8-4339-90D2-176BBAA49AEC}"/>
    <cellStyle name="千位分隔 2 9" xfId="30925" xr:uid="{D1EE72A0-2537-4B06-9BC2-828D5AAA4A4F}"/>
    <cellStyle name="千位分隔 2 9 2" xfId="30926" xr:uid="{C415A9DE-A76D-49C2-98A5-831C7EFBAD07}"/>
    <cellStyle name="千位分隔 2 9 2 2" xfId="30927" xr:uid="{A1DDC74A-735B-4515-992A-86848EAB235F}"/>
    <cellStyle name="千位分隔 2 9 2 2 2" xfId="30928" xr:uid="{5BDEB389-4B61-4950-A8B6-7973BCF79AAB}"/>
    <cellStyle name="千位分隔 2 9 2 3" xfId="30929" xr:uid="{269494B8-594E-4EFC-A5B2-6DA8BE925F30}"/>
    <cellStyle name="千位分隔 2 9 2 4" xfId="30930" xr:uid="{C2A9AF9E-7C7E-4FBE-9AE6-51D5C2E60E6E}"/>
    <cellStyle name="千位分隔 2 9 2 5" xfId="30931" xr:uid="{958C709F-FD52-4E99-BC8D-191A522F977D}"/>
    <cellStyle name="千位分隔 2 9 2 5 2" xfId="35005" xr:uid="{3E2A3D81-9F43-49A7-860A-51F9C98AB35B}"/>
    <cellStyle name="千位分隔 2 9 2 6" xfId="30932" xr:uid="{462F076E-BEC9-4D40-97BE-122296337B99}"/>
    <cellStyle name="千位分隔 2 9 2 6 2" xfId="35006" xr:uid="{B94E9768-A794-42A3-8179-C4372E65B0CB}"/>
    <cellStyle name="千位分隔 2 9 2 7" xfId="30933" xr:uid="{814BAD1C-458C-47DD-95D3-1C91DE14E89F}"/>
    <cellStyle name="千位分隔 2 9 3" xfId="30934" xr:uid="{37985798-2239-4A6E-8132-5EEFECAF9326}"/>
    <cellStyle name="千位分隔 2 9 3 2" xfId="30935" xr:uid="{E3CC3595-7CDD-423F-BB2B-1108FA6946E0}"/>
    <cellStyle name="千位分隔 2 9 3 3" xfId="30936" xr:uid="{9A92BF53-A9AF-42D4-A137-3A578AFF2DA0}"/>
    <cellStyle name="千位分隔 2 9 4" xfId="30937" xr:uid="{F55C2C19-1B1D-43E8-AC3F-8BBC8EAAB716}"/>
    <cellStyle name="千位分隔 2 9 4 2" xfId="30938" xr:uid="{2E7F054D-96EE-42D9-926C-67A4F8F2B507}"/>
    <cellStyle name="千位分隔 2 9 5" xfId="30939" xr:uid="{1E7AB4F0-E587-457C-BF99-23F0F3971E26}"/>
    <cellStyle name="千位分隔 2 9 6" xfId="30940" xr:uid="{2D0ABA2F-5BE9-4893-B37F-E714C3A19CDB}"/>
    <cellStyle name="千位分隔 2 9 7" xfId="30941" xr:uid="{CAA29C6F-9CEE-4E6A-B1FA-23E5248C8833}"/>
    <cellStyle name="千位分隔 2 9 7 2" xfId="35007" xr:uid="{396C521C-C076-4195-A72A-A647BC1EC125}"/>
    <cellStyle name="千位分隔 2 9 8" xfId="30942" xr:uid="{21DB5583-80F8-42D8-A623-84C23D4AB885}"/>
    <cellStyle name="千位分隔 2 9 8 2" xfId="35008" xr:uid="{738E3AF8-62A0-45FD-AE56-B890DAE0C1FB}"/>
    <cellStyle name="千位分隔 2 9 9" xfId="30943" xr:uid="{8DD6E0BA-F0CC-49AE-AC7E-BC50B865C8B3}"/>
    <cellStyle name="千位分隔 20" xfId="30944" xr:uid="{2D59D268-2F26-4B5F-B5C4-47A2C06D65D2}"/>
    <cellStyle name="千位分隔 20 2" xfId="30945" xr:uid="{5A6910FC-E574-4E78-B9BA-6F676536AFC0}"/>
    <cellStyle name="千位分隔 20 3" xfId="30946" xr:uid="{F233D72B-7BED-4DD5-8E36-9DDB50C79B45}"/>
    <cellStyle name="千位分隔 21" xfId="30947" xr:uid="{12BF9EE1-49D5-4224-91DF-300CEF07270B}"/>
    <cellStyle name="千位分隔 21 2" xfId="30948" xr:uid="{795DA8AD-50EE-4974-B55B-37EAD54131C5}"/>
    <cellStyle name="千位分隔 21 3" xfId="30949" xr:uid="{1BAD98AF-B0A2-46BF-BE8E-E42434693824}"/>
    <cellStyle name="千位分隔 22" xfId="30950" xr:uid="{4635462A-1A14-42F6-BA79-79B43BEB63EF}"/>
    <cellStyle name="千位分隔 22 2" xfId="35009" xr:uid="{457040D3-4349-4EAA-B046-6253CFA7C6B3}"/>
    <cellStyle name="千位分隔 23" xfId="30951" xr:uid="{A51C1F75-159C-4754-A81B-0B97AD4E82C1}"/>
    <cellStyle name="千位分隔 24" xfId="30952" xr:uid="{8D972690-AACB-45E4-ACBD-B435F5DF68A2}"/>
    <cellStyle name="千位分隔 25" xfId="30953" xr:uid="{45494C03-9883-4B88-AC60-5FFEBA0A50BE}"/>
    <cellStyle name="千位分隔 3" xfId="9" xr:uid="{9738ECFC-6F2A-466C-9603-4D6616831F70}"/>
    <cellStyle name="千位分隔 3 10" xfId="30955" xr:uid="{BFF324F8-B381-4E20-BBD4-BAC2DC8DA70B}"/>
    <cellStyle name="千位分隔 3 11" xfId="30956" xr:uid="{54D9B18E-EC97-4A14-B5A0-67E2A9C0B131}"/>
    <cellStyle name="千位分隔 3 12" xfId="30957" xr:uid="{07A8CEEF-23E3-4624-B572-342E6597F7FD}"/>
    <cellStyle name="千位分隔 3 13" xfId="30954" xr:uid="{546F354E-E0EE-4823-8C5A-C851C7FD1D6B}"/>
    <cellStyle name="千位分隔 3 2" xfId="30958" xr:uid="{0E8EDD80-CB0C-495B-A2D6-ABA67A02D680}"/>
    <cellStyle name="千位分隔 3 2 2" xfId="30959" xr:uid="{DB7C030B-6E7E-42A9-8761-56FEC5011216}"/>
    <cellStyle name="千位分隔 3 2 2 2" xfId="30960" xr:uid="{EA165A09-E9B1-43F2-AED2-8085978175E4}"/>
    <cellStyle name="千位分隔 3 2 2 2 2" xfId="30961" xr:uid="{A4736294-B0F3-474E-962E-C4AD4D6E6C8E}"/>
    <cellStyle name="千位分隔 3 2 2 2 2 2" xfId="30962" xr:uid="{CF1B6B88-A45E-48AF-B42F-725EE5608FB4}"/>
    <cellStyle name="千位分隔 3 2 2 2 3" xfId="30963" xr:uid="{1639D477-7B31-4D43-BE9A-8F2BF7394866}"/>
    <cellStyle name="千位分隔 3 2 2 2 4" xfId="30964" xr:uid="{E5246BCF-C059-4A6E-A01C-41FBCC784EF6}"/>
    <cellStyle name="千位分隔 3 2 2 2 5" xfId="30965" xr:uid="{41E4BAA4-6871-4116-B2CF-3170D816F738}"/>
    <cellStyle name="千位分隔 3 2 2 2 5 2" xfId="35010" xr:uid="{A18DF607-2401-4A42-B00F-1900FCEAE12F}"/>
    <cellStyle name="千位分隔 3 2 2 2 6" xfId="30966" xr:uid="{587C1C2A-BC54-45E2-9A6C-5681B702317A}"/>
    <cellStyle name="千位分隔 3 2 2 2 6 2" xfId="35011" xr:uid="{C04D5C5F-EAA8-48BA-A026-F921A2590411}"/>
    <cellStyle name="千位分隔 3 2 2 3" xfId="30967" xr:uid="{6E04589F-DDEE-4680-9273-0B3E3BD284F7}"/>
    <cellStyle name="千位分隔 3 2 2 3 2" xfId="30968" xr:uid="{21E31CCC-B996-450A-850C-0CC0973B7FC2}"/>
    <cellStyle name="千位分隔 3 2 2 4" xfId="30969" xr:uid="{9AE5FA76-79A4-4173-AFB3-602BEC195623}"/>
    <cellStyle name="千位分隔 3 2 2 5" xfId="30970" xr:uid="{01937695-44C6-4C36-ACAE-AD6FF65E91AC}"/>
    <cellStyle name="千位分隔 3 2 2 6" xfId="30971" xr:uid="{A27D15AC-7CD1-4354-B8A3-269D5EA426DE}"/>
    <cellStyle name="千位分隔 3 2 2 6 2" xfId="35012" xr:uid="{713723BB-D49F-4A81-B4C8-38DD1D87AE9D}"/>
    <cellStyle name="千位分隔 3 2 2 7" xfId="30972" xr:uid="{23541D9E-C52F-459C-AE71-123A66E183FB}"/>
    <cellStyle name="千位分隔 3 2 2 7 2" xfId="35013" xr:uid="{58DD267B-0472-4122-B928-1961E48405DA}"/>
    <cellStyle name="千位分隔 3 2 2 8" xfId="30973" xr:uid="{2AB6AEFB-CFAD-4645-B36E-0D03C77F4FAF}"/>
    <cellStyle name="千位分隔 3 2 3" xfId="30974" xr:uid="{ED9D7986-C1CC-4AD7-84B2-E41C90744BC9}"/>
    <cellStyle name="千位分隔 3 2 3 2" xfId="30975" xr:uid="{C34D3ADD-947D-4551-A818-9FB6E5C3A122}"/>
    <cellStyle name="千位分隔 3 2 3 2 2" xfId="30976" xr:uid="{449A28A9-C6DD-4557-AE4F-8187188D404D}"/>
    <cellStyle name="千位分隔 3 2 3 3" xfId="30977" xr:uid="{C599EFF3-E7FB-475B-B624-A9D179D9BEDF}"/>
    <cellStyle name="千位分隔 3 2 3 4" xfId="30978" xr:uid="{0EE412B0-2FC3-4955-8AE0-F8D0553C30AF}"/>
    <cellStyle name="千位分隔 3 2 3 5" xfId="30979" xr:uid="{3CEFF468-787D-4AFC-B21C-0398255945BE}"/>
    <cellStyle name="千位分隔 3 2 3 5 2" xfId="35014" xr:uid="{12EF61DF-728A-497E-B698-E2A3C407B6F8}"/>
    <cellStyle name="千位分隔 3 2 3 6" xfId="30980" xr:uid="{80282D06-730B-483B-94C9-EED914DB48B1}"/>
    <cellStyle name="千位分隔 3 2 3 6 2" xfId="35015" xr:uid="{E53E2884-DEEC-45E2-983E-EF7ADF70A3BF}"/>
    <cellStyle name="千位分隔 3 2 4" xfId="30981" xr:uid="{7E06A5CB-856B-4A5F-A05B-9BA928A5D89D}"/>
    <cellStyle name="千位分隔 3 2 4 2" xfId="30982" xr:uid="{9BB69329-E3B4-450F-9132-DB8E68364178}"/>
    <cellStyle name="千位分隔 3 2 4 2 2" xfId="30983" xr:uid="{AB401E4B-0478-4F52-9C1B-C87FDA563E58}"/>
    <cellStyle name="千位分隔 3 2 4 3" xfId="30984" xr:uid="{69CF00D2-7BD0-4F8A-A61A-4283E949316F}"/>
    <cellStyle name="千位分隔 3 2 4 4" xfId="30985" xr:uid="{607BF268-43E9-49E4-BAFF-27D1B497678E}"/>
    <cellStyle name="千位分隔 3 2 4 5" xfId="30986" xr:uid="{A20C3208-89BB-43AF-9BD3-D17C3F680867}"/>
    <cellStyle name="千位分隔 3 2 4 5 2" xfId="35016" xr:uid="{0E1AEFA2-11A2-457C-9A45-1F63B4439078}"/>
    <cellStyle name="千位分隔 3 2 4 6" xfId="30987" xr:uid="{8B896D68-F398-45B3-ACE0-C08A9CD991F3}"/>
    <cellStyle name="千位分隔 3 2 4 6 2" xfId="35017" xr:uid="{C8B6DBB0-A84F-4FF3-894B-B90AA3D61204}"/>
    <cellStyle name="千位分隔 3 2 4 7" xfId="30988" xr:uid="{0590A43D-3888-4F80-8B4B-0B2737A3BE97}"/>
    <cellStyle name="千位分隔 3 2 5" xfId="30989" xr:uid="{B70853CC-B41B-4ED5-B744-9B0F23076AE1}"/>
    <cellStyle name="千位分隔 3 2 6" xfId="30990" xr:uid="{BF8660A9-2812-4D04-B6A0-CCB223B6D607}"/>
    <cellStyle name="千位分隔 3 3" xfId="30991" xr:uid="{DBEF20E4-2574-4777-9B40-2C50107CC21F}"/>
    <cellStyle name="千位分隔 3 3 2" xfId="30992" xr:uid="{86340AF0-074E-465C-A351-AAC49E2335E1}"/>
    <cellStyle name="千位分隔 3 3 2 2" xfId="30993" xr:uid="{37811574-7BE9-483C-82B0-58F8546E948A}"/>
    <cellStyle name="千位分隔 3 3 2 2 2" xfId="30994" xr:uid="{2CB187BA-87D9-4494-B168-D3A3A1908005}"/>
    <cellStyle name="千位分隔 3 3 2 3" xfId="30995" xr:uid="{ADEF021E-E191-428E-96C4-466249B2889B}"/>
    <cellStyle name="千位分隔 3 3 2 4" xfId="30996" xr:uid="{9D91561C-74B1-4545-8959-72634CEFB839}"/>
    <cellStyle name="千位分隔 3 3 2 5" xfId="30997" xr:uid="{D1174AF9-75DB-4DD3-ACA2-EA1DE36FCD78}"/>
    <cellStyle name="千位分隔 3 3 2 5 2" xfId="35018" xr:uid="{386B76BD-6086-4859-9749-712E86EBC54E}"/>
    <cellStyle name="千位分隔 3 3 2 6" xfId="30998" xr:uid="{C435A822-014C-4E83-9F6E-F9720363E5F2}"/>
    <cellStyle name="千位分隔 3 3 2 6 2" xfId="35019" xr:uid="{8EA10991-EC35-4197-867A-1C6048809ABD}"/>
    <cellStyle name="千位分隔 3 3 2 7" xfId="30999" xr:uid="{45C09A35-2D32-436F-A04C-7AB5B02843A4}"/>
    <cellStyle name="千位分隔 3 3 3" xfId="31000" xr:uid="{106D4163-8B35-48CD-B891-E5B6E961423C}"/>
    <cellStyle name="千位分隔 3 3 3 2" xfId="31001" xr:uid="{FBFFCA1B-9593-41F4-917A-7F6535F67855}"/>
    <cellStyle name="千位分隔 3 3 4" xfId="31002" xr:uid="{E87828A6-83FE-464A-AE93-0087E7AC1229}"/>
    <cellStyle name="千位分隔 3 3 5" xfId="31003" xr:uid="{6525E2CD-F0D8-4F71-98AF-4E5FD28065CD}"/>
    <cellStyle name="千位分隔 3 3 6" xfId="31004" xr:uid="{3AD910DA-63B3-424D-A028-33536E31F27D}"/>
    <cellStyle name="千位分隔 3 3 6 2" xfId="35020" xr:uid="{CDA9746A-0C6E-4A42-9BFD-A4EAB3E4F1DB}"/>
    <cellStyle name="千位分隔 3 3 7" xfId="31005" xr:uid="{3CDE4AC0-9C0B-40A1-9E82-70FD0DE36C9A}"/>
    <cellStyle name="千位分隔 3 3 7 2" xfId="35021" xr:uid="{B5EF1497-E22D-4FED-858D-56AF8F9FB73F}"/>
    <cellStyle name="千位分隔 3 3 8" xfId="35022" xr:uid="{0420A6DB-A2AD-4697-9915-03799FD9EC6A}"/>
    <cellStyle name="千位分隔 3 4" xfId="31006" xr:uid="{CD9FA249-9A77-4B2D-A214-F63FECE0D4B8}"/>
    <cellStyle name="千位分隔 3 4 2" xfId="31007" xr:uid="{14E3A086-70F3-4B5F-B251-3CE1E0288FFE}"/>
    <cellStyle name="千位分隔 3 4 2 2" xfId="31008" xr:uid="{B660B43F-D0F3-4A5B-80FA-40A0026BB3F7}"/>
    <cellStyle name="千位分隔 3 4 2 2 2" xfId="31009" xr:uid="{5E5A992E-8713-40B8-80C6-0EFF7E0CF4EA}"/>
    <cellStyle name="千位分隔 3 4 2 3" xfId="31010" xr:uid="{7072ED94-9A54-478E-BC30-A8033F35711B}"/>
    <cellStyle name="千位分隔 3 4 2 4" xfId="31011" xr:uid="{7E6EA6F7-09D9-4231-A45E-B1E558A000E7}"/>
    <cellStyle name="千位分隔 3 4 2 5" xfId="31012" xr:uid="{F595788C-F532-4732-B8EE-392CF257D50C}"/>
    <cellStyle name="千位分隔 3 4 2 5 2" xfId="35023" xr:uid="{26224099-7001-4734-B544-65EB5D77DDEE}"/>
    <cellStyle name="千位分隔 3 4 2 6" xfId="31013" xr:uid="{6C5EA674-21C6-4A2F-A97B-7B5E5CFF140C}"/>
    <cellStyle name="千位分隔 3 4 2 6 2" xfId="35024" xr:uid="{2C27B31C-07AE-4B9E-8A59-266F8E94BD4D}"/>
    <cellStyle name="千位分隔 3 4 2 7" xfId="31014" xr:uid="{8F193502-2DE7-48C5-B13C-38896F6794B7}"/>
    <cellStyle name="千位分隔 3 4 2 8" xfId="35025" xr:uid="{603856DD-067E-4CC4-8D78-DD48DEB8FF4F}"/>
    <cellStyle name="千位分隔 3 4 3" xfId="31015" xr:uid="{79773875-BBE8-4819-88F3-A0511969043D}"/>
    <cellStyle name="千位分隔 3 4 3 2" xfId="31016" xr:uid="{FBDE603A-F14D-4ADB-89DF-7962460041EE}"/>
    <cellStyle name="千位分隔 3 4 4" xfId="31017" xr:uid="{BB936E71-290A-47DA-9663-95DC6E199B56}"/>
    <cellStyle name="千位分隔 3 4 5" xfId="31018" xr:uid="{A5387D3E-DAD9-4900-96AC-4C65A6CEFCD0}"/>
    <cellStyle name="千位分隔 3 4 6" xfId="31019" xr:uid="{0A12A3AA-5DA4-43B1-80A9-909EBB9AA6A4}"/>
    <cellStyle name="千位分隔 3 4 6 2" xfId="35026" xr:uid="{30A71CE1-1429-42F4-908E-4F7FF6663B36}"/>
    <cellStyle name="千位分隔 3 4 7" xfId="31020" xr:uid="{6F975311-5FB0-4300-BCBE-98C553579B3E}"/>
    <cellStyle name="千位分隔 3 4 7 2" xfId="35027" xr:uid="{137216D9-D16A-4708-8A21-831096A99D67}"/>
    <cellStyle name="千位分隔 3 4 8" xfId="31021" xr:uid="{DF90E988-BAD4-4A0E-9FD5-3DEC2BE6B08B}"/>
    <cellStyle name="千位分隔 3 4 9" xfId="35028" xr:uid="{74240988-7FF7-43F7-A365-B7B6307DD46E}"/>
    <cellStyle name="千位分隔 3 5" xfId="31022" xr:uid="{7B45B71A-6702-4E36-93BC-BF315DFB671D}"/>
    <cellStyle name="千位分隔 3 5 2" xfId="31023" xr:uid="{925E6630-EA29-4926-A323-9EDE4198ACC3}"/>
    <cellStyle name="千位分隔 3 5 2 2" xfId="31024" xr:uid="{35CF59EB-95AA-44D7-B50A-F285A6B485B5}"/>
    <cellStyle name="千位分隔 3 5 2 3" xfId="35029" xr:uid="{F859E9DE-883E-4EA2-A206-3A002438F828}"/>
    <cellStyle name="千位分隔 3 5 3" xfId="31025" xr:uid="{0EEBBF55-97DB-4F2A-8DC7-87CF32F9B0DF}"/>
    <cellStyle name="千位分隔 3 5 3 2" xfId="31026" xr:uid="{467A5235-BFB8-4E9F-9D73-8EB6A4D41068}"/>
    <cellStyle name="千位分隔 3 5 4" xfId="35030" xr:uid="{52E75F32-B741-403A-AB77-E9E80313DCF8}"/>
    <cellStyle name="千位分隔 3 6" xfId="31027" xr:uid="{303BB8A9-6D25-4084-94B9-11F9495F6B68}"/>
    <cellStyle name="千位分隔 3 6 2" xfId="31028" xr:uid="{8B0B4FF0-24EC-47A6-B364-4EAB485E61E8}"/>
    <cellStyle name="千位分隔 3 6 2 2" xfId="31029" xr:uid="{3C8CE667-2643-4908-98C0-E472A39D2EC0}"/>
    <cellStyle name="千位分隔 3 6 2 3" xfId="35031" xr:uid="{F1FB2F6D-7A09-4C37-96B9-0874C9070AC1}"/>
    <cellStyle name="千位分隔 3 6 3" xfId="31030" xr:uid="{730C2735-9A1E-45AD-940F-19E2E8097C1C}"/>
    <cellStyle name="千位分隔 3 6 3 2" xfId="31031" xr:uid="{6F9E6675-95E5-42A1-914F-C804E2D800E7}"/>
    <cellStyle name="千位分隔 3 6 4" xfId="35032" xr:uid="{26B1C344-0C5F-4169-8590-FAC7CF45A27A}"/>
    <cellStyle name="千位分隔 3 7" xfId="31032" xr:uid="{919A7CE8-E848-4048-AC38-0A9966F98222}"/>
    <cellStyle name="千位分隔 3 7 2" xfId="35033" xr:uid="{B5281370-8680-4927-A778-038D2080AE10}"/>
    <cellStyle name="千位分隔 3 8" xfId="31033" xr:uid="{B4F022D7-CAC8-4571-A982-A236BFC5AF91}"/>
    <cellStyle name="千位分隔 3 9" xfId="31034" xr:uid="{0C2DC1FE-4FC8-4CEB-8967-9DDC9947100F}"/>
    <cellStyle name="千位分隔 4" xfId="31035" xr:uid="{A829045E-3C0A-4075-AFD7-C148D6B6D936}"/>
    <cellStyle name="千位分隔 4 10" xfId="31036" xr:uid="{31D7E702-91C8-49EA-B96A-23FCBEA4EB76}"/>
    <cellStyle name="千位分隔 4 10 2" xfId="31037" xr:uid="{5796D7C8-63F3-4128-94E0-8FDF3048B31B}"/>
    <cellStyle name="千位分隔 4 10 2 2" xfId="31038" xr:uid="{00E16D83-A32D-438E-93E3-1D3BDD8EC408}"/>
    <cellStyle name="千位分隔 4 10 3" xfId="31039" xr:uid="{500A5F2A-343B-4A99-8FC0-968E41845B11}"/>
    <cellStyle name="千位分隔 4 10 3 2" xfId="31040" xr:uid="{A67FEA95-B261-46DC-A605-705F9D595D12}"/>
    <cellStyle name="千位分隔 4 10 4" xfId="31041" xr:uid="{51C7E36C-8A4C-4C9F-973F-43E01BBF2B9D}"/>
    <cellStyle name="千位分隔 4 10 4 2" xfId="31042" xr:uid="{CF6BFBA6-B1C2-4E97-8BF5-993EDEE45923}"/>
    <cellStyle name="千位分隔 4 10 5" xfId="31043" xr:uid="{C0023150-11F3-4AF6-BD76-881BEBE4A604}"/>
    <cellStyle name="千位分隔 4 10 5 2" xfId="35034" xr:uid="{805C09E3-6A18-4531-8073-35D9F749011A}"/>
    <cellStyle name="千位分隔 4 10 6" xfId="31044" xr:uid="{2A95A10B-3383-4880-891F-431BC8C457C0}"/>
    <cellStyle name="千位分隔 4 10 6 2" xfId="35035" xr:uid="{41C67048-E2D4-4BB6-B927-D6B5F9D03748}"/>
    <cellStyle name="千位分隔 4 10 7" xfId="31045" xr:uid="{2ACC3F7F-8AF6-4252-AB77-8FF20D8D35EC}"/>
    <cellStyle name="千位分隔 4 11" xfId="31046" xr:uid="{9E5EE89B-287A-416E-8A81-7E850FBCE18C}"/>
    <cellStyle name="千位分隔 4 11 2" xfId="31047" xr:uid="{22E85E3F-41B4-45A6-9F6C-3718985298B5}"/>
    <cellStyle name="千位分隔 4 11 3" xfId="31048" xr:uid="{1049A564-DD5C-4763-B949-3BE2A8FBCF4E}"/>
    <cellStyle name="千位分隔 4 12" xfId="31049" xr:uid="{9005B348-A35A-4D27-AC6D-0E00C2155901}"/>
    <cellStyle name="千位分隔 4 13" xfId="31050" xr:uid="{52BE115D-4DF6-4A0F-8FD3-DAAF9EEF5C91}"/>
    <cellStyle name="千位分隔 4 14" xfId="31051" xr:uid="{5622EDDD-E1AB-46A0-B2A9-4C53C901D262}"/>
    <cellStyle name="千位分隔 4 14 2" xfId="35036" xr:uid="{DE11EA71-D9A6-4502-98C1-BBDF0B4D3D24}"/>
    <cellStyle name="千位分隔 4 15" xfId="31052" xr:uid="{41F7BA43-2B9E-4F44-B211-8179BEAF0973}"/>
    <cellStyle name="千位分隔 4 15 2" xfId="35037" xr:uid="{DC58392E-D31C-45F3-9650-764B2F81E241}"/>
    <cellStyle name="千位分隔 4 16" xfId="31053" xr:uid="{DE62822C-C4FF-44B5-A79F-406604423D5D}"/>
    <cellStyle name="千位分隔 4 2" xfId="31054" xr:uid="{19D50CA3-FBBB-43DC-94D3-D7ED23E08C9F}"/>
    <cellStyle name="千位分隔 4 2 10" xfId="31055" xr:uid="{A1DCAA32-4D8E-4BC2-A6E3-F9862DBCE732}"/>
    <cellStyle name="千位分隔 4 2 10 2" xfId="35038" xr:uid="{30F5F264-589D-4265-9F47-246292BB16EF}"/>
    <cellStyle name="千位分隔 4 2 11" xfId="31056" xr:uid="{7DED3E3D-B7FC-4345-B1ED-E9627668CF08}"/>
    <cellStyle name="千位分隔 4 2 11 2" xfId="35039" xr:uid="{F757B380-70DC-4102-8CCD-46CAA39C38F0}"/>
    <cellStyle name="千位分隔 4 2 2" xfId="31057" xr:uid="{95B9D3F4-BF72-486D-830A-23A1F61F936A}"/>
    <cellStyle name="千位分隔 4 2 2 2" xfId="31058" xr:uid="{11590899-568D-45F0-9E74-01DAA5FD2D00}"/>
    <cellStyle name="千位分隔 4 2 2 2 2" xfId="31059" xr:uid="{D03194AC-C43E-416D-88FF-515A9ACBD1BE}"/>
    <cellStyle name="千位分隔 4 2 2 2 2 2" xfId="31060" xr:uid="{21AF72DD-D2E7-4D14-87E3-344CAEB52CA9}"/>
    <cellStyle name="千位分隔 4 2 2 2 2 2 2" xfId="31061" xr:uid="{10DA814E-0789-49F6-890E-627F96194B54}"/>
    <cellStyle name="千位分隔 4 2 2 2 2 3" xfId="31062" xr:uid="{B28BED4C-8BB1-4EC4-BC78-3AC80A90A871}"/>
    <cellStyle name="千位分隔 4 2 2 2 2 4" xfId="31063" xr:uid="{4A667D0E-2B88-42B1-A906-6B764954C131}"/>
    <cellStyle name="千位分隔 4 2 2 2 2 5" xfId="31064" xr:uid="{F4A0FB0C-FD49-42D6-9870-52A1282DD15E}"/>
    <cellStyle name="千位分隔 4 2 2 2 2 5 2" xfId="35040" xr:uid="{7F03D512-0B29-424B-B077-E121CFA83111}"/>
    <cellStyle name="千位分隔 4 2 2 2 2 6" xfId="31065" xr:uid="{FC769FA3-46F3-476C-AE80-9C582A12386B}"/>
    <cellStyle name="千位分隔 4 2 2 2 2 6 2" xfId="35041" xr:uid="{1F997EDF-9052-4870-9DA0-FFC1627B147E}"/>
    <cellStyle name="千位分隔 4 2 2 2 3" xfId="31066" xr:uid="{6BDAD2EA-A3D7-43AA-B8F0-ACF51D91AD0D}"/>
    <cellStyle name="千位分隔 4 2 2 2 3 2" xfId="31067" xr:uid="{45BF83E9-1CE1-4E07-AA5C-E93372F732B3}"/>
    <cellStyle name="千位分隔 4 2 2 2 3 2 2" xfId="31068" xr:uid="{A3D62DDF-3EDA-4253-A966-C11421613A89}"/>
    <cellStyle name="千位分隔 4 2 2 2 3 3" xfId="31069" xr:uid="{337975B0-4977-4251-BC10-0DD5390B79D8}"/>
    <cellStyle name="千位分隔 4 2 2 2 3 4" xfId="31070" xr:uid="{69FA1608-83F6-4C8A-9D3F-3EEB941B20E5}"/>
    <cellStyle name="千位分隔 4 2 2 2 3 5" xfId="31071" xr:uid="{0903C785-FC57-445F-BA6B-16025AEFDCFE}"/>
    <cellStyle name="千位分隔 4 2 2 2 3 5 2" xfId="35042" xr:uid="{D946BE8E-0C65-441D-B4BE-2DC6AF0F84E9}"/>
    <cellStyle name="千位分隔 4 2 2 2 3 6" xfId="31072" xr:uid="{2C3879E4-955B-43B7-B078-D962BEB7A041}"/>
    <cellStyle name="千位分隔 4 2 2 2 3 6 2" xfId="35043" xr:uid="{F25975D6-2224-435F-AFDC-D5B1E419E2FB}"/>
    <cellStyle name="千位分隔 4 2 2 2 4" xfId="31073" xr:uid="{62C4B22C-F121-445B-AEF1-6D317C4B3F43}"/>
    <cellStyle name="千位分隔 4 2 2 2 4 2" xfId="31074" xr:uid="{AF91F70B-7073-4B61-B813-466ED5475391}"/>
    <cellStyle name="千位分隔 4 2 2 2 5" xfId="31075" xr:uid="{EF9BF482-E5F9-4F27-B14B-574FBEA01C93}"/>
    <cellStyle name="千位分隔 4 2 2 2 6" xfId="31076" xr:uid="{8D7B565B-5759-4958-BE7E-7EDD12B8D64D}"/>
    <cellStyle name="千位分隔 4 2 2 2 7" xfId="31077" xr:uid="{E2F72E40-AEEE-42DB-86B2-2A669B851DC8}"/>
    <cellStyle name="千位分隔 4 2 2 2 7 2" xfId="35044" xr:uid="{23082C1E-D144-469D-A757-E48EC966FA97}"/>
    <cellStyle name="千位分隔 4 2 2 2 8" xfId="31078" xr:uid="{E4E2424C-C405-44B0-886D-00EA0C1645A3}"/>
    <cellStyle name="千位分隔 4 2 2 2 8 2" xfId="35045" xr:uid="{4DEFB625-9EAB-4B0D-B167-777D9C83AC2B}"/>
    <cellStyle name="千位分隔 4 2 2 3" xfId="31079" xr:uid="{604225AB-51DD-4E5A-B2BB-7338B90628B2}"/>
    <cellStyle name="千位分隔 4 2 2 3 2" xfId="31080" xr:uid="{DE48ABD2-148F-4693-8F44-F6309CA01EEF}"/>
    <cellStyle name="千位分隔 4 2 2 3 2 2" xfId="31081" xr:uid="{78251233-8130-4B72-AE1F-4634B2E7D11C}"/>
    <cellStyle name="千位分隔 4 2 2 3 3" xfId="31082" xr:uid="{0B7A07AA-ED09-40F2-B6E4-2FDA8015098D}"/>
    <cellStyle name="千位分隔 4 2 2 3 3 2" xfId="31083" xr:uid="{5BCD8B3D-AC38-402F-B773-3C7E77FA0B8C}"/>
    <cellStyle name="千位分隔 4 2 2 3 4" xfId="31084" xr:uid="{361356A2-C326-4E7C-A943-C79B5554D2FA}"/>
    <cellStyle name="千位分隔 4 2 2 3 4 2" xfId="31085" xr:uid="{9F096FF9-7607-4843-A6BE-CA53CF472E24}"/>
    <cellStyle name="千位分隔 4 2 2 3 5" xfId="31086" xr:uid="{4B6E6C48-272D-4081-93E4-603128096870}"/>
    <cellStyle name="千位分隔 4 2 2 3 5 2" xfId="35046" xr:uid="{228029E5-87E4-4FF5-BC8B-261FDDDD2B50}"/>
    <cellStyle name="千位分隔 4 2 2 3 6" xfId="31087" xr:uid="{BA2CA9B7-666E-4A01-8BD4-468966F3A891}"/>
    <cellStyle name="千位分隔 4 2 2 3 6 2" xfId="35047" xr:uid="{D6D06D49-E4D4-4E4C-9DF0-E7E2A603867E}"/>
    <cellStyle name="千位分隔 4 2 2 3 7" xfId="31088" xr:uid="{37C79A45-ECEF-4BDC-B59F-125C65A5278F}"/>
    <cellStyle name="千位分隔 4 2 2 4" xfId="31089" xr:uid="{0BFBED03-BBD1-44C2-9396-CF98EA6CA74B}"/>
    <cellStyle name="千位分隔 4 2 2 4 2" xfId="31090" xr:uid="{FEF5C450-E84F-4AA1-B468-5A5DDF3CA8F2}"/>
    <cellStyle name="千位分隔 4 2 2 4 2 2" xfId="31091" xr:uid="{B6E24A0E-9636-4292-BB63-2F1FA0771785}"/>
    <cellStyle name="千位分隔 4 2 2 4 3" xfId="31092" xr:uid="{56228B7E-5BC4-4C99-9197-4B01DB48E8D3}"/>
    <cellStyle name="千位分隔 4 2 2 4 4" xfId="31093" xr:uid="{C095E2AA-86A3-4484-AD5F-D9317E7B3909}"/>
    <cellStyle name="千位分隔 4 2 2 4 5" xfId="31094" xr:uid="{96F4B6F0-3A2D-45A7-A832-6023FAB6B675}"/>
    <cellStyle name="千位分隔 4 2 2 4 5 2" xfId="35048" xr:uid="{DB5FB814-F02C-441C-A9E0-DF8CBCB2FFB2}"/>
    <cellStyle name="千位分隔 4 2 2 4 6" xfId="31095" xr:uid="{5490C081-8D05-470B-A3D3-8B9E2FBEC42B}"/>
    <cellStyle name="千位分隔 4 2 2 4 6 2" xfId="35049" xr:uid="{DA92B2D6-8AEE-42B1-BEE5-E3AE95709FE8}"/>
    <cellStyle name="千位分隔 4 2 2 4 7" xfId="31096" xr:uid="{D4BB8A66-598C-463E-82D4-0F8842449CD7}"/>
    <cellStyle name="千位分隔 4 2 2 5" xfId="31097" xr:uid="{F22A9229-7D60-4B0A-8ED8-B98F9884D95D}"/>
    <cellStyle name="千位分隔 4 2 2 5 2" xfId="31098" xr:uid="{427E04B5-8B05-4C05-B026-2C8156B88B75}"/>
    <cellStyle name="千位分隔 4 2 2 6" xfId="31099" xr:uid="{8B3AB757-DE88-4776-80A1-85D98F5F791B}"/>
    <cellStyle name="千位分隔 4 2 2 6 2" xfId="31100" xr:uid="{DE0418B7-6BC2-48FE-AF00-7695E7E03137}"/>
    <cellStyle name="千位分隔 4 2 2 7" xfId="31101" xr:uid="{3BCCD4D3-F171-45A1-AD74-9C1C751EEFB2}"/>
    <cellStyle name="千位分隔 4 2 2 7 2" xfId="31102" xr:uid="{B8FD9C5B-B631-4D36-A59A-FF2F6B5D414E}"/>
    <cellStyle name="千位分隔 4 2 2 8" xfId="31103" xr:uid="{1CFAFC97-BB6D-4B79-B112-0D85EB56AD16}"/>
    <cellStyle name="千位分隔 4 2 2 8 2" xfId="35050" xr:uid="{97970984-BF91-43F6-9526-F2AAA446D8C1}"/>
    <cellStyle name="千位分隔 4 2 2 9" xfId="31104" xr:uid="{EC688FF0-C49F-4382-865C-3C437BA4E4ED}"/>
    <cellStyle name="千位分隔 4 2 2 9 2" xfId="35051" xr:uid="{3A6EF476-745A-4729-91A6-A622148E5073}"/>
    <cellStyle name="千位分隔 4 2 3" xfId="31105" xr:uid="{2CB2EB9A-D536-4B98-98CA-1E4CD6339470}"/>
    <cellStyle name="千位分隔 4 2 3 2" xfId="31106" xr:uid="{4D06C050-63FF-472F-B7F9-2699457F5952}"/>
    <cellStyle name="千位分隔 4 2 3 2 2" xfId="31107" xr:uid="{A723BC01-9332-481E-A37F-90A1848EA4E4}"/>
    <cellStyle name="千位分隔 4 2 3 2 2 2" xfId="31108" xr:uid="{51F4EEE0-A9BD-4961-BE7E-BF775E7B2970}"/>
    <cellStyle name="千位分隔 4 2 3 2 2 2 2" xfId="31109" xr:uid="{1DF3075A-40EC-4D6A-822E-404A7B7D8AFC}"/>
    <cellStyle name="千位分隔 4 2 3 2 2 3" xfId="31110" xr:uid="{C7B63ADF-73A3-480F-A8BD-1C6FC1A350DF}"/>
    <cellStyle name="千位分隔 4 2 3 2 2 4" xfId="31111" xr:uid="{53FF2F15-19F2-41F6-97B3-7C323E9A5AA5}"/>
    <cellStyle name="千位分隔 4 2 3 2 2 5" xfId="31112" xr:uid="{6EA630A3-B065-41C9-BC32-0E4B7ED7FC8D}"/>
    <cellStyle name="千位分隔 4 2 3 2 2 5 2" xfId="35052" xr:uid="{9CDDC052-2D25-4B28-B86D-FFEA6B43FF52}"/>
    <cellStyle name="千位分隔 4 2 3 2 2 6" xfId="31113" xr:uid="{2D826889-BE17-444D-B117-5DF93E1DB083}"/>
    <cellStyle name="千位分隔 4 2 3 2 2 6 2" xfId="35053" xr:uid="{98C8354D-ADA0-4CA6-B986-9C558BCF0ED5}"/>
    <cellStyle name="千位分隔 4 2 3 2 2 7" xfId="31114" xr:uid="{FA9CF0BB-1EE0-451B-A3FF-C1B6B9A35BBA}"/>
    <cellStyle name="千位分隔 4 2 3 2 3" xfId="31115" xr:uid="{040F56C8-A7B2-4FA2-B94D-12AFA57094F9}"/>
    <cellStyle name="千位分隔 4 2 3 2 3 2" xfId="31116" xr:uid="{D9F8F3BC-ABDC-4C9A-B3A7-06A8B81F1995}"/>
    <cellStyle name="千位分隔 4 2 3 2 4" xfId="31117" xr:uid="{5663C5F0-834F-4801-BE80-809D5184319D}"/>
    <cellStyle name="千位分隔 4 2 3 2 4 2" xfId="31118" xr:uid="{3B1EBEA4-AA13-42D1-B2F2-E8543F99BFC3}"/>
    <cellStyle name="千位分隔 4 2 3 2 5" xfId="31119" xr:uid="{6D2A02C7-C801-4BAC-9A07-16B419765A0B}"/>
    <cellStyle name="千位分隔 4 2 3 2 5 2" xfId="31120" xr:uid="{EECB4919-DDD3-43F0-BC68-16FC307696C2}"/>
    <cellStyle name="千位分隔 4 2 3 2 6" xfId="31121" xr:uid="{383552C4-71CB-4213-916D-6171F7F11874}"/>
    <cellStyle name="千位分隔 4 2 3 2 6 2" xfId="35054" xr:uid="{0E223AA5-46B6-49C2-93CB-A3DE734188ED}"/>
    <cellStyle name="千位分隔 4 2 3 2 7" xfId="31122" xr:uid="{D1AB7CCD-E0EA-4DA9-9BFE-D812DE9A5C82}"/>
    <cellStyle name="千位分隔 4 2 3 2 7 2" xfId="35055" xr:uid="{B50EF86F-DCA2-4F03-BD47-7CEDAEC21145}"/>
    <cellStyle name="千位分隔 4 2 3 2 8" xfId="31123" xr:uid="{011207C0-50B6-49E5-B11E-4CA7E8E31607}"/>
    <cellStyle name="千位分隔 4 2 3 3" xfId="31124" xr:uid="{254192CF-C41F-43CA-971A-3BF9CEF2E636}"/>
    <cellStyle name="千位分隔 4 2 3 3 2" xfId="31125" xr:uid="{D9B4472A-FE3E-4610-A12D-EDD3A7A9EEDC}"/>
    <cellStyle name="千位分隔 4 2 3 3 2 2" xfId="31126" xr:uid="{81943A59-30F4-424D-8E1E-6DE106695A6F}"/>
    <cellStyle name="千位分隔 4 2 3 3 3" xfId="31127" xr:uid="{4D39B665-F37B-407A-8FC5-9BD5C5B8D54A}"/>
    <cellStyle name="千位分隔 4 2 3 3 4" xfId="31128" xr:uid="{55C9F15B-CDA1-44EC-9E69-C0C6FE9675B4}"/>
    <cellStyle name="千位分隔 4 2 3 3 5" xfId="31129" xr:uid="{5FF0DF0C-F2B7-488E-9549-402710E91AE1}"/>
    <cellStyle name="千位分隔 4 2 3 3 5 2" xfId="35056" xr:uid="{39F48A3A-7496-4042-9907-516D87C27E74}"/>
    <cellStyle name="千位分隔 4 2 3 3 6" xfId="31130" xr:uid="{A4434CA9-A480-42FF-9309-7C6A3F97766A}"/>
    <cellStyle name="千位分隔 4 2 3 3 6 2" xfId="35057" xr:uid="{9FA96602-D02C-47BD-86D9-3734DE9CCB2E}"/>
    <cellStyle name="千位分隔 4 2 3 3 7" xfId="31131" xr:uid="{32D59E60-31E2-4868-B35A-DEA82C5E2D34}"/>
    <cellStyle name="千位分隔 4 2 3 4" xfId="31132" xr:uid="{9BE4C24E-7EFD-48E9-B812-7BE036A3C72C}"/>
    <cellStyle name="千位分隔 4 2 3 4 2" xfId="31133" xr:uid="{166327A7-3C26-429F-8647-A8530A3CD9C5}"/>
    <cellStyle name="千位分隔 4 2 3 5" xfId="31134" xr:uid="{DC708F9E-B02F-4DEC-9914-37BE80C9468F}"/>
    <cellStyle name="千位分隔 4 2 3 5 2" xfId="31135" xr:uid="{DD9739BD-F1AF-4EE0-98F7-456F5C414EE1}"/>
    <cellStyle name="千位分隔 4 2 3 6" xfId="31136" xr:uid="{B7719B42-B1C6-4BED-8F24-DF2C14C46787}"/>
    <cellStyle name="千位分隔 4 2 3 6 2" xfId="31137" xr:uid="{13531E6F-57E7-42B2-A21B-151BFA44EB17}"/>
    <cellStyle name="千位分隔 4 2 3 7" xfId="31138" xr:uid="{29A14785-0F6D-4B17-A03E-C5091D0BFF05}"/>
    <cellStyle name="千位分隔 4 2 3 7 2" xfId="35058" xr:uid="{D3879EDD-8848-40D7-9335-EAA22142F32B}"/>
    <cellStyle name="千位分隔 4 2 3 8" xfId="31139" xr:uid="{A7E9F230-340A-4E48-977A-826D404082DC}"/>
    <cellStyle name="千位分隔 4 2 3 8 2" xfId="35059" xr:uid="{51B3A83C-F21A-4DFF-9224-C38671251930}"/>
    <cellStyle name="千位分隔 4 2 3 9" xfId="31140" xr:uid="{214C0F68-68C2-4F3D-8F56-031FDFDE61DE}"/>
    <cellStyle name="千位分隔 4 2 4" xfId="31141" xr:uid="{3BD6D273-E1B4-47CD-BEA8-3358DDE0A026}"/>
    <cellStyle name="千位分隔 4 2 4 2" xfId="31142" xr:uid="{6552AB80-17ED-4EF4-944D-C9B41D928E16}"/>
    <cellStyle name="千位分隔 4 2 4 2 2" xfId="31143" xr:uid="{F926E487-5641-4405-B185-9D78B040824D}"/>
    <cellStyle name="千位分隔 4 2 4 2 2 2" xfId="31144" xr:uid="{2CA9DAC3-107F-4245-A258-CDD41788F200}"/>
    <cellStyle name="千位分隔 4 2 4 2 3" xfId="31145" xr:uid="{8DBF7FEA-0033-4972-8D3D-8C54B7D754EC}"/>
    <cellStyle name="千位分隔 4 2 4 2 4" xfId="31146" xr:uid="{BB014051-4814-4411-9FC7-DEDBD89E8E18}"/>
    <cellStyle name="千位分隔 4 2 4 2 5" xfId="31147" xr:uid="{7A26F14B-59A6-46F2-B237-60355CCD73E3}"/>
    <cellStyle name="千位分隔 4 2 4 2 5 2" xfId="35060" xr:uid="{4DD0FB1C-383F-4534-8D48-78485EA4C3B9}"/>
    <cellStyle name="千位分隔 4 2 4 2 6" xfId="31148" xr:uid="{27FE3A12-95C6-4B70-8303-FB40AA47B1FE}"/>
    <cellStyle name="千位分隔 4 2 4 2 6 2" xfId="35061" xr:uid="{D417D66E-B4D2-4CF9-B1A9-06A4915411D5}"/>
    <cellStyle name="千位分隔 4 2 4 2 7" xfId="31149" xr:uid="{2CF86D54-1AF7-43C3-B178-4B25E7FF7E44}"/>
    <cellStyle name="千位分隔 4 2 4 3" xfId="31150" xr:uid="{5BACC8A0-D62B-4E76-82F1-971F6FADA6C2}"/>
    <cellStyle name="千位分隔 4 2 4 3 2" xfId="31151" xr:uid="{6228CDAB-CA5A-4C4B-B27D-456AA2C7C337}"/>
    <cellStyle name="千位分隔 4 2 4 3 2 2" xfId="31152" xr:uid="{539FB205-39D7-4331-9369-C5A8482A034F}"/>
    <cellStyle name="千位分隔 4 2 4 3 3" xfId="31153" xr:uid="{9D097218-17D3-44FC-B7AD-C36ED2C7FBA3}"/>
    <cellStyle name="千位分隔 4 2 4 3 4" xfId="31154" xr:uid="{C73275D9-3027-49A8-9C07-A5CD15AB8438}"/>
    <cellStyle name="千位分隔 4 2 4 3 5" xfId="31155" xr:uid="{8F54FFFB-8B14-4D52-9758-F23E5EF75EB2}"/>
    <cellStyle name="千位分隔 4 2 4 3 5 2" xfId="35062" xr:uid="{E34C1D69-2984-42B5-A439-3B4E094107A5}"/>
    <cellStyle name="千位分隔 4 2 4 3 6" xfId="31156" xr:uid="{16D15743-ACCA-4314-8472-BA042EEF9310}"/>
    <cellStyle name="千位分隔 4 2 4 3 6 2" xfId="35063" xr:uid="{155DCE16-9BD6-4D37-83C2-2ECCB384D41C}"/>
    <cellStyle name="千位分隔 4 2 4 3 7" xfId="31157" xr:uid="{84C9C55C-D14D-41CC-9E9B-2E404DD919B0}"/>
    <cellStyle name="千位分隔 4 2 4 4" xfId="31158" xr:uid="{812DB069-65B3-4F96-A862-C1E8926CE7FD}"/>
    <cellStyle name="千位分隔 4 2 4 4 2" xfId="31159" xr:uid="{31A7D39E-A88E-4654-8BC0-20E221216D40}"/>
    <cellStyle name="千位分隔 4 2 4 5" xfId="31160" xr:uid="{BAB19472-6DBC-44AD-BA1D-486B3D2DAE20}"/>
    <cellStyle name="千位分隔 4 2 4 5 2" xfId="31161" xr:uid="{7B8C9A27-1E5C-4403-8F1B-9D3BE1DD9AE1}"/>
    <cellStyle name="千位分隔 4 2 4 6" xfId="31162" xr:uid="{4B4B3007-7B69-43B1-8B2D-424B1CA2DC23}"/>
    <cellStyle name="千位分隔 4 2 4 6 2" xfId="31163" xr:uid="{580F30BF-CEF7-4E06-BE25-80BD44D1C8CF}"/>
    <cellStyle name="千位分隔 4 2 4 7" xfId="31164" xr:uid="{A4A52465-541C-4461-9621-21A429F24449}"/>
    <cellStyle name="千位分隔 4 2 4 7 2" xfId="35064" xr:uid="{286430D6-BE2A-4B69-AC16-F16085D35842}"/>
    <cellStyle name="千位分隔 4 2 4 8" xfId="31165" xr:uid="{BAA1762C-A6FB-45C8-A67C-83E67F65DF0C}"/>
    <cellStyle name="千位分隔 4 2 4 8 2" xfId="35065" xr:uid="{7D3012A6-48F6-4642-8761-E421CF43F788}"/>
    <cellStyle name="千位分隔 4 2 4 9" xfId="31166" xr:uid="{A5B365F6-E7B4-4654-A7A9-5B7FC4C4F10B}"/>
    <cellStyle name="千位分隔 4 2 5" xfId="31167" xr:uid="{586F54A1-7DB7-436C-BD78-5431863A0A22}"/>
    <cellStyle name="千位分隔 4 2 5 2" xfId="31168" xr:uid="{DAB7BE59-C845-4E64-BB48-4B73371C8CF1}"/>
    <cellStyle name="千位分隔 4 2 5 2 2" xfId="31169" xr:uid="{CF3D185B-7501-4873-9835-1C878A821971}"/>
    <cellStyle name="千位分隔 4 2 5 3" xfId="31170" xr:uid="{4818FEF9-0239-41B5-97E4-0DC7DCD24FE3}"/>
    <cellStyle name="千位分隔 4 2 5 4" xfId="31171" xr:uid="{960C7324-3DA6-4BC0-8AA7-F6422C9A3B60}"/>
    <cellStyle name="千位分隔 4 2 5 5" xfId="31172" xr:uid="{F4E9DECD-8D7F-4098-979F-51DE6407FBB9}"/>
    <cellStyle name="千位分隔 4 2 5 5 2" xfId="35066" xr:uid="{0B65E155-F872-4D0F-B5D6-2CC8752623AE}"/>
    <cellStyle name="千位分隔 4 2 5 6" xfId="31173" xr:uid="{CCF8B481-8089-4DF7-98CB-FDD671ED2C2C}"/>
    <cellStyle name="千位分隔 4 2 5 6 2" xfId="35067" xr:uid="{AD2FB724-AB5E-4C26-81C7-188861B06B75}"/>
    <cellStyle name="千位分隔 4 2 5 7" xfId="31174" xr:uid="{8DD6E046-AEF9-4F9A-84A9-829539A04435}"/>
    <cellStyle name="千位分隔 4 2 6" xfId="31175" xr:uid="{5B4046FB-FE0B-4152-B71B-609D9275EFF9}"/>
    <cellStyle name="千位分隔 4 2 6 2" xfId="31176" xr:uid="{9DA807C5-5D86-4C5C-B9CE-B71423B8643F}"/>
    <cellStyle name="千位分隔 4 2 6 2 2" xfId="31177" xr:uid="{51A7CD24-6EEA-43A7-91F7-8BBD3B1C3687}"/>
    <cellStyle name="千位分隔 4 2 6 3" xfId="31178" xr:uid="{553E512D-BFB1-4B64-A6EB-3AA20123B7F4}"/>
    <cellStyle name="千位分隔 4 2 6 4" xfId="31179" xr:uid="{81EBDCF7-09AE-43CE-9B2F-BF1AE2FDD349}"/>
    <cellStyle name="千位分隔 4 2 6 5" xfId="31180" xr:uid="{7109E17B-A46A-46DE-B973-C73439F8A489}"/>
    <cellStyle name="千位分隔 4 2 6 5 2" xfId="35068" xr:uid="{C7EF5B8C-777B-4B5E-9DD9-D35A4C9B731A}"/>
    <cellStyle name="千位分隔 4 2 6 6" xfId="31181" xr:uid="{8B60C654-62D6-40C1-A6A7-4FE75821CF9B}"/>
    <cellStyle name="千位分隔 4 2 6 6 2" xfId="35069" xr:uid="{372B641B-7D66-4AD6-A71C-2F47F2A2DA7A}"/>
    <cellStyle name="千位分隔 4 2 6 7" xfId="31182" xr:uid="{79AA912E-424B-4C4C-B3F4-82EFA226F5C1}"/>
    <cellStyle name="千位分隔 4 2 7" xfId="31183" xr:uid="{15173C2E-18AC-4D40-97C4-8348270E6F09}"/>
    <cellStyle name="千位分隔 4 2 7 2" xfId="31184" xr:uid="{ED97F88A-4D97-48FC-8DF9-53E3FE0A984F}"/>
    <cellStyle name="千位分隔 4 2 8" xfId="31185" xr:uid="{1AEFA15D-C3BA-4FE0-B4FC-D66C1EE86028}"/>
    <cellStyle name="千位分隔 4 2 8 2" xfId="31186" xr:uid="{04E4277F-17BE-48F8-AE37-DBDBB78B6992}"/>
    <cellStyle name="千位分隔 4 2 9" xfId="31187" xr:uid="{0F7885A7-98C7-4297-B062-766E3E72F012}"/>
    <cellStyle name="千位分隔 4 2 9 2" xfId="31188" xr:uid="{CF13FDE1-D061-46EA-B052-5BA6507EE7DA}"/>
    <cellStyle name="千位分隔 4 3" xfId="31189" xr:uid="{3694F759-C2DA-46B7-BA65-7309FB2DECC7}"/>
    <cellStyle name="千位分隔 4 3 10" xfId="31190" xr:uid="{D7834F27-9586-47FF-904C-027F02B40A2D}"/>
    <cellStyle name="千位分隔 4 3 10 2" xfId="35070" xr:uid="{6A84768B-EBE0-4178-BE81-6F972B5A510A}"/>
    <cellStyle name="千位分隔 4 3 11" xfId="31191" xr:uid="{032A94A0-2403-4FD5-8003-4581E0FF6DEC}"/>
    <cellStyle name="千位分隔 4 3 2" xfId="31192" xr:uid="{5FD500B5-4950-43C9-B784-3E250EAA1163}"/>
    <cellStyle name="千位分隔 4 3 2 2" xfId="31193" xr:uid="{FF0991C0-608F-4E7A-BB1D-4F5ADAD75842}"/>
    <cellStyle name="千位分隔 4 3 2 2 2" xfId="31194" xr:uid="{63B5E9C7-0412-4580-BA0D-1F726B22DEFD}"/>
    <cellStyle name="千位分隔 4 3 2 2 2 2" xfId="31195" xr:uid="{AD3F2C1A-49C5-43E2-BDCA-F89E119DECA2}"/>
    <cellStyle name="千位分隔 4 3 2 2 2 2 2" xfId="31196" xr:uid="{E3288B2C-145A-47BF-8D3B-6F7C2278161A}"/>
    <cellStyle name="千位分隔 4 3 2 2 2 3" xfId="31197" xr:uid="{C935FF44-3478-4E93-8A2B-8185393C4E1E}"/>
    <cellStyle name="千位分隔 4 3 2 2 2 4" xfId="31198" xr:uid="{C15DAC27-87A5-4432-ABF9-53FE41724CCD}"/>
    <cellStyle name="千位分隔 4 3 2 2 2 5" xfId="31199" xr:uid="{CBC2A99A-0431-464E-A1C8-8A5EAFFB3BEB}"/>
    <cellStyle name="千位分隔 4 3 2 2 2 5 2" xfId="35071" xr:uid="{FF15265A-BDF3-4F0F-831E-8B88EDFC68DD}"/>
    <cellStyle name="千位分隔 4 3 2 2 2 6" xfId="31200" xr:uid="{4C38D2F8-58F6-4B73-AE51-552B024EAC71}"/>
    <cellStyle name="千位分隔 4 3 2 2 2 6 2" xfId="35072" xr:uid="{9E049574-FCA8-430C-8B22-7231EE45AE7D}"/>
    <cellStyle name="千位分隔 4 3 2 2 3" xfId="31201" xr:uid="{D87EE990-6E34-427C-8096-FC11D372A34E}"/>
    <cellStyle name="千位分隔 4 3 2 2 3 2" xfId="31202" xr:uid="{229BF218-1954-4AA6-9831-E0FB7F4EB260}"/>
    <cellStyle name="千位分隔 4 3 2 2 4" xfId="31203" xr:uid="{3566480E-B780-4C12-A7CF-E49DF00DC70F}"/>
    <cellStyle name="千位分隔 4 3 2 2 5" xfId="31204" xr:uid="{2E700508-8077-464F-9041-3FC8EC8B283C}"/>
    <cellStyle name="千位分隔 4 3 2 2 6" xfId="31205" xr:uid="{0B1A450B-9DE4-4E44-B521-362296FB17DD}"/>
    <cellStyle name="千位分隔 4 3 2 2 6 2" xfId="35073" xr:uid="{79B2BBC9-AE9D-4500-8CE0-6FB76A24E3EA}"/>
    <cellStyle name="千位分隔 4 3 2 2 7" xfId="31206" xr:uid="{F4A0D3F5-BA98-43E2-914C-0AD0A8476412}"/>
    <cellStyle name="千位分隔 4 3 2 2 7 2" xfId="35074" xr:uid="{882AF818-765C-446C-B31A-95AFB81C25CE}"/>
    <cellStyle name="千位分隔 4 3 2 2 8" xfId="31207" xr:uid="{51696E8B-AD4F-487A-A875-BCB7CE8C0D5D}"/>
    <cellStyle name="千位分隔 4 3 2 3" xfId="31208" xr:uid="{13F88A7F-EC20-4D6C-9117-090B0922C20E}"/>
    <cellStyle name="千位分隔 4 3 2 3 2" xfId="31209" xr:uid="{7644F613-5B5E-4D28-A892-7285E502A9F8}"/>
    <cellStyle name="千位分隔 4 3 2 3 2 2" xfId="31210" xr:uid="{B91EA7C0-CC8C-4251-A1EA-942BE0C509D1}"/>
    <cellStyle name="千位分隔 4 3 2 3 3" xfId="31211" xr:uid="{28036778-E4C4-480E-AFB8-EF04224817F9}"/>
    <cellStyle name="千位分隔 4 3 2 3 3 2" xfId="31212" xr:uid="{FBD29BFF-9DFF-4824-BE9C-5BE6F659B504}"/>
    <cellStyle name="千位分隔 4 3 2 3 4" xfId="31213" xr:uid="{7A773BE7-BFE6-4122-A8CC-5168CEF24099}"/>
    <cellStyle name="千位分隔 4 3 2 3 4 2" xfId="31214" xr:uid="{623260C8-CDDC-4754-9E0B-C1651237EE1F}"/>
    <cellStyle name="千位分隔 4 3 2 3 5" xfId="31215" xr:uid="{C28934CC-28FC-4BC3-B86D-35AE359CA517}"/>
    <cellStyle name="千位分隔 4 3 2 3 5 2" xfId="35075" xr:uid="{4C37F1E6-A5BC-44FD-BED8-C895D20BCB52}"/>
    <cellStyle name="千位分隔 4 3 2 3 6" xfId="31216" xr:uid="{F78FEE99-0BC4-47D7-A966-F04629638727}"/>
    <cellStyle name="千位分隔 4 3 2 3 6 2" xfId="35076" xr:uid="{23B41D3D-0260-49C1-953F-4901CC19DDED}"/>
    <cellStyle name="千位分隔 4 3 2 3 7" xfId="31217" xr:uid="{393E731D-87F6-4C10-BC87-D8F60EB983E2}"/>
    <cellStyle name="千位分隔 4 3 2 4" xfId="31218" xr:uid="{2927962F-E200-408C-BDB3-73E280CE6AE8}"/>
    <cellStyle name="千位分隔 4 3 2 4 2" xfId="31219" xr:uid="{030BB222-1CA5-4C83-A9F7-AAF91DB8BF79}"/>
    <cellStyle name="千位分隔 4 3 2 5" xfId="31220" xr:uid="{E2ECF15A-8AB7-4B0A-BCA7-9E71C86DAF46}"/>
    <cellStyle name="千位分隔 4 3 2 5 2" xfId="31221" xr:uid="{95933A13-170C-405B-AEEB-FB0C515F642C}"/>
    <cellStyle name="千位分隔 4 3 2 6" xfId="31222" xr:uid="{9733070F-072F-4205-8CF2-E03E5BD6838E}"/>
    <cellStyle name="千位分隔 4 3 2 6 2" xfId="31223" xr:uid="{BB741A21-44E2-4B9D-96CA-C83F343A04AF}"/>
    <cellStyle name="千位分隔 4 3 2 7" xfId="31224" xr:uid="{0DB9529B-18AC-4A3A-B86E-DE8D0AF05159}"/>
    <cellStyle name="千位分隔 4 3 2 7 2" xfId="35077" xr:uid="{F3B7DF96-4BA6-4CE2-A0F6-55E6A910408F}"/>
    <cellStyle name="千位分隔 4 3 2 8" xfId="31225" xr:uid="{B0A8B88F-3B8E-44C5-A219-AF0D7F2339B2}"/>
    <cellStyle name="千位分隔 4 3 2 8 2" xfId="35078" xr:uid="{68E41501-A0C7-401D-9579-E116F81BAAE4}"/>
    <cellStyle name="千位分隔 4 3 2 9" xfId="31226" xr:uid="{FF4137E4-741C-459A-9C08-589D1ADC8FDA}"/>
    <cellStyle name="千位分隔 4 3 3" xfId="31227" xr:uid="{466FE214-E2FE-436D-A8B1-D5658A31BD13}"/>
    <cellStyle name="千位分隔 4 3 3 2" xfId="31228" xr:uid="{D163F1D9-40D6-4139-861D-02AD0E98FB24}"/>
    <cellStyle name="千位分隔 4 3 3 2 2" xfId="31229" xr:uid="{F2C0C560-A516-4211-81B4-709ED5929E4B}"/>
    <cellStyle name="千位分隔 4 3 3 2 2 2" xfId="31230" xr:uid="{43FF1D10-0209-40C9-90B7-6A868C6D6907}"/>
    <cellStyle name="千位分隔 4 3 3 2 3" xfId="31231" xr:uid="{DF32C687-29EA-4D0E-8B35-D9DE8D729671}"/>
    <cellStyle name="千位分隔 4 3 3 2 4" xfId="31232" xr:uid="{6E21316F-0714-42E1-8D74-4E955E238F1E}"/>
    <cellStyle name="千位分隔 4 3 3 2 5" xfId="31233" xr:uid="{E2E0E49C-4621-4119-A9A4-1C82C52D42F0}"/>
    <cellStyle name="千位分隔 4 3 3 2 5 2" xfId="35079" xr:uid="{BDE8A188-3CD2-4FB1-BF92-1975E80AF9C3}"/>
    <cellStyle name="千位分隔 4 3 3 2 6" xfId="31234" xr:uid="{2525A68B-BB8F-4CCC-9D8E-97F4074EF8FF}"/>
    <cellStyle name="千位分隔 4 3 3 2 6 2" xfId="35080" xr:uid="{D4BBAF06-28C0-4BA4-8C09-22CF49EA3306}"/>
    <cellStyle name="千位分隔 4 3 3 3" xfId="31235" xr:uid="{55E25B0A-2CA8-4CB8-AE70-E66F35257DC3}"/>
    <cellStyle name="千位分隔 4 3 3 3 2" xfId="31236" xr:uid="{343BB46C-B9C7-452C-970C-8F2C29260AA6}"/>
    <cellStyle name="千位分隔 4 3 3 3 2 2" xfId="31237" xr:uid="{5F1F8E96-3A97-4FDD-B21F-1EB9977E2035}"/>
    <cellStyle name="千位分隔 4 3 3 3 3" xfId="31238" xr:uid="{09C1BFE6-9943-436E-8BB2-49DDA5F8DDAB}"/>
    <cellStyle name="千位分隔 4 3 3 3 4" xfId="31239" xr:uid="{C25C5FA5-0FEF-4232-A435-126BD5DCC101}"/>
    <cellStyle name="千位分隔 4 3 3 3 5" xfId="31240" xr:uid="{52BABC27-99F0-472E-89F6-6960C00BA12F}"/>
    <cellStyle name="千位分隔 4 3 3 3 5 2" xfId="35081" xr:uid="{9C8C6B21-C1E7-4E64-B687-DF8EE3E8A90D}"/>
    <cellStyle name="千位分隔 4 3 3 3 6" xfId="31241" xr:uid="{4FF97EAF-2471-42EC-ACD6-4444A84E7D5F}"/>
    <cellStyle name="千位分隔 4 3 3 3 6 2" xfId="35082" xr:uid="{AA27CD55-3740-42CE-BD81-9153121ADE56}"/>
    <cellStyle name="千位分隔 4 3 3 4" xfId="31242" xr:uid="{4D0F9361-6FE8-466D-93FF-893AB53F394A}"/>
    <cellStyle name="千位分隔 4 3 3 4 2" xfId="31243" xr:uid="{DE5A1776-BE3F-4F93-A051-C246F17B568B}"/>
    <cellStyle name="千位分隔 4 3 3 5" xfId="31244" xr:uid="{3EA1A5BC-0599-4B23-BD93-7CC90C8829DA}"/>
    <cellStyle name="千位分隔 4 3 3 6" xfId="31245" xr:uid="{2626A130-6C64-4DDA-88F0-28BADFB1F69B}"/>
    <cellStyle name="千位分隔 4 3 3 7" xfId="31246" xr:uid="{CCCDC871-2E10-4EAF-88AA-7911557F2285}"/>
    <cellStyle name="千位分隔 4 3 3 7 2" xfId="35083" xr:uid="{D805CA5C-84A8-46A2-9F8D-AA7C07087354}"/>
    <cellStyle name="千位分隔 4 3 3 8" xfId="31247" xr:uid="{3AEC1B54-F356-4A41-B916-F14B47A93F8F}"/>
    <cellStyle name="千位分隔 4 3 3 8 2" xfId="35084" xr:uid="{932041F0-463F-481E-991C-05C37F3F8528}"/>
    <cellStyle name="千位分隔 4 3 4" xfId="31248" xr:uid="{BD7CB42F-ED05-42D6-8F53-27B2CBC059F7}"/>
    <cellStyle name="千位分隔 4 3 4 2" xfId="31249" xr:uid="{4AF73C29-D732-41C7-94CF-85CE3350061B}"/>
    <cellStyle name="千位分隔 4 3 4 2 2" xfId="31250" xr:uid="{4D508732-B827-4C89-8EFE-D8ABBF49B914}"/>
    <cellStyle name="千位分隔 4 3 4 2 3" xfId="31251" xr:uid="{3BDD4639-511B-497B-B21F-EAC5F8824A96}"/>
    <cellStyle name="千位分隔 4 3 4 2 4" xfId="31252" xr:uid="{B71FCE97-A769-40F6-AFD4-8B0A25B72433}"/>
    <cellStyle name="千位分隔 4 3 4 2 5" xfId="31253" xr:uid="{9D1F5727-25F1-4FAB-AFB5-BE739A4A638A}"/>
    <cellStyle name="千位分隔 4 3 4 2 6" xfId="31254" xr:uid="{0F498879-69EF-4214-A62C-9194FFFC59B3}"/>
    <cellStyle name="千位分隔 4 3 4 2 7" xfId="31255" xr:uid="{2EF27400-90FC-40B3-A8DA-899BF2626986}"/>
    <cellStyle name="千位分隔 4 3 4 3" xfId="31256" xr:uid="{ED226711-201B-430C-A7A9-456850E44A3B}"/>
    <cellStyle name="千位分隔 4 3 4 3 2" xfId="31257" xr:uid="{53C42712-268B-47BC-B128-902BF0755B02}"/>
    <cellStyle name="千位分隔 4 3 4 4" xfId="31258" xr:uid="{F11B8C16-B205-40AD-9E7E-3FA3CE195B04}"/>
    <cellStyle name="千位分隔 4 3 4 4 2" xfId="31259" xr:uid="{874B3E7B-944A-46F4-876E-A7F1D60D01B9}"/>
    <cellStyle name="千位分隔 4 3 4 5" xfId="31260" xr:uid="{E4E173A6-D8EF-4BD5-93A6-4953D619B02E}"/>
    <cellStyle name="千位分隔 4 3 4 5 2" xfId="35085" xr:uid="{6668F677-5515-499F-8AD7-12CB83FE8232}"/>
    <cellStyle name="千位分隔 4 3 4 6" xfId="31261" xr:uid="{027FC5E2-1CFD-4DEB-83E6-E3C082D97EEB}"/>
    <cellStyle name="千位分隔 4 3 4 6 2" xfId="35086" xr:uid="{9BB40079-50F5-4746-B7B7-016FBFFBADDE}"/>
    <cellStyle name="千位分隔 4 3 4 7" xfId="31262" xr:uid="{C6E65BC4-8AA6-4DBD-BA38-7C5865B320D0}"/>
    <cellStyle name="千位分隔 4 3 4 8" xfId="31263" xr:uid="{08C0E7DB-B9B4-4A41-8CEC-CB67524E906A}"/>
    <cellStyle name="千位分隔 4 3 5" xfId="31264" xr:uid="{943E524F-7395-4411-8245-17C62AC28B88}"/>
    <cellStyle name="千位分隔 4 3 5 2" xfId="31265" xr:uid="{776B8B4F-582A-4415-AB82-E6A7D51A4BF3}"/>
    <cellStyle name="千位分隔 4 3 5 2 2" xfId="31266" xr:uid="{BD62105E-B432-46DA-90D5-6F5E59CE297C}"/>
    <cellStyle name="千位分隔 4 3 5 3" xfId="31267" xr:uid="{DC969C95-176B-4ECB-B3E3-C305C38739E5}"/>
    <cellStyle name="千位分隔 4 3 5 3 2" xfId="31268" xr:uid="{E0C3D9BA-47DD-4880-AAD7-B0AE4DEA3FD6}"/>
    <cellStyle name="千位分隔 4 3 5 4" xfId="31269" xr:uid="{539545E9-C718-4DE2-9122-2B2C6341981C}"/>
    <cellStyle name="千位分隔 4 3 5 4 2" xfId="31270" xr:uid="{4416A14F-7984-45BB-8DED-D31579646468}"/>
    <cellStyle name="千位分隔 4 3 5 5" xfId="31271" xr:uid="{72E6B577-369C-4C29-88C1-E867794F9360}"/>
    <cellStyle name="千位分隔 4 3 5 5 2" xfId="35087" xr:uid="{31C91B5A-4BA6-4450-B5CF-68278874F226}"/>
    <cellStyle name="千位分隔 4 3 5 6" xfId="31272" xr:uid="{F3559364-433C-48F4-82ED-6FE1A3EB11AA}"/>
    <cellStyle name="千位分隔 4 3 5 6 2" xfId="35088" xr:uid="{45258159-AC54-4173-9518-594603209119}"/>
    <cellStyle name="千位分隔 4 3 5 7" xfId="31273" xr:uid="{66CF933B-D9D4-4AB3-8CE4-0AFAAC440BD8}"/>
    <cellStyle name="千位分隔 4 3 6" xfId="31274" xr:uid="{83F6C069-0D48-4694-83C6-4F413A7FD444}"/>
    <cellStyle name="千位分隔 4 3 6 2" xfId="31275" xr:uid="{81F07CAC-6121-466C-9569-287BAA8D58A4}"/>
    <cellStyle name="千位分隔 4 3 7" xfId="31276" xr:uid="{93BFDDEC-4D4F-4EF0-9B99-35E5E3054AD3}"/>
    <cellStyle name="千位分隔 4 3 7 2" xfId="31277" xr:uid="{8BEB01C6-B78F-44B7-A621-A494A0706811}"/>
    <cellStyle name="千位分隔 4 3 8" xfId="31278" xr:uid="{FFD52E0C-E429-4324-A52D-8ADA4595CBB5}"/>
    <cellStyle name="千位分隔 4 3 8 2" xfId="31279" xr:uid="{BD9B8F58-F9CC-4647-A74F-43FFDBF3E9F6}"/>
    <cellStyle name="千位分隔 4 3 9" xfId="31280" xr:uid="{25DE0D63-CC2A-4507-8D53-3DF254974541}"/>
    <cellStyle name="千位分隔 4 3 9 2" xfId="35089" xr:uid="{4E778C68-040B-4EFC-A1EC-250B26C23BB4}"/>
    <cellStyle name="千位分隔 4 4" xfId="31281" xr:uid="{2A6D74CD-F9E1-4CDA-8727-98A3115F61A2}"/>
    <cellStyle name="千位分隔 4 4 10" xfId="31282" xr:uid="{E4785A98-E5E0-447F-A504-8C8A5E39382A}"/>
    <cellStyle name="千位分隔 4 4 2" xfId="31283" xr:uid="{00898727-C777-4953-864E-C62C023A1FE2}"/>
    <cellStyle name="千位分隔 4 4 2 2" xfId="31284" xr:uid="{A41A3432-246C-4C6D-8223-84A808E83335}"/>
    <cellStyle name="千位分隔 4 4 2 2 2" xfId="31285" xr:uid="{5517A6F6-07AA-45F7-8164-1F7B22D4525A}"/>
    <cellStyle name="千位分隔 4 4 2 2 3" xfId="31286" xr:uid="{6E03885F-C2F6-4615-BCC2-8147430C4263}"/>
    <cellStyle name="千位分隔 4 4 2 2 4" xfId="31287" xr:uid="{1E7D2632-073C-4ED7-B90B-228DFEE57569}"/>
    <cellStyle name="千位分隔 4 4 2 2 5" xfId="31288" xr:uid="{F6E684C0-2399-4FA2-96A9-90003E9142A8}"/>
    <cellStyle name="千位分隔 4 4 2 2 6" xfId="31289" xr:uid="{50F77AEB-FA9C-40DA-8BDE-5560B2A92C34}"/>
    <cellStyle name="千位分隔 4 4 2 3" xfId="31290" xr:uid="{6C07662F-42F8-4ABB-B0AA-7E1FCFCC605C}"/>
    <cellStyle name="千位分隔 4 4 2 4" xfId="31291" xr:uid="{62C01AF5-539E-4454-A394-23A784258BA0}"/>
    <cellStyle name="千位分隔 4 4 2 5" xfId="31292" xr:uid="{3DF40903-7F9C-4F2C-B3B4-B2FE96B9FA81}"/>
    <cellStyle name="千位分隔 4 4 2 6" xfId="31293" xr:uid="{99E72A28-21BE-440B-8B92-C4BCF1D4299A}"/>
    <cellStyle name="千位分隔 4 4 2 7" xfId="31294" xr:uid="{010586F4-095A-4708-9718-D51176F1C7CD}"/>
    <cellStyle name="千位分隔 4 4 2 8" xfId="31295" xr:uid="{4DE88632-9170-4EC6-86C6-B5D785197FF5}"/>
    <cellStyle name="千位分隔 4 4 3" xfId="31296" xr:uid="{2A0CAA0E-1003-4014-A303-CDF531CD048E}"/>
    <cellStyle name="千位分隔 4 4 3 2" xfId="31297" xr:uid="{14FD4859-BCEA-463F-8CDB-921C410CB3AD}"/>
    <cellStyle name="千位分隔 4 4 3 2 2" xfId="31298" xr:uid="{33A88BB0-2380-4D05-8B01-1472C2A90D08}"/>
    <cellStyle name="千位分隔 4 4 3 2 3" xfId="31299" xr:uid="{66F70DBC-5C8A-4F4B-8FF0-229F660610FC}"/>
    <cellStyle name="千位分隔 4 4 3 2 4" xfId="31300" xr:uid="{0E892C6A-380E-4FD7-BB02-9461FDB60387}"/>
    <cellStyle name="千位分隔 4 4 3 2 5" xfId="31301" xr:uid="{8BAD970C-AC15-4E48-B443-3CD9ED32F9C7}"/>
    <cellStyle name="千位分隔 4 4 3 2 6" xfId="31302" xr:uid="{0C8CE0A4-43D9-4D61-AB16-8D7B3EA60C21}"/>
    <cellStyle name="千位分隔 4 4 3 3" xfId="31303" xr:uid="{F325E6E3-3712-492E-B2FB-30F421F3558B}"/>
    <cellStyle name="千位分隔 4 4 3 4" xfId="31304" xr:uid="{317D7F84-4627-4D70-B917-7F1B7E44E345}"/>
    <cellStyle name="千位分隔 4 4 3 5" xfId="31305" xr:uid="{3CDF29F4-A166-4E08-9E58-B48F3326232C}"/>
    <cellStyle name="千位分隔 4 4 3 6" xfId="31306" xr:uid="{94059677-A532-48DA-A1E8-D511FAA3E115}"/>
    <cellStyle name="千位分隔 4 4 3 7" xfId="31307" xr:uid="{6FD31721-0711-4B82-96F1-611780AB59BB}"/>
    <cellStyle name="千位分隔 4 4 3 8" xfId="31308" xr:uid="{F40A1297-E193-4024-B95C-BA69B450F709}"/>
    <cellStyle name="千位分隔 4 4 4" xfId="31309" xr:uid="{86067F62-1D0B-4645-959D-38617C1FF13F}"/>
    <cellStyle name="千位分隔 4 4 4 2" xfId="31310" xr:uid="{BA11E08B-C3C1-43D7-A59B-0B4C5F754AD4}"/>
    <cellStyle name="千位分隔 4 4 4 3" xfId="31311" xr:uid="{BA033706-669F-46CF-B223-D298FE2CE6A9}"/>
    <cellStyle name="千位分隔 4 4 4 4" xfId="31312" xr:uid="{BFF84D12-E8A7-4B1E-9601-6D2547592C61}"/>
    <cellStyle name="千位分隔 4 4 4 5" xfId="31313" xr:uid="{1BB3D569-F98E-499F-9E18-28F8A7D10A95}"/>
    <cellStyle name="千位分隔 4 4 4 6" xfId="31314" xr:uid="{9A151342-EAB9-4EBD-82BE-EEB6C7BC1EC5}"/>
    <cellStyle name="千位分隔 4 4 4 7" xfId="31315" xr:uid="{BF1B0281-BA10-4275-A644-3AA8B10EF9AA}"/>
    <cellStyle name="千位分隔 4 4 5" xfId="31316" xr:uid="{79C30035-AB37-44C9-8770-802CAF204662}"/>
    <cellStyle name="千位分隔 4 4 6" xfId="31317" xr:uid="{7341547E-32B4-4C97-B1D1-ACEE33E2EDDB}"/>
    <cellStyle name="千位分隔 4 4 7" xfId="31318" xr:uid="{689E8330-D80F-42B0-B7F2-9D2B8BF1419D}"/>
    <cellStyle name="千位分隔 4 4 8" xfId="31319" xr:uid="{B340C5E4-134F-4C81-B9A1-D71417F98373}"/>
    <cellStyle name="千位分隔 4 4 9" xfId="31320" xr:uid="{9B25246B-7E8F-41F8-AC74-33A171058DB0}"/>
    <cellStyle name="千位分隔 4 5" xfId="31321" xr:uid="{25E17A5E-0751-4934-88D4-4F7ED7122482}"/>
    <cellStyle name="千位分隔 4 5 10" xfId="31322" xr:uid="{B44127BB-2C7F-4400-91A5-943E86C59609}"/>
    <cellStyle name="千位分隔 4 5 2" xfId="31323" xr:uid="{5ACE8064-C738-4E0C-88F0-172868C59774}"/>
    <cellStyle name="千位分隔 4 5 2 2" xfId="31324" xr:uid="{BFA2AC4F-5E6A-4AC1-BC8E-0FE8F8E7F314}"/>
    <cellStyle name="千位分隔 4 5 2 2 2" xfId="31325" xr:uid="{6C276D98-0922-49C9-95DD-7F47DA4B9D80}"/>
    <cellStyle name="千位分隔 4 5 2 2 2 2" xfId="31326" xr:uid="{BEF148C7-D87C-49B9-9D44-D1B94F15B6DA}"/>
    <cellStyle name="千位分隔 4 5 2 2 3" xfId="31327" xr:uid="{6D781BAA-912F-49BC-BC76-3A9BE5137C70}"/>
    <cellStyle name="千位分隔 4 5 2 2 4" xfId="31328" xr:uid="{4F5317FB-3877-40F8-8249-872E69596E56}"/>
    <cellStyle name="千位分隔 4 5 2 2 5" xfId="31329" xr:uid="{55927925-B0D4-4DFE-93C4-2F1904A968A4}"/>
    <cellStyle name="千位分隔 4 5 2 2 5 2" xfId="35090" xr:uid="{E3AB1E94-0593-4D11-B17D-456AD48EB432}"/>
    <cellStyle name="千位分隔 4 5 2 2 6" xfId="31330" xr:uid="{924F8A2E-C420-499A-8013-6771650ABDC7}"/>
    <cellStyle name="千位分隔 4 5 2 2 6 2" xfId="35091" xr:uid="{D9A424B2-C7A4-4AF7-87A0-DB88CFBDA024}"/>
    <cellStyle name="千位分隔 4 5 2 3" xfId="31331" xr:uid="{69D5217B-0D5D-4DB0-A6A0-976A7293BB01}"/>
    <cellStyle name="千位分隔 4 5 2 3 2" xfId="31332" xr:uid="{9629025D-90BC-4CD2-B081-AF6925E9F7A4}"/>
    <cellStyle name="千位分隔 4 5 2 3 2 2" xfId="31333" xr:uid="{9D0F7E7E-CF3C-47FE-9DF4-4F5BC5371D88}"/>
    <cellStyle name="千位分隔 4 5 2 3 3" xfId="31334" xr:uid="{A10FF582-8B4A-44A6-9916-7556D057C707}"/>
    <cellStyle name="千位分隔 4 5 2 3 4" xfId="31335" xr:uid="{4021D602-7513-4E94-A425-EFC499B93ABB}"/>
    <cellStyle name="千位分隔 4 5 2 3 5" xfId="31336" xr:uid="{032A000C-1304-41E6-98FF-5D8C42A1B507}"/>
    <cellStyle name="千位分隔 4 5 2 3 5 2" xfId="35092" xr:uid="{C2C372C4-F4D1-446D-B426-21FDA61DCADB}"/>
    <cellStyle name="千位分隔 4 5 2 3 6" xfId="31337" xr:uid="{9F75BDD1-8BB8-4FE4-8EE9-4F2BB073BAA2}"/>
    <cellStyle name="千位分隔 4 5 2 3 6 2" xfId="35093" xr:uid="{569008CE-043F-431E-9F17-8FCE6A26BCA8}"/>
    <cellStyle name="千位分隔 4 5 2 4" xfId="31338" xr:uid="{3F42E016-A949-4DA9-BD1C-D6451196AB86}"/>
    <cellStyle name="千位分隔 4 5 2 4 2" xfId="31339" xr:uid="{40A009A8-44CE-4A15-99DC-FCD05795A153}"/>
    <cellStyle name="千位分隔 4 5 2 5" xfId="31340" xr:uid="{31B69270-38AB-44B6-954E-4567712ADC7B}"/>
    <cellStyle name="千位分隔 4 5 2 6" xfId="31341" xr:uid="{75B7E34C-A750-44A7-B545-40EA61F0D5A2}"/>
    <cellStyle name="千位分隔 4 5 2 7" xfId="31342" xr:uid="{84D2D76F-5944-4507-A510-C9065DA59D7F}"/>
    <cellStyle name="千位分隔 4 5 2 7 2" xfId="35094" xr:uid="{232A3870-3735-41A8-8F0D-82D870AA7E5C}"/>
    <cellStyle name="千位分隔 4 5 2 8" xfId="31343" xr:uid="{F35951B6-A373-4217-B025-F2CBC68BFC60}"/>
    <cellStyle name="千位分隔 4 5 2 8 2" xfId="35095" xr:uid="{AF6EE810-5902-4C62-A729-E9B306E465E8}"/>
    <cellStyle name="千位分隔 4 5 2 9" xfId="31344" xr:uid="{01633AF2-C499-4DD1-91D5-BB010200A525}"/>
    <cellStyle name="千位分隔 4 5 3" xfId="31345" xr:uid="{F363D126-BD69-4CD2-879F-48F664B5345A}"/>
    <cellStyle name="千位分隔 4 5 3 2" xfId="31346" xr:uid="{467CA3BB-BC98-4690-9381-FFD24485139D}"/>
    <cellStyle name="千位分隔 4 5 3 2 2" xfId="31347" xr:uid="{3ABF3C2D-E45A-4249-ADCE-2BC756FC49BA}"/>
    <cellStyle name="千位分隔 4 5 3 3" xfId="31348" xr:uid="{84050530-3AC2-49FB-B292-9B1D36FD7850}"/>
    <cellStyle name="千位分隔 4 5 3 3 2" xfId="31349" xr:uid="{BA07F281-EFEF-4362-A4DA-D0E268DDC62F}"/>
    <cellStyle name="千位分隔 4 5 3 4" xfId="31350" xr:uid="{D4CA4B28-1134-45B1-BD88-3004A1FB6F06}"/>
    <cellStyle name="千位分隔 4 5 3 4 2" xfId="31351" xr:uid="{485B4E2E-F844-4DBB-80A2-2972FEB6B3BC}"/>
    <cellStyle name="千位分隔 4 5 3 5" xfId="31352" xr:uid="{DED38BED-5B50-49F6-BE50-D190818AA7A6}"/>
    <cellStyle name="千位分隔 4 5 3 5 2" xfId="35096" xr:uid="{31358B0A-7CA2-4734-A3D2-D31BC714F679}"/>
    <cellStyle name="千位分隔 4 5 3 6" xfId="31353" xr:uid="{8FD20295-AF97-4558-A9BE-835E9FB9E561}"/>
    <cellStyle name="千位分隔 4 5 3 6 2" xfId="35097" xr:uid="{733BFFFC-71B6-4519-A94B-5444474F68D8}"/>
    <cellStyle name="千位分隔 4 5 3 7" xfId="31354" xr:uid="{CFC08735-2FCE-42A4-8F01-CE1C883ADE17}"/>
    <cellStyle name="千位分隔 4 5 4" xfId="31355" xr:uid="{64079287-7D5F-4C75-B670-999014F0A6C4}"/>
    <cellStyle name="千位分隔 4 5 4 2" xfId="31356" xr:uid="{5DF1B243-BE45-4ABF-A87E-53C322C45C69}"/>
    <cellStyle name="千位分隔 4 5 4 2 2" xfId="31357" xr:uid="{65B4C6F9-A7CB-46FB-AA48-A4B0CD69394F}"/>
    <cellStyle name="千位分隔 4 5 4 3" xfId="31358" xr:uid="{CB0D4C9E-0A4F-4309-B76B-6736A6A780D8}"/>
    <cellStyle name="千位分隔 4 5 4 4" xfId="31359" xr:uid="{875578A2-FAA5-47AF-871C-5150C362EE4C}"/>
    <cellStyle name="千位分隔 4 5 4 5" xfId="31360" xr:uid="{1F94345F-F2B6-49DC-8D05-56D12F38AEF2}"/>
    <cellStyle name="千位分隔 4 5 4 5 2" xfId="35098" xr:uid="{CB198410-FA10-4DE6-9099-61227169C48B}"/>
    <cellStyle name="千位分隔 4 5 4 6" xfId="31361" xr:uid="{DB6ED0AB-61D2-45FF-8ABD-B0CEE5C200F4}"/>
    <cellStyle name="千位分隔 4 5 4 6 2" xfId="35099" xr:uid="{CA45D217-6056-4180-9D5B-CE28FCC4315B}"/>
    <cellStyle name="千位分隔 4 5 4 7" xfId="31362" xr:uid="{8457DD27-F1DD-4B55-AB2D-739AE6A66D49}"/>
    <cellStyle name="千位分隔 4 5 5" xfId="31363" xr:uid="{856B0481-B235-429B-8503-3382B94FF96D}"/>
    <cellStyle name="千位分隔 4 5 5 2" xfId="31364" xr:uid="{4E889FCB-E307-40C4-B531-6B8085006315}"/>
    <cellStyle name="千位分隔 4 5 6" xfId="31365" xr:uid="{FC5E7AD7-DF65-4E95-B564-AE76C9B9D251}"/>
    <cellStyle name="千位分隔 4 5 6 2" xfId="31366" xr:uid="{D533D44F-ECED-40E3-AD65-19EBF7717130}"/>
    <cellStyle name="千位分隔 4 5 7" xfId="31367" xr:uid="{D40DDAA4-8136-438B-A471-5B0A31B4AD8B}"/>
    <cellStyle name="千位分隔 4 5 7 2" xfId="31368" xr:uid="{65513AAD-4748-4009-ABE1-43918D5AFDFA}"/>
    <cellStyle name="千位分隔 4 5 8" xfId="31369" xr:uid="{30B54F5C-B0CE-4137-8176-3ABF0FA757D2}"/>
    <cellStyle name="千位分隔 4 5 8 2" xfId="35100" xr:uid="{866A141F-7160-4BAE-90AF-57151B0B31B4}"/>
    <cellStyle name="千位分隔 4 5 9" xfId="31370" xr:uid="{05189029-4A63-4F31-A4F1-DD667ED7DCDC}"/>
    <cellStyle name="千位分隔 4 5 9 2" xfId="35101" xr:uid="{EE9959CF-0FF0-4777-B2B7-C1232122F343}"/>
    <cellStyle name="千位分隔 4 6" xfId="31371" xr:uid="{FFB7E839-84E0-403E-8042-413DDE9C4E76}"/>
    <cellStyle name="千位分隔 4 6 2" xfId="31372" xr:uid="{FE4F27A3-F47F-4CB7-8FD3-1DA7EB196FFB}"/>
    <cellStyle name="千位分隔 4 6 2 2" xfId="31373" xr:uid="{9E7C9DDA-C443-4AAA-897F-0C3304365299}"/>
    <cellStyle name="千位分隔 4 6 2 2 2" xfId="31374" xr:uid="{F8240994-B23D-4EA8-85F8-B56A57F9EBCD}"/>
    <cellStyle name="千位分隔 4 6 2 2 2 2" xfId="31375" xr:uid="{6CFEA913-7BB0-4EC2-BE50-45BBA5D763BA}"/>
    <cellStyle name="千位分隔 4 6 2 2 3" xfId="31376" xr:uid="{E0BCE9D0-9029-4487-A5F1-B031F08CD526}"/>
    <cellStyle name="千位分隔 4 6 2 2 4" xfId="31377" xr:uid="{6B6A7D68-ABC0-4AC6-B3A4-F85ED2E73FDC}"/>
    <cellStyle name="千位分隔 4 6 2 2 5" xfId="31378" xr:uid="{72B16F56-E93D-4165-9FAD-E34FAE119069}"/>
    <cellStyle name="千位分隔 4 6 2 2 5 2" xfId="35102" xr:uid="{F774AD51-49C4-4FE8-9B47-8561A838156C}"/>
    <cellStyle name="千位分隔 4 6 2 2 6" xfId="31379" xr:uid="{0BAFCC48-F3D0-42C6-8A61-9105973816CD}"/>
    <cellStyle name="千位分隔 4 6 2 2 6 2" xfId="35103" xr:uid="{8163B5EC-2B82-48DD-A109-A4D25C284E4C}"/>
    <cellStyle name="千位分隔 4 6 2 3" xfId="31380" xr:uid="{611DE336-F017-43BC-B009-03C250B8775B}"/>
    <cellStyle name="千位分隔 4 6 2 3 2" xfId="31381" xr:uid="{37A1F9BE-795D-4AE3-AD53-783042E9F00F}"/>
    <cellStyle name="千位分隔 4 6 2 4" xfId="31382" xr:uid="{F69ADD35-E130-40BC-AEFA-AF4A87389469}"/>
    <cellStyle name="千位分隔 4 6 2 5" xfId="31383" xr:uid="{E9356808-978C-4324-A300-87EFCD0A06DE}"/>
    <cellStyle name="千位分隔 4 6 2 6" xfId="31384" xr:uid="{2BB2FA26-831F-455B-BC6A-011A4BECC82D}"/>
    <cellStyle name="千位分隔 4 6 2 6 2" xfId="35104" xr:uid="{5B587EC3-FA2B-40CF-AF08-B71C886658B0}"/>
    <cellStyle name="千位分隔 4 6 2 7" xfId="31385" xr:uid="{6606E9F4-B8E8-4BB3-A501-511D2271FA6D}"/>
    <cellStyle name="千位分隔 4 6 2 7 2" xfId="35105" xr:uid="{7B5F2C8C-44F4-42E9-9A36-7756D436D0F1}"/>
    <cellStyle name="千位分隔 4 6 3" xfId="31386" xr:uid="{F6F04CD4-E00D-4501-83CF-E05B6837506E}"/>
    <cellStyle name="千位分隔 4 6 3 2" xfId="31387" xr:uid="{4CFCFF15-ABE4-405A-84CD-FD96944A200F}"/>
    <cellStyle name="千位分隔 4 6 3 2 2" xfId="31388" xr:uid="{FC3B360F-FA54-4B35-B314-74F4E1DF75CF}"/>
    <cellStyle name="千位分隔 4 6 3 3" xfId="31389" xr:uid="{19222727-C7B9-40FD-B613-26AB8ACCDE2F}"/>
    <cellStyle name="千位分隔 4 6 3 4" xfId="31390" xr:uid="{7883AC79-9CD1-4E3E-870E-72F6C684D6BE}"/>
    <cellStyle name="千位分隔 4 6 3 5" xfId="31391" xr:uid="{293F386D-B609-497C-AA22-DAD54EAC96BD}"/>
    <cellStyle name="千位分隔 4 6 3 5 2" xfId="35106" xr:uid="{EA568B69-1756-4FF3-96E4-CE8901BD765A}"/>
    <cellStyle name="千位分隔 4 6 3 6" xfId="31392" xr:uid="{749BBB9E-16D9-4A94-B6D4-542CF62C1CD2}"/>
    <cellStyle name="千位分隔 4 6 3 6 2" xfId="35107" xr:uid="{3C5AFA6F-56F1-4A6E-9F10-16B862188F56}"/>
    <cellStyle name="千位分隔 4 6 4" xfId="31393" xr:uid="{D141FBF6-017B-4438-9FB7-4549A9138E9E}"/>
    <cellStyle name="千位分隔 4 6 4 2" xfId="31394" xr:uid="{A224E78B-BFDB-4126-84B4-D528806BC607}"/>
    <cellStyle name="千位分隔 4 6 5" xfId="31395" xr:uid="{39C07A5E-5119-4049-8012-C9800671F423}"/>
    <cellStyle name="千位分隔 4 6 6" xfId="31396" xr:uid="{921D24FE-348D-48F0-80AE-A2C46F2241AA}"/>
    <cellStyle name="千位分隔 4 6 7" xfId="31397" xr:uid="{51F2AE0D-DEFB-4F2C-BE80-35F4E3DAAE97}"/>
    <cellStyle name="千位分隔 4 6 7 2" xfId="35108" xr:uid="{0AF90E82-4731-4300-A659-32FC7681A63F}"/>
    <cellStyle name="千位分隔 4 6 8" xfId="31398" xr:uid="{E7FDC049-DC9B-4762-B7C8-877B0551A945}"/>
    <cellStyle name="千位分隔 4 6 8 2" xfId="35109" xr:uid="{004319B7-DD9A-40EA-9B50-F56E8F06CFFB}"/>
    <cellStyle name="千位分隔 4 6 9" xfId="31399" xr:uid="{D5D0F405-70E2-4861-B601-68A784DE148B}"/>
    <cellStyle name="千位分隔 4 7" xfId="31400" xr:uid="{0C5E8029-1028-4B49-9815-40ED63E3F927}"/>
    <cellStyle name="千位分隔 4 7 2" xfId="31401" xr:uid="{7E8B2838-B55B-4EAB-82A8-87AA8FFD727E}"/>
    <cellStyle name="千位分隔 4 7 2 2" xfId="31402" xr:uid="{B3649053-E123-40B9-BCF4-4A5CF3325978}"/>
    <cellStyle name="千位分隔 4 7 2 2 2" xfId="31403" xr:uid="{FF3B5353-E9B1-4D9C-8BA4-3A32AEC3859B}"/>
    <cellStyle name="千位分隔 4 7 2 3" xfId="31404" xr:uid="{C057C909-2EB6-475E-8529-71B9A860580F}"/>
    <cellStyle name="千位分隔 4 7 2 4" xfId="31405" xr:uid="{D94042CC-0D10-46D8-AE2E-2EB7E550B15D}"/>
    <cellStyle name="千位分隔 4 7 2 5" xfId="31406" xr:uid="{33BE3599-52A0-48C9-9578-D71713F40F45}"/>
    <cellStyle name="千位分隔 4 7 2 5 2" xfId="35110" xr:uid="{617679B3-CD84-4904-95C1-26E9FE138C0D}"/>
    <cellStyle name="千位分隔 4 7 2 6" xfId="31407" xr:uid="{AE14B9EE-0B35-42DB-A595-3A40B0BB1623}"/>
    <cellStyle name="千位分隔 4 7 2 6 2" xfId="35111" xr:uid="{DF0EA563-7AAD-4D4B-8429-20BEB29EFA50}"/>
    <cellStyle name="千位分隔 4 7 3" xfId="31408" xr:uid="{92950730-96B4-4EFB-89DD-9A729C7DFF7F}"/>
    <cellStyle name="千位分隔 4 7 3 2" xfId="31409" xr:uid="{A49E065B-EE2C-4EC1-90F7-B810177B987E}"/>
    <cellStyle name="千位分隔 4 7 3 2 2" xfId="31410" xr:uid="{E4F314F8-AD51-4B73-904B-14A6FC7C8C1E}"/>
    <cellStyle name="千位分隔 4 7 3 3" xfId="31411" xr:uid="{C423D64B-31DA-4535-98C2-F380037DE674}"/>
    <cellStyle name="千位分隔 4 7 3 4" xfId="31412" xr:uid="{48B3C1B6-4F8A-49D4-920A-ACF1B837399D}"/>
    <cellStyle name="千位分隔 4 7 3 5" xfId="31413" xr:uid="{7A80D176-4B80-479E-8D8D-3AA7309FA9E5}"/>
    <cellStyle name="千位分隔 4 7 3 5 2" xfId="35112" xr:uid="{87EB3109-9669-42B4-B9C5-470676172647}"/>
    <cellStyle name="千位分隔 4 7 3 6" xfId="31414" xr:uid="{3E9F0435-5684-4AC6-8936-B703B393713F}"/>
    <cellStyle name="千位分隔 4 7 3 6 2" xfId="35113" xr:uid="{084EA8B7-2536-44A1-8881-1E27D9D31DFB}"/>
    <cellStyle name="千位分隔 4 7 4" xfId="31415" xr:uid="{8BC6A253-241C-43F9-BB7F-84271E9BBFCC}"/>
    <cellStyle name="千位分隔 4 7 4 2" xfId="31416" xr:uid="{9AE6B687-2A3A-4405-8E24-AB10814A08A3}"/>
    <cellStyle name="千位分隔 4 7 5" xfId="31417" xr:uid="{66F97BC9-2204-4631-B634-AC2437DA6026}"/>
    <cellStyle name="千位分隔 4 7 6" xfId="31418" xr:uid="{8F7C1D89-C9E5-4B11-8CFF-FF82F4A993A6}"/>
    <cellStyle name="千位分隔 4 7 7" xfId="31419" xr:uid="{E8A031CC-D053-4537-901C-5FCFE2F214C8}"/>
    <cellStyle name="千位分隔 4 7 7 2" xfId="35114" xr:uid="{4C097A47-5774-406D-898C-171BD1D581D5}"/>
    <cellStyle name="千位分隔 4 7 8" xfId="31420" xr:uid="{A04857DD-2ABB-4C92-9E9A-FB329C2BEEBC}"/>
    <cellStyle name="千位分隔 4 7 8 2" xfId="35115" xr:uid="{C51D82B7-E572-4DF4-803A-F56E47CE386F}"/>
    <cellStyle name="千位分隔 4 8" xfId="31421" xr:uid="{E3D9C76F-33FC-4680-ADA3-77E858FD69EB}"/>
    <cellStyle name="千位分隔 4 8 2" xfId="31422" xr:uid="{4375FAC6-1894-4EF3-A87A-BEF2879CECF4}"/>
    <cellStyle name="千位分隔 4 8 3" xfId="31423" xr:uid="{FF15E3E0-BC24-479D-AF4B-4D5DE3BF57B6}"/>
    <cellStyle name="千位分隔 4 8 4" xfId="31424" xr:uid="{6A66FD61-6545-4900-BAA0-A928BD0E15DD}"/>
    <cellStyle name="千位分隔 4 9" xfId="31425" xr:uid="{B1BCF2FF-68CD-484A-A439-B79A601CAAF2}"/>
    <cellStyle name="千位分隔 4 9 2" xfId="31426" xr:uid="{C2C5065F-7026-4A43-88DE-5B38695BF9D3}"/>
    <cellStyle name="千位分隔 4 9 2 2" xfId="31427" xr:uid="{000C1B9F-552E-491F-8CD3-DB3F60286EAE}"/>
    <cellStyle name="千位分隔 4 9 3" xfId="31428" xr:uid="{124A1387-ED10-4C5E-B1C8-BB2D7A6CD83D}"/>
    <cellStyle name="千位分隔 4 9 3 2" xfId="31429" xr:uid="{8F85BFA3-5926-4557-B1B1-3D72F443ED38}"/>
    <cellStyle name="千位分隔 4 9 4" xfId="31430" xr:uid="{3182F257-7FD5-40BC-8472-822799526881}"/>
    <cellStyle name="千位分隔 4 9 4 2" xfId="31431" xr:uid="{EC8A32B4-5FE4-44BA-82B0-09DC139D7C2E}"/>
    <cellStyle name="千位分隔 4 9 5" xfId="31432" xr:uid="{677FB4C2-4D94-45B5-879E-94BE8EFFEE63}"/>
    <cellStyle name="千位分隔 4 9 5 2" xfId="35116" xr:uid="{BA58817D-1589-4A89-A4AD-1498B1723E85}"/>
    <cellStyle name="千位分隔 4 9 6" xfId="31433" xr:uid="{9B9512E2-330E-49E9-A601-F7A00931F9C3}"/>
    <cellStyle name="千位分隔 4 9 6 2" xfId="35117" xr:uid="{91F5ED32-D90F-42DE-9589-F9A9C78AB374}"/>
    <cellStyle name="千位分隔 4 9 7" xfId="31434" xr:uid="{FA53016A-EFEB-4F14-A846-54FB53729F25}"/>
    <cellStyle name="千位分隔 5" xfId="31435" xr:uid="{8F4643BC-C4B5-4C84-8117-8BD72A27D3DC}"/>
    <cellStyle name="千位分隔 5 10" xfId="31436" xr:uid="{C3465403-3504-4212-ABE1-8D72ABFCCF53}"/>
    <cellStyle name="千位分隔 5 10 2" xfId="31437" xr:uid="{A315D287-1DC5-4305-A094-110CCFA07A91}"/>
    <cellStyle name="千位分隔 5 11" xfId="31438" xr:uid="{3E47F5FC-0E2A-4F75-AB14-AD30868943D4}"/>
    <cellStyle name="千位分隔 5 11 2" xfId="35118" xr:uid="{969F619B-939B-4A41-9420-3D9E1CF6879E}"/>
    <cellStyle name="千位分隔 5 12" xfId="31439" xr:uid="{90507A9D-6958-409F-993F-2024C91951A9}"/>
    <cellStyle name="千位分隔 5 12 2" xfId="35119" xr:uid="{9FCBCB3E-5930-4727-A2B7-31B41FD99D2E}"/>
    <cellStyle name="千位分隔 5 13" xfId="31440" xr:uid="{95680642-62E1-4372-B33A-D5B084624C43}"/>
    <cellStyle name="千位分隔 5 13 2" xfId="31441" xr:uid="{6FB27BF2-CA77-442B-9F0D-BFCB15BFC7CB}"/>
    <cellStyle name="千位分隔 5 14" xfId="31442" xr:uid="{E9BDBC2B-C949-41C2-8FCF-102692E12074}"/>
    <cellStyle name="千位分隔 5 15" xfId="35120" xr:uid="{757E0812-959C-4AE4-91CA-6AFF774DB95D}"/>
    <cellStyle name="千位分隔 5 2" xfId="31443" xr:uid="{D109E0BC-72B3-468E-8532-9D79266B6134}"/>
    <cellStyle name="千位分隔 5 2 10" xfId="31444" xr:uid="{2DF456A9-34FF-4B25-9110-A8036D18F63D}"/>
    <cellStyle name="千位分隔 5 2 10 2" xfId="35121" xr:uid="{B3B92E53-15F2-4CEA-93BA-047722A923C7}"/>
    <cellStyle name="千位分隔 5 2 11" xfId="31445" xr:uid="{F03C72A9-6929-41B7-9849-F1D42E787B84}"/>
    <cellStyle name="千位分隔 5 2 11 2" xfId="31446" xr:uid="{B4E6B679-FDA1-43BD-8C57-6E5F7BF54324}"/>
    <cellStyle name="千位分隔 5 2 2" xfId="31447" xr:uid="{5DFF2386-2281-40C9-A8AB-2ECA006B7B98}"/>
    <cellStyle name="千位分隔 5 2 2 2" xfId="31448" xr:uid="{B72267C9-6D34-4036-93B2-F447D85CBDB5}"/>
    <cellStyle name="千位分隔 5 2 2 2 2" xfId="31449" xr:uid="{651D9B48-0DD5-4295-8A7D-72A5A8CD6BA1}"/>
    <cellStyle name="千位分隔 5 2 2 2 2 2" xfId="31450" xr:uid="{87F7A249-A8CF-44AE-A611-14F6A013C1AC}"/>
    <cellStyle name="千位分隔 5 2 2 2 2 2 2" xfId="31451" xr:uid="{E81FD771-5BDB-4406-B0AD-5FBA54AF9948}"/>
    <cellStyle name="千位分隔 5 2 2 2 2 3" xfId="31452" xr:uid="{27E94276-B022-4632-AE26-C54982E9A219}"/>
    <cellStyle name="千位分隔 5 2 2 2 2 4" xfId="31453" xr:uid="{6D3A61A0-FB3A-4918-A2C6-9C5DBB4A80AE}"/>
    <cellStyle name="千位分隔 5 2 2 2 2 5" xfId="31454" xr:uid="{62CF07BE-D358-4ADD-862F-9804E828CAC2}"/>
    <cellStyle name="千位分隔 5 2 2 2 2 5 2" xfId="35122" xr:uid="{97666617-1734-4CC5-A4E8-486235DF131C}"/>
    <cellStyle name="千位分隔 5 2 2 2 2 6" xfId="31455" xr:uid="{CA976F3D-CE48-4134-8272-EE0FEE90E532}"/>
    <cellStyle name="千位分隔 5 2 2 2 2 6 2" xfId="35123" xr:uid="{4EC965A3-830A-4B26-B618-4BAAB203DCF9}"/>
    <cellStyle name="千位分隔 5 2 2 2 3" xfId="31456" xr:uid="{8BA0FE77-685D-4457-878E-23B1426CC5D3}"/>
    <cellStyle name="千位分隔 5 2 2 2 3 2" xfId="31457" xr:uid="{52149633-2559-4124-8082-50B52A081D52}"/>
    <cellStyle name="千位分隔 5 2 2 2 3 2 2" xfId="31458" xr:uid="{36504027-3611-40FA-82E7-81B7CBE09BA2}"/>
    <cellStyle name="千位分隔 5 2 2 2 3 3" xfId="31459" xr:uid="{9EC3A0F9-F9BD-4FC7-A17E-876F1466EB30}"/>
    <cellStyle name="千位分隔 5 2 2 2 3 4" xfId="31460" xr:uid="{299B8ED0-6348-4A94-B578-15A7BEB8E7CE}"/>
    <cellStyle name="千位分隔 5 2 2 2 3 5" xfId="31461" xr:uid="{42663A72-F371-4B6E-9900-D7E8EEBF8EC0}"/>
    <cellStyle name="千位分隔 5 2 2 2 3 5 2" xfId="35124" xr:uid="{BE33DFE1-7554-4A9F-BF4F-0D585EF378E8}"/>
    <cellStyle name="千位分隔 5 2 2 2 3 6" xfId="31462" xr:uid="{1F5B83C0-3B47-40E4-B907-BF6821133AE3}"/>
    <cellStyle name="千位分隔 5 2 2 2 3 6 2" xfId="35125" xr:uid="{C9CE6FBE-FD5E-4EB8-AE17-96FBDDED1053}"/>
    <cellStyle name="千位分隔 5 2 2 2 4" xfId="31463" xr:uid="{59FD3E4E-BA03-4AD1-91AE-3F1D50CEEAB4}"/>
    <cellStyle name="千位分隔 5 2 2 2 4 2" xfId="31464" xr:uid="{4DF8F3EA-5314-4416-A9D7-FABE29EF166F}"/>
    <cellStyle name="千位分隔 5 2 2 2 5" xfId="31465" xr:uid="{6C299120-FA9A-4736-86F0-D8C0288EE2EB}"/>
    <cellStyle name="千位分隔 5 2 2 2 6" xfId="31466" xr:uid="{B21EBBF4-D0DF-4B19-9D33-49911F71FC4B}"/>
    <cellStyle name="千位分隔 5 2 2 2 7" xfId="31467" xr:uid="{6B508C93-0F79-4E9D-8948-EDEF36C33540}"/>
    <cellStyle name="千位分隔 5 2 2 2 7 2" xfId="35126" xr:uid="{FF3E71F4-1E13-4568-AD00-FB96481083D4}"/>
    <cellStyle name="千位分隔 5 2 2 2 8" xfId="31468" xr:uid="{B9299323-36D0-4CDE-B7BD-6FC1FB29AA55}"/>
    <cellStyle name="千位分隔 5 2 2 2 8 2" xfId="35127" xr:uid="{D2A77EB6-4721-4F91-B1B1-C9835B23FF7F}"/>
    <cellStyle name="千位分隔 5 2 2 3" xfId="31469" xr:uid="{1A9372C8-D0FD-4EEA-A3A7-8A9F0562E304}"/>
    <cellStyle name="千位分隔 5 2 2 3 2" xfId="31470" xr:uid="{B617A4C4-5EC4-421B-90C7-2B2C5A0B5EC4}"/>
    <cellStyle name="千位分隔 5 2 2 3 2 2" xfId="31471" xr:uid="{C5BC07F3-81F7-4D32-80FE-42A5D7CCEBFF}"/>
    <cellStyle name="千位分隔 5 2 2 3 3" xfId="31472" xr:uid="{97F78CF7-82D8-460A-A452-6C1D66776206}"/>
    <cellStyle name="千位分隔 5 2 2 3 3 2" xfId="31473" xr:uid="{008DC164-9C64-4619-8A54-7878201F2046}"/>
    <cellStyle name="千位分隔 5 2 2 3 4" xfId="31474" xr:uid="{5F47FBD5-D1CA-4DB5-A1DB-0A66B8179E86}"/>
    <cellStyle name="千位分隔 5 2 2 3 4 2" xfId="31475" xr:uid="{6D23234B-94A1-48EF-91A7-305FB8DA0498}"/>
    <cellStyle name="千位分隔 5 2 2 3 5" xfId="31476" xr:uid="{1BE62783-C623-4F37-93BB-EBA4B5EA8F1A}"/>
    <cellStyle name="千位分隔 5 2 2 3 5 2" xfId="35128" xr:uid="{73449D8E-3F3A-4533-ADA8-4F42DA9A506C}"/>
    <cellStyle name="千位分隔 5 2 2 3 6" xfId="31477" xr:uid="{B699B66B-DEE0-4657-BCA5-5B1677EB73DC}"/>
    <cellStyle name="千位分隔 5 2 2 3 6 2" xfId="35129" xr:uid="{94C63A4C-296C-484E-9E9E-7616F7102912}"/>
    <cellStyle name="千位分隔 5 2 2 3 7" xfId="31478" xr:uid="{560E5A62-E7C0-4BA0-B31B-92A88E5971EF}"/>
    <cellStyle name="千位分隔 5 2 2 4" xfId="31479" xr:uid="{683505A6-0617-4A11-99EA-3D2918BE6C26}"/>
    <cellStyle name="千位分隔 5 2 2 4 2" xfId="31480" xr:uid="{D378D833-AFB1-4831-B600-33373DFAB76F}"/>
    <cellStyle name="千位分隔 5 2 2 4 2 2" xfId="31481" xr:uid="{3D7B79FE-A94F-46F5-A6F9-F7264F0D1D8F}"/>
    <cellStyle name="千位分隔 5 2 2 4 3" xfId="31482" xr:uid="{A56CE063-E3F0-4234-BEA8-156A9EA87BE2}"/>
    <cellStyle name="千位分隔 5 2 2 4 4" xfId="31483" xr:uid="{033ACB6E-6572-49CA-A770-9FBEBD9D27C2}"/>
    <cellStyle name="千位分隔 5 2 2 4 5" xfId="31484" xr:uid="{FE0016FA-05E5-4DBF-94E3-E7F01471565A}"/>
    <cellStyle name="千位分隔 5 2 2 4 5 2" xfId="35130" xr:uid="{6D04638A-EB84-4DA5-A5D6-1734EA1D29B9}"/>
    <cellStyle name="千位分隔 5 2 2 4 6" xfId="31485" xr:uid="{15F10E81-32A8-402F-B6BA-A52614BFF77B}"/>
    <cellStyle name="千位分隔 5 2 2 4 6 2" xfId="35131" xr:uid="{EC684A9D-49B9-45E3-B727-344EEFDA9501}"/>
    <cellStyle name="千位分隔 5 2 2 4 7" xfId="31486" xr:uid="{D8F55FF5-AF73-4C0B-AEEA-618256B98D93}"/>
    <cellStyle name="千位分隔 5 2 2 5" xfId="31487" xr:uid="{B61F1564-D845-4354-9381-9DF550D531B0}"/>
    <cellStyle name="千位分隔 5 2 2 5 2" xfId="31488" xr:uid="{BD6FE0C4-694B-4319-9D12-4C5027042482}"/>
    <cellStyle name="千位分隔 5 2 2 6" xfId="31489" xr:uid="{1B93A10C-1C7C-4087-8276-43B5FBBDE0CF}"/>
    <cellStyle name="千位分隔 5 2 2 6 2" xfId="31490" xr:uid="{021CEA4D-07C2-4E56-8505-9F0FA51B71B2}"/>
    <cellStyle name="千位分隔 5 2 2 7" xfId="31491" xr:uid="{45D21D23-4458-44C8-A039-863E185BB139}"/>
    <cellStyle name="千位分隔 5 2 2 7 2" xfId="31492" xr:uid="{A21E94B3-EACD-4059-91AD-354BE39BC27A}"/>
    <cellStyle name="千位分隔 5 2 2 8" xfId="31493" xr:uid="{773897AC-4AB9-4D2D-A700-498DD880415D}"/>
    <cellStyle name="千位分隔 5 2 2 8 2" xfId="35132" xr:uid="{43AA37CE-B347-426F-AA35-EEC2D1E44486}"/>
    <cellStyle name="千位分隔 5 2 2 9" xfId="31494" xr:uid="{E17C9F79-CFA8-49E1-9C28-4558AF90717A}"/>
    <cellStyle name="千位分隔 5 2 2 9 2" xfId="35133" xr:uid="{E23E4B8B-C657-4455-82BF-0AEBB97506A9}"/>
    <cellStyle name="千位分隔 5 2 3" xfId="31495" xr:uid="{E8BD28F0-F87D-421B-8A16-00BAED1528B3}"/>
    <cellStyle name="千位分隔 5 2 3 2" xfId="31496" xr:uid="{C4CD16B5-3136-46F9-BD19-A814CC950BF6}"/>
    <cellStyle name="千位分隔 5 2 3 2 2" xfId="31497" xr:uid="{313B6EDC-BFCF-49EB-9AE7-D5CAF11F51BC}"/>
    <cellStyle name="千位分隔 5 2 3 2 2 2" xfId="31498" xr:uid="{173D3E67-FE4F-4E11-AC75-BD2B1CB9B303}"/>
    <cellStyle name="千位分隔 5 2 3 2 3" xfId="31499" xr:uid="{1E044C3E-C767-4DDF-A841-A429FBABDBF7}"/>
    <cellStyle name="千位分隔 5 2 3 2 4" xfId="31500" xr:uid="{CEE9B11F-0030-4541-AD7E-C24B72948C3D}"/>
    <cellStyle name="千位分隔 5 2 3 2 5" xfId="31501" xr:uid="{83251972-1C4C-44B2-AB1E-8EA889D3CA32}"/>
    <cellStyle name="千位分隔 5 2 3 2 5 2" xfId="35134" xr:uid="{06647635-8B24-43A6-AA77-D2E76B7B05B8}"/>
    <cellStyle name="千位分隔 5 2 3 2 6" xfId="31502" xr:uid="{E2DA4055-EF91-4A8A-90C8-30C2BD402F17}"/>
    <cellStyle name="千位分隔 5 2 3 2 6 2" xfId="35135" xr:uid="{67FA26BD-1688-4B43-8C42-61D39A1958D7}"/>
    <cellStyle name="千位分隔 5 2 3 3" xfId="31503" xr:uid="{FCBD6F64-DC3C-4849-A3E0-4877F686DCA8}"/>
    <cellStyle name="千位分隔 5 2 3 3 2" xfId="31504" xr:uid="{5DE1B4A4-968A-4327-8689-39D69747692A}"/>
    <cellStyle name="千位分隔 5 2 3 3 2 2" xfId="31505" xr:uid="{E8B793C2-33A2-4D8B-9E7C-62DBC785110C}"/>
    <cellStyle name="千位分隔 5 2 3 3 3" xfId="31506" xr:uid="{566C68B2-D695-43AA-A588-A1916F479E1C}"/>
    <cellStyle name="千位分隔 5 2 3 3 4" xfId="31507" xr:uid="{49E597CB-1935-416D-81EF-50F09D5E5BA3}"/>
    <cellStyle name="千位分隔 5 2 3 3 5" xfId="31508" xr:uid="{7F122779-DB34-4356-B1DC-978CCC4A9FC0}"/>
    <cellStyle name="千位分隔 5 2 3 3 5 2" xfId="35136" xr:uid="{B80F56F3-BFFE-44EA-B42B-229F6BA7E34D}"/>
    <cellStyle name="千位分隔 5 2 3 3 6" xfId="31509" xr:uid="{3B03B4D0-538A-46F8-851B-B7C5248797E9}"/>
    <cellStyle name="千位分隔 5 2 3 3 6 2" xfId="35137" xr:uid="{2AD4A122-31A4-41AD-9F77-370D3FF544DC}"/>
    <cellStyle name="千位分隔 5 2 3 4" xfId="31510" xr:uid="{41F1DB7F-35E1-494C-905C-31ED400CC827}"/>
    <cellStyle name="千位分隔 5 2 3 4 2" xfId="31511" xr:uid="{7BFCE7CF-F9E2-463B-A822-04A33D4BD775}"/>
    <cellStyle name="千位分隔 5 2 3 5" xfId="31512" xr:uid="{B58B8B90-6E70-4226-B1F0-725305F291FE}"/>
    <cellStyle name="千位分隔 5 2 3 6" xfId="31513" xr:uid="{70449D59-F6D6-42F0-808F-884243676AE6}"/>
    <cellStyle name="千位分隔 5 2 3 7" xfId="31514" xr:uid="{0766A0E0-852E-4B4F-898E-BE1B6557CC41}"/>
    <cellStyle name="千位分隔 5 2 3 7 2" xfId="35138" xr:uid="{0703640F-00DD-4AC7-9DC1-AC8C388788A6}"/>
    <cellStyle name="千位分隔 5 2 3 8" xfId="31515" xr:uid="{AF67D94C-920D-439D-BA6B-9603EDF3C7E1}"/>
    <cellStyle name="千位分隔 5 2 3 8 2" xfId="35139" xr:uid="{995C13AF-97F4-4B63-9A41-26AB92F43E28}"/>
    <cellStyle name="千位分隔 5 2 3 9" xfId="31516" xr:uid="{28FB20E9-3F8F-4F39-B16B-E00A89D67BED}"/>
    <cellStyle name="千位分隔 5 2 4" xfId="31517" xr:uid="{1ACB7DCE-290E-4040-9617-46AE7334A611}"/>
    <cellStyle name="千位分隔 5 2 4 2" xfId="31518" xr:uid="{DEBC352E-0DF5-45F2-BCD9-F40DCF62E2F3}"/>
    <cellStyle name="千位分隔 5 2 4 2 2" xfId="31519" xr:uid="{749C37BE-1285-4178-84BA-323C1F1FD2A1}"/>
    <cellStyle name="千位分隔 5 2 4 3" xfId="31520" xr:uid="{FE4F6FB5-87FE-420A-BCF0-0B581A4A2AFF}"/>
    <cellStyle name="千位分隔 5 2 4 4" xfId="31521" xr:uid="{3DD6756A-C2DE-4849-AA71-67EBBAEBD65B}"/>
    <cellStyle name="千位分隔 5 2 4 5" xfId="31522" xr:uid="{15E13239-5196-424B-B34B-58FE8DB17551}"/>
    <cellStyle name="千位分隔 5 2 4 5 2" xfId="35140" xr:uid="{C2843E5D-9F55-4AE7-B61A-352943B74C2B}"/>
    <cellStyle name="千位分隔 5 2 4 6" xfId="31523" xr:uid="{117826A5-6ADA-4A22-BE36-8B81F66FACEF}"/>
    <cellStyle name="千位分隔 5 2 4 6 2" xfId="35141" xr:uid="{D5AD7E77-7ECE-4927-BF89-250EC3AF862A}"/>
    <cellStyle name="千位分隔 5 2 5" xfId="31524" xr:uid="{87431E01-6810-4A32-B54C-B3D348625298}"/>
    <cellStyle name="千位分隔 5 2 5 2" xfId="31525" xr:uid="{9FFA8136-C8EC-46EF-BE84-7676BC1F2BAA}"/>
    <cellStyle name="千位分隔 5 2 5 2 2" xfId="31526" xr:uid="{5E92392E-E1A1-4549-B082-E267AA71C903}"/>
    <cellStyle name="千位分隔 5 2 5 2 3" xfId="31527" xr:uid="{FD70AC2B-E844-44B3-BC0C-BC3D40B9CB9A}"/>
    <cellStyle name="千位分隔 5 2 5 2 4" xfId="31528" xr:uid="{E496E81B-E13D-4712-9B74-E2AF23B73D12}"/>
    <cellStyle name="千位分隔 5 2 5 2 5" xfId="31529" xr:uid="{C67B2253-D6A9-4C17-9102-791902EFB7BB}"/>
    <cellStyle name="千位分隔 5 2 5 2 6" xfId="31530" xr:uid="{42FB19FD-287A-4D00-9EE7-16FA2C61A958}"/>
    <cellStyle name="千位分隔 5 2 5 2 7" xfId="31531" xr:uid="{FD8DE4BE-11E2-4409-8387-E9C5428B47C5}"/>
    <cellStyle name="千位分隔 5 2 5 3" xfId="31532" xr:uid="{C860EED2-D552-479B-8BB7-0CAA5100D2CC}"/>
    <cellStyle name="千位分隔 5 2 5 3 2" xfId="31533" xr:uid="{FA77C1DA-CE00-4F74-932F-3AD23909D035}"/>
    <cellStyle name="千位分隔 5 2 5 4" xfId="31534" xr:uid="{D0B4478E-B89D-4370-8A69-CC21DAEC2FDF}"/>
    <cellStyle name="千位分隔 5 2 5 4 2" xfId="31535" xr:uid="{9E7529A9-E62E-4620-98B7-C6AE2229A1B8}"/>
    <cellStyle name="千位分隔 5 2 5 5" xfId="31536" xr:uid="{A3A88759-C121-452E-B3E7-E9728B9CAD09}"/>
    <cellStyle name="千位分隔 5 2 5 5 2" xfId="35142" xr:uid="{2A231FCB-B39B-4898-A0EF-2C6754B9D654}"/>
    <cellStyle name="千位分隔 5 2 5 6" xfId="31537" xr:uid="{8E977924-5F64-483F-B3ED-429B7A65A784}"/>
    <cellStyle name="千位分隔 5 2 5 6 2" xfId="35143" xr:uid="{A4E147B5-6041-48AA-AAC2-996A5496CE0A}"/>
    <cellStyle name="千位分隔 5 2 5 7" xfId="31538" xr:uid="{A5B693C8-96F4-42B6-ABCA-EA5E78ABB838}"/>
    <cellStyle name="千位分隔 5 2 5 8" xfId="31539" xr:uid="{FB393427-E39D-47DD-B8A7-3A70993568A2}"/>
    <cellStyle name="千位分隔 5 2 6" xfId="31540" xr:uid="{DDBD39FE-F6CD-45A2-86BF-253AD93EBF29}"/>
    <cellStyle name="千位分隔 5 2 6 2" xfId="31541" xr:uid="{F7050696-5C46-446A-886F-FC88FEC446F9}"/>
    <cellStyle name="千位分隔 5 2 6 3" xfId="31542" xr:uid="{BFB6AA86-38F0-44C1-A943-58230996CED8}"/>
    <cellStyle name="千位分隔 5 2 6 4" xfId="31543" xr:uid="{CB776E47-E0F6-4A20-BEE9-BF3838AA6191}"/>
    <cellStyle name="千位分隔 5 2 6 5" xfId="31544" xr:uid="{558DDBE5-7A40-4B6F-88D9-F5779E9B8D5E}"/>
    <cellStyle name="千位分隔 5 2 6 6" xfId="31545" xr:uid="{63EDB9B1-1958-4794-8491-9136C1264465}"/>
    <cellStyle name="千位分隔 5 2 6 7" xfId="31546" xr:uid="{57F390B9-AA63-4A2F-804A-38D01E7768F7}"/>
    <cellStyle name="千位分隔 5 2 7" xfId="31547" xr:uid="{87E818B9-333A-4393-992F-FE48B3565C65}"/>
    <cellStyle name="千位分隔 5 2 7 2" xfId="31548" xr:uid="{546E6BDC-EBE3-4C9F-A4D9-3664956D5121}"/>
    <cellStyle name="千位分隔 5 2 8" xfId="31549" xr:uid="{2C8638F7-CCF6-4F08-A62A-D9E31B7768EA}"/>
    <cellStyle name="千位分隔 5 2 8 2" xfId="31550" xr:uid="{BFF03458-12EC-4023-A129-AB6DED1E5EBA}"/>
    <cellStyle name="千位分隔 5 2 9" xfId="31551" xr:uid="{29A0A010-E922-4AE2-93AF-7DB49397B7E5}"/>
    <cellStyle name="千位分隔 5 2 9 2" xfId="35144" xr:uid="{A207293C-C2E0-483E-B67E-10FD108BE08E}"/>
    <cellStyle name="千位分隔 5 3" xfId="31552" xr:uid="{8B5CC0EC-DD73-47B3-9C67-93E45336831B}"/>
    <cellStyle name="千位分隔 5 3 10" xfId="31553" xr:uid="{62A189BE-164B-445E-AC5C-F0C145483AC3}"/>
    <cellStyle name="千位分隔 5 3 10 2" xfId="35145" xr:uid="{C98EBB1C-2999-4800-9F3B-6BC2DD0A549A}"/>
    <cellStyle name="千位分隔 5 3 11" xfId="31554" xr:uid="{1D91F4BD-9399-4D99-A8D4-EFF86CDB0197}"/>
    <cellStyle name="千位分隔 5 3 2" xfId="31555" xr:uid="{A6BBA024-D934-4282-9293-0A0A7BCD565F}"/>
    <cellStyle name="千位分隔 5 3 2 2" xfId="31556" xr:uid="{06D27250-A05E-4165-AD93-E258B5FF4183}"/>
    <cellStyle name="千位分隔 5 3 2 2 2" xfId="31557" xr:uid="{B72EFE69-75D0-462F-A191-9DC28945B7FA}"/>
    <cellStyle name="千位分隔 5 3 2 2 2 2" xfId="31558" xr:uid="{4A110DE5-5BC9-4389-BC22-9FBCC37D81C3}"/>
    <cellStyle name="千位分隔 5 3 2 2 2 2 2" xfId="31559" xr:uid="{E3876058-6481-44C8-BC53-3FF912934248}"/>
    <cellStyle name="千位分隔 5 3 2 2 2 3" xfId="31560" xr:uid="{D4E79D29-347C-46D0-B669-AC9342221F5C}"/>
    <cellStyle name="千位分隔 5 3 2 2 2 4" xfId="31561" xr:uid="{6B9A1C32-964D-4779-9986-9D657AD0C2F8}"/>
    <cellStyle name="千位分隔 5 3 2 2 2 5" xfId="31562" xr:uid="{27171723-8EEE-4043-8941-6499B68B7CB9}"/>
    <cellStyle name="千位分隔 5 3 2 2 2 5 2" xfId="35146" xr:uid="{56AA4881-3C90-4C25-BB41-27367B2ACCAE}"/>
    <cellStyle name="千位分隔 5 3 2 2 2 6" xfId="31563" xr:uid="{58D21110-76AA-4491-846F-DDA3639B8BBF}"/>
    <cellStyle name="千位分隔 5 3 2 2 2 6 2" xfId="35147" xr:uid="{EE83442F-C92B-453E-B33A-CD30E44DD301}"/>
    <cellStyle name="千位分隔 5 3 2 2 3" xfId="31564" xr:uid="{785F0FE9-650F-4BBF-824C-B2BD4C00966A}"/>
    <cellStyle name="千位分隔 5 3 2 2 3 2" xfId="31565" xr:uid="{5DA3F839-4AD1-4EBA-86AF-967D407F907A}"/>
    <cellStyle name="千位分隔 5 3 2 2 4" xfId="31566" xr:uid="{49195300-1544-4EC2-B04F-3F587688F9F1}"/>
    <cellStyle name="千位分隔 5 3 2 2 5" xfId="31567" xr:uid="{8DC0F7B7-3800-4AA3-9C17-A05EC0D65062}"/>
    <cellStyle name="千位分隔 5 3 2 2 6" xfId="31568" xr:uid="{D83E7759-DF30-4FCF-A546-BC4DAE17B8D4}"/>
    <cellStyle name="千位分隔 5 3 2 2 6 2" xfId="35148" xr:uid="{8FA7D551-8B87-45F5-9DD0-CEF1FED342B9}"/>
    <cellStyle name="千位分隔 5 3 2 2 7" xfId="31569" xr:uid="{306AE7D1-78AD-46D7-B712-F094F35613A8}"/>
    <cellStyle name="千位分隔 5 3 2 2 7 2" xfId="35149" xr:uid="{0A004B83-054F-43E9-90FB-E4A3D7C255B1}"/>
    <cellStyle name="千位分隔 5 3 2 2 8" xfId="31570" xr:uid="{F08EDE10-259D-47DA-B03B-C825BA4E29A7}"/>
    <cellStyle name="千位分隔 5 3 2 3" xfId="31571" xr:uid="{955CAC37-62B2-4C01-8395-CE0A899726C9}"/>
    <cellStyle name="千位分隔 5 3 2 3 2" xfId="31572" xr:uid="{7DADED06-68C7-4CD1-B035-DC470CA4F4D8}"/>
    <cellStyle name="千位分隔 5 3 2 3 2 2" xfId="31573" xr:uid="{7B846434-1ECA-4B43-AD24-BD1ED46A6641}"/>
    <cellStyle name="千位分隔 5 3 2 3 3" xfId="31574" xr:uid="{92BB145D-2BAF-4D88-958E-47CAB5E14FDB}"/>
    <cellStyle name="千位分隔 5 3 2 3 3 2" xfId="31575" xr:uid="{A1EF732C-10D8-420C-8DDC-AC2F1B81FDCA}"/>
    <cellStyle name="千位分隔 5 3 2 3 4" xfId="31576" xr:uid="{03F6CA1E-C79B-4F66-A7F0-9E981DCBD2D2}"/>
    <cellStyle name="千位分隔 5 3 2 3 4 2" xfId="31577" xr:uid="{F5E9207E-D54C-4DA0-8E49-C3F49BAD85B0}"/>
    <cellStyle name="千位分隔 5 3 2 3 5" xfId="31578" xr:uid="{C7725A50-149C-4040-9F8B-5D62DDECE186}"/>
    <cellStyle name="千位分隔 5 3 2 3 5 2" xfId="35150" xr:uid="{A8C7294D-B9BA-419A-9AAD-52D927DAE661}"/>
    <cellStyle name="千位分隔 5 3 2 3 6" xfId="31579" xr:uid="{E2846CE0-0DFA-4921-BAFE-25FFF7B4AA50}"/>
    <cellStyle name="千位分隔 5 3 2 3 6 2" xfId="35151" xr:uid="{2C3CCF04-C787-49B4-98A3-005CAD84F611}"/>
    <cellStyle name="千位分隔 5 3 2 3 7" xfId="31580" xr:uid="{008450EE-C4EA-48D0-B583-7FDF03837FCD}"/>
    <cellStyle name="千位分隔 5 3 2 4" xfId="31581" xr:uid="{90D6D656-BB04-45E9-9033-CEA226D139FC}"/>
    <cellStyle name="千位分隔 5 3 2 4 2" xfId="31582" xr:uid="{DA8B90C9-DF24-4E57-809F-A7C5C2608159}"/>
    <cellStyle name="千位分隔 5 3 2 5" xfId="31583" xr:uid="{32269629-F7BE-4D9A-81EB-7AEFB3682002}"/>
    <cellStyle name="千位分隔 5 3 2 5 2" xfId="31584" xr:uid="{502EFC7B-640C-4FAD-B829-3ACC18177994}"/>
    <cellStyle name="千位分隔 5 3 2 6" xfId="31585" xr:uid="{331A7EF7-A799-4B93-9E6A-F3674927C533}"/>
    <cellStyle name="千位分隔 5 3 2 6 2" xfId="31586" xr:uid="{61678868-E918-4F84-988B-0CEBF6C5A51E}"/>
    <cellStyle name="千位分隔 5 3 2 7" xfId="31587" xr:uid="{2E3D9185-95EF-4FC8-8FC2-0D8A813B439E}"/>
    <cellStyle name="千位分隔 5 3 2 7 2" xfId="35152" xr:uid="{40679E76-8F17-4D52-934B-F9A687A70A1C}"/>
    <cellStyle name="千位分隔 5 3 2 8" xfId="31588" xr:uid="{B759B7E4-968A-40E8-A98C-1B1BE09FE83E}"/>
    <cellStyle name="千位分隔 5 3 2 8 2" xfId="35153" xr:uid="{ABBE14D0-FBC6-447F-B0BE-0A12F7025B0E}"/>
    <cellStyle name="千位分隔 5 3 2 9" xfId="31589" xr:uid="{EDA97508-727A-4F8C-94EC-D3BE30AF74A3}"/>
    <cellStyle name="千位分隔 5 3 3" xfId="31590" xr:uid="{E6AF9F32-9A3F-4372-BAC9-5B38C67B5F1F}"/>
    <cellStyle name="千位分隔 5 3 3 2" xfId="31591" xr:uid="{38388FC9-5A25-4453-999E-6A6422EC0CC9}"/>
    <cellStyle name="千位分隔 5 3 3 2 2" xfId="31592" xr:uid="{6C330C59-D47F-40B1-80FA-215C4F61FA2D}"/>
    <cellStyle name="千位分隔 5 3 3 2 2 2" xfId="31593" xr:uid="{23B6D340-9272-49D2-8AA0-993D8AA605A8}"/>
    <cellStyle name="千位分隔 5 3 3 2 3" xfId="31594" xr:uid="{EF18A37A-7814-465C-AFC9-0DDE16612C2B}"/>
    <cellStyle name="千位分隔 5 3 3 2 3 2" xfId="31595" xr:uid="{4F96753B-2E7E-4409-BCDA-FB3954148A9E}"/>
    <cellStyle name="千位分隔 5 3 3 2 4" xfId="31596" xr:uid="{B727029F-463A-4769-9C87-8C9FF3607563}"/>
    <cellStyle name="千位分隔 5 3 3 2 4 2" xfId="31597" xr:uid="{A6788D03-DF7F-4AFC-99DB-C54BD38B3205}"/>
    <cellStyle name="千位分隔 5 3 3 2 5" xfId="31598" xr:uid="{3EC8FB0A-DCC5-40FE-894D-88475D276B1B}"/>
    <cellStyle name="千位分隔 5 3 3 2 5 2" xfId="35154" xr:uid="{65A096BD-AA82-4508-AA97-8978281BB712}"/>
    <cellStyle name="千位分隔 5 3 3 2 6" xfId="31599" xr:uid="{569A6BB8-5E40-4D26-A1D6-100BCD481273}"/>
    <cellStyle name="千位分隔 5 3 3 2 6 2" xfId="35155" xr:uid="{C2E96DC1-94A7-49AE-9EB5-9C36980191E1}"/>
    <cellStyle name="千位分隔 5 3 3 2 7" xfId="31600" xr:uid="{63BC711B-64BA-48A0-A83D-BD1C8D3B285C}"/>
    <cellStyle name="千位分隔 5 3 3 3" xfId="31601" xr:uid="{23060432-AB86-44EB-85CA-53A00A5797AB}"/>
    <cellStyle name="千位分隔 5 3 3 3 2" xfId="31602" xr:uid="{6BE1FE9B-A1B2-43D6-A721-6C992C8243A6}"/>
    <cellStyle name="千位分隔 5 3 3 3 2 2" xfId="31603" xr:uid="{9EA128CF-7FAB-4978-B45F-7C4483EBF4C0}"/>
    <cellStyle name="千位分隔 5 3 3 3 3" xfId="31604" xr:uid="{AB5B8830-A30F-47FC-BB86-F0782E5BD06E}"/>
    <cellStyle name="千位分隔 5 3 3 3 4" xfId="31605" xr:uid="{3275C68D-25F9-49FF-AFD2-CCA9DD92EFB2}"/>
    <cellStyle name="千位分隔 5 3 3 3 5" xfId="31606" xr:uid="{2F5100E9-E233-42C2-9B91-7E09172BE091}"/>
    <cellStyle name="千位分隔 5 3 3 3 5 2" xfId="35156" xr:uid="{7778DFC0-9619-4059-9BBD-AC96EE67F989}"/>
    <cellStyle name="千位分隔 5 3 3 3 6" xfId="31607" xr:uid="{388A73B3-F3B6-4BB1-8B21-BCD8B138719D}"/>
    <cellStyle name="千位分隔 5 3 3 3 6 2" xfId="35157" xr:uid="{8250056D-7D79-4ECB-BD6F-5D13217F71E8}"/>
    <cellStyle name="千位分隔 5 3 3 3 7" xfId="31608" xr:uid="{84085F03-A412-4F14-9F78-37B28E92E509}"/>
    <cellStyle name="千位分隔 5 3 3 4" xfId="31609" xr:uid="{CDFCF377-FC9D-4B2C-B67D-7E14C666D877}"/>
    <cellStyle name="千位分隔 5 3 3 4 2" xfId="31610" xr:uid="{E3D47863-E59C-448E-9FAB-067E4AC021F0}"/>
    <cellStyle name="千位分隔 5 3 3 5" xfId="31611" xr:uid="{F62674D9-7620-4CDB-805C-DCD6A04788DD}"/>
    <cellStyle name="千位分隔 5 3 3 5 2" xfId="31612" xr:uid="{AB085E4D-4065-4E73-A268-6861EF84E215}"/>
    <cellStyle name="千位分隔 5 3 3 6" xfId="31613" xr:uid="{20F272B2-260E-44CA-B861-20B65200E5F9}"/>
    <cellStyle name="千位分隔 5 3 3 6 2" xfId="31614" xr:uid="{903654DA-9B48-4DC6-B82D-1BE1EB79752D}"/>
    <cellStyle name="千位分隔 5 3 3 7" xfId="31615" xr:uid="{19E66755-84A5-4F0B-9A53-59855FD16355}"/>
    <cellStyle name="千位分隔 5 3 3 7 2" xfId="35158" xr:uid="{76437842-4C18-4706-A95D-087761CE7444}"/>
    <cellStyle name="千位分隔 5 3 3 8" xfId="31616" xr:uid="{8A8CB1DC-97CB-4957-8551-08401CFEF9B8}"/>
    <cellStyle name="千位分隔 5 3 3 8 2" xfId="35159" xr:uid="{5C42C180-DB0E-499F-ABE7-DF2B24894652}"/>
    <cellStyle name="千位分隔 5 3 3 9" xfId="31617" xr:uid="{4936C0F1-BCD5-4594-A96A-852DEFD0D2A7}"/>
    <cellStyle name="千位分隔 5 3 4" xfId="31618" xr:uid="{38A3647C-DB97-40C8-8DE1-4661940253AD}"/>
    <cellStyle name="千位分隔 5 3 4 2" xfId="31619" xr:uid="{6D125786-8678-44F5-AD5C-C209A2DA3D59}"/>
    <cellStyle name="千位分隔 5 3 4 2 2" xfId="31620" xr:uid="{F279968D-58B9-4A68-BD5A-38D7E2FD4CCD}"/>
    <cellStyle name="千位分隔 5 3 4 3" xfId="31621" xr:uid="{B207E62B-C9DB-4F61-8BF3-A8CFE5AF16D7}"/>
    <cellStyle name="千位分隔 5 3 4 3 2" xfId="31622" xr:uid="{0EA48080-904C-4004-9E4E-89AF6ECDD280}"/>
    <cellStyle name="千位分隔 5 3 4 4" xfId="31623" xr:uid="{125BB8BE-9AF9-4B62-A727-EAE5A4A7638E}"/>
    <cellStyle name="千位分隔 5 3 4 4 2" xfId="31624" xr:uid="{089BCB78-41CA-450C-828A-6FFF7AF6E397}"/>
    <cellStyle name="千位分隔 5 3 4 5" xfId="31625" xr:uid="{28E88714-8355-4D75-A620-391AC510A46C}"/>
    <cellStyle name="千位分隔 5 3 4 5 2" xfId="35160" xr:uid="{62CF1369-A9C8-417D-97A3-704EE4ABB220}"/>
    <cellStyle name="千位分隔 5 3 4 6" xfId="31626" xr:uid="{DB470E07-88AA-453D-9D6E-D8A92EFE08BA}"/>
    <cellStyle name="千位分隔 5 3 4 6 2" xfId="35161" xr:uid="{0A240218-E235-4A16-8B49-C4DB79B1C963}"/>
    <cellStyle name="千位分隔 5 3 4 7" xfId="31627" xr:uid="{15B30C35-69AE-48BC-A0C7-B13B1D322C40}"/>
    <cellStyle name="千位分隔 5 3 5" xfId="31628" xr:uid="{4322101E-1746-4C28-B521-30D225F0E624}"/>
    <cellStyle name="千位分隔 5 3 5 2" xfId="31629" xr:uid="{B0DC0920-51EE-4F62-8D97-0A997790C9FD}"/>
    <cellStyle name="千位分隔 5 3 5 2 2" xfId="31630" xr:uid="{58BB08D8-84AA-4A56-97A3-A0068E790769}"/>
    <cellStyle name="千位分隔 5 3 5 3" xfId="31631" xr:uid="{B12C76FC-E3E8-44CC-90EF-97C084E26FBF}"/>
    <cellStyle name="千位分隔 5 3 5 4" xfId="31632" xr:uid="{57DB2A74-D2E7-4B90-A65A-D4F73C8FA187}"/>
    <cellStyle name="千位分隔 5 3 5 5" xfId="31633" xr:uid="{46DCBAFB-DFE0-4D32-8B7D-D2EA87AB353D}"/>
    <cellStyle name="千位分隔 5 3 5 5 2" xfId="35162" xr:uid="{2F50637E-CE06-484D-96B4-6DE2134F3692}"/>
    <cellStyle name="千位分隔 5 3 5 6" xfId="31634" xr:uid="{4D4D2687-1A16-4EA5-A688-31CFDC84F428}"/>
    <cellStyle name="千位分隔 5 3 5 6 2" xfId="35163" xr:uid="{AEF640C9-D180-40D6-A0DE-F9B9A2F1D165}"/>
    <cellStyle name="千位分隔 5 3 5 7" xfId="31635" xr:uid="{AD3CB22A-EFE8-4134-8555-88F17275EE66}"/>
    <cellStyle name="千位分隔 5 3 6" xfId="31636" xr:uid="{499A17CD-5F86-4761-AF95-019170640062}"/>
    <cellStyle name="千位分隔 5 3 6 2" xfId="31637" xr:uid="{AB1988C0-088D-459B-9B97-07612FE2565E}"/>
    <cellStyle name="千位分隔 5 3 7" xfId="31638" xr:uid="{8FEFBBA9-1862-4603-A78E-7ACD5BAF301C}"/>
    <cellStyle name="千位分隔 5 3 7 2" xfId="31639" xr:uid="{474DAB80-6EB1-4F3F-A51F-03E73D2EC0C6}"/>
    <cellStyle name="千位分隔 5 3 8" xfId="31640" xr:uid="{6BB817CD-075B-49F0-A3C8-0A075A59439A}"/>
    <cellStyle name="千位分隔 5 3 8 2" xfId="31641" xr:uid="{A5ADE763-48B6-423E-A3D3-296E11062128}"/>
    <cellStyle name="千位分隔 5 3 9" xfId="31642" xr:uid="{59504EC7-AEF7-4387-8B42-E5BCD15D0F8A}"/>
    <cellStyle name="千位分隔 5 3 9 2" xfId="35164" xr:uid="{0E0A7CB0-785E-4AA4-BB91-8D3DC9D9DADE}"/>
    <cellStyle name="千位分隔 5 4" xfId="31643" xr:uid="{6E9891E1-523A-4AB8-9CE2-39BEE04B9878}"/>
    <cellStyle name="千位分隔 5 4 10" xfId="31644" xr:uid="{3BC6B2E1-3945-4D89-A174-6ECFB1F89F7D}"/>
    <cellStyle name="千位分隔 5 4 2" xfId="31645" xr:uid="{3DDF502E-2B07-4EF4-B846-FA955740C216}"/>
    <cellStyle name="千位分隔 5 4 2 2" xfId="31646" xr:uid="{1E049CA5-5D89-46CF-A5CB-EE9F0B2B1625}"/>
    <cellStyle name="千位分隔 5 4 2 2 2" xfId="31647" xr:uid="{7ED9C1CE-934B-4261-808E-3649252A6745}"/>
    <cellStyle name="千位分隔 5 4 2 2 2 2" xfId="31648" xr:uid="{A490E4A5-8135-47FD-9D40-64E7ED25B52E}"/>
    <cellStyle name="千位分隔 5 4 2 2 3" xfId="31649" xr:uid="{86B9B9DD-FE98-4B7F-A257-75835A576CAA}"/>
    <cellStyle name="千位分隔 5 4 2 2 4" xfId="31650" xr:uid="{28DEAAA7-9BA8-4F33-8579-D9B050A2C57A}"/>
    <cellStyle name="千位分隔 5 4 2 2 5" xfId="31651" xr:uid="{F8B4C9CA-FF1E-4267-981C-418D08D84E5B}"/>
    <cellStyle name="千位分隔 5 4 2 2 5 2" xfId="35165" xr:uid="{B84AB852-D7C9-4C30-9B28-A3E1A863127A}"/>
    <cellStyle name="千位分隔 5 4 2 2 6" xfId="31652" xr:uid="{40724B8A-9CDC-49EE-B686-77D5E2311AEE}"/>
    <cellStyle name="千位分隔 5 4 2 2 6 2" xfId="35166" xr:uid="{B20AC5F0-04FD-4F66-A281-11C17611A365}"/>
    <cellStyle name="千位分隔 5 4 2 3" xfId="31653" xr:uid="{41D69A59-D662-4197-8D00-F1A7CC3CB7D5}"/>
    <cellStyle name="千位分隔 5 4 2 3 2" xfId="31654" xr:uid="{011E9918-19E3-4213-AEE3-67252EC5A95A}"/>
    <cellStyle name="千位分隔 5 4 2 3 2 2" xfId="31655" xr:uid="{11DCEF65-C0B3-427F-8F54-56F9A0396E1B}"/>
    <cellStyle name="千位分隔 5 4 2 3 3" xfId="31656" xr:uid="{4FF00F25-98C5-4CE0-894B-D6C0AFC4CEE7}"/>
    <cellStyle name="千位分隔 5 4 2 3 4" xfId="31657" xr:uid="{4CCBE11D-ECAA-49E8-B170-CD54AF0C7C8B}"/>
    <cellStyle name="千位分隔 5 4 2 3 5" xfId="31658" xr:uid="{942318F6-4F5F-49A7-B8F8-1FD0F7AD8435}"/>
    <cellStyle name="千位分隔 5 4 2 3 5 2" xfId="35167" xr:uid="{857B1FCC-8C7C-4645-B2EE-F219BC026A87}"/>
    <cellStyle name="千位分隔 5 4 2 3 6" xfId="31659" xr:uid="{25C7D7E9-0DB1-48EA-B9BC-EB4BF9F804B9}"/>
    <cellStyle name="千位分隔 5 4 2 3 6 2" xfId="35168" xr:uid="{D5B46477-AF30-4A51-925E-8F84CBDE41CB}"/>
    <cellStyle name="千位分隔 5 4 2 4" xfId="31660" xr:uid="{B5DC248E-7183-4F0F-B2E8-344B184AD696}"/>
    <cellStyle name="千位分隔 5 4 2 4 2" xfId="31661" xr:uid="{66DEBABD-8298-4B09-96BD-75C7F15A58B5}"/>
    <cellStyle name="千位分隔 5 4 2 5" xfId="31662" xr:uid="{8AE70192-EB3C-44D7-BD71-35475FF71DF0}"/>
    <cellStyle name="千位分隔 5 4 2 6" xfId="31663" xr:uid="{7E7ECADF-1969-4212-AC94-64DF7DB7A442}"/>
    <cellStyle name="千位分隔 5 4 2 7" xfId="31664" xr:uid="{6629BCB8-2851-49E9-BD0A-F5B4CE2E0A8C}"/>
    <cellStyle name="千位分隔 5 4 2 7 2" xfId="35169" xr:uid="{AAD4964D-B7AA-4A16-AA3A-3E38643B9A4B}"/>
    <cellStyle name="千位分隔 5 4 2 8" xfId="31665" xr:uid="{CEFB2AB7-E741-4645-95FD-653834068DA0}"/>
    <cellStyle name="千位分隔 5 4 2 8 2" xfId="35170" xr:uid="{62B5AF9B-BB5D-4AF6-8053-F15D67D88FA5}"/>
    <cellStyle name="千位分隔 5 4 2 9" xfId="31666" xr:uid="{884D40E6-D33F-416C-B86E-02BA887D1996}"/>
    <cellStyle name="千位分隔 5 4 3" xfId="31667" xr:uid="{00E216F6-24BC-4D8B-A17D-7C793756AEAE}"/>
    <cellStyle name="千位分隔 5 4 3 2" xfId="31668" xr:uid="{4134FC7E-91FD-4A9B-BB72-0DCA2A710046}"/>
    <cellStyle name="千位分隔 5 4 3 2 2" xfId="31669" xr:uid="{813F8035-8F97-400D-BF86-CB7CA1674898}"/>
    <cellStyle name="千位分隔 5 4 3 3" xfId="31670" xr:uid="{D635CC9E-3981-40A5-A8B2-BC15BF6802AC}"/>
    <cellStyle name="千位分隔 5 4 3 3 2" xfId="31671" xr:uid="{F4A180B9-828C-499F-9C9C-EEF6B9D23531}"/>
    <cellStyle name="千位分隔 5 4 3 4" xfId="31672" xr:uid="{49A7AE5F-020F-44B7-ADE4-E484D93EFDFA}"/>
    <cellStyle name="千位分隔 5 4 3 4 2" xfId="31673" xr:uid="{6A79EAD3-CBF5-42E1-BD04-F8F63E52B4C5}"/>
    <cellStyle name="千位分隔 5 4 3 5" xfId="31674" xr:uid="{4F608C33-459A-4E79-A4F8-30453A76985E}"/>
    <cellStyle name="千位分隔 5 4 3 5 2" xfId="35171" xr:uid="{635AA417-5552-44FF-A1F9-50317B5C6E52}"/>
    <cellStyle name="千位分隔 5 4 3 6" xfId="31675" xr:uid="{CDBC8224-F623-47BC-9C59-F69326DFD0CE}"/>
    <cellStyle name="千位分隔 5 4 3 6 2" xfId="35172" xr:uid="{6FEBDA98-BD19-42CC-BA7E-98B06F1BB9E7}"/>
    <cellStyle name="千位分隔 5 4 3 7" xfId="31676" xr:uid="{2CED6CBC-EA33-4AA0-A618-95AE0B66B328}"/>
    <cellStyle name="千位分隔 5 4 4" xfId="31677" xr:uid="{351689F8-EA2F-4ADB-AA36-E62394004902}"/>
    <cellStyle name="千位分隔 5 4 4 2" xfId="31678" xr:uid="{FF272635-0C44-4F91-B2FE-C8615E1D53E7}"/>
    <cellStyle name="千位分隔 5 4 4 2 2" xfId="31679" xr:uid="{DC4B3563-DEBE-4F10-927B-44AAA7BB6EF5}"/>
    <cellStyle name="千位分隔 5 4 4 3" xfId="31680" xr:uid="{77A2FA0B-3DCD-4E29-8B36-3111F6158698}"/>
    <cellStyle name="千位分隔 5 4 4 4" xfId="31681" xr:uid="{32165FEC-7CED-495D-9D2F-C31D73EEA7C8}"/>
    <cellStyle name="千位分隔 5 4 4 5" xfId="31682" xr:uid="{950BF6F3-15BB-4073-A0AA-BE86C99BDEB6}"/>
    <cellStyle name="千位分隔 5 4 4 5 2" xfId="35173" xr:uid="{69CB553E-BC41-4976-A8BF-9FA837491657}"/>
    <cellStyle name="千位分隔 5 4 4 6" xfId="31683" xr:uid="{7ADF4FDD-A777-403C-843D-5847C9EF3552}"/>
    <cellStyle name="千位分隔 5 4 4 6 2" xfId="35174" xr:uid="{13CB9CE7-9BEA-471D-85F1-B4B8313C17B5}"/>
    <cellStyle name="千位分隔 5 4 4 7" xfId="31684" xr:uid="{230606D4-8EFE-4F13-B9D9-EEC27D63F157}"/>
    <cellStyle name="千位分隔 5 4 5" xfId="31685" xr:uid="{745718AB-6128-4287-8621-5B9FFC05C6AA}"/>
    <cellStyle name="千位分隔 5 4 5 2" xfId="31686" xr:uid="{00A5051D-7531-4328-92DA-4E4C88155065}"/>
    <cellStyle name="千位分隔 5 4 6" xfId="31687" xr:uid="{DCC624D9-2384-4DF5-BAC9-34FD5A376ECC}"/>
    <cellStyle name="千位分隔 5 4 6 2" xfId="31688" xr:uid="{32F6E32D-417E-4722-952F-12471C920F81}"/>
    <cellStyle name="千位分隔 5 4 7" xfId="31689" xr:uid="{5FA494C1-5756-49C0-B63D-6B8DCBC36246}"/>
    <cellStyle name="千位分隔 5 4 7 2" xfId="31690" xr:uid="{EFA95B35-B1FC-4BA3-A923-C762B3305512}"/>
    <cellStyle name="千位分隔 5 4 8" xfId="31691" xr:uid="{97B6E452-48DE-43FB-BCEB-75DC4873F56A}"/>
    <cellStyle name="千位分隔 5 4 8 2" xfId="35175" xr:uid="{1AF3F2FF-CB76-4E76-8748-7C1BF96EA715}"/>
    <cellStyle name="千位分隔 5 4 9" xfId="31692" xr:uid="{227DD5BB-FE2F-4A38-A137-E985B4529591}"/>
    <cellStyle name="千位分隔 5 4 9 2" xfId="35176" xr:uid="{0294D4A2-B29F-47B3-9583-772D8A0D1547}"/>
    <cellStyle name="千位分隔 5 5" xfId="31693" xr:uid="{AB1A05E7-A55D-45C5-9399-604388989866}"/>
    <cellStyle name="千位分隔 5 5 2" xfId="31694" xr:uid="{1BB2E5F6-3638-4188-9854-9CCF97240E7C}"/>
    <cellStyle name="千位分隔 5 5 2 2" xfId="31695" xr:uid="{304604BA-9984-4E75-A989-3666794680DB}"/>
    <cellStyle name="千位分隔 5 5 2 2 2" xfId="31696" xr:uid="{9CB0A3CB-8CD2-4F7B-BD5E-019A41D8668F}"/>
    <cellStyle name="千位分隔 5 5 2 3" xfId="31697" xr:uid="{25F0BCC2-5113-428F-A8BA-A2DF71E85F8A}"/>
    <cellStyle name="千位分隔 5 5 2 4" xfId="31698" xr:uid="{1A9028C5-ABC9-483A-8E53-32FE313374D9}"/>
    <cellStyle name="千位分隔 5 5 2 5" xfId="31699" xr:uid="{1C140D65-D0DC-4779-B4AA-7A51353D5BBC}"/>
    <cellStyle name="千位分隔 5 5 2 5 2" xfId="35177" xr:uid="{3ACCAF63-EBE1-47FD-B57C-A1C19393DD70}"/>
    <cellStyle name="千位分隔 5 5 2 6" xfId="31700" xr:uid="{F7B36620-A0F8-4CA6-B960-5178257AEAF9}"/>
    <cellStyle name="千位分隔 5 5 2 6 2" xfId="35178" xr:uid="{1680BB9C-6021-406E-8E35-6CA929DAB16B}"/>
    <cellStyle name="千位分隔 5 5 2 7" xfId="31701" xr:uid="{D5E62167-B855-465A-9B7C-01248E58DDB5}"/>
    <cellStyle name="千位分隔 5 5 3" xfId="31702" xr:uid="{79993981-FB50-4D7C-B2BC-832E1E64DD26}"/>
    <cellStyle name="千位分隔 5 5 3 2" xfId="31703" xr:uid="{252DF7E6-F7C5-4D4E-A099-239A57DE30C1}"/>
    <cellStyle name="千位分隔 5 5 3 3" xfId="31704" xr:uid="{1AF05FBA-218C-4A7E-9456-F1D661FAD46E}"/>
    <cellStyle name="千位分隔 5 5 3 4" xfId="31705" xr:uid="{3543EAD3-86D3-452D-8B50-C2B62AA7CC08}"/>
    <cellStyle name="千位分隔 5 5 4" xfId="31706" xr:uid="{6B07EE34-9DA5-4C34-BCB8-6DE6F398D973}"/>
    <cellStyle name="千位分隔 5 5 4 2" xfId="31707" xr:uid="{C668AF29-436D-426D-ABF8-8DCDCFE24F74}"/>
    <cellStyle name="千位分隔 5 5 5" xfId="31708" xr:uid="{B2120A16-441E-456A-880E-F638EB6D5E7A}"/>
    <cellStyle name="千位分隔 5 5 6" xfId="31709" xr:uid="{B7AB2B67-996D-4C0D-BBA9-9F34F66DD02B}"/>
    <cellStyle name="千位分隔 5 5 7" xfId="31710" xr:uid="{11403E6B-2AB9-4C75-96AF-9270F762EB2A}"/>
    <cellStyle name="千位分隔 5 5 7 2" xfId="35179" xr:uid="{609D767E-8730-4194-ACCD-E73BBE7C64A7}"/>
    <cellStyle name="千位分隔 5 5 8" xfId="31711" xr:uid="{F5C9933C-6DCD-4200-BAA2-B758A8DC3EC3}"/>
    <cellStyle name="千位分隔 5 5 8 2" xfId="35180" xr:uid="{0B2E8C67-03FB-4528-B96A-BBA498D418D2}"/>
    <cellStyle name="千位分隔 5 5 9" xfId="31712" xr:uid="{8315FAE7-7CBB-4E86-A915-DB7791DEF977}"/>
    <cellStyle name="千位分隔 5 6" xfId="31713" xr:uid="{4D226110-0823-4F7A-935D-8FC02A386500}"/>
    <cellStyle name="千位分隔 5 6 2" xfId="31714" xr:uid="{2E4FB973-7086-491F-9F7B-F6CCE9D3C9A6}"/>
    <cellStyle name="千位分隔 5 6 2 2" xfId="31715" xr:uid="{AAF7ABDA-2025-4A8A-A0D0-9C91379A8516}"/>
    <cellStyle name="千位分隔 5 6 2 2 2" xfId="31716" xr:uid="{85F63B45-1FC6-4C35-97F3-88B023CA4A25}"/>
    <cellStyle name="千位分隔 5 6 2 3" xfId="31717" xr:uid="{2BA57BD8-A351-4557-A382-BAD989FE7044}"/>
    <cellStyle name="千位分隔 5 6 2 4" xfId="31718" xr:uid="{FA377357-F870-4678-9DD0-329FCD334954}"/>
    <cellStyle name="千位分隔 5 6 2 5" xfId="31719" xr:uid="{B90B8302-5587-49FA-9ABA-CFB3AEFA25D4}"/>
    <cellStyle name="千位分隔 5 6 2 5 2" xfId="35181" xr:uid="{2880F3AC-8910-42B6-8F01-D979C822BE37}"/>
    <cellStyle name="千位分隔 5 6 2 6" xfId="31720" xr:uid="{A4B69AE8-A4EE-4B85-9039-1524A8598839}"/>
    <cellStyle name="千位分隔 5 6 2 6 2" xfId="35182" xr:uid="{B11DDD42-334A-4EFA-8E75-E84717B7C531}"/>
    <cellStyle name="千位分隔 5 6 3" xfId="31721" xr:uid="{C656184E-2D5E-4E67-BF86-3931AD9A8F0B}"/>
    <cellStyle name="千位分隔 5 6 3 2" xfId="31722" xr:uid="{1F502850-5661-46D8-A17E-FED56B78BB05}"/>
    <cellStyle name="千位分隔 5 6 4" xfId="31723" xr:uid="{9055E355-708C-41B1-A7BA-E9517DB021F0}"/>
    <cellStyle name="千位分隔 5 6 5" xfId="31724" xr:uid="{7624C0F4-8AD6-4B24-A206-F6BF27B9C523}"/>
    <cellStyle name="千位分隔 5 6 6" xfId="31725" xr:uid="{7B3D5294-CA53-4F55-A53C-700F9388F0EE}"/>
    <cellStyle name="千位分隔 5 6 6 2" xfId="35183" xr:uid="{C893096E-393D-4286-A647-539870FEEC6B}"/>
    <cellStyle name="千位分隔 5 6 7" xfId="31726" xr:uid="{10787DAA-8142-4E5A-B207-1271ADC22E9B}"/>
    <cellStyle name="千位分隔 5 6 7 2" xfId="35184" xr:uid="{88BE1247-4038-4374-935B-F18C75162578}"/>
    <cellStyle name="千位分隔 5 7" xfId="31727" xr:uid="{2809C338-D63C-43F9-B593-FAA458C12B93}"/>
    <cellStyle name="千位分隔 5 7 2" xfId="31728" xr:uid="{9C32FCAB-3EC6-4B97-A794-BFD1F4E543CD}"/>
    <cellStyle name="千位分隔 5 7 2 2" xfId="31729" xr:uid="{41520AE3-3552-442A-9B5E-1BC943F8C6C4}"/>
    <cellStyle name="千位分隔 5 7 3" xfId="31730" xr:uid="{55001C2D-8FB0-419E-913A-AA14C634FFDF}"/>
    <cellStyle name="千位分隔 5 7 4" xfId="31731" xr:uid="{28266AE8-1AE4-4ADA-A962-02909F10403B}"/>
    <cellStyle name="千位分隔 5 7 5" xfId="31732" xr:uid="{C17B474E-81FC-432A-8F79-C707646F0B84}"/>
    <cellStyle name="千位分隔 5 7 5 2" xfId="35185" xr:uid="{3BBFEA8D-AEEB-46FA-B0B7-AE009C8B70DC}"/>
    <cellStyle name="千位分隔 5 7 6" xfId="31733" xr:uid="{D1A31AF0-CCB4-44B8-9699-3A8345953FC5}"/>
    <cellStyle name="千位分隔 5 7 6 2" xfId="35186" xr:uid="{D1C100A3-F28B-4EA7-8504-4F772D635CA8}"/>
    <cellStyle name="千位分隔 5 7 7" xfId="31734" xr:uid="{8944E2AB-FCFB-486B-A576-1431360427C1}"/>
    <cellStyle name="千位分隔 5 8" xfId="31735" xr:uid="{947FB025-247C-4B3A-8D7F-4B74C156192C}"/>
    <cellStyle name="千位分隔 5 8 2" xfId="31736" xr:uid="{76FE2154-4DE6-4F3C-8BF2-A688FC834B55}"/>
    <cellStyle name="千位分隔 5 8 3" xfId="31737" xr:uid="{13E6987F-1440-4671-A1C5-77B9063082C1}"/>
    <cellStyle name="千位分隔 5 8 4" xfId="31738" xr:uid="{B9AC6F62-CF57-4B70-A9EC-18F0479731FF}"/>
    <cellStyle name="千位分隔 5 8 5" xfId="31739" xr:uid="{8911E022-E617-459E-B30E-DEA0BE0177FC}"/>
    <cellStyle name="千位分隔 5 8 6" xfId="31740" xr:uid="{01B36057-6D55-4090-AC8C-D7CAD44E8599}"/>
    <cellStyle name="千位分隔 5 8 7" xfId="31741" xr:uid="{9F7D4442-22E8-48A5-A55E-EA0113DC059F}"/>
    <cellStyle name="千位分隔 5 9" xfId="31742" xr:uid="{D8A1DAA4-ABF2-40A9-8480-AFC4F1C5BE39}"/>
    <cellStyle name="千位分隔 5 9 2" xfId="31743" xr:uid="{5D507FF8-6FC5-476A-AAFB-0D8DE039F370}"/>
    <cellStyle name="千位分隔 6" xfId="31744" xr:uid="{00FAA8C9-22DF-4090-8C2F-9A0357F51D05}"/>
    <cellStyle name="千位分隔 6 10" xfId="31745" xr:uid="{69FDB3D2-1A99-484B-808D-205541ACD60C}"/>
    <cellStyle name="千位分隔 6 10 2" xfId="31746" xr:uid="{E5F610FC-A844-4DBC-B626-3E7F9E8A482E}"/>
    <cellStyle name="千位分隔 6 11" xfId="31747" xr:uid="{0363D0ED-C827-4782-BA77-1EB77E9BA369}"/>
    <cellStyle name="千位分隔 6 12" xfId="31748" xr:uid="{A4F12C48-4A45-4169-8D9E-185B4E0D9D0B}"/>
    <cellStyle name="千位分隔 6 12 2" xfId="35187" xr:uid="{B4FDF7DE-1975-4BEE-A0B0-6A21E74242FF}"/>
    <cellStyle name="千位分隔 6 13" xfId="31749" xr:uid="{E036DABE-7D74-417C-975D-3B64B12FA0FC}"/>
    <cellStyle name="千位分隔 6 13 2" xfId="35188" xr:uid="{132DC99D-ED11-494B-B7FB-C9AA87E0FB82}"/>
    <cellStyle name="千位分隔 6 14" xfId="31750" xr:uid="{6F718A12-5240-46B0-80A4-2D8CF56C5723}"/>
    <cellStyle name="千位分隔 6 2" xfId="31751" xr:uid="{BF72669A-7A48-41D4-8D2C-FC2CDD91B0CD}"/>
    <cellStyle name="千位分隔 6 2 10" xfId="31752" xr:uid="{4FAF9B52-4BDA-4A0C-A02F-7C21C1B23013}"/>
    <cellStyle name="千位分隔 6 2 10 2" xfId="35189" xr:uid="{09045C4C-49B8-4D38-A01D-53E6AD40AD65}"/>
    <cellStyle name="千位分隔 6 2 11" xfId="31753" xr:uid="{E6846EEC-6829-47BD-B213-2D68F81C604F}"/>
    <cellStyle name="千位分隔 6 2 11 2" xfId="35190" xr:uid="{85EC2650-DFBD-491D-B822-C36D94D714C3}"/>
    <cellStyle name="千位分隔 6 2 12" xfId="31754" xr:uid="{AEB379FD-D64B-4911-9441-3C7FF7B3B974}"/>
    <cellStyle name="千位分隔 6 2 2" xfId="31755" xr:uid="{734EC88C-0BFB-4B30-B7BB-4B5A70D26450}"/>
    <cellStyle name="千位分隔 6 2 2 10" xfId="31756" xr:uid="{0A1C55A7-02D0-4B55-B28F-C38061668148}"/>
    <cellStyle name="千位分隔 6 2 2 2" xfId="31757" xr:uid="{CD50CAD3-A142-4D3E-8A3A-393E3EEF8497}"/>
    <cellStyle name="千位分隔 6 2 2 2 2" xfId="31758" xr:uid="{CFEBAF79-4F26-42E7-8509-1FFDC1774514}"/>
    <cellStyle name="千位分隔 6 2 2 2 2 2" xfId="31759" xr:uid="{4A75AA41-8F7C-4D4C-9729-6AA5D809F6CE}"/>
    <cellStyle name="千位分隔 6 2 2 2 2 2 2" xfId="31760" xr:uid="{9DF336FC-EF24-4DB3-B811-B267130F04AB}"/>
    <cellStyle name="千位分隔 6 2 2 2 2 3" xfId="31761" xr:uid="{FF54B7E9-CD75-499A-8ED6-23EB994A1D6A}"/>
    <cellStyle name="千位分隔 6 2 2 2 2 4" xfId="31762" xr:uid="{351BAC58-14C4-4B94-B6CA-D591EA00F5D9}"/>
    <cellStyle name="千位分隔 6 2 2 2 2 5" xfId="31763" xr:uid="{789CD969-C07E-4497-9CA4-1E6BAED59414}"/>
    <cellStyle name="千位分隔 6 2 2 2 2 5 2" xfId="35191" xr:uid="{721B0274-C86A-4642-A396-E6D972D37516}"/>
    <cellStyle name="千位分隔 6 2 2 2 2 6" xfId="31764" xr:uid="{D4357754-994C-45D6-AF04-9F1E0E99470C}"/>
    <cellStyle name="千位分隔 6 2 2 2 2 6 2" xfId="35192" xr:uid="{69753202-BCB0-489A-ABB6-011A3E4164F4}"/>
    <cellStyle name="千位分隔 6 2 2 2 3" xfId="31765" xr:uid="{0E29D32E-1D53-41BC-AB02-28C420B630BA}"/>
    <cellStyle name="千位分隔 6 2 2 2 3 2" xfId="31766" xr:uid="{493C3004-3D5F-4BAE-AE7D-9C1CE2BDC14E}"/>
    <cellStyle name="千位分隔 6 2 2 2 3 2 2" xfId="31767" xr:uid="{A59D213A-078C-479B-A152-2404A7F35978}"/>
    <cellStyle name="千位分隔 6 2 2 2 3 3" xfId="31768" xr:uid="{0D98D0DE-84C8-4675-A831-46DEED1D6A11}"/>
    <cellStyle name="千位分隔 6 2 2 2 3 4" xfId="31769" xr:uid="{B66892BC-7D02-40C4-AF0E-B8F964EFA4C5}"/>
    <cellStyle name="千位分隔 6 2 2 2 3 5" xfId="31770" xr:uid="{48F93ECD-4247-4CA6-91FB-11BA1EE95364}"/>
    <cellStyle name="千位分隔 6 2 2 2 3 5 2" xfId="35193" xr:uid="{26645D00-90A2-434C-9B79-76CFFF62C3D8}"/>
    <cellStyle name="千位分隔 6 2 2 2 3 6" xfId="31771" xr:uid="{64AFD34E-86F2-4E1A-BCF7-DD07BC2781D6}"/>
    <cellStyle name="千位分隔 6 2 2 2 3 6 2" xfId="35194" xr:uid="{2049CC69-D240-47D5-A798-0E520BC01B4D}"/>
    <cellStyle name="千位分隔 6 2 2 2 4" xfId="31772" xr:uid="{71520E2A-5340-4DB9-A826-621A3E41A11D}"/>
    <cellStyle name="千位分隔 6 2 2 2 4 2" xfId="31773" xr:uid="{172AFBC2-1058-49CE-97F0-8ECD86F1BC2D}"/>
    <cellStyle name="千位分隔 6 2 2 2 5" xfId="31774" xr:uid="{6FCC52F1-8E06-4996-AC72-0D5EC1CC1E6D}"/>
    <cellStyle name="千位分隔 6 2 2 2 6" xfId="31775" xr:uid="{0E6EB927-2BE4-459F-ABFE-2724CD65D3CF}"/>
    <cellStyle name="千位分隔 6 2 2 2 7" xfId="31776" xr:uid="{13097EC9-5763-42F4-936D-5F2E67C9FA4C}"/>
    <cellStyle name="千位分隔 6 2 2 2 7 2" xfId="35195" xr:uid="{75316371-BDE5-4A91-AC4B-6D508ED123DE}"/>
    <cellStyle name="千位分隔 6 2 2 2 8" xfId="31777" xr:uid="{937C3B47-AA71-4356-A408-3D0EC0ED07DF}"/>
    <cellStyle name="千位分隔 6 2 2 2 8 2" xfId="35196" xr:uid="{27BC8BBB-49A8-4B43-A434-10ED766B99AB}"/>
    <cellStyle name="千位分隔 6 2 2 2 9" xfId="31778" xr:uid="{01AEB3A5-70A9-402E-807C-878E00D6D49A}"/>
    <cellStyle name="千位分隔 6 2 2 3" xfId="31779" xr:uid="{A301136E-6EC3-4E96-88A9-6BD19A892981}"/>
    <cellStyle name="千位分隔 6 2 2 3 2" xfId="31780" xr:uid="{42E68D43-697C-4DE0-BE12-4DE7C393BFD2}"/>
    <cellStyle name="千位分隔 6 2 2 3 2 2" xfId="31781" xr:uid="{D6F65129-4F90-4DBB-BB99-12E1BEB33BE9}"/>
    <cellStyle name="千位分隔 6 2 2 3 3" xfId="31782" xr:uid="{98A6AABF-C863-4DB6-96F0-07C191709E3F}"/>
    <cellStyle name="千位分隔 6 2 2 3 3 2" xfId="31783" xr:uid="{FF902B76-1C8E-460F-A69E-0361C7DCA26B}"/>
    <cellStyle name="千位分隔 6 2 2 3 4" xfId="31784" xr:uid="{5847F8D8-BB9E-4F80-8CC2-4ABE292ED3B7}"/>
    <cellStyle name="千位分隔 6 2 2 3 4 2" xfId="31785" xr:uid="{A382C6E9-E898-4DE4-AEE5-0D778EEA95F5}"/>
    <cellStyle name="千位分隔 6 2 2 3 5" xfId="31786" xr:uid="{5F468851-57EE-4DD7-9ED3-84A43CF6709D}"/>
    <cellStyle name="千位分隔 6 2 2 3 5 2" xfId="35197" xr:uid="{E7F56BDD-7891-4E22-9A4F-AD097D5A1C19}"/>
    <cellStyle name="千位分隔 6 2 2 3 6" xfId="31787" xr:uid="{1F3815CE-96EF-4955-ADF3-A37D8AA7B0C1}"/>
    <cellStyle name="千位分隔 6 2 2 3 6 2" xfId="35198" xr:uid="{DAF5A72A-ED49-4849-AA0C-91FC9902C522}"/>
    <cellStyle name="千位分隔 6 2 2 3 7" xfId="31788" xr:uid="{9B358BA0-1F53-4A52-8368-4D55CB2492CF}"/>
    <cellStyle name="千位分隔 6 2 2 4" xfId="31789" xr:uid="{D89003AD-41DD-4664-8BFD-BE2B34CB54FD}"/>
    <cellStyle name="千位分隔 6 2 2 4 2" xfId="31790" xr:uid="{6966E62E-C35F-40C7-AA6E-702D7B981A8A}"/>
    <cellStyle name="千位分隔 6 2 2 4 2 2" xfId="31791" xr:uid="{BA6913AB-8AC5-4524-9D74-2315A2D1942A}"/>
    <cellStyle name="千位分隔 6 2 2 4 3" xfId="31792" xr:uid="{8A37CD6A-54A8-4749-BE32-4EC3518B5812}"/>
    <cellStyle name="千位分隔 6 2 2 4 4" xfId="31793" xr:uid="{4C8B65D3-1403-4967-92D0-0A711B6C2142}"/>
    <cellStyle name="千位分隔 6 2 2 4 5" xfId="31794" xr:uid="{A843ED34-1232-491D-B72D-8FD84D80951B}"/>
    <cellStyle name="千位分隔 6 2 2 4 5 2" xfId="35199" xr:uid="{2E96643C-02EB-45AC-99A6-5465054A16A9}"/>
    <cellStyle name="千位分隔 6 2 2 4 6" xfId="31795" xr:uid="{B5DAD87A-22CF-43EA-ADEC-DF388C73E8B5}"/>
    <cellStyle name="千位分隔 6 2 2 4 6 2" xfId="35200" xr:uid="{D38AB5D0-34BC-4728-AFEC-EFE7F41F189E}"/>
    <cellStyle name="千位分隔 6 2 2 4 7" xfId="31796" xr:uid="{F253037E-2F11-46E4-97B6-559CE7DD7C26}"/>
    <cellStyle name="千位分隔 6 2 2 5" xfId="31797" xr:uid="{36969BAE-832C-4BA1-B60F-E30FD9A89850}"/>
    <cellStyle name="千位分隔 6 2 2 5 2" xfId="31798" xr:uid="{7BE78763-349A-446C-AFF6-1750344EEDFE}"/>
    <cellStyle name="千位分隔 6 2 2 6" xfId="31799" xr:uid="{8B819F26-92A9-4AA9-8968-F4CC04C55028}"/>
    <cellStyle name="千位分隔 6 2 2 6 2" xfId="31800" xr:uid="{9DEC6B96-9C03-4A80-B38C-B6531BC1C096}"/>
    <cellStyle name="千位分隔 6 2 2 7" xfId="31801" xr:uid="{E1F80DE8-41EA-4402-9293-4862C9AC3A2C}"/>
    <cellStyle name="千位分隔 6 2 2 7 2" xfId="31802" xr:uid="{53698733-8D04-4493-989C-31D1FEA718CA}"/>
    <cellStyle name="千位分隔 6 2 2 8" xfId="31803" xr:uid="{188115B1-1F31-42ED-8F32-47ABD6A0EA33}"/>
    <cellStyle name="千位分隔 6 2 2 8 2" xfId="35201" xr:uid="{38E072EF-AE1E-45CA-9996-7B728CCCC096}"/>
    <cellStyle name="千位分隔 6 2 2 9" xfId="31804" xr:uid="{43C84D45-6AEC-4B4F-AEA4-2B7FBE5CC075}"/>
    <cellStyle name="千位分隔 6 2 2 9 2" xfId="35202" xr:uid="{6A6B2CF6-BE50-4BC6-820F-55057C1E0094}"/>
    <cellStyle name="千位分隔 6 2 3" xfId="31805" xr:uid="{83430BA7-73EC-492E-857A-45DF67006B89}"/>
    <cellStyle name="千位分隔 6 2 3 2" xfId="31806" xr:uid="{30F65C6C-065E-491D-96DA-7D4EF9A42E53}"/>
    <cellStyle name="千位分隔 6 2 3 2 2" xfId="31807" xr:uid="{E16C0B79-1545-447F-85D6-16A4D6C09991}"/>
    <cellStyle name="千位分隔 6 2 3 2 2 2" xfId="31808" xr:uid="{21A1190D-A74B-434E-8AD4-D7F658B8AB40}"/>
    <cellStyle name="千位分隔 6 2 3 2 2 2 2" xfId="31809" xr:uid="{E8FB22AC-DBD0-41DA-8FF7-2F390E632990}"/>
    <cellStyle name="千位分隔 6 2 3 2 2 3" xfId="31810" xr:uid="{7ABD6B8E-83A3-4E7B-AE67-113F289C9303}"/>
    <cellStyle name="千位分隔 6 2 3 2 2 4" xfId="31811" xr:uid="{065CE059-0704-4C54-B7BB-328F9FF20ED8}"/>
    <cellStyle name="千位分隔 6 2 3 2 2 5" xfId="31812" xr:uid="{04108D03-41E6-47DF-AED6-84A4981D7913}"/>
    <cellStyle name="千位分隔 6 2 3 2 2 5 2" xfId="35203" xr:uid="{56328B47-672B-4AFB-9839-EA34F8CD3F53}"/>
    <cellStyle name="千位分隔 6 2 3 2 2 6" xfId="31813" xr:uid="{69D420B0-336F-473E-97AB-FD81CCA59BF2}"/>
    <cellStyle name="千位分隔 6 2 3 2 2 6 2" xfId="35204" xr:uid="{B7AE8B5F-92EA-47C2-9932-068C2CEFF381}"/>
    <cellStyle name="千位分隔 6 2 3 2 2 7" xfId="31814" xr:uid="{F7C8EDCC-7E53-48F7-9D29-025AE90CFE6E}"/>
    <cellStyle name="千位分隔 6 2 3 2 3" xfId="31815" xr:uid="{B6010D17-0D64-4A2C-8A2F-571C9F221D14}"/>
    <cellStyle name="千位分隔 6 2 3 2 3 2" xfId="31816" xr:uid="{B68E747E-F390-48C8-A667-3F58821322B7}"/>
    <cellStyle name="千位分隔 6 2 3 2 4" xfId="31817" xr:uid="{4FEA22A7-5815-40DF-98A3-ACC8516442B3}"/>
    <cellStyle name="千位分隔 6 2 3 2 4 2" xfId="31818" xr:uid="{35FFCBBA-E34C-4276-BC42-55D056C86B9A}"/>
    <cellStyle name="千位分隔 6 2 3 2 5" xfId="31819" xr:uid="{88E7524F-9B16-42FE-A5BF-514BCA8A9010}"/>
    <cellStyle name="千位分隔 6 2 3 2 5 2" xfId="31820" xr:uid="{19AB0F52-335A-4CA1-B901-9718239937E3}"/>
    <cellStyle name="千位分隔 6 2 3 2 6" xfId="31821" xr:uid="{74EB18E6-1664-4274-916F-3FF1278A5531}"/>
    <cellStyle name="千位分隔 6 2 3 2 6 2" xfId="35205" xr:uid="{DA1A5D19-377F-402E-9589-43C5DB9D3BC8}"/>
    <cellStyle name="千位分隔 6 2 3 2 7" xfId="31822" xr:uid="{F8385293-86A5-4D0D-A2FA-DC93ED6067BA}"/>
    <cellStyle name="千位分隔 6 2 3 2 7 2" xfId="35206" xr:uid="{14113777-9D37-477E-B00A-E7C21A0E503D}"/>
    <cellStyle name="千位分隔 6 2 3 2 8" xfId="31823" xr:uid="{0B88FC66-FE20-441F-A5F2-601C3D4E770B}"/>
    <cellStyle name="千位分隔 6 2 3 3" xfId="31824" xr:uid="{22D311E5-5964-4E47-B2D5-D954AD6896F6}"/>
    <cellStyle name="千位分隔 6 2 3 3 2" xfId="31825" xr:uid="{309F484C-4256-4CAD-BB23-E9FDB12A20D3}"/>
    <cellStyle name="千位分隔 6 2 3 3 2 2" xfId="31826" xr:uid="{6AF3F342-CD50-4927-A518-912793D19CA4}"/>
    <cellStyle name="千位分隔 6 2 3 3 3" xfId="31827" xr:uid="{82A20505-7635-4C8A-9782-8E7A789F982B}"/>
    <cellStyle name="千位分隔 6 2 3 3 4" xfId="31828" xr:uid="{411D645A-7744-482A-8145-0CFD7F3F0420}"/>
    <cellStyle name="千位分隔 6 2 3 3 5" xfId="31829" xr:uid="{D66586B3-6469-4CA6-B6F3-854194644D2A}"/>
    <cellStyle name="千位分隔 6 2 3 3 5 2" xfId="35207" xr:uid="{A1BF7293-F560-4C6D-A429-CCC79D3E596F}"/>
    <cellStyle name="千位分隔 6 2 3 3 6" xfId="31830" xr:uid="{CB835EE7-AF58-432B-B54C-5B37E693E09F}"/>
    <cellStyle name="千位分隔 6 2 3 3 6 2" xfId="35208" xr:uid="{AC5A9427-89FE-42CE-AA7A-1CE74EE9EA7D}"/>
    <cellStyle name="千位分隔 6 2 3 3 7" xfId="31831" xr:uid="{57D05980-05CD-4765-9777-FE3C69CE2D91}"/>
    <cellStyle name="千位分隔 6 2 3 4" xfId="31832" xr:uid="{F23EA798-6CF1-4CE5-8EE6-0E8CE3DCCDAC}"/>
    <cellStyle name="千位分隔 6 2 3 4 2" xfId="31833" xr:uid="{9AEDD132-66AD-49F0-AD7E-E9FDA1D6F556}"/>
    <cellStyle name="千位分隔 6 2 3 5" xfId="31834" xr:uid="{2D3F3F43-B6D7-455B-9905-583185E178F6}"/>
    <cellStyle name="千位分隔 6 2 3 5 2" xfId="31835" xr:uid="{9136712D-4AD7-4515-993A-3495C0EEE82C}"/>
    <cellStyle name="千位分隔 6 2 3 6" xfId="31836" xr:uid="{D6768999-F3C2-4A46-976A-0CEFF4301842}"/>
    <cellStyle name="千位分隔 6 2 3 6 2" xfId="31837" xr:uid="{5039C799-F52A-4F40-BBDF-EFB77BC0D615}"/>
    <cellStyle name="千位分隔 6 2 3 7" xfId="31838" xr:uid="{02CF7BB2-A357-46D9-8213-E099E87366D1}"/>
    <cellStyle name="千位分隔 6 2 3 7 2" xfId="35209" xr:uid="{5775EB30-C7B8-4007-AC10-A011DFAEA802}"/>
    <cellStyle name="千位分隔 6 2 3 8" xfId="31839" xr:uid="{8B7BC704-B484-46CF-99B6-C77081474389}"/>
    <cellStyle name="千位分隔 6 2 3 8 2" xfId="35210" xr:uid="{C35C34DF-55BA-4641-8085-DDF9A38C1381}"/>
    <cellStyle name="千位分隔 6 2 3 9" xfId="31840" xr:uid="{31FF4ECA-FF73-4CC6-8969-9171701AD88C}"/>
    <cellStyle name="千位分隔 6 2 4" xfId="31841" xr:uid="{106A1F3B-5E84-405C-BD1D-6B1A90B6FA29}"/>
    <cellStyle name="千位分隔 6 2 4 2" xfId="31842" xr:uid="{8BCBE7F7-98D6-4E9D-AC3D-2EBA734F2E10}"/>
    <cellStyle name="千位分隔 6 2 4 2 2" xfId="31843" xr:uid="{B089BE09-FF6C-4F53-8357-EEE330437248}"/>
    <cellStyle name="千位分隔 6 2 4 2 2 2" xfId="31844" xr:uid="{C4464380-2954-45BD-B231-1C676714B0C2}"/>
    <cellStyle name="千位分隔 6 2 4 2 3" xfId="31845" xr:uid="{06A1D2B8-DE98-4400-9A66-C1A771013DCF}"/>
    <cellStyle name="千位分隔 6 2 4 2 4" xfId="31846" xr:uid="{AB338CD1-5402-46ED-B547-6DAA3BF5DD59}"/>
    <cellStyle name="千位分隔 6 2 4 2 5" xfId="31847" xr:uid="{63DCDC31-957F-4BAF-B8A2-B9BE19319301}"/>
    <cellStyle name="千位分隔 6 2 4 2 5 2" xfId="35211" xr:uid="{03F417AC-8E68-447C-B849-2E98A8BD0224}"/>
    <cellStyle name="千位分隔 6 2 4 2 6" xfId="31848" xr:uid="{6340279B-526D-49B7-B60D-E3ACB0A2A530}"/>
    <cellStyle name="千位分隔 6 2 4 2 6 2" xfId="35212" xr:uid="{ED2E31B1-BCD6-4A9C-A19D-27817BDCBC21}"/>
    <cellStyle name="千位分隔 6 2 4 2 7" xfId="31849" xr:uid="{0363AF2C-79BD-4E79-B9AC-A28A92C0429A}"/>
    <cellStyle name="千位分隔 6 2 4 3" xfId="31850" xr:uid="{B940862D-CE66-45E0-A112-E6420B297AB7}"/>
    <cellStyle name="千位分隔 6 2 4 3 2" xfId="31851" xr:uid="{9C18C7F6-1AC1-4A06-A27B-81F0A4E853A0}"/>
    <cellStyle name="千位分隔 6 2 4 3 2 2" xfId="31852" xr:uid="{0C1448B6-F740-4644-9003-E4E796E7B984}"/>
    <cellStyle name="千位分隔 6 2 4 3 3" xfId="31853" xr:uid="{23DA62C6-D67C-497F-A67D-0C9C3D4689A5}"/>
    <cellStyle name="千位分隔 6 2 4 3 4" xfId="31854" xr:uid="{4A04D050-F63C-4DD3-B9EB-E1E1CA421353}"/>
    <cellStyle name="千位分隔 6 2 4 3 5" xfId="31855" xr:uid="{1E10A359-34CB-46B9-9411-AE10582C05B5}"/>
    <cellStyle name="千位分隔 6 2 4 3 5 2" xfId="35213" xr:uid="{624524E5-BC27-4BD7-B399-6BC419A4B81C}"/>
    <cellStyle name="千位分隔 6 2 4 3 6" xfId="31856" xr:uid="{FDBDE0A3-285D-4A83-97E1-9663FB03EBA7}"/>
    <cellStyle name="千位分隔 6 2 4 3 6 2" xfId="35214" xr:uid="{995B644F-D49F-496E-9357-3FFCFFAF4641}"/>
    <cellStyle name="千位分隔 6 2 4 3 7" xfId="31857" xr:uid="{481D91D5-B884-488D-A7E6-E998DEBFC8D4}"/>
    <cellStyle name="千位分隔 6 2 4 4" xfId="31858" xr:uid="{BAF6A68B-F77C-4DA2-BC32-C1517F0DE4F5}"/>
    <cellStyle name="千位分隔 6 2 4 4 2" xfId="31859" xr:uid="{A8170D66-70AE-4D2F-A422-6D496098C043}"/>
    <cellStyle name="千位分隔 6 2 4 5" xfId="31860" xr:uid="{8800A724-C4B3-408B-A150-A3E3B959B005}"/>
    <cellStyle name="千位分隔 6 2 4 5 2" xfId="31861" xr:uid="{65F63067-F2C6-44F0-B1D0-D8BA6A37F5BE}"/>
    <cellStyle name="千位分隔 6 2 4 6" xfId="31862" xr:uid="{FCAF5249-FA98-4E34-987F-5EF726094CA4}"/>
    <cellStyle name="千位分隔 6 2 4 6 2" xfId="31863" xr:uid="{D8A5057E-5A0C-4635-9204-426C655E00CE}"/>
    <cellStyle name="千位分隔 6 2 4 7" xfId="31864" xr:uid="{E76DB619-AD8C-4B44-AC05-03E56B6E14C5}"/>
    <cellStyle name="千位分隔 6 2 4 7 2" xfId="35215" xr:uid="{3C19856E-0232-4971-90D1-E652715CBAA5}"/>
    <cellStyle name="千位分隔 6 2 4 8" xfId="31865" xr:uid="{D20A6409-A49F-45BA-BF60-ECE7D26F0FAD}"/>
    <cellStyle name="千位分隔 6 2 4 8 2" xfId="35216" xr:uid="{993966EF-D112-42D5-97D7-43B8FF2FA84A}"/>
    <cellStyle name="千位分隔 6 2 4 9" xfId="31866" xr:uid="{92098987-C5F1-40AC-AE52-889799BAABED}"/>
    <cellStyle name="千位分隔 6 2 5" xfId="31867" xr:uid="{455E08C5-4F9A-40B4-8AB2-F524B94DA854}"/>
    <cellStyle name="千位分隔 6 2 5 2" xfId="31868" xr:uid="{C604F1F0-03E6-48E3-AD4C-49C2E491CB55}"/>
    <cellStyle name="千位分隔 6 2 5 2 2" xfId="31869" xr:uid="{171F0393-3660-40D4-BC93-B500F919AD5F}"/>
    <cellStyle name="千位分隔 6 2 5 3" xfId="31870" xr:uid="{77995B67-5AFF-4AD2-9CE3-36C627165C66}"/>
    <cellStyle name="千位分隔 6 2 5 4" xfId="31871" xr:uid="{9E5DF9F4-2B10-466A-A209-6C160E996719}"/>
    <cellStyle name="千位分隔 6 2 5 5" xfId="31872" xr:uid="{8D2489D3-F557-4BE0-BB75-8B9D850A9597}"/>
    <cellStyle name="千位分隔 6 2 5 5 2" xfId="35217" xr:uid="{F1339D1E-8FE5-4FE3-8B4B-C0644A26D63C}"/>
    <cellStyle name="千位分隔 6 2 5 6" xfId="31873" xr:uid="{68427629-9BB1-4647-AD5A-21329F7622A5}"/>
    <cellStyle name="千位分隔 6 2 5 6 2" xfId="35218" xr:uid="{E0FA3C24-3EAE-439A-A07D-D63A5F2C2E68}"/>
    <cellStyle name="千位分隔 6 2 5 7" xfId="31874" xr:uid="{D07AA558-3067-4DB2-BCA7-3B75E712F630}"/>
    <cellStyle name="千位分隔 6 2 6" xfId="31875" xr:uid="{366330FB-90E1-4854-888A-D3607F1EAE61}"/>
    <cellStyle name="千位分隔 6 2 6 2" xfId="31876" xr:uid="{FDBDC770-F298-4FF7-A75B-7C7FD295C7E4}"/>
    <cellStyle name="千位分隔 6 2 6 2 2" xfId="31877" xr:uid="{76500719-F85C-4119-B661-B81ECADC07AB}"/>
    <cellStyle name="千位分隔 6 2 6 3" xfId="31878" xr:uid="{591E99FD-E77B-423A-A265-D4A0AA54DBA6}"/>
    <cellStyle name="千位分隔 6 2 6 4" xfId="31879" xr:uid="{7ADA746D-D5F6-4EDE-AA6F-C7B1EFAC5DAE}"/>
    <cellStyle name="千位分隔 6 2 6 5" xfId="31880" xr:uid="{D24F7870-4D8C-451F-9259-044EF4D1569C}"/>
    <cellStyle name="千位分隔 6 2 6 5 2" xfId="35219" xr:uid="{B2151CB8-E384-4B91-83C4-7C1F1B00B265}"/>
    <cellStyle name="千位分隔 6 2 6 6" xfId="31881" xr:uid="{22743F42-A8C7-4DFC-9BE1-8CB1941676EB}"/>
    <cellStyle name="千位分隔 6 2 6 6 2" xfId="35220" xr:uid="{4A58B55A-3F0B-4A33-814C-8E93A98D9FAD}"/>
    <cellStyle name="千位分隔 6 2 6 7" xfId="31882" xr:uid="{37FE5E70-59F9-4165-888C-D70EF6B8457F}"/>
    <cellStyle name="千位分隔 6 2 7" xfId="31883" xr:uid="{8C9E81F4-2806-4FDE-914F-024FF2E1254A}"/>
    <cellStyle name="千位分隔 6 2 7 2" xfId="31884" xr:uid="{8565AF4A-9F23-404A-9E24-ECD2A4B96CE3}"/>
    <cellStyle name="千位分隔 6 2 8" xfId="31885" xr:uid="{4DD85812-A4E0-4DA8-9D88-CD60CE7A6255}"/>
    <cellStyle name="千位分隔 6 2 8 2" xfId="31886" xr:uid="{A8F0AAE9-0B09-418D-98A1-20751B45ED4F}"/>
    <cellStyle name="千位分隔 6 2 9" xfId="31887" xr:uid="{72EFC98C-67C1-408F-84A0-FEAB9F27CB14}"/>
    <cellStyle name="千位分隔 6 2 9 2" xfId="31888" xr:uid="{844F858E-742B-4AED-B367-52D4AAF3CFA8}"/>
    <cellStyle name="千位分隔 6 3" xfId="31889" xr:uid="{D6F49F5A-0196-4B8B-BC48-20DB98F47518}"/>
    <cellStyle name="千位分隔 6 3 10" xfId="31890" xr:uid="{A7D8A8CB-F03C-400E-85FD-683AC0B6227C}"/>
    <cellStyle name="千位分隔 6 3 10 2" xfId="35221" xr:uid="{87B0F560-F70B-4887-AE51-6A117559B414}"/>
    <cellStyle name="千位分隔 6 3 11" xfId="31891" xr:uid="{07919B8E-5801-4AEA-AA54-F64E69106B68}"/>
    <cellStyle name="千位分隔 6 3 2" xfId="31892" xr:uid="{712F1FE1-2884-4F05-A123-7E4AD8323534}"/>
    <cellStyle name="千位分隔 6 3 2 2" xfId="31893" xr:uid="{1CB055DD-B58E-4BC9-9005-74B5ED0533D4}"/>
    <cellStyle name="千位分隔 6 3 2 2 2" xfId="31894" xr:uid="{3710DC91-2767-436A-ADAA-E17A8CFFEA40}"/>
    <cellStyle name="千位分隔 6 3 2 2 2 2" xfId="31895" xr:uid="{13EC229F-F141-456C-B221-A1CC51A3C48A}"/>
    <cellStyle name="千位分隔 6 3 2 2 2 2 2" xfId="31896" xr:uid="{20712469-607D-4E35-B999-0A586B665CA9}"/>
    <cellStyle name="千位分隔 6 3 2 2 2 3" xfId="31897" xr:uid="{0F4D0F2D-A349-408C-B8B5-0B3BCAAB143B}"/>
    <cellStyle name="千位分隔 6 3 2 2 2 4" xfId="31898" xr:uid="{608EB94B-3EBA-4115-AFF5-DCD4F10E90F4}"/>
    <cellStyle name="千位分隔 6 3 2 2 2 5" xfId="31899" xr:uid="{D7E2DA0A-EFF0-455A-9A9F-73B1F9CD21C7}"/>
    <cellStyle name="千位分隔 6 3 2 2 2 5 2" xfId="35222" xr:uid="{6B9046EA-E926-4D2D-80CD-D8AB61F86C62}"/>
    <cellStyle name="千位分隔 6 3 2 2 2 6" xfId="31900" xr:uid="{CBA1307F-8C3C-47F4-81B0-3AABA63960D7}"/>
    <cellStyle name="千位分隔 6 3 2 2 2 6 2" xfId="35223" xr:uid="{23F69B8D-2C01-4996-8D39-CFD6C822CADE}"/>
    <cellStyle name="千位分隔 6 3 2 2 2 7" xfId="31901" xr:uid="{2A53DA6D-8478-4464-BE3C-E2DE1DAA7B6D}"/>
    <cellStyle name="千位分隔 6 3 2 2 3" xfId="31902" xr:uid="{5A0B3688-DF63-4D01-9C9B-211897257F85}"/>
    <cellStyle name="千位分隔 6 3 2 2 3 2" xfId="31903" xr:uid="{7AD6899D-7311-448F-A50B-A9335E286470}"/>
    <cellStyle name="千位分隔 6 3 2 2 4" xfId="31904" xr:uid="{C73C7F41-C05B-4081-BA15-BA81235F2595}"/>
    <cellStyle name="千位分隔 6 3 2 2 4 2" xfId="31905" xr:uid="{D5FADE71-0698-48EF-AB39-C4E7F5ABD1A2}"/>
    <cellStyle name="千位分隔 6 3 2 2 5" xfId="31906" xr:uid="{6D7B281A-FABA-4DDB-949D-C34B4076E084}"/>
    <cellStyle name="千位分隔 6 3 2 2 5 2" xfId="31907" xr:uid="{A16897ED-0FF0-40F6-8E01-87EC361CFA9E}"/>
    <cellStyle name="千位分隔 6 3 2 2 6" xfId="31908" xr:uid="{584F2B5A-0158-4FDC-96B4-641AA64FE550}"/>
    <cellStyle name="千位分隔 6 3 2 2 6 2" xfId="35224" xr:uid="{5F694D06-30B9-4422-AB7E-BC6AA121F025}"/>
    <cellStyle name="千位分隔 6 3 2 2 7" xfId="31909" xr:uid="{6A7F1607-7BBE-4545-8B00-18BFA2088D3E}"/>
    <cellStyle name="千位分隔 6 3 2 2 7 2" xfId="35225" xr:uid="{4AF0CB13-18E9-4380-BABE-737F3DA86503}"/>
    <cellStyle name="千位分隔 6 3 2 2 8" xfId="31910" xr:uid="{F41795AA-9C6F-4905-B1F8-5A3ABB78C2C7}"/>
    <cellStyle name="千位分隔 6 3 2 3" xfId="31911" xr:uid="{29D6F54A-63BE-469D-ADB6-9B5D05DC22E5}"/>
    <cellStyle name="千位分隔 6 3 2 3 2" xfId="31912" xr:uid="{A00635F1-2922-4A49-B03D-ADDAA0C89765}"/>
    <cellStyle name="千位分隔 6 3 2 3 2 2" xfId="31913" xr:uid="{DB968525-FE67-4B9F-91B0-4D49FB8E0080}"/>
    <cellStyle name="千位分隔 6 3 2 3 3" xfId="31914" xr:uid="{7D30F9A9-8B19-4286-995B-4223C9C54C15}"/>
    <cellStyle name="千位分隔 6 3 2 3 4" xfId="31915" xr:uid="{36855A07-23D6-4F82-9443-2C9536444177}"/>
    <cellStyle name="千位分隔 6 3 2 3 5" xfId="31916" xr:uid="{EF6B9315-128B-4701-A2D5-E8F064238DF4}"/>
    <cellStyle name="千位分隔 6 3 2 3 5 2" xfId="35226" xr:uid="{9B214191-6A7C-49E7-BC76-DC3B668B1BA3}"/>
    <cellStyle name="千位分隔 6 3 2 3 6" xfId="31917" xr:uid="{846BB4F9-D935-4949-B32B-4EF2144D927A}"/>
    <cellStyle name="千位分隔 6 3 2 3 6 2" xfId="35227" xr:uid="{0037D6EC-1EC4-4328-ABE9-062C7B61DA69}"/>
    <cellStyle name="千位分隔 6 3 2 3 7" xfId="31918" xr:uid="{166B2FD8-036B-4314-AF5F-AA0A2F253A54}"/>
    <cellStyle name="千位分隔 6 3 2 4" xfId="31919" xr:uid="{40B73712-DB93-4FE8-970B-780747D3154E}"/>
    <cellStyle name="千位分隔 6 3 2 4 2" xfId="31920" xr:uid="{6C8FA3C3-0D22-491F-86C3-ADA8381B5AC4}"/>
    <cellStyle name="千位分隔 6 3 2 5" xfId="31921" xr:uid="{499F3E83-07B8-412A-9B3D-69204B644110}"/>
    <cellStyle name="千位分隔 6 3 2 5 2" xfId="31922" xr:uid="{BA205F72-F027-4091-AC4D-BBCB3DD843D6}"/>
    <cellStyle name="千位分隔 6 3 2 6" xfId="31923" xr:uid="{FC856553-04E2-4362-81B0-D6A5CFA8F537}"/>
    <cellStyle name="千位分隔 6 3 2 6 2" xfId="31924" xr:uid="{18A98294-BBB7-482B-AD71-AA7464E48BEF}"/>
    <cellStyle name="千位分隔 6 3 2 7" xfId="31925" xr:uid="{4E1D01E2-B7FD-438F-B41E-DAA5FAC1B94B}"/>
    <cellStyle name="千位分隔 6 3 2 7 2" xfId="35228" xr:uid="{728F9706-9C46-4701-B6F3-C91831E732D2}"/>
    <cellStyle name="千位分隔 6 3 2 8" xfId="31926" xr:uid="{EBB31003-C002-4C6A-8CF3-E832A28AA3DC}"/>
    <cellStyle name="千位分隔 6 3 2 8 2" xfId="35229" xr:uid="{86757B92-DB85-45E9-8E84-12125E54866D}"/>
    <cellStyle name="千位分隔 6 3 2 9" xfId="31927" xr:uid="{1BB01A86-61E5-4B46-AB2A-DCFEC996FD29}"/>
    <cellStyle name="千位分隔 6 3 3" xfId="31928" xr:uid="{64624BFC-3C99-4E97-8509-C3F69AC1752E}"/>
    <cellStyle name="千位分隔 6 3 3 2" xfId="31929" xr:uid="{0BA027F1-B528-4B19-8866-4009CCBF4D4A}"/>
    <cellStyle name="千位分隔 6 3 3 2 2" xfId="31930" xr:uid="{920D2ECD-7834-42BA-988E-7EFF297C10A0}"/>
    <cellStyle name="千位分隔 6 3 3 2 2 2" xfId="31931" xr:uid="{A7D5FA15-1BEA-4281-8C8D-A2B3A6470879}"/>
    <cellStyle name="千位分隔 6 3 3 2 3" xfId="31932" xr:uid="{C9D21FA3-E2F0-418E-BB21-AA59B7D1E2EF}"/>
    <cellStyle name="千位分隔 6 3 3 2 3 2" xfId="31933" xr:uid="{FD72A869-D6F0-4184-9D39-381AA4339C8D}"/>
    <cellStyle name="千位分隔 6 3 3 2 4" xfId="31934" xr:uid="{A1CD7A05-DAC8-4851-A13A-1A8CA58B2CC4}"/>
    <cellStyle name="千位分隔 6 3 3 2 4 2" xfId="31935" xr:uid="{B3044F05-B809-49D5-9E73-E4E9E91CEAFC}"/>
    <cellStyle name="千位分隔 6 3 3 2 5" xfId="31936" xr:uid="{70A779A9-8E4D-4702-AE2E-CFCA62FBD769}"/>
    <cellStyle name="千位分隔 6 3 3 2 5 2" xfId="35230" xr:uid="{401D176E-E3D3-439B-BFE7-C5BC09B88FDD}"/>
    <cellStyle name="千位分隔 6 3 3 2 6" xfId="31937" xr:uid="{57312DCD-5776-4DF9-B6F3-9B9300ABD93A}"/>
    <cellStyle name="千位分隔 6 3 3 2 6 2" xfId="35231" xr:uid="{C385B5A0-AFD9-49BC-A689-A6DE6B101FE4}"/>
    <cellStyle name="千位分隔 6 3 3 2 7" xfId="31938" xr:uid="{0E0D87DF-5C1A-46F6-8B21-D63759A50870}"/>
    <cellStyle name="千位分隔 6 3 3 3" xfId="31939" xr:uid="{6BF31F62-52FC-4909-8EE2-5BD981BF77D7}"/>
    <cellStyle name="千位分隔 6 3 3 3 2" xfId="31940" xr:uid="{C4F5BEB7-C48D-457F-8D05-78CD166C03A4}"/>
    <cellStyle name="千位分隔 6 3 3 3 2 2" xfId="31941" xr:uid="{26C33E14-AA53-468A-87FF-D8BE9082EFA8}"/>
    <cellStyle name="千位分隔 6 3 3 3 3" xfId="31942" xr:uid="{4DA2B0D4-044C-4113-B55B-B496CC053D29}"/>
    <cellStyle name="千位分隔 6 3 3 3 4" xfId="31943" xr:uid="{F3AFCF08-1565-4642-9859-1F683793811B}"/>
    <cellStyle name="千位分隔 6 3 3 3 5" xfId="31944" xr:uid="{29FB987F-AD3C-4FD7-BC1B-D63CA17771F2}"/>
    <cellStyle name="千位分隔 6 3 3 3 5 2" xfId="35232" xr:uid="{36C492A1-86AA-45EA-9668-58D9EB540030}"/>
    <cellStyle name="千位分隔 6 3 3 3 6" xfId="31945" xr:uid="{7F9241A9-26DA-42F8-B02E-B378D65A38AE}"/>
    <cellStyle name="千位分隔 6 3 3 3 6 2" xfId="35233" xr:uid="{36DF2946-E12E-46C1-9EC2-594721E27242}"/>
    <cellStyle name="千位分隔 6 3 3 3 7" xfId="31946" xr:uid="{64ABEC1A-1A80-4D4D-B340-51A7118CDB7C}"/>
    <cellStyle name="千位分隔 6 3 3 4" xfId="31947" xr:uid="{EBE1F262-8B53-45C2-9D4C-178D58F01F79}"/>
    <cellStyle name="千位分隔 6 3 3 4 2" xfId="31948" xr:uid="{96B61B37-7764-400C-A7BF-42934C2632F0}"/>
    <cellStyle name="千位分隔 6 3 3 5" xfId="31949" xr:uid="{8B4DE5C7-5334-4E60-94E7-261872BFE45B}"/>
    <cellStyle name="千位分隔 6 3 3 5 2" xfId="31950" xr:uid="{3A97C6BE-0C78-40F4-9C58-CB83097C9DA0}"/>
    <cellStyle name="千位分隔 6 3 3 6" xfId="31951" xr:uid="{209F5281-9205-472B-B4C1-2E9EE7B3EE33}"/>
    <cellStyle name="千位分隔 6 3 3 6 2" xfId="31952" xr:uid="{7C38ED90-AD95-4908-8EC8-DB3D40DBE94C}"/>
    <cellStyle name="千位分隔 6 3 3 7" xfId="31953" xr:uid="{FFD2560E-EFA9-445D-B12E-7F3035449465}"/>
    <cellStyle name="千位分隔 6 3 3 7 2" xfId="35234" xr:uid="{57B88975-1BFC-44BA-A7A9-2CFB22ED4BAB}"/>
    <cellStyle name="千位分隔 6 3 3 8" xfId="31954" xr:uid="{D85986CF-B8FB-4509-903C-3413EF38D943}"/>
    <cellStyle name="千位分隔 6 3 3 8 2" xfId="35235" xr:uid="{1166CCBB-76F1-4560-AD16-6F57821AC09C}"/>
    <cellStyle name="千位分隔 6 3 3 9" xfId="31955" xr:uid="{2937874C-6ADB-4A36-8628-4C09516A93E1}"/>
    <cellStyle name="千位分隔 6 3 4" xfId="31956" xr:uid="{22A5DFCB-5272-48A8-A08C-A139486D32B0}"/>
    <cellStyle name="千位分隔 6 3 4 2" xfId="31957" xr:uid="{29DC45B6-FA11-48A7-AA3C-0D19089CA66B}"/>
    <cellStyle name="千位分隔 6 3 4 2 2" xfId="31958" xr:uid="{C746DEE8-635D-4E0F-81B6-BA56BC01EC63}"/>
    <cellStyle name="千位分隔 6 3 4 3" xfId="31959" xr:uid="{A530D2E1-5DB9-48BE-ABB6-75E0BB1EB09D}"/>
    <cellStyle name="千位分隔 6 3 4 3 2" xfId="31960" xr:uid="{5F323EBD-46B3-4CDE-AE6C-651550348BE2}"/>
    <cellStyle name="千位分隔 6 3 4 4" xfId="31961" xr:uid="{A5F24CEB-0002-43A0-A815-85A649565599}"/>
    <cellStyle name="千位分隔 6 3 4 4 2" xfId="31962" xr:uid="{D311D9E7-9896-4C05-8D72-4A8955605A9C}"/>
    <cellStyle name="千位分隔 6 3 4 5" xfId="31963" xr:uid="{1759F5A5-D5F5-4844-B9E4-5F3BF25B5345}"/>
    <cellStyle name="千位分隔 6 3 4 5 2" xfId="35236" xr:uid="{19BFCF3A-F049-4781-8B1A-B66E935E55CD}"/>
    <cellStyle name="千位分隔 6 3 4 6" xfId="31964" xr:uid="{60176556-EA38-412C-B8D6-BD8EF25A5736}"/>
    <cellStyle name="千位分隔 6 3 4 6 2" xfId="35237" xr:uid="{85813A15-B80A-490E-AA5F-B55148211FA2}"/>
    <cellStyle name="千位分隔 6 3 4 7" xfId="31965" xr:uid="{562AAD4F-CEE6-4581-8146-62E389291AEE}"/>
    <cellStyle name="千位分隔 6 3 5" xfId="31966" xr:uid="{81B23082-8D87-4077-AA05-35AABDBC6E5B}"/>
    <cellStyle name="千位分隔 6 3 5 2" xfId="31967" xr:uid="{4E8868EC-7516-498A-A6D2-821C3DF5D776}"/>
    <cellStyle name="千位分隔 6 3 5 2 2" xfId="31968" xr:uid="{08D2CBEF-1E4A-4C4A-8B03-9F41F90F558E}"/>
    <cellStyle name="千位分隔 6 3 5 3" xfId="31969" xr:uid="{7A727EBD-DED4-4539-BAE8-1860CC367F63}"/>
    <cellStyle name="千位分隔 6 3 5 4" xfId="31970" xr:uid="{10B16C08-77A2-441F-9C5C-70AAF97D6B59}"/>
    <cellStyle name="千位分隔 6 3 5 5" xfId="31971" xr:uid="{D362B934-15EF-4FC6-84FB-294CCCBDAA5A}"/>
    <cellStyle name="千位分隔 6 3 5 5 2" xfId="35238" xr:uid="{18E24D7F-9CDA-47E9-94C8-DDEB55C4D6A8}"/>
    <cellStyle name="千位分隔 6 3 5 6" xfId="31972" xr:uid="{43A320AE-5FBD-4F60-A0A6-4D63155FCC60}"/>
    <cellStyle name="千位分隔 6 3 5 6 2" xfId="35239" xr:uid="{DEFC2B92-C0A2-4021-A546-7CE8A32E45A4}"/>
    <cellStyle name="千位分隔 6 3 5 7" xfId="31973" xr:uid="{7DB3F3D2-8AE5-4584-BAA5-9CB8F3A8A1DD}"/>
    <cellStyle name="千位分隔 6 3 6" xfId="31974" xr:uid="{6E392796-4433-46CB-A4EE-D96F03D86078}"/>
    <cellStyle name="千位分隔 6 3 6 2" xfId="31975" xr:uid="{FDC58B51-20F9-454D-8A24-3CF53C106124}"/>
    <cellStyle name="千位分隔 6 3 7" xfId="31976" xr:uid="{D06672C8-1A40-47C4-91C2-BA3C4862E073}"/>
    <cellStyle name="千位分隔 6 3 7 2" xfId="31977" xr:uid="{ADD3D610-37D5-43B1-85AD-3F4D5EDB4A9B}"/>
    <cellStyle name="千位分隔 6 3 8" xfId="31978" xr:uid="{0D2B01F3-6B95-4B4A-BE2D-0D9252C55881}"/>
    <cellStyle name="千位分隔 6 3 8 2" xfId="31979" xr:uid="{A664430E-E11B-4336-AFB8-58F6EBE91940}"/>
    <cellStyle name="千位分隔 6 3 9" xfId="31980" xr:uid="{0420D070-B649-4DB9-A687-1E768203A78D}"/>
    <cellStyle name="千位分隔 6 3 9 2" xfId="35240" xr:uid="{24AA0554-D14E-4E1A-B313-BE90AF5381F2}"/>
    <cellStyle name="千位分隔 6 4" xfId="31981" xr:uid="{72002E42-7D70-46FE-A3DA-0E3F3AF7D1BE}"/>
    <cellStyle name="千位分隔 6 4 10" xfId="31982" xr:uid="{DA651DEA-28F7-43B4-BC3C-78B6219FBD80}"/>
    <cellStyle name="千位分隔 6 4 2" xfId="31983" xr:uid="{BAA8473D-0695-400C-B674-1E2B6B5E208D}"/>
    <cellStyle name="千位分隔 6 4 2 2" xfId="31984" xr:uid="{F10FA2E5-4218-4F49-94B8-1B176F43A61F}"/>
    <cellStyle name="千位分隔 6 4 2 2 2" xfId="31985" xr:uid="{38982466-4FF4-4ADF-BE73-A2DC7C69F748}"/>
    <cellStyle name="千位分隔 6 4 2 2 2 2" xfId="31986" xr:uid="{9020D9FA-E226-4324-BFDA-43DBF0F73966}"/>
    <cellStyle name="千位分隔 6 4 2 2 3" xfId="31987" xr:uid="{B65054D6-CCA2-474C-BB81-86CBB06D7C47}"/>
    <cellStyle name="千位分隔 6 4 2 2 4" xfId="31988" xr:uid="{26304999-4691-45FF-A0DD-966ED4F209FE}"/>
    <cellStyle name="千位分隔 6 4 2 2 5" xfId="31989" xr:uid="{6A520CAB-5924-4843-924A-DEAAC9274D3A}"/>
    <cellStyle name="千位分隔 6 4 2 2 5 2" xfId="35241" xr:uid="{465FA669-092F-429D-9BE9-2D74AE8CF233}"/>
    <cellStyle name="千位分隔 6 4 2 2 6" xfId="31990" xr:uid="{20DB94EC-EC6D-4A45-8C07-B7884573A590}"/>
    <cellStyle name="千位分隔 6 4 2 2 6 2" xfId="35242" xr:uid="{48259B11-F2F8-44B6-9F2C-3682B42D821E}"/>
    <cellStyle name="千位分隔 6 4 2 3" xfId="31991" xr:uid="{28E15351-6E06-40E3-9AEC-29BEB9D57DF1}"/>
    <cellStyle name="千位分隔 6 4 2 3 2" xfId="31992" xr:uid="{1658C36D-BAE4-458B-B72D-6036CCF22793}"/>
    <cellStyle name="千位分隔 6 4 2 3 2 2" xfId="31993" xr:uid="{C07C7011-2075-49E2-90E3-D71A0D3EF80D}"/>
    <cellStyle name="千位分隔 6 4 2 3 3" xfId="31994" xr:uid="{8318096B-516D-4D8D-A6B6-341C6F3BCC5A}"/>
    <cellStyle name="千位分隔 6 4 2 3 4" xfId="31995" xr:uid="{DF9175A9-0ACC-4E71-9EAE-31B896FD065F}"/>
    <cellStyle name="千位分隔 6 4 2 3 5" xfId="31996" xr:uid="{832A8FEF-2D5E-42F4-88D3-B1B518F90A5E}"/>
    <cellStyle name="千位分隔 6 4 2 3 5 2" xfId="35243" xr:uid="{308B4674-9253-4E7A-B707-48E4EBE56EE0}"/>
    <cellStyle name="千位分隔 6 4 2 3 6" xfId="31997" xr:uid="{E0EBDA7B-71FC-4425-832E-8DB0FFE8A9CE}"/>
    <cellStyle name="千位分隔 6 4 2 3 6 2" xfId="35244" xr:uid="{836BF530-620F-4AC4-8AF3-531E47E89AE2}"/>
    <cellStyle name="千位分隔 6 4 2 4" xfId="31998" xr:uid="{166C04FF-72AD-4FD2-BEAC-99E134D1DFC3}"/>
    <cellStyle name="千位分隔 6 4 2 4 2" xfId="31999" xr:uid="{DA47BB61-D3F2-4BAB-BB8C-E30A3DF3A8FD}"/>
    <cellStyle name="千位分隔 6 4 2 5" xfId="32000" xr:uid="{6B30C2EF-C89F-4815-ABC2-4F928EEB570B}"/>
    <cellStyle name="千位分隔 6 4 2 6" xfId="32001" xr:uid="{33081865-1CAB-47EB-BEDB-5226D0B9EC1A}"/>
    <cellStyle name="千位分隔 6 4 2 7" xfId="32002" xr:uid="{95243133-106F-4428-B517-A07D039780C5}"/>
    <cellStyle name="千位分隔 6 4 2 7 2" xfId="35245" xr:uid="{E753B5C6-A273-40B4-A2A7-3A12E9B5B47B}"/>
    <cellStyle name="千位分隔 6 4 2 8" xfId="32003" xr:uid="{64BB7185-02E3-44C5-8C2A-46CDD2D3FC13}"/>
    <cellStyle name="千位分隔 6 4 2 8 2" xfId="35246" xr:uid="{877D5D4D-6263-4779-A4D0-F02F866185D7}"/>
    <cellStyle name="千位分隔 6 4 2 9" xfId="32004" xr:uid="{7FD9522B-86EC-4926-A300-133835EB0B63}"/>
    <cellStyle name="千位分隔 6 4 3" xfId="32005" xr:uid="{88524A57-F78B-46E8-8C08-D5DCBE028C5C}"/>
    <cellStyle name="千位分隔 6 4 3 2" xfId="32006" xr:uid="{B61240BE-B7D1-4AF3-8F1A-B2FE8E3BD80E}"/>
    <cellStyle name="千位分隔 6 4 3 2 2" xfId="32007" xr:uid="{43B52AB1-8BBB-495A-8614-9E0E260B317A}"/>
    <cellStyle name="千位分隔 6 4 3 3" xfId="32008" xr:uid="{09F0C670-2F4B-4D69-9C7B-394FF5D68352}"/>
    <cellStyle name="千位分隔 6 4 3 3 2" xfId="32009" xr:uid="{45D4A930-00D7-4048-B666-B4F166CC1933}"/>
    <cellStyle name="千位分隔 6 4 3 4" xfId="32010" xr:uid="{2EFF74C2-9DFA-4336-9232-E1CB3B53287A}"/>
    <cellStyle name="千位分隔 6 4 3 4 2" xfId="32011" xr:uid="{C702F903-C69C-49B9-8795-5B9813F9A9C6}"/>
    <cellStyle name="千位分隔 6 4 3 5" xfId="32012" xr:uid="{16B3124F-70AA-49CE-822F-C29257DEB3E9}"/>
    <cellStyle name="千位分隔 6 4 3 5 2" xfId="35247" xr:uid="{59D7503E-CB81-4EDD-B0AA-2643A66A2A3D}"/>
    <cellStyle name="千位分隔 6 4 3 6" xfId="32013" xr:uid="{E79D090D-5AFC-46C9-BBB8-FA5BACF25B53}"/>
    <cellStyle name="千位分隔 6 4 3 6 2" xfId="35248" xr:uid="{76D25A93-CCD0-487E-9670-527AE49E3CC0}"/>
    <cellStyle name="千位分隔 6 4 3 7" xfId="32014" xr:uid="{62E2AC55-715E-46D0-BC47-8CE7013DE4BE}"/>
    <cellStyle name="千位分隔 6 4 4" xfId="32015" xr:uid="{AA83A1D0-667D-4961-813B-2233A236F657}"/>
    <cellStyle name="千位分隔 6 4 4 2" xfId="32016" xr:uid="{6CF6F945-3662-480A-AA10-8D81CDEBC997}"/>
    <cellStyle name="千位分隔 6 4 4 2 2" xfId="32017" xr:uid="{8A382FC3-0AA4-4F0F-AA4F-2E550CA83D6A}"/>
    <cellStyle name="千位分隔 6 4 4 3" xfId="32018" xr:uid="{12F89D0E-3E03-4669-AFFC-A97EDC40D00D}"/>
    <cellStyle name="千位分隔 6 4 4 4" xfId="32019" xr:uid="{3D9E6BA6-B7BF-43E8-9453-944F08622B41}"/>
    <cellStyle name="千位分隔 6 4 4 5" xfId="32020" xr:uid="{EC6FBD4E-0F74-416C-B5AF-317A90572EB1}"/>
    <cellStyle name="千位分隔 6 4 4 5 2" xfId="35249" xr:uid="{41525CC3-5197-4DA4-9AB7-17809C28AC86}"/>
    <cellStyle name="千位分隔 6 4 4 6" xfId="32021" xr:uid="{A2CC782B-88C9-4A93-B673-70F0D6C80EE0}"/>
    <cellStyle name="千位分隔 6 4 4 6 2" xfId="35250" xr:uid="{0CCEB67B-E08B-413F-8EBB-B230938DF29D}"/>
    <cellStyle name="千位分隔 6 4 4 7" xfId="32022" xr:uid="{5328C0F6-62C0-447F-9D6C-576D650A1312}"/>
    <cellStyle name="千位分隔 6 4 5" xfId="32023" xr:uid="{2DDA675C-938B-4FB4-B9AF-6C54A7CB774E}"/>
    <cellStyle name="千位分隔 6 4 5 2" xfId="32024" xr:uid="{0F86F713-E34B-4E85-8AE5-449100A1484B}"/>
    <cellStyle name="千位分隔 6 4 6" xfId="32025" xr:uid="{3404782D-FC98-4F1C-956C-F3E254C50B28}"/>
    <cellStyle name="千位分隔 6 4 6 2" xfId="32026" xr:uid="{BE12FEAA-DBD0-4C5E-B510-87ECFAF5C3C4}"/>
    <cellStyle name="千位分隔 6 4 7" xfId="32027" xr:uid="{84EFF233-454E-4EBD-88DA-D09C3BFF5308}"/>
    <cellStyle name="千位分隔 6 4 7 2" xfId="32028" xr:uid="{C8675CDC-99C9-40A7-BD5B-4A888E7365B6}"/>
    <cellStyle name="千位分隔 6 4 8" xfId="32029" xr:uid="{E86FDA04-A0C6-43AF-B7A5-4EF06E26A76D}"/>
    <cellStyle name="千位分隔 6 4 8 2" xfId="35251" xr:uid="{C7B147C7-873D-4C17-81DD-33200A0A5B96}"/>
    <cellStyle name="千位分隔 6 4 9" xfId="32030" xr:uid="{64C6DA08-5830-4572-B738-8827A1C22DCD}"/>
    <cellStyle name="千位分隔 6 4 9 2" xfId="35252" xr:uid="{883CE366-FE29-4601-8F04-838AEF2278ED}"/>
    <cellStyle name="千位分隔 6 5" xfId="32031" xr:uid="{195E959D-2E5C-4605-A69E-195EDE2D9611}"/>
    <cellStyle name="千位分隔 6 5 2" xfId="32032" xr:uid="{3E1ABF2D-8A95-4536-9C4D-BE126BD89D88}"/>
    <cellStyle name="千位分隔 6 5 2 2" xfId="32033" xr:uid="{C1A4472C-5197-4480-AFA5-97213EAA0C5A}"/>
    <cellStyle name="千位分隔 6 5 2 2 2" xfId="32034" xr:uid="{1AD823E2-5108-43AC-839C-DC5234839534}"/>
    <cellStyle name="千位分隔 6 5 2 2 2 2" xfId="32035" xr:uid="{A5B3D02C-7E98-47D6-841C-C048F3746E05}"/>
    <cellStyle name="千位分隔 6 5 2 2 3" xfId="32036" xr:uid="{77AACD20-79D1-4C80-A027-819F3E737DD9}"/>
    <cellStyle name="千位分隔 6 5 2 2 4" xfId="32037" xr:uid="{88F3F55D-0584-417D-9750-1133B8B38AD7}"/>
    <cellStyle name="千位分隔 6 5 2 2 5" xfId="32038" xr:uid="{176A187D-721A-43CA-A4E6-158291B99EEB}"/>
    <cellStyle name="千位分隔 6 5 2 2 5 2" xfId="35253" xr:uid="{CF38F2DB-51CA-478B-B8CF-352DBE805FB5}"/>
    <cellStyle name="千位分隔 6 5 2 2 6" xfId="32039" xr:uid="{13712DFB-E0A3-43AC-8887-F8CC478F87C3}"/>
    <cellStyle name="千位分隔 6 5 2 2 6 2" xfId="35254" xr:uid="{51F3C240-700C-4E53-8EE1-5357EDBEC399}"/>
    <cellStyle name="千位分隔 6 5 2 3" xfId="32040" xr:uid="{57C09B81-70A8-4A20-9424-C75383B6C8E8}"/>
    <cellStyle name="千位分隔 6 5 2 3 2" xfId="32041" xr:uid="{EC32BDFE-0E7A-4299-8FC1-D0F9B733BBC9}"/>
    <cellStyle name="千位分隔 6 5 2 4" xfId="32042" xr:uid="{748AA4DA-C455-4F64-AE3E-5CF833088820}"/>
    <cellStyle name="千位分隔 6 5 2 5" xfId="32043" xr:uid="{65CF4887-3846-4416-B415-5F7A5728154D}"/>
    <cellStyle name="千位分隔 6 5 2 6" xfId="32044" xr:uid="{FAB9E890-CBBD-4EED-8998-53392E622541}"/>
    <cellStyle name="千位分隔 6 5 2 6 2" xfId="35255" xr:uid="{AB73F3AB-57F5-4AD2-80EA-402F2E22C0BF}"/>
    <cellStyle name="千位分隔 6 5 2 7" xfId="32045" xr:uid="{FF1629CD-AE34-4035-9AD2-F901E957AD7C}"/>
    <cellStyle name="千位分隔 6 5 2 7 2" xfId="35256" xr:uid="{0215EF3C-D26E-433D-A487-CFAAA52B069B}"/>
    <cellStyle name="千位分隔 6 5 3" xfId="32046" xr:uid="{11A70A8F-B1E0-4577-888B-5394F1D69949}"/>
    <cellStyle name="千位分隔 6 5 3 2" xfId="32047" xr:uid="{AFD1CB52-DF67-48F1-8760-966C42CF2B3D}"/>
    <cellStyle name="千位分隔 6 5 3 2 2" xfId="32048" xr:uid="{E2018BD6-61FC-4832-AA82-E0731EEAA1C7}"/>
    <cellStyle name="千位分隔 6 5 3 3" xfId="32049" xr:uid="{DC3C8BFF-A0EA-42E8-9B62-439E51245D81}"/>
    <cellStyle name="千位分隔 6 5 3 4" xfId="32050" xr:uid="{3E44713E-47BA-45E0-82EA-967BECAE5CCD}"/>
    <cellStyle name="千位分隔 6 5 3 5" xfId="32051" xr:uid="{48848967-8C52-40AD-86AD-3BC77BED1879}"/>
    <cellStyle name="千位分隔 6 5 3 5 2" xfId="35257" xr:uid="{7ED08F66-633C-44CF-819F-02A627CD27DD}"/>
    <cellStyle name="千位分隔 6 5 3 6" xfId="32052" xr:uid="{A661C216-E7A3-4B96-9137-5747FE61BE0C}"/>
    <cellStyle name="千位分隔 6 5 3 6 2" xfId="35258" xr:uid="{DA488962-BD8D-4A06-B256-C84BBB7BDB87}"/>
    <cellStyle name="千位分隔 6 5 4" xfId="32053" xr:uid="{019335F9-8F4B-448D-8643-A957D12847EB}"/>
    <cellStyle name="千位分隔 6 5 4 2" xfId="32054" xr:uid="{C7C9055A-AD2B-44C1-8644-16B5CE724544}"/>
    <cellStyle name="千位分隔 6 5 5" xfId="32055" xr:uid="{B4C341BD-6F43-4F9B-BDD5-D52AA3D587AF}"/>
    <cellStyle name="千位分隔 6 5 6" xfId="32056" xr:uid="{166F2BD4-97AC-4C10-9743-4AB4C33E9742}"/>
    <cellStyle name="千位分隔 6 5 7" xfId="32057" xr:uid="{FC9672CA-6E24-41ED-8B56-83DDA60FE7DF}"/>
    <cellStyle name="千位分隔 6 5 7 2" xfId="35259" xr:uid="{B64714D6-7AE8-4793-A6ED-1AE1E97C3AD8}"/>
    <cellStyle name="千位分隔 6 5 8" xfId="32058" xr:uid="{6D57297C-EE38-4CC2-B1C2-4D88C6779B3B}"/>
    <cellStyle name="千位分隔 6 5 8 2" xfId="35260" xr:uid="{CE553712-54E8-459E-A720-8A6E69DC22B2}"/>
    <cellStyle name="千位分隔 6 6" xfId="32059" xr:uid="{F9DBA227-BAE0-4B9F-9F7A-C1326F227A3C}"/>
    <cellStyle name="千位分隔 6 6 2" xfId="32060" xr:uid="{0288562F-5B00-4050-9962-7D11F05C0605}"/>
    <cellStyle name="千位分隔 6 6 2 2" xfId="32061" xr:uid="{09BCB1B1-C24C-47DD-9483-E8C18CC1283A}"/>
    <cellStyle name="千位分隔 6 6 2 2 2" xfId="32062" xr:uid="{C9D74647-78A6-4971-92D8-BEEAB0E4782E}"/>
    <cellStyle name="千位分隔 6 6 2 3" xfId="32063" xr:uid="{038A3CF6-5629-48D4-BD27-15A10C1A4173}"/>
    <cellStyle name="千位分隔 6 6 2 4" xfId="32064" xr:uid="{9CDAB250-B2E6-4F00-9F6F-E3EF147EBFC9}"/>
    <cellStyle name="千位分隔 6 6 2 5" xfId="32065" xr:uid="{A87198A6-1445-444C-BC96-F6CCFF9363DD}"/>
    <cellStyle name="千位分隔 6 6 2 5 2" xfId="35261" xr:uid="{45AB0891-6F6D-4951-ABF1-7851291D7C45}"/>
    <cellStyle name="千位分隔 6 6 2 6" xfId="32066" xr:uid="{D5E1842F-8AE2-4326-BDF7-9075E38110A4}"/>
    <cellStyle name="千位分隔 6 6 2 6 2" xfId="35262" xr:uid="{81D747FA-950A-4DCC-9849-C88225CB04A7}"/>
    <cellStyle name="千位分隔 6 6 3" xfId="32067" xr:uid="{AD7B2AF4-EC75-4FE6-A5B1-75660619791B}"/>
    <cellStyle name="千位分隔 6 6 3 2" xfId="32068" xr:uid="{B37697B3-5E69-4C89-9E08-CE014031414B}"/>
    <cellStyle name="千位分隔 6 6 3 2 2" xfId="32069" xr:uid="{808F2D64-6641-486C-8705-FA024D252CCA}"/>
    <cellStyle name="千位分隔 6 6 3 3" xfId="32070" xr:uid="{ABD9BB57-42AB-4DCB-AAE3-505262A32B2C}"/>
    <cellStyle name="千位分隔 6 6 3 4" xfId="32071" xr:uid="{0BDC0EA9-2F76-431B-861C-6905553EFB18}"/>
    <cellStyle name="千位分隔 6 6 3 5" xfId="32072" xr:uid="{27DB4F2E-4BAE-42C8-99F1-94D02F2D07F1}"/>
    <cellStyle name="千位分隔 6 6 3 5 2" xfId="35263" xr:uid="{8D60768C-7DCD-4576-AA18-6DB42C669499}"/>
    <cellStyle name="千位分隔 6 6 3 6" xfId="32073" xr:uid="{9C945EFF-9940-45E6-9A69-A507B47E0F09}"/>
    <cellStyle name="千位分隔 6 6 3 6 2" xfId="35264" xr:uid="{CBA153A5-CDE4-4F54-8E82-4D08D97E5F86}"/>
    <cellStyle name="千位分隔 6 6 4" xfId="32074" xr:uid="{BF223260-60FA-4B92-AF37-7319B444D473}"/>
    <cellStyle name="千位分隔 6 6 4 2" xfId="32075" xr:uid="{BDE43791-8218-4B70-8D80-0FF1CE29F683}"/>
    <cellStyle name="千位分隔 6 6 5" xfId="32076" xr:uid="{094A7C79-77DB-4D1C-852D-21F97CF7AD15}"/>
    <cellStyle name="千位分隔 6 6 6" xfId="32077" xr:uid="{45557030-BD40-477A-ACE3-DD0D4B0EBEA8}"/>
    <cellStyle name="千位分隔 6 6 7" xfId="32078" xr:uid="{4D102C5E-DAA7-4323-BE2C-9E430C32A067}"/>
    <cellStyle name="千位分隔 6 6 7 2" xfId="35265" xr:uid="{9F02B193-0D15-485B-9310-5E112623A0F4}"/>
    <cellStyle name="千位分隔 6 6 8" xfId="32079" xr:uid="{6CC946F2-213F-4F29-ACFB-ABB5924BE995}"/>
    <cellStyle name="千位分隔 6 6 8 2" xfId="35266" xr:uid="{D7CB882C-5932-4B15-81D3-CF8F2483AC9E}"/>
    <cellStyle name="千位分隔 6 7" xfId="32080" xr:uid="{60A8183E-A995-4222-A823-8B0540A5C267}"/>
    <cellStyle name="千位分隔 6 7 2" xfId="32081" xr:uid="{4CC1D6A3-F54E-4D56-889B-C847ACABE985}"/>
    <cellStyle name="千位分隔 6 7 2 2" xfId="32082" xr:uid="{9ADEE74B-0827-4EDC-AE1C-CC11A762DA74}"/>
    <cellStyle name="千位分隔 6 7 3" xfId="32083" xr:uid="{139F337F-A57C-4340-AEE5-BAD3E2992C37}"/>
    <cellStyle name="千位分隔 6 7 4" xfId="32084" xr:uid="{E920A745-98A4-4D34-92A2-914E81CC0EDB}"/>
    <cellStyle name="千位分隔 6 7 5" xfId="32085" xr:uid="{142489D4-40F4-4DDD-A7FE-C4DD5040641E}"/>
    <cellStyle name="千位分隔 6 7 5 2" xfId="35267" xr:uid="{498EEE7D-187F-4487-8381-577F5C4401B2}"/>
    <cellStyle name="千位分隔 6 7 6" xfId="32086" xr:uid="{A556EBB2-83C7-46D3-88D8-F2C4467C1171}"/>
    <cellStyle name="千位分隔 6 7 6 2" xfId="35268" xr:uid="{6E55A546-12E3-4F01-89DE-442890903C69}"/>
    <cellStyle name="千位分隔 6 7 7" xfId="32087" xr:uid="{7FFF465D-81C6-4C68-8593-78BF3FD08916}"/>
    <cellStyle name="千位分隔 6 8" xfId="32088" xr:uid="{AD1C3196-6539-4745-A1F7-6AA9AC6E5033}"/>
    <cellStyle name="千位分隔 6 8 2" xfId="32089" xr:uid="{8719EEC3-A0BC-408C-A439-1CBBFCD3CE28}"/>
    <cellStyle name="千位分隔 6 8 2 2" xfId="32090" xr:uid="{CCEDAD86-79AE-4246-ACC0-875B3AC2437F}"/>
    <cellStyle name="千位分隔 6 8 3" xfId="32091" xr:uid="{53EB3673-5188-4384-97AE-34AD40FEE38D}"/>
    <cellStyle name="千位分隔 6 8 3 2" xfId="32092" xr:uid="{9C99718F-783C-4F13-A502-F5FB4AC3B68B}"/>
    <cellStyle name="千位分隔 6 8 4" xfId="32093" xr:uid="{0ACA8939-2CC1-4AD7-B4D4-97B5A3F49CAE}"/>
    <cellStyle name="千位分隔 6 8 4 2" xfId="32094" xr:uid="{B0405AAC-D615-4B6C-9F4B-1184268E27EC}"/>
    <cellStyle name="千位分隔 6 8 5" xfId="32095" xr:uid="{CA66D196-AC55-422E-84D9-22B00F18F538}"/>
    <cellStyle name="千位分隔 6 8 5 2" xfId="35269" xr:uid="{925050E1-E142-40E9-8571-54228BD90D13}"/>
    <cellStyle name="千位分隔 6 8 6" xfId="32096" xr:uid="{A3737DB5-A08F-41E6-ABBB-B7C80C2ED84C}"/>
    <cellStyle name="千位分隔 6 8 6 2" xfId="35270" xr:uid="{631F6350-AD20-490E-9466-13134E02C95B}"/>
    <cellStyle name="千位分隔 6 8 7" xfId="32097" xr:uid="{25D7B661-C59B-4A2F-A6C3-DE62E858097F}"/>
    <cellStyle name="千位分隔 6 9" xfId="32098" xr:uid="{C5BB059F-53D3-4CDB-A3A6-C1C60651CED6}"/>
    <cellStyle name="千位分隔 6 9 2" xfId="32099" xr:uid="{7FC24F81-76E0-45C8-91C0-DC9B908B6392}"/>
    <cellStyle name="千位分隔 6 9 3" xfId="32100" xr:uid="{44226F35-F7F4-455F-8E77-66C6A768AF6B}"/>
    <cellStyle name="千位分隔 6 9 4" xfId="32101" xr:uid="{B03ECCF3-08AE-44E7-A57D-01129DCA351D}"/>
    <cellStyle name="千位分隔 6 9 5" xfId="32102" xr:uid="{025CDE1C-78F2-4259-B117-7C727D86AD81}"/>
    <cellStyle name="千位分隔 6 9 6" xfId="32103" xr:uid="{7DB10A10-1C7A-4BC0-88A7-E93D02CE456E}"/>
    <cellStyle name="千位分隔 6 9 7" xfId="32104" xr:uid="{B1715DCC-7DA9-4BEB-9F5C-355141800D5D}"/>
    <cellStyle name="千位分隔 7" xfId="32105" xr:uid="{BA81CE7A-0944-44CE-8A6B-7B90945D7937}"/>
    <cellStyle name="千位分隔 7 10" xfId="32106" xr:uid="{C5AE8B74-0E14-4BCC-9A22-170AD436FFBB}"/>
    <cellStyle name="千位分隔 7 10 2" xfId="35271" xr:uid="{A8C0B657-67F4-4B74-8295-62B264470570}"/>
    <cellStyle name="千位分隔 7 11" xfId="32107" xr:uid="{F4A77DEC-830F-49C7-8E27-5B557995A69F}"/>
    <cellStyle name="千位分隔 7 2" xfId="32108" xr:uid="{AEC4A1CE-B6AC-437B-9090-01149E062D13}"/>
    <cellStyle name="千位分隔 7 2 10" xfId="32109" xr:uid="{CDF1D194-D71E-4021-9B87-B20BB042BEA1}"/>
    <cellStyle name="千位分隔 7 2 2" xfId="32110" xr:uid="{E233FD58-8D7F-46B0-A17A-B47C2E0B811C}"/>
    <cellStyle name="千位分隔 7 2 2 2" xfId="32111" xr:uid="{0334020A-82B2-4FB3-B741-25A2175F9C5E}"/>
    <cellStyle name="千位分隔 7 2 2 2 2" xfId="32112" xr:uid="{305DC99A-586B-45CC-8397-F040AE0B80F4}"/>
    <cellStyle name="千位分隔 7 2 2 2 2 2" xfId="32113" xr:uid="{6923A84E-89FC-4E96-A1D1-13418E9CD452}"/>
    <cellStyle name="千位分隔 7 2 2 2 3" xfId="32114" xr:uid="{D5F7B7E4-BDED-4045-9D9D-FCB93BBC39B1}"/>
    <cellStyle name="千位分隔 7 2 2 2 4" xfId="32115" xr:uid="{46CD94E2-457F-4925-ABF3-AA733A84302B}"/>
    <cellStyle name="千位分隔 7 2 2 2 5" xfId="32116" xr:uid="{23DB3785-A356-4AF1-9307-7B63451B637A}"/>
    <cellStyle name="千位分隔 7 2 2 2 5 2" xfId="35272" xr:uid="{220B4089-1D46-4021-8B2E-E5113D60739A}"/>
    <cellStyle name="千位分隔 7 2 2 2 6" xfId="32117" xr:uid="{94A1E595-0300-4833-ABF1-6000618E9B59}"/>
    <cellStyle name="千位分隔 7 2 2 2 6 2" xfId="35273" xr:uid="{9EEAAC2A-3B69-4EE5-96DC-186F57176E40}"/>
    <cellStyle name="千位分隔 7 2 2 3" xfId="32118" xr:uid="{FF6FDA71-EAA3-40D0-8B8C-D1FD87E769C7}"/>
    <cellStyle name="千位分隔 7 2 2 3 2" xfId="32119" xr:uid="{9B3C3596-7DFB-4868-9F53-2646181DF437}"/>
    <cellStyle name="千位分隔 7 2 2 3 2 2" xfId="32120" xr:uid="{8A19FFFD-9BE1-4D08-81C5-3903D709511B}"/>
    <cellStyle name="千位分隔 7 2 2 3 3" xfId="32121" xr:uid="{56CA99B9-1CE2-4D4E-B088-96AB6B6CBE9A}"/>
    <cellStyle name="千位分隔 7 2 2 3 4" xfId="32122" xr:uid="{04B72210-2D2E-4A5E-9EAA-359CCBB4DAFD}"/>
    <cellStyle name="千位分隔 7 2 2 3 5" xfId="32123" xr:uid="{4237F858-86B7-4FFC-879E-0D39704E375A}"/>
    <cellStyle name="千位分隔 7 2 2 3 5 2" xfId="35274" xr:uid="{F86FAAAC-175B-44A4-B59B-A2B5B063E23F}"/>
    <cellStyle name="千位分隔 7 2 2 3 6" xfId="32124" xr:uid="{43F3946B-A4A1-49B2-8AFB-7E1B7492F4C1}"/>
    <cellStyle name="千位分隔 7 2 2 3 6 2" xfId="35275" xr:uid="{BA3FF7CD-6A17-4EE4-A7D4-52014E4A4825}"/>
    <cellStyle name="千位分隔 7 2 2 4" xfId="32125" xr:uid="{B08619AD-8F7C-4910-88FF-62C6F425080C}"/>
    <cellStyle name="千位分隔 7 2 2 4 2" xfId="32126" xr:uid="{504F2EC8-9A0B-4875-B08A-5174519F3076}"/>
    <cellStyle name="千位分隔 7 2 2 5" xfId="32127" xr:uid="{8E6B0722-E993-4BC5-9461-A2FB69F42EEA}"/>
    <cellStyle name="千位分隔 7 2 2 6" xfId="32128" xr:uid="{28B1C846-967F-4A26-9916-915C4989054F}"/>
    <cellStyle name="千位分隔 7 2 2 7" xfId="32129" xr:uid="{2B4679A7-FEE5-486D-B014-B4DD4FE98330}"/>
    <cellStyle name="千位分隔 7 2 2 7 2" xfId="35276" xr:uid="{26FF80E7-8C25-4FA0-A21F-7998E33963FA}"/>
    <cellStyle name="千位分隔 7 2 2 8" xfId="32130" xr:uid="{E689ACAE-6C62-4065-97FD-1C7DDD6A78B1}"/>
    <cellStyle name="千位分隔 7 2 2 8 2" xfId="35277" xr:uid="{26A7E575-8FC5-43A5-ADCD-1B6CA3C03CCF}"/>
    <cellStyle name="千位分隔 7 2 3" xfId="32131" xr:uid="{FA194391-8EEA-4F8F-9841-7217EA327A1F}"/>
    <cellStyle name="千位分隔 7 2 3 2" xfId="32132" xr:uid="{13F5E0A8-D58A-424B-B725-7A9A0331510D}"/>
    <cellStyle name="千位分隔 7 2 3 2 2" xfId="32133" xr:uid="{0D2CF8E3-42A1-4B7E-9C0E-2A05E1D4DF35}"/>
    <cellStyle name="千位分隔 7 2 3 3" xfId="32134" xr:uid="{1C5306E1-519B-4387-85EE-F07A3315D2FA}"/>
    <cellStyle name="千位分隔 7 2 3 4" xfId="32135" xr:uid="{CDD572F0-668E-489B-8D32-B7D5B33A65D2}"/>
    <cellStyle name="千位分隔 7 2 3 5" xfId="32136" xr:uid="{544826C1-C6C7-451D-8EEF-FE8CE59E72B6}"/>
    <cellStyle name="千位分隔 7 2 3 5 2" xfId="35278" xr:uid="{E2A53E1C-1FA5-4056-915B-C1F34C3CA115}"/>
    <cellStyle name="千位分隔 7 2 3 6" xfId="32137" xr:uid="{27F9D08F-DBB8-4AE2-A6F5-824C5C2580CD}"/>
    <cellStyle name="千位分隔 7 2 3 6 2" xfId="35279" xr:uid="{7FC9C375-3011-4002-9BCD-C9377CEA82F7}"/>
    <cellStyle name="千位分隔 7 2 4" xfId="32138" xr:uid="{17EB09FB-A09D-4577-8535-72D63DC360C1}"/>
    <cellStyle name="千位分隔 7 2 4 2" xfId="32139" xr:uid="{240ECFF9-D579-4ADB-829C-2DDC1CFD63C0}"/>
    <cellStyle name="千位分隔 7 2 4 2 2" xfId="32140" xr:uid="{BCEE0D5D-DB34-4DE9-B6AD-6F4C4C850474}"/>
    <cellStyle name="千位分隔 7 2 4 3" xfId="32141" xr:uid="{DCBAF980-9E1F-4D62-88C3-7D38861CA4D0}"/>
    <cellStyle name="千位分隔 7 2 4 4" xfId="32142" xr:uid="{5A619B2D-3A47-46A6-9394-57C1BA2D437E}"/>
    <cellStyle name="千位分隔 7 2 4 5" xfId="32143" xr:uid="{F185D607-18C8-4D7A-B7C3-E46FA283DF7E}"/>
    <cellStyle name="千位分隔 7 2 4 5 2" xfId="35280" xr:uid="{D9F72B75-94FA-4083-B188-19C0AE65A3F1}"/>
    <cellStyle name="千位分隔 7 2 4 6" xfId="32144" xr:uid="{0C6221EC-3EFF-44DF-93E2-5AA9FFC5687D}"/>
    <cellStyle name="千位分隔 7 2 4 6 2" xfId="35281" xr:uid="{87F22A6C-EB4A-4DE9-964E-1952A8BE5AF5}"/>
    <cellStyle name="千位分隔 7 2 5" xfId="32145" xr:uid="{8B1EC1DE-5B65-4D73-A7BE-4DD8F8C03B04}"/>
    <cellStyle name="千位分隔 7 2 5 2" xfId="32146" xr:uid="{FC558E04-0DF3-4D04-A27D-A050B946BC70}"/>
    <cellStyle name="千位分隔 7 2 6" xfId="32147" xr:uid="{3B3A5E6F-6E89-414E-BFE8-2A293AC51A2A}"/>
    <cellStyle name="千位分隔 7 2 7" xfId="32148" xr:uid="{8B3D08F4-E870-4FD0-9338-69973C3D3699}"/>
    <cellStyle name="千位分隔 7 2 8" xfId="32149" xr:uid="{6AF24198-FA78-4F46-BA81-86EC6997104B}"/>
    <cellStyle name="千位分隔 7 2 8 2" xfId="35282" xr:uid="{DF9EF793-082C-4438-B78F-CD40A52EF3BC}"/>
    <cellStyle name="千位分隔 7 2 9" xfId="32150" xr:uid="{D8071C37-4992-4313-994D-E55ECF6496A0}"/>
    <cellStyle name="千位分隔 7 2 9 2" xfId="35283" xr:uid="{0BFDCCB8-7B02-4D6A-956D-DBE7989CFFBC}"/>
    <cellStyle name="千位分隔 7 3" xfId="32151" xr:uid="{5710D10C-545D-42A3-BA72-70C249F9C0D3}"/>
    <cellStyle name="千位分隔 7 3 2" xfId="32152" xr:uid="{3567620A-81FC-47CF-8D72-F8BB764CEDBF}"/>
    <cellStyle name="千位分隔 7 3 2 2" xfId="32153" xr:uid="{781C8703-1AF3-4688-8BFE-D6C3D43CEF55}"/>
    <cellStyle name="千位分隔 7 3 2 2 2" xfId="32154" xr:uid="{8195E30E-982F-4D10-A284-9DB31FA7C185}"/>
    <cellStyle name="千位分隔 7 3 2 3" xfId="32155" xr:uid="{6438193D-F291-4CB0-9FE1-8A3B12DEDDBD}"/>
    <cellStyle name="千位分隔 7 3 2 4" xfId="32156" xr:uid="{484BB91D-EC2C-4CE2-AB47-C0E38EF0F57A}"/>
    <cellStyle name="千位分隔 7 3 2 5" xfId="32157" xr:uid="{16894D0C-E6CA-469A-B6F2-661D0F073564}"/>
    <cellStyle name="千位分隔 7 3 2 5 2" xfId="35284" xr:uid="{B2D1347F-11C3-4AC3-A7AF-48AFD9013696}"/>
    <cellStyle name="千位分隔 7 3 2 6" xfId="32158" xr:uid="{66AA20E7-6D90-4BF4-830D-757EA37B97A3}"/>
    <cellStyle name="千位分隔 7 3 2 6 2" xfId="35285" xr:uid="{7BE22BFC-C9A6-48DF-A59C-313A3D198B53}"/>
    <cellStyle name="千位分隔 7 3 3" xfId="32159" xr:uid="{047B53B6-CF71-4566-849A-BA58D0C0C97F}"/>
    <cellStyle name="千位分隔 7 3 3 2" xfId="32160" xr:uid="{0A18435C-AAEA-4F3B-B0FA-3C0F3EB5B360}"/>
    <cellStyle name="千位分隔 7 3 3 3" xfId="32161" xr:uid="{1F010848-D546-4194-BC44-7CA7BDAAE5C1}"/>
    <cellStyle name="千位分隔 7 3 3 4" xfId="32162" xr:uid="{A9FB8AD0-5207-48F5-997F-2BEFAD6F8A96}"/>
    <cellStyle name="千位分隔 7 3 4" xfId="32163" xr:uid="{2C822A58-F4F9-476E-A0A9-A23E001BDD7F}"/>
    <cellStyle name="千位分隔 7 3 4 2" xfId="32164" xr:uid="{F3FDEAA9-0DE9-408B-A3C9-9D565686A13A}"/>
    <cellStyle name="千位分隔 7 3 5" xfId="32165" xr:uid="{67564CA7-8861-4E53-9930-C498D1D256EC}"/>
    <cellStyle name="千位分隔 7 3 6" xfId="32166" xr:uid="{43CE7AC8-1D82-4E3F-91D6-270344F19ECC}"/>
    <cellStyle name="千位分隔 7 3 7" xfId="32167" xr:uid="{EF721813-A312-444D-AC14-8F84D2D06D57}"/>
    <cellStyle name="千位分隔 7 3 7 2" xfId="35286" xr:uid="{BF1E6B0C-C0D6-4AA2-ADBC-791FA189C2A7}"/>
    <cellStyle name="千位分隔 7 3 8" xfId="32168" xr:uid="{C85CB975-40C8-4B12-840F-FEBD33862B5C}"/>
    <cellStyle name="千位分隔 7 3 8 2" xfId="35287" xr:uid="{3C332D1A-E76C-43AF-A0F5-AFFDB4E83C38}"/>
    <cellStyle name="千位分隔 7 4" xfId="32169" xr:uid="{CC57F9D3-87FE-4344-A250-29FD8C1F7944}"/>
    <cellStyle name="千位分隔 7 4 2" xfId="32170" xr:uid="{7ED39AEA-098B-4464-BE4F-53B28DC0A594}"/>
    <cellStyle name="千位分隔 7 4 2 2" xfId="32171" xr:uid="{1CEDC350-E392-4493-95FB-688A0CC880DC}"/>
    <cellStyle name="千位分隔 7 4 2 2 2" xfId="32172" xr:uid="{0E34A4A9-8F59-4424-BEA3-BF77F7AC809E}"/>
    <cellStyle name="千位分隔 7 4 2 3" xfId="32173" xr:uid="{68676179-F21A-4E24-8A69-D52F2D838BFD}"/>
    <cellStyle name="千位分隔 7 4 2 4" xfId="32174" xr:uid="{FD05F44A-4A85-4A88-A6C1-5A43E5707A4B}"/>
    <cellStyle name="千位分隔 7 4 2 5" xfId="32175" xr:uid="{67EADCC9-7292-4881-B2B3-72A48BB456E5}"/>
    <cellStyle name="千位分隔 7 4 2 5 2" xfId="35288" xr:uid="{3106C3AB-82D3-48AE-8D56-BAAD2BA3C79C}"/>
    <cellStyle name="千位分隔 7 4 2 6" xfId="32176" xr:uid="{5CE41DC3-2D2F-473E-9E0B-744CF9EC298A}"/>
    <cellStyle name="千位分隔 7 4 2 6 2" xfId="35289" xr:uid="{2B2ED6BA-A80C-44EF-9BE5-EDD4DE68CB01}"/>
    <cellStyle name="千位分隔 7 4 3" xfId="32177" xr:uid="{825813CF-C665-41CF-A9DD-D3D109955495}"/>
    <cellStyle name="千位分隔 7 4 3 2" xfId="32178" xr:uid="{72D72A99-3F09-4806-8921-1C3D19C40FE5}"/>
    <cellStyle name="千位分隔 7 4 4" xfId="32179" xr:uid="{5DAED9B4-D30F-4A86-B801-DF469BF43949}"/>
    <cellStyle name="千位分隔 7 4 5" xfId="32180" xr:uid="{40D26839-786D-4D11-BFCD-6AB77C63823C}"/>
    <cellStyle name="千位分隔 7 4 6" xfId="32181" xr:uid="{F5E79117-820B-4BB4-978E-D059704EF5A1}"/>
    <cellStyle name="千位分隔 7 4 6 2" xfId="35290" xr:uid="{88EDBBAC-8925-42DF-9C95-69C5F5C15803}"/>
    <cellStyle name="千位分隔 7 4 7" xfId="32182" xr:uid="{27BD3EEC-278E-43EB-9D8E-5E31F7DD976F}"/>
    <cellStyle name="千位分隔 7 4 7 2" xfId="35291" xr:uid="{3D644F77-10AF-4BB0-8248-E1167053C5D2}"/>
    <cellStyle name="千位分隔 7 5" xfId="32183" xr:uid="{CA4F1C9D-3F1C-4EBC-B7A2-571BB4DF1D97}"/>
    <cellStyle name="千位分隔 7 5 2" xfId="32184" xr:uid="{4DDC56D4-F5E0-4A94-B027-14E14E486542}"/>
    <cellStyle name="千位分隔 7 5 2 2" xfId="32185" xr:uid="{44F5A8CD-0A38-465D-AA0C-21F657E0F691}"/>
    <cellStyle name="千位分隔 7 5 3" xfId="32186" xr:uid="{3D022870-FA0B-40DD-895A-4F18D06F5A80}"/>
    <cellStyle name="千位分隔 7 5 4" xfId="32187" xr:uid="{3617FD58-E9CF-4100-A5C4-78FCCCCEFB23}"/>
    <cellStyle name="千位分隔 7 5 5" xfId="32188" xr:uid="{DA5A49F8-86C7-4179-A00F-E9AD5A2A680D}"/>
    <cellStyle name="千位分隔 7 5 5 2" xfId="35292" xr:uid="{2B4F8ABA-C7E0-4082-9B5B-C18220ED9CCB}"/>
    <cellStyle name="千位分隔 7 5 6" xfId="32189" xr:uid="{B4437744-D6D1-49E2-A5DF-A529FD1E577D}"/>
    <cellStyle name="千位分隔 7 5 6 2" xfId="35293" xr:uid="{06350619-5828-455F-9A4D-88B2AB057EB1}"/>
    <cellStyle name="千位分隔 7 6" xfId="32190" xr:uid="{1665F787-DEB5-43BB-9519-5F17AE661770}"/>
    <cellStyle name="千位分隔 7 6 2" xfId="32191" xr:uid="{6481F404-5FEE-4D8C-A8BE-DAAE42CA3EA9}"/>
    <cellStyle name="千位分隔 7 7" xfId="32192" xr:uid="{39BF18DC-38A0-472A-BEE6-E34119AD89B7}"/>
    <cellStyle name="千位分隔 7 8" xfId="32193" xr:uid="{B55A13C9-7D37-4E60-B7DE-BEB874D6ABBF}"/>
    <cellStyle name="千位分隔 7 9" xfId="32194" xr:uid="{6A35FA0C-3C0E-449F-A8BD-C0621C608903}"/>
    <cellStyle name="千位分隔 7 9 2" xfId="35294" xr:uid="{0512ECCE-3E23-4FE1-88AD-4DA1C62BDBAC}"/>
    <cellStyle name="千位分隔 8" xfId="32195" xr:uid="{41CB1FAB-E207-4FBC-9D4C-1C1FC80308CE}"/>
    <cellStyle name="千位分隔 8 2" xfId="32196" xr:uid="{25D6DBC0-39BA-4D3D-8B1F-854C3697AE86}"/>
    <cellStyle name="千位分隔 8 2 2" xfId="32197" xr:uid="{4C4373C0-DD90-4E5D-AE76-B761C738A2D1}"/>
    <cellStyle name="千位分隔 8 2 3" xfId="32198" xr:uid="{CD80AA19-CC50-45FC-90EB-68CCE713F760}"/>
    <cellStyle name="千位分隔 8 2 4" xfId="32199" xr:uid="{647F70D7-00C2-4CCE-8A8F-C47B51F34A71}"/>
    <cellStyle name="千位分隔 8 3" xfId="32200" xr:uid="{38BBE8DF-F9D9-4739-9E87-FC796394AF4D}"/>
    <cellStyle name="千位分隔 8 4" xfId="32201" xr:uid="{A7FCB9E8-57AB-4951-A734-C217289C04CF}"/>
    <cellStyle name="千位分隔 8 5" xfId="32202" xr:uid="{E10E8660-D534-47C1-AB54-FA4C9ADCEC27}"/>
    <cellStyle name="千位分隔 8 6" xfId="32203" xr:uid="{440295BC-5E83-479F-9F90-1DFED13C0D78}"/>
    <cellStyle name="千位分隔 9" xfId="32204" xr:uid="{7BBFFF41-D618-426D-A78C-40A83507AD4A}"/>
    <cellStyle name="千位分隔 9 2" xfId="32205" xr:uid="{2CA9A9EF-A73B-4C90-AE4A-BC5122B1AD50}"/>
    <cellStyle name="千位分隔 9 2 2" xfId="32206" xr:uid="{034CB0B2-8BB7-4FB7-B051-9C17F501E265}"/>
    <cellStyle name="千位分隔 9 2 3" xfId="32207" xr:uid="{5AF78888-0E3A-45C3-9241-BD58198027B0}"/>
    <cellStyle name="千位分隔 9 2 4" xfId="32208" xr:uid="{FF02E8C0-02CE-47BB-A99B-62156D58E887}"/>
    <cellStyle name="千位分隔 9 3" xfId="32209" xr:uid="{8EEFB764-42B2-4117-B62C-894FE49B8B59}"/>
    <cellStyle name="千位分隔 9 4" xfId="32210" xr:uid="{6F5B4C0E-E5A4-424D-931E-4C4FB570F7E5}"/>
    <cellStyle name="千位分隔 9 5" xfId="32211" xr:uid="{159D2224-D698-4562-8BF1-0CDD39BE2417}"/>
    <cellStyle name="千位分隔 9 6" xfId="32212" xr:uid="{B427008F-6B01-4316-B486-9A7AA241CD44}"/>
    <cellStyle name="千位分隔[0] 2" xfId="32213" xr:uid="{6FEFE0C1-4790-4E08-B400-6D1C8A5C21BD}"/>
    <cellStyle name="千位分隔[0] 2 2" xfId="32214" xr:uid="{58D8BB8E-CF22-4D5F-9874-27FE7CCF6F9F}"/>
    <cellStyle name="强调文字颜色 1 2" xfId="32215" xr:uid="{C15499FC-D72A-455C-B759-3D4FED3BF341}"/>
    <cellStyle name="强调文字颜色 1 3" xfId="35295" xr:uid="{08B364CF-4711-495D-99A4-7FE227D860A5}"/>
    <cellStyle name="强调文字颜色 2 2" xfId="32216" xr:uid="{1C04C91A-D4C6-4259-9DA6-6102A62E07D6}"/>
    <cellStyle name="强调文字颜色 2 3" xfId="35296" xr:uid="{965495BF-5173-4E0A-89A1-F460F478AD6C}"/>
    <cellStyle name="强调文字颜色 3 2" xfId="32217" xr:uid="{CB67F282-08CF-47BD-9C7B-AB91D9F537C6}"/>
    <cellStyle name="强调文字颜色 3 3" xfId="35297" xr:uid="{079661E0-D944-4734-93C7-C8042E24EA81}"/>
    <cellStyle name="强调文字颜色 4 2" xfId="32218" xr:uid="{82910DC1-15A0-4C14-BF50-FC174AC07A2A}"/>
    <cellStyle name="强调文字颜色 4 3" xfId="35298" xr:uid="{EBBFF108-6601-4D53-B3D6-81244153B895}"/>
    <cellStyle name="强调文字颜色 5 2" xfId="32219" xr:uid="{CE321248-D74F-4B77-A4A8-3F5CAD3D5F53}"/>
    <cellStyle name="强调文字颜色 5 3" xfId="35299" xr:uid="{078CC332-C29F-476C-AC0D-39D64AE4E2AA}"/>
    <cellStyle name="强调文字颜色 6 2" xfId="32220" xr:uid="{0EBECB79-EC6E-417C-9FF0-8F724A2BE2D7}"/>
    <cellStyle name="强调文字颜色 6 3" xfId="35300" xr:uid="{56EFDC83-F619-4353-AC9B-A8D2F1EE0359}"/>
    <cellStyle name="适中 2" xfId="32221" xr:uid="{A2EAF34F-ED7D-4760-B361-36AE11C237A1}"/>
    <cellStyle name="适中 2 2" xfId="32222" xr:uid="{74957630-3001-4FE2-A811-23E17D223582}"/>
    <cellStyle name="适中 3" xfId="32223" xr:uid="{F2BEB358-4022-452C-8235-DA003C1B21C5}"/>
    <cellStyle name="适中 4" xfId="35301" xr:uid="{3BEE071B-0D26-43AB-B36D-E9F4CE818E6B}"/>
    <cellStyle name="输出 2" xfId="32224" xr:uid="{C68D7A39-CAF6-403A-98AB-D387D9AA90A8}"/>
    <cellStyle name="输出 2 2" xfId="32225" xr:uid="{C5E81E9F-8534-40A2-B36A-7487BB8EB90C}"/>
    <cellStyle name="输出 2 2 2" xfId="32226" xr:uid="{7BC5F9C4-29BD-4611-A240-210334A30D23}"/>
    <cellStyle name="输出 2 2 2 2" xfId="32227" xr:uid="{F6C3C8E0-52AC-44BC-B646-74D0E0A7D99E}"/>
    <cellStyle name="输出 2 2 2 2 2" xfId="32228" xr:uid="{FC8B9529-FB3D-411C-A6A1-DE513D4D41D2}"/>
    <cellStyle name="输出 2 2 2 2 2 2" xfId="32229" xr:uid="{1801E251-B013-41AE-BB65-2A65A66429B0}"/>
    <cellStyle name="输出 2 2 2 2 2 2 2" xfId="32230" xr:uid="{FA885087-F340-458C-A46C-AFA2EC33B210}"/>
    <cellStyle name="输出 2 2 2 2 2 3" xfId="32231" xr:uid="{B6F39EBE-ECBF-45F2-8513-06C195796ABC}"/>
    <cellStyle name="输出 2 2 2 2 3" xfId="32232" xr:uid="{C94FA006-7298-4ACA-998B-36EA4F1AAEE9}"/>
    <cellStyle name="输出 2 2 2 2 3 2" xfId="32233" xr:uid="{28C2F824-FF4F-44ED-971E-4EF16A800A58}"/>
    <cellStyle name="输出 2 2 2 2 4" xfId="32234" xr:uid="{3DEE2786-A607-4295-8B91-EDA7F6D0EB28}"/>
    <cellStyle name="输出 2 2 2 3" xfId="32235" xr:uid="{111001C9-6D71-4238-9780-1793D51EAFF3}"/>
    <cellStyle name="输出 2 2 2 3 2" xfId="32236" xr:uid="{C36C8B2D-6F6F-4B05-81E2-849C1220F792}"/>
    <cellStyle name="输出 2 2 2 3 2 2" xfId="32237" xr:uid="{E1531657-E3F0-4F3D-93C1-14A3BAE7360E}"/>
    <cellStyle name="输出 2 2 2 3 3" xfId="32238" xr:uid="{151E1505-47A7-4B4C-A6D6-21E57E6556ED}"/>
    <cellStyle name="输出 2 2 2 4" xfId="32239" xr:uid="{ADEB88BB-91FB-4169-A73C-9CD6499DD5A8}"/>
    <cellStyle name="输出 2 2 2 4 2" xfId="32240" xr:uid="{53F265EF-C2D1-4F8D-8DFB-E01644839725}"/>
    <cellStyle name="输出 2 2 2 4 2 2" xfId="32241" xr:uid="{78EF694E-1301-47E1-BFD6-3EBFB14B80F1}"/>
    <cellStyle name="输出 2 2 2 4 3" xfId="32242" xr:uid="{ED36776E-C5C3-49EF-A37C-44294864D0D3}"/>
    <cellStyle name="输出 2 2 2 5" xfId="32243" xr:uid="{87B3F104-FB3B-4BB0-AEFF-273879CDE095}"/>
    <cellStyle name="输出 2 2 2 5 2" xfId="32244" xr:uid="{34E9EA2F-97FA-4F2E-A0D6-67BFF6640E63}"/>
    <cellStyle name="输出 2 2 2 6" xfId="32245" xr:uid="{9B4E9DB1-B52F-4C75-B109-5C259B9F377E}"/>
    <cellStyle name="输出 2 2 3" xfId="32246" xr:uid="{73E2D89F-2554-4389-AE29-2F092D2D70A9}"/>
    <cellStyle name="输出 2 2 3 2" xfId="32247" xr:uid="{3C3467B8-0904-45C2-8B67-4F096E72007B}"/>
    <cellStyle name="输出 2 2 3 2 2" xfId="32248" xr:uid="{520CA455-3C43-460F-AAF5-CCDFF9A14CAD}"/>
    <cellStyle name="输出 2 2 3 2 2 2" xfId="32249" xr:uid="{236C9856-0C0B-4313-9614-1345C719D233}"/>
    <cellStyle name="输出 2 2 3 2 3" xfId="32250" xr:uid="{6C3A5D01-A409-4F3A-AD29-6A0697E72A43}"/>
    <cellStyle name="输出 2 2 3 3" xfId="32251" xr:uid="{30A87E3A-AA44-409E-AFC2-7BF5E965A81D}"/>
    <cellStyle name="输出 2 2 3 3 2" xfId="32252" xr:uid="{9063423E-C8DF-4D42-BA8B-78F487547BC5}"/>
    <cellStyle name="输出 2 2 3 3 2 2" xfId="32253" xr:uid="{ECB927C0-DD33-4C43-A155-714BC0840BCD}"/>
    <cellStyle name="输出 2 2 3 3 3" xfId="32254" xr:uid="{68CBCF21-1E01-4A61-B8A2-84D8C006B6A9}"/>
    <cellStyle name="输出 2 2 3 4" xfId="32255" xr:uid="{567858FE-5F4F-49D6-8F14-A340E484AB9B}"/>
    <cellStyle name="输出 2 2 3 4 2" xfId="32256" xr:uid="{D5C4FAB1-BF47-4A20-A15A-C8C629F5C24C}"/>
    <cellStyle name="输出 2 2 3 5" xfId="32257" xr:uid="{AF7DFF03-B070-454D-B09D-F0301852CA92}"/>
    <cellStyle name="输出 2 2 4" xfId="32258" xr:uid="{1F38BF76-6A0B-4B45-9554-E9D28E1EF88D}"/>
    <cellStyle name="输出 2 2 4 2" xfId="32259" xr:uid="{70946B57-7E02-4D81-BCFC-0050FDDF5317}"/>
    <cellStyle name="输出 2 2 4 2 2" xfId="32260" xr:uid="{0039AB61-1050-43D8-900A-055E7F323591}"/>
    <cellStyle name="输出 2 2 4 2 2 2" xfId="32261" xr:uid="{EE342C78-FB9A-4BC8-9BE5-8210246A0E9C}"/>
    <cellStyle name="输出 2 2 4 2 3" xfId="32262" xr:uid="{46503B05-4922-4D8B-B3D2-F364226B6E59}"/>
    <cellStyle name="输出 2 2 4 3" xfId="32263" xr:uid="{D7F30489-42AF-43B2-B045-23A792BBF409}"/>
    <cellStyle name="输出 2 2 4 3 2" xfId="32264" xr:uid="{661C3322-C5EA-4189-A580-62B4A6A6A49C}"/>
    <cellStyle name="输出 2 2 4 4" xfId="32265" xr:uid="{0CE8DA03-F689-49B9-9B7F-BD7366EC0877}"/>
    <cellStyle name="输出 2 2 5" xfId="32266" xr:uid="{43CDA9AD-4366-4FAC-BEBC-7FC52E1822E9}"/>
    <cellStyle name="输出 2 2 5 2" xfId="32267" xr:uid="{E3590C7D-C727-4620-8427-5E0D963770C5}"/>
    <cellStyle name="输出 2 2 5 2 2" xfId="32268" xr:uid="{A33774E7-04EE-4B21-B0B6-DAA1FE4FE233}"/>
    <cellStyle name="输出 2 2 5 3" xfId="32269" xr:uid="{39388163-A3E1-49C4-9BEF-B38709D4120F}"/>
    <cellStyle name="输出 2 2 6" xfId="32270" xr:uid="{68F74B0F-F406-4EA4-B41E-D234510A5EDB}"/>
    <cellStyle name="输出 2 2 6 2" xfId="32271" xr:uid="{A0705E61-907B-4193-AB3E-5BC361549B3F}"/>
    <cellStyle name="输出 2 2 6 2 2" xfId="32272" xr:uid="{F0CE6451-0532-4F74-9144-DD200FFA1A56}"/>
    <cellStyle name="输出 2 2 6 3" xfId="32273" xr:uid="{5262829C-6AFD-4264-83FF-5A13E4FE975A}"/>
    <cellStyle name="输出 2 2 7" xfId="32274" xr:uid="{723948CF-FACC-4D79-AB32-4D65323F4D42}"/>
    <cellStyle name="输出 2 2 7 2" xfId="32275" xr:uid="{659E38AF-90E1-40F1-B66C-43B2BB5F944F}"/>
    <cellStyle name="输出 2 2 8" xfId="32276" xr:uid="{9F8E4EAE-8095-46C6-B5FD-50A0A810ED05}"/>
    <cellStyle name="输出 2 3" xfId="32277" xr:uid="{7E5D13EB-E5C7-4243-BF85-530F544B44EE}"/>
    <cellStyle name="输出 2 3 2" xfId="32278" xr:uid="{F727E433-85CE-487B-8388-1828B7B4844F}"/>
    <cellStyle name="输出 2 3 2 2" xfId="32279" xr:uid="{7C99BC81-D23C-4454-AA5A-3816CE07159C}"/>
    <cellStyle name="输出 2 3 2 2 2" xfId="32280" xr:uid="{B8A9F576-CEB4-4CEA-92B9-CF01DA6EC0FA}"/>
    <cellStyle name="输出 2 3 2 2 2 2" xfId="32281" xr:uid="{D2A3CC53-4A09-4438-90C0-217E84148B17}"/>
    <cellStyle name="输出 2 3 2 2 3" xfId="32282" xr:uid="{54449AC5-2D2C-4A98-BD4E-C1DCC0B73ABF}"/>
    <cellStyle name="输出 2 3 2 3" xfId="32283" xr:uid="{3CD567E8-B89C-4253-8E58-2CEA8AAB6202}"/>
    <cellStyle name="输出 2 3 2 3 2" xfId="32284" xr:uid="{52DBE126-3220-4D42-9107-519D0BA516A3}"/>
    <cellStyle name="输出 2 3 2 4" xfId="32285" xr:uid="{B4704A79-E9CF-4F58-AD28-4A48D3E9B912}"/>
    <cellStyle name="输出 2 3 3" xfId="32286" xr:uid="{D9E1C650-66DF-4C9A-B728-0E93A2E1045C}"/>
    <cellStyle name="输出 2 3 3 2" xfId="32287" xr:uid="{11AFFF7A-5981-4FE9-A1F4-4622735546F4}"/>
    <cellStyle name="输出 2 3 3 2 2" xfId="32288" xr:uid="{70B9393A-3332-46FB-BF7C-AD38EEE66E20}"/>
    <cellStyle name="输出 2 3 3 3" xfId="32289" xr:uid="{38833042-C144-4BF3-887F-A3FD6874F6BC}"/>
    <cellStyle name="输出 2 3 4" xfId="32290" xr:uid="{6907478F-FEF7-495E-954D-1DE620CEC0F2}"/>
    <cellStyle name="输出 2 3 4 2" xfId="32291" xr:uid="{B974D398-DF49-42F5-80D0-2C667EFDFD7F}"/>
    <cellStyle name="输出 2 3 4 2 2" xfId="32292" xr:uid="{0F29D528-C077-4064-B491-359EF38DF942}"/>
    <cellStyle name="输出 2 3 4 3" xfId="32293" xr:uid="{45F5985C-0D4C-4E86-83AE-2D6763CB646B}"/>
    <cellStyle name="输出 2 3 5" xfId="32294" xr:uid="{FA2E2AF2-26E6-4F0B-87FC-2AF4B7673CC0}"/>
    <cellStyle name="输出 2 3 5 2" xfId="32295" xr:uid="{107EC643-7013-408B-8A88-64661876A383}"/>
    <cellStyle name="输出 2 3 6" xfId="32296" xr:uid="{98697548-F7F2-453F-A67A-F5D04EF0A55D}"/>
    <cellStyle name="输出 2 4" xfId="32297" xr:uid="{94EBFAB2-3D33-48E0-8A95-68B199795E1B}"/>
    <cellStyle name="输出 2 4 2" xfId="32298" xr:uid="{7F51F2BE-C131-4A10-B5B1-C685C333337A}"/>
    <cellStyle name="输出 2 4 2 2" xfId="32299" xr:uid="{25FFC9FA-FBAD-42C3-BFE7-85D36D9378FF}"/>
    <cellStyle name="输出 2 4 2 2 2" xfId="32300" xr:uid="{3425376A-1231-4803-AA25-CA8104315C87}"/>
    <cellStyle name="输出 2 4 2 3" xfId="32301" xr:uid="{D81A91CA-E213-4971-A3AF-002C122A2E9A}"/>
    <cellStyle name="输出 2 4 3" xfId="32302" xr:uid="{DAE96032-393B-48F6-9FBA-C94D63A0EEC0}"/>
    <cellStyle name="输出 2 4 3 2" xfId="32303" xr:uid="{4EA2557C-A42A-4214-AF7E-077EA5188843}"/>
    <cellStyle name="输出 2 4 3 2 2" xfId="32304" xr:uid="{40C63301-C362-4186-BB8F-924999301B0B}"/>
    <cellStyle name="输出 2 4 3 3" xfId="32305" xr:uid="{A3FE1CFC-62DD-47CA-99FD-7EB2C3827A04}"/>
    <cellStyle name="输出 2 4 4" xfId="32306" xr:uid="{22505E0D-D45E-4CB7-B250-96F47E91815D}"/>
    <cellStyle name="输出 2 4 4 2" xfId="32307" xr:uid="{A2113C7D-6EF6-47FB-91B5-8CBD09D27DCC}"/>
    <cellStyle name="输出 2 4 5" xfId="32308" xr:uid="{7F0184FC-BC3D-4177-9240-40FBE71E17CE}"/>
    <cellStyle name="输出 2 5" xfId="32309" xr:uid="{E3232870-7509-445F-AA80-7647D825702F}"/>
    <cellStyle name="输出 2 5 2" xfId="32310" xr:uid="{958D8F55-536F-4EAF-83B6-A8F44D3543C9}"/>
    <cellStyle name="输出 2 5 2 2" xfId="32311" xr:uid="{B6B7D6C1-E6FB-4DBA-9621-C93C0348CAFE}"/>
    <cellStyle name="输出 2 5 2 2 2" xfId="32312" xr:uid="{893EAA3B-8374-4908-A7D7-8509017BDF0F}"/>
    <cellStyle name="输出 2 5 2 3" xfId="32313" xr:uid="{F87F317D-3644-468A-9DC8-4F848994BC95}"/>
    <cellStyle name="输出 2 5 3" xfId="32314" xr:uid="{D459337E-D7B3-4C49-A618-9A015F1CCD1B}"/>
    <cellStyle name="输出 2 5 3 2" xfId="32315" xr:uid="{E2FBE8E5-5AE9-47F5-A0D9-349A973F9745}"/>
    <cellStyle name="输出 2 5 4" xfId="32316" xr:uid="{D112278A-1BCB-443E-9F0D-616055716E6B}"/>
    <cellStyle name="输出 2 6" xfId="32317" xr:uid="{15AB2CBF-3A2B-4420-9E14-89C2179ED3BC}"/>
    <cellStyle name="输出 2 6 2" xfId="32318" xr:uid="{E7A8D029-8591-490F-B128-3D911C9516BC}"/>
    <cellStyle name="输出 2 6 2 2" xfId="32319" xr:uid="{553358F7-77B7-4464-8EBF-4DCA751005A0}"/>
    <cellStyle name="输出 2 6 3" xfId="32320" xr:uid="{C4FA0484-7651-48C6-B1B5-388C9FBA0F1D}"/>
    <cellStyle name="输出 2 7" xfId="32321" xr:uid="{F960E212-F284-4CF6-A72B-7B4D726C131D}"/>
    <cellStyle name="输出 2 7 2" xfId="32322" xr:uid="{5D6F84C2-6E32-4346-9623-8A21510BBFC6}"/>
    <cellStyle name="输出 2 7 2 2" xfId="32323" xr:uid="{0B1CD3ED-5376-49AE-82D2-02F09F1D1C1C}"/>
    <cellStyle name="输出 2 7 3" xfId="32324" xr:uid="{EAA023B1-5D87-487D-939D-EF2CCB615A2C}"/>
    <cellStyle name="输出 2 8" xfId="32325" xr:uid="{BEDA4BB4-D2E4-4D62-90F7-016E42683CD7}"/>
    <cellStyle name="输出 2 8 2" xfId="32326" xr:uid="{D4BAAC2D-0FEE-44EE-B847-09BD5544F07E}"/>
    <cellStyle name="输出 2 9" xfId="32327" xr:uid="{96DFC84C-F30C-459D-8DC8-92FCA9C40846}"/>
    <cellStyle name="输出 3" xfId="32328" xr:uid="{2FAA8561-4356-4E85-A5EB-14EB4CFF2579}"/>
    <cellStyle name="输出 3 2" xfId="32329" xr:uid="{307B0C6F-B56B-43E4-B8D2-29C65461FD9A}"/>
    <cellStyle name="输出 3 2 2" xfId="32330" xr:uid="{AA807977-12A3-4AAB-A797-1D154636A95A}"/>
    <cellStyle name="输出 3 2 2 2" xfId="32331" xr:uid="{97E5AB10-A61F-4728-A3B8-DEF552CF0BB8}"/>
    <cellStyle name="输出 3 2 2 2 2" xfId="32332" xr:uid="{927CD565-753E-409B-B8C3-E8A5C895666C}"/>
    <cellStyle name="输出 3 2 2 2 2 2" xfId="32333" xr:uid="{6E1B241A-9A45-4BF8-82AD-6A6C2814D0C4}"/>
    <cellStyle name="输出 3 2 2 2 3" xfId="32334" xr:uid="{D6EB0A9F-9CFB-4B97-B4E5-6D61784579AE}"/>
    <cellStyle name="输出 3 2 2 3" xfId="32335" xr:uid="{F53825EE-DC4E-4B53-A69C-E0C8EDD59AD8}"/>
    <cellStyle name="输出 3 2 2 3 2" xfId="32336" xr:uid="{0AC1436D-FE4C-49E2-ACB9-00EE2B359BD7}"/>
    <cellStyle name="输出 3 2 2 4" xfId="32337" xr:uid="{93A8FC11-9954-4394-B87D-04272EB35C0A}"/>
    <cellStyle name="输出 3 2 3" xfId="32338" xr:uid="{F5E6FE6A-0791-4D0A-921B-24C9F139E7E5}"/>
    <cellStyle name="输出 3 2 3 2" xfId="32339" xr:uid="{69A9D090-9019-4D6F-99A3-8B6B13126DDC}"/>
    <cellStyle name="输出 3 2 3 2 2" xfId="32340" xr:uid="{2D36DB1A-595D-43D6-8A93-2ADB71FAFB6D}"/>
    <cellStyle name="输出 3 2 3 3" xfId="32341" xr:uid="{9DC56EA7-29CC-4A1B-ADE1-A28D39D7E104}"/>
    <cellStyle name="输出 3 2 4" xfId="32342" xr:uid="{EC3BB24E-F964-407E-B048-3B18B39801B7}"/>
    <cellStyle name="输出 3 2 4 2" xfId="32343" xr:uid="{69F7180C-E675-4B8D-B620-E4079D739A78}"/>
    <cellStyle name="输出 3 2 4 2 2" xfId="32344" xr:uid="{85A774F6-1E4F-4687-821B-0F1B5C2F10F9}"/>
    <cellStyle name="输出 3 2 4 3" xfId="32345" xr:uid="{C81DBF56-A2DC-403A-808A-F354E5FAE493}"/>
    <cellStyle name="输出 3 2 5" xfId="32346" xr:uid="{EA832875-00D5-4672-8D3B-5B38FA7F87DC}"/>
    <cellStyle name="输出 3 2 5 2" xfId="32347" xr:uid="{B44E8A80-9338-4CDF-B453-AF734957DCFD}"/>
    <cellStyle name="输出 3 2 6" xfId="32348" xr:uid="{5353444F-7AD6-4D25-BBB0-D41FE34AF09B}"/>
    <cellStyle name="输出 3 3" xfId="32349" xr:uid="{E63E2122-CCE8-4A8F-BA3D-459898DBD3F6}"/>
    <cellStyle name="输出 3 3 2" xfId="32350" xr:uid="{21D991DC-9347-4AD2-A659-7CA4595C7E8D}"/>
    <cellStyle name="输出 3 3 2 2" xfId="32351" xr:uid="{564DA78B-DC9C-4E9E-A5A0-35193920CA75}"/>
    <cellStyle name="输出 3 3 2 2 2" xfId="32352" xr:uid="{0799EBA1-E6EC-4D3D-97C4-01A00951C646}"/>
    <cellStyle name="输出 3 3 2 3" xfId="32353" xr:uid="{FCE85468-A35B-42CB-8086-C11C5A632948}"/>
    <cellStyle name="输出 3 3 3" xfId="32354" xr:uid="{D8B2E9E3-0B72-4226-AA4D-23CCE4771AB7}"/>
    <cellStyle name="输出 3 3 3 2" xfId="32355" xr:uid="{2BC5DFA8-BF5D-452F-81BD-DA5C71CCE409}"/>
    <cellStyle name="输出 3 3 3 2 2" xfId="32356" xr:uid="{F0EEDD32-5B42-4EEF-BAE3-D3FC9C824B3C}"/>
    <cellStyle name="输出 3 3 3 3" xfId="32357" xr:uid="{89192F75-E2D0-4972-B73F-9D9081D58059}"/>
    <cellStyle name="输出 3 3 4" xfId="32358" xr:uid="{3E81B729-1A43-4C36-9449-978DE1CD5FC5}"/>
    <cellStyle name="输出 3 3 4 2" xfId="32359" xr:uid="{6B3E15C0-0406-407D-8D4D-D4F4246EB527}"/>
    <cellStyle name="输出 3 3 5" xfId="32360" xr:uid="{CDBE7118-7A78-4EDF-B673-CA07A87ED742}"/>
    <cellStyle name="输出 3 4" xfId="32361" xr:uid="{74B5506D-8B56-4EA3-B5F1-870B507013A7}"/>
    <cellStyle name="输出 3 4 2" xfId="32362" xr:uid="{9C367AA3-E5AB-4174-B21F-75033F53C13C}"/>
    <cellStyle name="输出 3 4 2 2" xfId="32363" xr:uid="{9B6353EA-942D-4763-85B1-E6A72EC7A3B2}"/>
    <cellStyle name="输出 3 4 2 2 2" xfId="32364" xr:uid="{ECBBC99D-79B5-44FB-B6D9-C4D3FCC9821A}"/>
    <cellStyle name="输出 3 4 2 3" xfId="32365" xr:uid="{3028126F-9F47-4043-BBF7-10782D83BF30}"/>
    <cellStyle name="输出 3 4 3" xfId="32366" xr:uid="{D344B398-AD67-4F54-8DBD-D842170F1710}"/>
    <cellStyle name="输出 3 4 3 2" xfId="32367" xr:uid="{61542F82-712C-48DA-AA47-AFF07B6F9CFF}"/>
    <cellStyle name="输出 3 4 4" xfId="32368" xr:uid="{DBBCE106-2BA6-45B9-BF8A-AD26C9A764A3}"/>
    <cellStyle name="输出 3 5" xfId="32369" xr:uid="{37C8A476-3F9B-4AE7-9ACD-968559A87070}"/>
    <cellStyle name="输出 3 5 2" xfId="32370" xr:uid="{B2A5B6A7-4F62-44A2-9F09-32BA1B432996}"/>
    <cellStyle name="输出 3 5 2 2" xfId="32371" xr:uid="{68401F06-6E0D-499C-AD47-32E2C17F1D9A}"/>
    <cellStyle name="输出 3 5 3" xfId="32372" xr:uid="{69846924-6480-421F-A2C6-D11DC8A410B1}"/>
    <cellStyle name="输出 3 6" xfId="32373" xr:uid="{B009F837-F0B8-4998-AFA1-14234FEC1658}"/>
    <cellStyle name="输出 3 6 2" xfId="32374" xr:uid="{95A0AA9F-F928-4730-946B-834DC83B7DA1}"/>
    <cellStyle name="输出 3 6 2 2" xfId="32375" xr:uid="{904DB616-EA6B-4A3C-AB42-BF8E20E92814}"/>
    <cellStyle name="输出 3 6 3" xfId="32376" xr:uid="{2440AA64-51BB-40ED-B776-67611DE57129}"/>
    <cellStyle name="输出 3 7" xfId="32377" xr:uid="{54B803FF-E303-4A85-B396-9E6EB332370C}"/>
    <cellStyle name="输出 3 7 2" xfId="32378" xr:uid="{C3874FEF-E0A1-4B66-86A4-BDA8615144F1}"/>
    <cellStyle name="输出 3 8" xfId="32379" xr:uid="{6425B97C-B27B-4F9B-BF7C-6E46E99201FD}"/>
    <cellStyle name="输出 4" xfId="35302" xr:uid="{53C5DE0D-BB41-467A-8BF8-86C6C9C0BC51}"/>
    <cellStyle name="输入 2" xfId="32380" xr:uid="{7E757F98-3C37-468A-B26E-2F4B18624EF1}"/>
    <cellStyle name="输入 2 2" xfId="32381" xr:uid="{D53CDC39-CA22-4C72-B4A8-0D946BF97E59}"/>
    <cellStyle name="输入 2 2 2" xfId="32382" xr:uid="{E2C92415-929F-456D-8D2D-E6BCE42AE106}"/>
    <cellStyle name="输入 2 2 2 2" xfId="32383" xr:uid="{0070C60B-857A-461C-96FE-593E9A39789C}"/>
    <cellStyle name="输入 2 2 2 2 2" xfId="32384" xr:uid="{0B0E96E0-509B-48BA-8834-CE08AD366BFE}"/>
    <cellStyle name="输入 2 2 2 2 2 2" xfId="32385" xr:uid="{571D4A12-7838-4F54-874B-060F3A4332D7}"/>
    <cellStyle name="输入 2 2 2 2 2 2 2" xfId="32386" xr:uid="{17FFB466-C2AF-46E4-970B-1F77AC35B96C}"/>
    <cellStyle name="输入 2 2 2 2 2 3" xfId="32387" xr:uid="{5EB4A207-DEC8-4DCC-8640-3CDCF4FE78BB}"/>
    <cellStyle name="输入 2 2 2 2 3" xfId="32388" xr:uid="{0224FD47-6E75-4D99-88EE-36A1C481720F}"/>
    <cellStyle name="输入 2 2 2 2 3 2" xfId="32389" xr:uid="{CC49AE24-92B3-43BD-B321-6D4651D0F8A6}"/>
    <cellStyle name="输入 2 2 2 2 4" xfId="32390" xr:uid="{C20BCBAA-66F8-448F-BE39-A0059D8FBAF6}"/>
    <cellStyle name="输入 2 2 2 3" xfId="32391" xr:uid="{CC3057C2-BB77-40BC-8A45-D4A6F283943D}"/>
    <cellStyle name="输入 2 2 2 3 2" xfId="32392" xr:uid="{3F0A9EE6-4991-415E-A1EE-D665C2F5F6C2}"/>
    <cellStyle name="输入 2 2 2 3 2 2" xfId="32393" xr:uid="{13ADE949-53E2-4F19-8C15-8826FC578F31}"/>
    <cellStyle name="输入 2 2 2 3 3" xfId="32394" xr:uid="{31C91BFB-2447-4B02-B2BD-C312618E5C42}"/>
    <cellStyle name="输入 2 2 2 4" xfId="32395" xr:uid="{341CFA07-13F7-44FB-BF43-221159309C12}"/>
    <cellStyle name="输入 2 2 2 4 2" xfId="32396" xr:uid="{1778C81B-6149-413E-88CD-45F0D08749A5}"/>
    <cellStyle name="输入 2 2 2 4 2 2" xfId="32397" xr:uid="{A1389E8C-11F3-41B7-8A6B-F1FEC1B24106}"/>
    <cellStyle name="输入 2 2 2 4 3" xfId="32398" xr:uid="{2FD9B740-FA25-46DA-91C0-9C168EF7B13F}"/>
    <cellStyle name="输入 2 2 2 5" xfId="32399" xr:uid="{88A825A0-6FB8-4D76-8AAA-9EFFA2A0B58A}"/>
    <cellStyle name="输入 2 2 2 5 2" xfId="32400" xr:uid="{A326D1B2-2053-4B27-83B7-ABB5EB838E85}"/>
    <cellStyle name="输入 2 2 2 6" xfId="32401" xr:uid="{BBA926C4-1E88-44E3-9F9F-A2455F262216}"/>
    <cellStyle name="输入 2 2 3" xfId="32402" xr:uid="{53D7C894-479C-4F58-8513-33D2B0178C68}"/>
    <cellStyle name="输入 2 2 3 2" xfId="32403" xr:uid="{AEF06EC5-17A8-4F70-92DB-C6FEE526C402}"/>
    <cellStyle name="输入 2 2 3 2 2" xfId="32404" xr:uid="{D09C8BE9-41E3-48D1-86C7-499478DAFECC}"/>
    <cellStyle name="输入 2 2 3 2 2 2" xfId="32405" xr:uid="{4DFE08A5-1489-432A-BF9B-BF9A7E05C484}"/>
    <cellStyle name="输入 2 2 3 2 3" xfId="32406" xr:uid="{65C76D09-698F-43B5-A1F1-54625EBC0FF0}"/>
    <cellStyle name="输入 2 2 3 3" xfId="32407" xr:uid="{7DFCB288-0673-4562-8E52-D9DDD95E6163}"/>
    <cellStyle name="输入 2 2 3 3 2" xfId="32408" xr:uid="{51A4BFCF-91BC-410F-A7BF-7ADEB15039D5}"/>
    <cellStyle name="输入 2 2 3 3 2 2" xfId="32409" xr:uid="{279C461E-AF43-4F97-9CEF-1F2F08D6F362}"/>
    <cellStyle name="输入 2 2 3 3 3" xfId="32410" xr:uid="{BD184428-0CFE-4135-A0F9-2630C22F3404}"/>
    <cellStyle name="输入 2 2 3 4" xfId="32411" xr:uid="{35A3E087-C089-48FA-B015-5D3C892642F9}"/>
    <cellStyle name="输入 2 2 3 4 2" xfId="32412" xr:uid="{CEDC03B7-00F8-4180-AAE7-5D146D2536C5}"/>
    <cellStyle name="输入 2 2 3 5" xfId="32413" xr:uid="{8245FE64-B53A-400B-970C-C192CA77289F}"/>
    <cellStyle name="输入 2 2 4" xfId="32414" xr:uid="{44D2631B-AB88-4EE9-BBE9-80B3E2FA6BAF}"/>
    <cellStyle name="输入 2 2 4 2" xfId="32415" xr:uid="{F6BADCAB-E3D0-49CE-88E7-4E18FEDA9A14}"/>
    <cellStyle name="输入 2 2 4 2 2" xfId="32416" xr:uid="{9C1B9784-BE93-4C9F-8CDF-9929BDC250F7}"/>
    <cellStyle name="输入 2 2 4 2 2 2" xfId="32417" xr:uid="{62B0D7E1-0545-4042-BEAF-305FD13CEC52}"/>
    <cellStyle name="输入 2 2 4 2 3" xfId="32418" xr:uid="{62662D83-76ED-405A-92CF-2955B4390DA7}"/>
    <cellStyle name="输入 2 2 4 3" xfId="32419" xr:uid="{1F87B6CE-9C84-4C3A-89B9-9A0EBA722D61}"/>
    <cellStyle name="输入 2 2 4 3 2" xfId="32420" xr:uid="{A0892A2A-153E-4E1A-9F14-048832466746}"/>
    <cellStyle name="输入 2 2 4 4" xfId="32421" xr:uid="{2CAB0AA1-698F-4AE4-BE0B-D426101EF45F}"/>
    <cellStyle name="输入 2 2 5" xfId="32422" xr:uid="{E2829795-1DC2-4999-A35F-F56E91F8AEA9}"/>
    <cellStyle name="输入 2 2 5 2" xfId="32423" xr:uid="{992C3E48-98FF-465D-9D31-25FA43B56DBF}"/>
    <cellStyle name="输入 2 2 5 2 2" xfId="32424" xr:uid="{0E1191A1-8D84-4F00-804C-1A561F450E57}"/>
    <cellStyle name="输入 2 2 5 3" xfId="32425" xr:uid="{EC7ECD74-A34E-4A3F-BA81-BCD8277622E8}"/>
    <cellStyle name="输入 2 2 6" xfId="32426" xr:uid="{7A529ACB-F39F-451B-800D-828959253E66}"/>
    <cellStyle name="输入 2 2 6 2" xfId="32427" xr:uid="{9539BEE5-B524-48A7-B777-E6840B7CA7F4}"/>
    <cellStyle name="输入 2 2 6 2 2" xfId="32428" xr:uid="{E304E3F1-5CF7-4ED7-BC35-829669785361}"/>
    <cellStyle name="输入 2 2 6 3" xfId="32429" xr:uid="{C7AEE2A6-3980-4EAD-A9EE-1516AE6E854A}"/>
    <cellStyle name="输入 2 2 7" xfId="32430" xr:uid="{63381986-932C-4587-952C-CC83DCCBB73A}"/>
    <cellStyle name="输入 2 2 7 2" xfId="32431" xr:uid="{69F4DD6D-3A9C-472A-9C73-B5A5FFF7E884}"/>
    <cellStyle name="输入 2 2 8" xfId="32432" xr:uid="{1FA1EF11-2B69-429B-B253-72F07596E940}"/>
    <cellStyle name="输入 2 3" xfId="32433" xr:uid="{96D5EBEE-9C43-4121-BCBB-1EC485A3CAB5}"/>
    <cellStyle name="输入 2 3 2" xfId="32434" xr:uid="{A9359F30-386A-42A0-802F-E71ADEAD8DC1}"/>
    <cellStyle name="输入 2 3 2 2" xfId="32435" xr:uid="{AF208BAD-6CA8-454F-A1BB-7F474B9D6243}"/>
    <cellStyle name="输入 2 3 2 2 2" xfId="32436" xr:uid="{0E1672DD-22D0-4A50-BFA8-5B16FE826EC8}"/>
    <cellStyle name="输入 2 3 2 2 2 2" xfId="32437" xr:uid="{D9A44CBA-0DF2-48CC-B30B-7C0FFDD6DB23}"/>
    <cellStyle name="输入 2 3 2 2 3" xfId="32438" xr:uid="{A4FD2066-1BBD-46FE-9A5E-99CC36F84391}"/>
    <cellStyle name="输入 2 3 2 3" xfId="32439" xr:uid="{519E210B-D2AF-4A7C-80C4-D2DACE7E4A8C}"/>
    <cellStyle name="输入 2 3 2 3 2" xfId="32440" xr:uid="{A09B340B-364B-4545-833B-9641B4C875D8}"/>
    <cellStyle name="输入 2 3 2 4" xfId="32441" xr:uid="{4474DD03-4ABF-4992-8861-61A07516F11C}"/>
    <cellStyle name="输入 2 3 3" xfId="32442" xr:uid="{60B136F2-6E0F-432E-9589-EE9BE95EBF70}"/>
    <cellStyle name="输入 2 3 3 2" xfId="32443" xr:uid="{77B6DAC6-A9BD-4BAF-B1B4-3F3D1BED9AA9}"/>
    <cellStyle name="输入 2 3 3 2 2" xfId="32444" xr:uid="{4CA3B692-124F-4988-AF2A-91C473A30297}"/>
    <cellStyle name="输入 2 3 3 3" xfId="32445" xr:uid="{3996E655-0D2E-411B-9851-83F95F26A618}"/>
    <cellStyle name="输入 2 3 4" xfId="32446" xr:uid="{52B9D78F-96A8-4D90-BE89-77E995189072}"/>
    <cellStyle name="输入 2 3 4 2" xfId="32447" xr:uid="{820DB204-ADA8-4CA8-B696-8E3C8DFE61E6}"/>
    <cellStyle name="输入 2 3 4 2 2" xfId="32448" xr:uid="{D48F0C6F-B215-4EC5-999A-C20606DC9FE3}"/>
    <cellStyle name="输入 2 3 4 3" xfId="32449" xr:uid="{230AAFD0-49C8-4160-A4E3-AEDF06A69CA3}"/>
    <cellStyle name="输入 2 3 5" xfId="32450" xr:uid="{D88B6AFC-0ED3-46F8-B02D-544B3D1755D4}"/>
    <cellStyle name="输入 2 3 5 2" xfId="32451" xr:uid="{D761E998-C623-4E2F-8121-E84BF5A4EDF4}"/>
    <cellStyle name="输入 2 3 6" xfId="32452" xr:uid="{66B625D3-6B19-4708-BC81-4AE1C4F79CA8}"/>
    <cellStyle name="输入 2 4" xfId="32453" xr:uid="{092E316D-61B1-49F3-91CA-D2B357575337}"/>
    <cellStyle name="输入 2 4 2" xfId="32454" xr:uid="{0E3BD727-7C78-4DD2-8413-D736F44F4AFC}"/>
    <cellStyle name="输入 2 4 2 2" xfId="32455" xr:uid="{828CA836-805D-44BD-8913-9EC2BCC3EB63}"/>
    <cellStyle name="输入 2 4 2 2 2" xfId="32456" xr:uid="{8750D388-EA8C-4525-96FA-4DA4EC8F4EFD}"/>
    <cellStyle name="输入 2 4 2 3" xfId="32457" xr:uid="{A46463D7-D32D-4015-A371-FD8B12D0FA29}"/>
    <cellStyle name="输入 2 4 3" xfId="32458" xr:uid="{B2F5FA58-6B24-4455-BDBD-B8C4D16C9ED1}"/>
    <cellStyle name="输入 2 4 3 2" xfId="32459" xr:uid="{88720E88-4306-4E5B-8975-08F9485B954C}"/>
    <cellStyle name="输入 2 4 3 2 2" xfId="32460" xr:uid="{B50A4B88-74DC-4144-B3CF-098FDC15CBA6}"/>
    <cellStyle name="输入 2 4 3 3" xfId="32461" xr:uid="{648BBF7A-E3B0-4752-9003-0BA9601FD3C5}"/>
    <cellStyle name="输入 2 4 4" xfId="32462" xr:uid="{DB211C61-69C2-47A8-93D9-7EBDCF08274A}"/>
    <cellStyle name="输入 2 4 4 2" xfId="32463" xr:uid="{ECB4D569-B676-4B34-B213-A7BA7E1CF96E}"/>
    <cellStyle name="输入 2 4 5" xfId="32464" xr:uid="{F0374A31-7746-400D-8F43-90C7AC483EBD}"/>
    <cellStyle name="输入 2 5" xfId="32465" xr:uid="{FF8DAEB6-9D60-4743-8C05-3E0B368DD6A3}"/>
    <cellStyle name="输入 2 5 2" xfId="32466" xr:uid="{E7F35058-EF42-4C5E-9D9B-F29267F121B8}"/>
    <cellStyle name="输入 2 5 2 2" xfId="32467" xr:uid="{7616F6F5-15F2-44E3-8DB7-BE128920E3FB}"/>
    <cellStyle name="输入 2 5 2 2 2" xfId="32468" xr:uid="{45234593-CEDA-41C8-83DC-5C33093A53B3}"/>
    <cellStyle name="输入 2 5 2 3" xfId="32469" xr:uid="{F8195025-4EF8-4AC7-856D-AAA3359886AE}"/>
    <cellStyle name="输入 2 5 3" xfId="32470" xr:uid="{7EB10F9F-DA55-41F8-9379-3B8CFAF18EF9}"/>
    <cellStyle name="输入 2 5 3 2" xfId="32471" xr:uid="{87F07487-2321-48CE-853A-B6EF3D4ADA0D}"/>
    <cellStyle name="输入 2 5 4" xfId="32472" xr:uid="{FD869805-A5CF-4069-B1C2-AF0C270AAC1F}"/>
    <cellStyle name="输入 2 6" xfId="32473" xr:uid="{6E3A9647-BDF8-4626-A33D-6AAC69DA5FDA}"/>
    <cellStyle name="输入 2 6 2" xfId="32474" xr:uid="{CD79C8B3-F546-4B47-8F01-0D7D13ECB6D4}"/>
    <cellStyle name="输入 2 6 2 2" xfId="32475" xr:uid="{FB4CCF9E-2DB7-4875-8350-D5422E6A8B26}"/>
    <cellStyle name="输入 2 6 3" xfId="32476" xr:uid="{9AA6D3AF-0385-4A94-901D-07F810E3EC45}"/>
    <cellStyle name="输入 2 7" xfId="32477" xr:uid="{B04C6A76-38E8-4814-AD0E-5F4E36CCBFFA}"/>
    <cellStyle name="输入 2 7 2" xfId="32478" xr:uid="{253ECCBE-0B70-4702-8F68-EA0EB20A5EAA}"/>
    <cellStyle name="输入 2 7 2 2" xfId="32479" xr:uid="{FC935818-1AE6-4840-A8D5-5CEDF4237FF7}"/>
    <cellStyle name="输入 2 7 3" xfId="32480" xr:uid="{1A4BADC6-1A2B-43FE-98AE-A839E96C997F}"/>
    <cellStyle name="输入 2 8" xfId="32481" xr:uid="{6B5F2C29-5995-48FE-B6B9-72461182579C}"/>
    <cellStyle name="输入 2 8 2" xfId="32482" xr:uid="{7678CE70-AB11-4492-87DD-C8FEEE262C30}"/>
    <cellStyle name="输入 2 9" xfId="32483" xr:uid="{A817A57F-4019-46E3-B354-81B91841C5D6}"/>
    <cellStyle name="输入 3" xfId="32484" xr:uid="{726FFD9E-D5ED-4B56-AD3A-D9AA250AC9DF}"/>
    <cellStyle name="输入 3 2" xfId="32485" xr:uid="{22A2F57B-63BF-41BE-8BCE-8678D6DCDC19}"/>
    <cellStyle name="输入 3 2 2" xfId="32486" xr:uid="{EAD4A28E-ED9D-41F9-9DFF-3EDE3E13A8E2}"/>
    <cellStyle name="输入 3 2 2 2" xfId="32487" xr:uid="{2D47AE2D-1EAF-4F20-877D-003E0F87BC39}"/>
    <cellStyle name="输入 3 2 2 2 2" xfId="32488" xr:uid="{389567F2-A2CD-47A2-9602-EEE5C91B9666}"/>
    <cellStyle name="输入 3 2 2 2 2 2" xfId="32489" xr:uid="{5E89E15A-AE2B-45A6-BF2B-CA4FCCC8E58C}"/>
    <cellStyle name="输入 3 2 2 2 3" xfId="32490" xr:uid="{DC1C3FB7-21F9-4307-94FF-904D884D7C7B}"/>
    <cellStyle name="输入 3 2 2 3" xfId="32491" xr:uid="{C38E61FF-5180-4050-9347-F16442E393E1}"/>
    <cellStyle name="输入 3 2 2 3 2" xfId="32492" xr:uid="{D40F69DF-04E3-4DBB-8BDA-9CBA3B05553C}"/>
    <cellStyle name="输入 3 2 2 4" xfId="32493" xr:uid="{221F946E-35FD-4DFE-948B-C75B0C6B06BB}"/>
    <cellStyle name="输入 3 2 3" xfId="32494" xr:uid="{38D59EF2-06ED-4189-9598-C9CB238A4E0A}"/>
    <cellStyle name="输入 3 2 3 2" xfId="32495" xr:uid="{DC4CDFAF-AFC3-49DB-8166-CE267DD8ADBF}"/>
    <cellStyle name="输入 3 2 3 2 2" xfId="32496" xr:uid="{E2B57450-E0E2-466B-8872-E6971A06B147}"/>
    <cellStyle name="输入 3 2 3 3" xfId="32497" xr:uid="{D15A58FF-E88B-4F2B-B028-718FB5217D65}"/>
    <cellStyle name="输入 3 2 4" xfId="32498" xr:uid="{74102CB6-3F5A-4966-A84F-3809AEEC92CB}"/>
    <cellStyle name="输入 3 2 4 2" xfId="32499" xr:uid="{DBF49614-2161-4975-9C75-C68A42D41F19}"/>
    <cellStyle name="输入 3 2 4 2 2" xfId="32500" xr:uid="{3FD7AE1C-AFC8-4E0C-977C-567A9E38AD55}"/>
    <cellStyle name="输入 3 2 4 3" xfId="32501" xr:uid="{F568BB7B-4CCB-4B47-B320-AD753713D03E}"/>
    <cellStyle name="输入 3 2 5" xfId="32502" xr:uid="{C86889F8-467F-4ECC-B99C-1F39EA0F1146}"/>
    <cellStyle name="输入 3 2 5 2" xfId="32503" xr:uid="{E159E100-752B-4C4A-9B88-2DD1556B2A13}"/>
    <cellStyle name="输入 3 2 6" xfId="32504" xr:uid="{64F2496E-B371-406A-9E48-0A631FA6253C}"/>
    <cellStyle name="输入 3 3" xfId="32505" xr:uid="{0EE003CF-0338-42F9-8F69-F77F8800E3C1}"/>
    <cellStyle name="输入 3 3 2" xfId="32506" xr:uid="{9D1F56DE-B28B-4BA8-915A-D02C3C95472B}"/>
    <cellStyle name="输入 3 3 2 2" xfId="32507" xr:uid="{1944B1AD-0D1E-4C8B-AB5E-D2B17A70CAD6}"/>
    <cellStyle name="输入 3 3 2 2 2" xfId="32508" xr:uid="{09A818EB-2AE7-4A03-998D-2AF6BD60D200}"/>
    <cellStyle name="输入 3 3 2 3" xfId="32509" xr:uid="{67671151-B1A8-4C19-B884-7F67C17B2980}"/>
    <cellStyle name="输入 3 3 3" xfId="32510" xr:uid="{93741C4B-D2A9-47C9-BC5E-7D421C445592}"/>
    <cellStyle name="输入 3 3 3 2" xfId="32511" xr:uid="{994396A5-96D2-48BC-8DF7-B50745A57246}"/>
    <cellStyle name="输入 3 3 3 2 2" xfId="32512" xr:uid="{0B1D32E2-59C8-4280-8E8B-6B73637754F3}"/>
    <cellStyle name="输入 3 3 3 3" xfId="32513" xr:uid="{12BF9FE2-22FF-4727-9DCB-150E9B57E012}"/>
    <cellStyle name="输入 3 3 4" xfId="32514" xr:uid="{A4C01FA2-3102-46AC-9110-F941ABAC42B4}"/>
    <cellStyle name="输入 3 3 4 2" xfId="32515" xr:uid="{63F5BF58-BEA7-4D26-A064-CBCCAF669F87}"/>
    <cellStyle name="输入 3 3 5" xfId="32516" xr:uid="{D44A9E16-C1B7-4F72-A743-D0A52FEA3D27}"/>
    <cellStyle name="输入 3 4" xfId="32517" xr:uid="{4C979EED-633B-4387-9A71-6DF84E14F418}"/>
    <cellStyle name="输入 3 4 2" xfId="32518" xr:uid="{B8969737-06A7-4269-9A63-B269C4586F81}"/>
    <cellStyle name="输入 3 4 2 2" xfId="32519" xr:uid="{A1217698-3CEE-4645-B737-B7470AB29368}"/>
    <cellStyle name="输入 3 4 2 2 2" xfId="32520" xr:uid="{7D0EDA38-9DC9-492A-B595-B112C3730A4D}"/>
    <cellStyle name="输入 3 4 2 3" xfId="32521" xr:uid="{778FAF03-40A0-4C4E-8D34-B464270F6F58}"/>
    <cellStyle name="输入 3 4 3" xfId="32522" xr:uid="{0C9A0456-620B-4717-B3EB-A3A19EF0DE81}"/>
    <cellStyle name="输入 3 4 3 2" xfId="32523" xr:uid="{EDA3BAFE-AAAA-469C-9EDE-ED90B290B5CC}"/>
    <cellStyle name="输入 3 4 4" xfId="32524" xr:uid="{1BFE5037-9DD0-46E3-9CDE-8E9D5BF77CA0}"/>
    <cellStyle name="输入 3 5" xfId="32525" xr:uid="{9740ADF6-D958-4383-8FF1-26C7A389376E}"/>
    <cellStyle name="输入 3 5 2" xfId="32526" xr:uid="{48DB70CF-76AA-4B6C-BF6E-B4690BD5E027}"/>
    <cellStyle name="输入 3 5 2 2" xfId="32527" xr:uid="{783EA89F-A35C-4156-B4C5-32D46C9D50AD}"/>
    <cellStyle name="输入 3 5 3" xfId="32528" xr:uid="{6E5B5761-5A03-4664-8191-81F8156861CB}"/>
    <cellStyle name="输入 3 6" xfId="32529" xr:uid="{D7BC6F9E-C5CB-4647-A106-FEA94FE3E7BC}"/>
    <cellStyle name="输入 3 6 2" xfId="32530" xr:uid="{C3E173DA-8AF9-45AC-B14B-522810B3F74C}"/>
    <cellStyle name="输入 3 6 2 2" xfId="32531" xr:uid="{5483214D-C21F-4257-A0F0-10C6DE8B616F}"/>
    <cellStyle name="输入 3 6 3" xfId="32532" xr:uid="{E121C424-4D25-46D3-9EC4-2E500EA097AA}"/>
    <cellStyle name="输入 3 7" xfId="32533" xr:uid="{0F365EEA-E0C8-429C-AEC1-CE4F7189A9D6}"/>
    <cellStyle name="输入 3 7 2" xfId="32534" xr:uid="{446FD631-5DB7-4B98-817F-17234DD3B9EA}"/>
    <cellStyle name="输入 3 8" xfId="32535" xr:uid="{02593D21-8B11-40D0-83CA-794B860CC9F0}"/>
    <cellStyle name="输入 4" xfId="35303" xr:uid="{2A971967-7967-45DF-A6D6-8DBBA54FFB35}"/>
    <cellStyle name="样式 1" xfId="32536" xr:uid="{756DDCAC-70D5-4091-B735-D6A27578512A}"/>
    <cellStyle name="样式 1 2" xfId="32537" xr:uid="{C6F7F4C9-BA1D-465E-A696-A14C8723E1EC}"/>
    <cellStyle name="样式 1 3" xfId="32538" xr:uid="{446DAED8-EBDE-402C-9C0B-5E72326B166E}"/>
    <cellStyle name="着色 1 2" xfId="32540" xr:uid="{92189D86-EB50-4FAD-B084-5DA327FA5CFF}"/>
    <cellStyle name="着色 1 3" xfId="32541" xr:uid="{54D98CA9-68AE-416F-9048-F6B8C2D5929F}"/>
    <cellStyle name="着色 1 4" xfId="32539" xr:uid="{BF20A4C5-D922-4946-8C8E-316BDFE7A706}"/>
    <cellStyle name="着色 2 2" xfId="32543" xr:uid="{35D9F979-0510-4785-9E63-07FE5EE8F797}"/>
    <cellStyle name="着色 2 3" xfId="32544" xr:uid="{F1EC84B4-17FF-4B52-A399-845F5FD54798}"/>
    <cellStyle name="着色 2 4" xfId="32542" xr:uid="{A61E6D4C-1F17-4C7D-800A-D6D7D311F8D7}"/>
    <cellStyle name="着色 3 2" xfId="32546" xr:uid="{FFBB25E0-1504-4A97-8144-D82B5B3F1491}"/>
    <cellStyle name="着色 3 3" xfId="32547" xr:uid="{94F444EC-F3DA-4E81-A0AB-0813CBC548DA}"/>
    <cellStyle name="着色 3 4" xfId="32545" xr:uid="{C37DAE90-3050-4F99-BA61-4D60A8369A13}"/>
    <cellStyle name="着色 4 2" xfId="32549" xr:uid="{FC62C7B9-092F-4CA1-A418-C96417E4F239}"/>
    <cellStyle name="着色 4 3" xfId="32550" xr:uid="{18DB67C3-B2F1-4CB7-9AD5-7F725438E0F3}"/>
    <cellStyle name="着色 4 4" xfId="32548" xr:uid="{F41E24DB-134B-4EFB-9798-00E8DA9DE9FE}"/>
    <cellStyle name="着色 5 2" xfId="32552" xr:uid="{541AE594-26E0-4E5A-9C8E-4936971EC250}"/>
    <cellStyle name="着色 5 3" xfId="32553" xr:uid="{2F4D08A9-F572-4487-A38C-A360020DCDD7}"/>
    <cellStyle name="着色 5 4" xfId="32551" xr:uid="{54F8930B-7340-46E9-BF44-459B9B0DB33D}"/>
    <cellStyle name="着色 6 2" xfId="32555" xr:uid="{31331FEE-E1FA-4009-BA4B-B449CAFE912E}"/>
    <cellStyle name="着色 6 3" xfId="32556" xr:uid="{EC32614A-D9B3-43A7-8EF1-41F4E1A8198D}"/>
    <cellStyle name="着色 6 4" xfId="32554" xr:uid="{E3922943-E681-4F71-A777-D50A355CCC98}"/>
    <cellStyle name="注释 2" xfId="32557" xr:uid="{1E895CE3-2603-4007-BC89-9FBD2E7CDEF5}"/>
    <cellStyle name="注释 2 10" xfId="32558" xr:uid="{1C7EC4A0-3787-4023-AA15-5946564546BA}"/>
    <cellStyle name="注释 2 10 2" xfId="32559" xr:uid="{404E0A98-D072-403C-B851-65405D76381E}"/>
    <cellStyle name="注释 2 10 2 2" xfId="32560" xr:uid="{9BF7C334-3CFE-44E7-9D24-26D758F2B18A}"/>
    <cellStyle name="注释 2 10 2 3" xfId="32561" xr:uid="{A6E63437-F8AA-4B87-AE53-97BD3CC89300}"/>
    <cellStyle name="注释 2 10 2 4" xfId="32562" xr:uid="{6FC47CC3-954E-4998-AFB7-240143C59BFF}"/>
    <cellStyle name="注释 2 10 2 5" xfId="32563" xr:uid="{120AB069-F06A-4FD1-91CC-70383789B9EB}"/>
    <cellStyle name="注释 2 10 2 6" xfId="32564" xr:uid="{49EB188B-91C2-4C0F-AFDD-B0605F804C6A}"/>
    <cellStyle name="注释 2 10 3" xfId="32565" xr:uid="{5982B33A-490D-44DA-BB52-FC3D36AE0A61}"/>
    <cellStyle name="注释 2 10 4" xfId="32566" xr:uid="{4DD77515-7461-4294-B618-23E13A70DE80}"/>
    <cellStyle name="注释 2 10 5" xfId="32567" xr:uid="{9A0E412B-5E38-4B15-A39B-EB161B6B775E}"/>
    <cellStyle name="注释 2 10 6" xfId="32568" xr:uid="{171BF9C1-8093-411D-A7C5-E9285145F765}"/>
    <cellStyle name="注释 2 10 7" xfId="32569" xr:uid="{2B759478-49F3-4B1F-B159-E48DD0DFAB24}"/>
    <cellStyle name="注释 2 11" xfId="32570" xr:uid="{86393BC0-3487-43FA-93FB-A8319C116FD0}"/>
    <cellStyle name="注释 2 11 2" xfId="32571" xr:uid="{3DE74B0B-F9C2-4184-B309-4AD5C8808236}"/>
    <cellStyle name="注释 2 11 3" xfId="32572" xr:uid="{C9402078-6ED6-4ED5-B391-60F71AB9874B}"/>
    <cellStyle name="注释 2 11 4" xfId="32573" xr:uid="{702238D0-6627-43B6-BDB9-8F0492136472}"/>
    <cellStyle name="注释 2 11 5" xfId="32574" xr:uid="{A7578C61-C12B-43C2-9A37-9892E07F5BED}"/>
    <cellStyle name="注释 2 11 6" xfId="32575" xr:uid="{25113D98-4071-4F07-85BA-6738E0098E32}"/>
    <cellStyle name="注释 2 12" xfId="32576" xr:uid="{82C4F152-6830-48F1-BF07-BDD5BE05C6F1}"/>
    <cellStyle name="注释 2 13" xfId="32577" xr:uid="{837EFDA7-E40D-48BA-86A0-34FDA1333E2F}"/>
    <cellStyle name="注释 2 14" xfId="32578" xr:uid="{41F7D070-16BE-4F32-A43E-80D9648D4FED}"/>
    <cellStyle name="注释 2 15" xfId="32579" xr:uid="{9D2D44A8-5EE0-42EA-82B4-DC83D28177F2}"/>
    <cellStyle name="注释 2 16" xfId="32580" xr:uid="{CA3C8774-7CD6-477B-8BF9-20C344C60F2A}"/>
    <cellStyle name="注释 2 2" xfId="32581" xr:uid="{C2C7EB13-038F-467E-9466-5C7F28DD2FC6}"/>
    <cellStyle name="注释 2 2 10" xfId="32582" xr:uid="{F81AC0FD-0994-4DA2-893A-C9B3A2ACB541}"/>
    <cellStyle name="注释 2 2 11" xfId="32583" xr:uid="{9DDF84BB-8592-4F59-9A8C-F784ED65D3AD}"/>
    <cellStyle name="注释 2 2 12" xfId="32584" xr:uid="{9741C953-4D0D-4D4D-8BFD-41FFFD094AB6}"/>
    <cellStyle name="注释 2 2 13" xfId="32585" xr:uid="{D26E4F61-21FE-44C7-8284-838D9E5C6C97}"/>
    <cellStyle name="注释 2 2 14" xfId="32586" xr:uid="{5709F795-FC6F-4F71-9747-68F6BF4DFBB5}"/>
    <cellStyle name="注释 2 2 2" xfId="32587" xr:uid="{090AA181-D07C-4025-A2CC-ACCAD5303BD1}"/>
    <cellStyle name="注释 2 2 2 10" xfId="32588" xr:uid="{03E727F1-0134-4C94-B8BB-578BDC51A7B5}"/>
    <cellStyle name="注释 2 2 2 11" xfId="32589" xr:uid="{02C4478C-8E11-4A64-AA06-E822266A4414}"/>
    <cellStyle name="注释 2 2 2 2" xfId="32590" xr:uid="{A12F21A3-BE06-4634-A237-9E42469D88C9}"/>
    <cellStyle name="注释 2 2 2 2 2" xfId="32591" xr:uid="{DDA95F7A-4084-4E25-B93A-182EA8F4AC11}"/>
    <cellStyle name="注释 2 2 2 2 2 2" xfId="32592" xr:uid="{15AB9BD9-984D-4119-8D50-3110E4C7A15B}"/>
    <cellStyle name="注释 2 2 2 2 2 2 2" xfId="32593" xr:uid="{C9352A41-DED0-4897-928C-DBDDF732D0D8}"/>
    <cellStyle name="注释 2 2 2 2 2 3" xfId="32594" xr:uid="{0DB59F24-8615-496A-AC5B-0679ECA9D048}"/>
    <cellStyle name="注释 2 2 2 2 3" xfId="32595" xr:uid="{3CBFC3B2-0769-414D-9F2D-48C0EFF0A10D}"/>
    <cellStyle name="注释 2 2 2 2 3 2" xfId="32596" xr:uid="{9A383171-90BA-44D5-A251-71161E01D2AD}"/>
    <cellStyle name="注释 2 2 2 2 4" xfId="32597" xr:uid="{05FDF1C1-9E2A-49E2-95B0-980C889F7851}"/>
    <cellStyle name="注释 2 2 2 3" xfId="32598" xr:uid="{F1E8EABF-12F2-46D8-BB23-E1D6E6EFDB3A}"/>
    <cellStyle name="注释 2 2 2 3 2" xfId="32599" xr:uid="{945C5732-D59F-4EBA-A425-F628D53EFFE0}"/>
    <cellStyle name="注释 2 2 2 3 2 2" xfId="32600" xr:uid="{CE84E0C6-D3A3-4F5F-BA33-EC6A23DAE70E}"/>
    <cellStyle name="注释 2 2 2 3 3" xfId="32601" xr:uid="{B4F76F38-526D-4762-A9A4-FB0A31D80CD1}"/>
    <cellStyle name="注释 2 2 2 4" xfId="32602" xr:uid="{63AEF4F5-D5CA-4ED1-9E21-31E19EC49A14}"/>
    <cellStyle name="注释 2 2 2 4 2" xfId="32603" xr:uid="{9ECBA519-7CBE-4B15-8DA8-BFADB73ED1CF}"/>
    <cellStyle name="注释 2 2 2 4 2 2" xfId="32604" xr:uid="{D7BBED1A-85AD-465A-8D9D-222B3681C8E4}"/>
    <cellStyle name="注释 2 2 2 4 3" xfId="32605" xr:uid="{517868C5-D9AC-4AFE-A7B9-53290A781F16}"/>
    <cellStyle name="注释 2 2 2 5" xfId="32606" xr:uid="{3109644E-CE47-4DF1-9067-0559FA3C3E3E}"/>
    <cellStyle name="注释 2 2 2 5 2" xfId="32607" xr:uid="{79F98EC2-A6ED-4CD8-9D51-76B18141E7A3}"/>
    <cellStyle name="注释 2 2 2 5 2 2" xfId="32608" xr:uid="{B38439CF-A917-4E54-AF61-407ADE71CBCC}"/>
    <cellStyle name="注释 2 2 2 5 3" xfId="32609" xr:uid="{22C66299-1C9A-46B8-8BEF-786153C64DE2}"/>
    <cellStyle name="注释 2 2 2 6" xfId="32610" xr:uid="{A6D49DDA-A45F-4087-B141-C353F5FB5CD8}"/>
    <cellStyle name="注释 2 2 2 6 2" xfId="32611" xr:uid="{E4E3F790-8520-4A5D-B159-0DD605B94B1E}"/>
    <cellStyle name="注释 2 2 2 6 3" xfId="32612" xr:uid="{81557052-AE2A-43C9-86DB-83420D1A5286}"/>
    <cellStyle name="注释 2 2 2 6 4" xfId="32613" xr:uid="{BF0EF138-61CF-4235-B7EC-9CF32DD42F35}"/>
    <cellStyle name="注释 2 2 2 6 5" xfId="32614" xr:uid="{6309A3E8-3248-4F87-A081-91B39E6CBA79}"/>
    <cellStyle name="注释 2 2 2 6 6" xfId="32615" xr:uid="{6D234313-E4B6-4130-9677-F2DCD7A55DF9}"/>
    <cellStyle name="注释 2 2 2 7" xfId="32616" xr:uid="{51E46E27-77B2-488F-AC31-2A0EC22A324F}"/>
    <cellStyle name="注释 2 2 2 8" xfId="32617" xr:uid="{CC45E0F1-C8F2-49AC-BA7F-B7B41D404579}"/>
    <cellStyle name="注释 2 2 2 9" xfId="32618" xr:uid="{38262EA4-8884-4AEE-9DDE-66C8190834B9}"/>
    <cellStyle name="注释 2 2 3" xfId="32619" xr:uid="{BB476EF6-1C79-4A53-ACC8-8E602BD9B405}"/>
    <cellStyle name="注释 2 2 3 2" xfId="32620" xr:uid="{49A5F42E-C5F6-4154-B4F1-9865A6020E31}"/>
    <cellStyle name="注释 2 2 3 2 2" xfId="32621" xr:uid="{538C7C12-211B-439A-A09E-3D84F4173C9F}"/>
    <cellStyle name="注释 2 2 3 2 2 2" xfId="32622" xr:uid="{E5C22BCD-F8B4-44CF-916C-8B0B1F0BE8CB}"/>
    <cellStyle name="注释 2 2 3 2 3" xfId="32623" xr:uid="{64CC27D4-54CB-41C6-9EBF-45843A412BC6}"/>
    <cellStyle name="注释 2 2 3 3" xfId="32624" xr:uid="{4D364EB1-2852-49E2-B8FE-3D49A4169EC3}"/>
    <cellStyle name="注释 2 2 3 3 2" xfId="32625" xr:uid="{BBC3C0A7-5A26-45F4-A84E-69EC1F7E3B76}"/>
    <cellStyle name="注释 2 2 3 3 2 2" xfId="32626" xr:uid="{6F22EE12-57A9-4CB2-A3FE-7906A339B117}"/>
    <cellStyle name="注释 2 2 3 3 3" xfId="32627" xr:uid="{C45B5771-D1A2-4BBE-BFB1-975601FCD758}"/>
    <cellStyle name="注释 2 2 3 4" xfId="32628" xr:uid="{EC8CECEC-5152-4A08-A63A-568A99C60EF7}"/>
    <cellStyle name="注释 2 2 3 4 2" xfId="32629" xr:uid="{F1332DD8-297A-417E-89A5-E579AEBFAEA7}"/>
    <cellStyle name="注释 2 2 3 5" xfId="32630" xr:uid="{1457ADD3-352C-4D0E-A939-E66C9BD1EA03}"/>
    <cellStyle name="注释 2 2 4" xfId="32631" xr:uid="{DE5EA26C-34A7-4EFD-A800-E4C223E38F88}"/>
    <cellStyle name="注释 2 2 4 2" xfId="32632" xr:uid="{C2693AA0-4B75-492C-81AE-382628D0C888}"/>
    <cellStyle name="注释 2 2 4 2 2" xfId="32633" xr:uid="{ABEBC5ED-FE24-4B1C-B720-ED5B7B90287B}"/>
    <cellStyle name="注释 2 2 4 2 2 2" xfId="32634" xr:uid="{97C153E5-9E39-4CEE-882E-CBEE0F92A410}"/>
    <cellStyle name="注释 2 2 4 2 3" xfId="32635" xr:uid="{42F8DA7D-D1F7-4FB4-88A8-5D2E62C52DE5}"/>
    <cellStyle name="注释 2 2 4 3" xfId="32636" xr:uid="{46413F26-9F85-42D6-848E-8350A68A3487}"/>
    <cellStyle name="注释 2 2 4 3 2" xfId="32637" xr:uid="{0B2D5A38-D8A3-44F7-9925-F2E8F66661E3}"/>
    <cellStyle name="注释 2 2 4 4" xfId="32638" xr:uid="{DC6237C1-C5CC-465E-995C-1C0B4A08CCF8}"/>
    <cellStyle name="注释 2 2 5" xfId="32639" xr:uid="{5A93ABAC-FAA6-4EEB-B70D-03510EEA4C14}"/>
    <cellStyle name="注释 2 2 5 2" xfId="32640" xr:uid="{9C04F4E7-7CFA-4E04-9417-F69C96550861}"/>
    <cellStyle name="注释 2 2 5 2 2" xfId="32641" xr:uid="{EC953905-8E0C-41BA-B9CA-8460F59C877A}"/>
    <cellStyle name="注释 2 2 5 3" xfId="32642" xr:uid="{73EF002B-F6F2-4BDD-976D-0B395678C477}"/>
    <cellStyle name="注释 2 2 6" xfId="32643" xr:uid="{0E9DDEE3-ABC0-422F-B093-85D561B9994C}"/>
    <cellStyle name="注释 2 2 6 2" xfId="32644" xr:uid="{197F27B9-6884-4C58-ACBD-C4F3C7E1C68D}"/>
    <cellStyle name="注释 2 2 6 2 2" xfId="32645" xr:uid="{F6FFEB45-CA26-4B7B-A5F9-28338AD7EAF7}"/>
    <cellStyle name="注释 2 2 6 3" xfId="32646" xr:uid="{C1BB76DE-D7B4-4A51-A14D-9FAD237FF646}"/>
    <cellStyle name="注释 2 2 7" xfId="32647" xr:uid="{4CAF34C5-8AA9-407B-AEE3-509C975D5C61}"/>
    <cellStyle name="注释 2 2 7 2" xfId="32648" xr:uid="{AAF3E27D-B9B4-4CA0-9A2C-703F8C74C466}"/>
    <cellStyle name="注释 2 2 7 2 2" xfId="32649" xr:uid="{DE57AD40-1783-45B1-AEFD-308D0AFB1896}"/>
    <cellStyle name="注释 2 2 7 3" xfId="32650" xr:uid="{B9242D57-7BF9-4BCE-92B4-D31F23AA59F2}"/>
    <cellStyle name="注释 2 2 8" xfId="32651" xr:uid="{1AE57451-EE4C-4391-8DC7-2412F06F6AB8}"/>
    <cellStyle name="注释 2 2 8 2" xfId="32652" xr:uid="{299E98E6-9D9E-40D3-9E3D-49DB816ACDA5}"/>
    <cellStyle name="注释 2 2 8 2 2" xfId="32653" xr:uid="{64FF24FA-E883-4962-8FFF-7072E37DC4A7}"/>
    <cellStyle name="注释 2 2 8 2 3" xfId="32654" xr:uid="{1B9693F9-4DD6-45D5-AB58-374C14B41EBB}"/>
    <cellStyle name="注释 2 2 8 2 4" xfId="32655" xr:uid="{599D1E6A-5E0E-4E54-96B6-C3C890651990}"/>
    <cellStyle name="注释 2 2 8 2 5" xfId="32656" xr:uid="{24E8B0C5-3D30-4029-80E7-CCCAFEB842E0}"/>
    <cellStyle name="注释 2 2 8 2 6" xfId="32657" xr:uid="{D58F85D5-5AC1-494C-AA5C-389B8D3C545A}"/>
    <cellStyle name="注释 2 2 8 3" xfId="32658" xr:uid="{E0072E9D-4859-47A3-A631-40BF3ABF29A5}"/>
    <cellStyle name="注释 2 2 8 4" xfId="32659" xr:uid="{961536A7-0E04-4330-A081-7CD8683C3A04}"/>
    <cellStyle name="注释 2 2 8 5" xfId="32660" xr:uid="{0C07E457-4015-4D07-83FE-F2DD477E5B33}"/>
    <cellStyle name="注释 2 2 8 6" xfId="32661" xr:uid="{FAF4C823-F4D5-4F35-99ED-48C416E7DE04}"/>
    <cellStyle name="注释 2 2 8 7" xfId="32662" xr:uid="{55B7F36D-481F-40BF-A894-E09191539233}"/>
    <cellStyle name="注释 2 2 9" xfId="32663" xr:uid="{6FE08947-2FD5-4D25-BCFE-5AABB8E6F98E}"/>
    <cellStyle name="注释 2 2 9 2" xfId="32664" xr:uid="{8D02A18F-E528-4688-AC92-E99D359A345E}"/>
    <cellStyle name="注释 2 2 9 3" xfId="32665" xr:uid="{A2260CD2-B60F-4A13-89D9-E81CD40A3F5A}"/>
    <cellStyle name="注释 2 2 9 4" xfId="32666" xr:uid="{1DD4B53F-F472-4AEC-9B71-CDD63E88364C}"/>
    <cellStyle name="注释 2 2 9 5" xfId="32667" xr:uid="{4F77315B-CFBC-4AA7-B166-F69F3FF9EB2C}"/>
    <cellStyle name="注释 2 2 9 6" xfId="32668" xr:uid="{E11489B7-B460-4A49-8FF0-0917A3B9158B}"/>
    <cellStyle name="注释 2 3" xfId="32669" xr:uid="{8A8A2D64-00DC-4E05-8D3C-154C5901DCF7}"/>
    <cellStyle name="注释 2 3 10" xfId="32670" xr:uid="{8343A99C-C4A3-451D-A32A-26DA51DEF9B1}"/>
    <cellStyle name="注释 2 3 11" xfId="32671" xr:uid="{16E81C05-CF32-4DFA-8771-E1CCA6DBCF31}"/>
    <cellStyle name="注释 2 3 2" xfId="32672" xr:uid="{11011B0F-CD99-4654-B2F8-96896EFC5CE7}"/>
    <cellStyle name="注释 2 3 2 2" xfId="32673" xr:uid="{E8B1250D-83F5-427F-B252-881C0F5FBDA0}"/>
    <cellStyle name="注释 2 3 2 2 2" xfId="32674" xr:uid="{C32F1CAB-5E43-411D-8C79-96E5A641D2D8}"/>
    <cellStyle name="注释 2 3 2 2 2 2" xfId="32675" xr:uid="{B04784B6-549B-44CA-AE54-08B397E458DB}"/>
    <cellStyle name="注释 2 3 2 2 3" xfId="32676" xr:uid="{798F28FA-C99F-4719-A4BC-0588F75B0BBB}"/>
    <cellStyle name="注释 2 3 2 3" xfId="32677" xr:uid="{18F3017B-13B4-44A7-AA76-DA75E6962AA3}"/>
    <cellStyle name="注释 2 3 2 3 2" xfId="32678" xr:uid="{C353EA37-13B2-4075-9947-C4DDC3F4C5E0}"/>
    <cellStyle name="注释 2 3 2 4" xfId="32679" xr:uid="{CEB0F039-13C2-4C74-AA96-B5C054B69027}"/>
    <cellStyle name="注释 2 3 3" xfId="32680" xr:uid="{C99AA699-5406-48F9-A664-E77D485A9342}"/>
    <cellStyle name="注释 2 3 3 2" xfId="32681" xr:uid="{1669F98A-5088-49E7-9542-041FE854D89F}"/>
    <cellStyle name="注释 2 3 3 2 2" xfId="32682" xr:uid="{F9C141F9-00EE-4001-A416-7E579561DC0F}"/>
    <cellStyle name="注释 2 3 3 3" xfId="32683" xr:uid="{C6C020AF-E553-4A8D-8689-B5C8E901CB46}"/>
    <cellStyle name="注释 2 3 4" xfId="32684" xr:uid="{83B95B4E-90AA-48D7-ADC7-566B8485DF40}"/>
    <cellStyle name="注释 2 3 4 2" xfId="32685" xr:uid="{0BABE9C7-984C-4463-B669-68D61FA6674D}"/>
    <cellStyle name="注释 2 3 4 2 2" xfId="32686" xr:uid="{A4244168-FC41-4B3B-9C12-BAC4B6D63394}"/>
    <cellStyle name="注释 2 3 4 3" xfId="32687" xr:uid="{238A3390-66C7-491E-9915-4BF72F6C86E5}"/>
    <cellStyle name="注释 2 3 5" xfId="32688" xr:uid="{B840B6DA-AB61-4468-9091-E0470B625344}"/>
    <cellStyle name="注释 2 3 5 2" xfId="32689" xr:uid="{9F9922D0-6E80-4EAB-B774-EC99112FC954}"/>
    <cellStyle name="注释 2 3 5 2 2" xfId="32690" xr:uid="{80505F20-E6DA-4939-9D8A-A3B866A11F3B}"/>
    <cellStyle name="注释 2 3 5 3" xfId="32691" xr:uid="{62F1D59C-27D4-42F6-B120-FDBAA5B29F73}"/>
    <cellStyle name="注释 2 3 6" xfId="32692" xr:uid="{F16BB5AA-9833-4B58-B30E-E1D89ADC61D9}"/>
    <cellStyle name="注释 2 3 6 2" xfId="32693" xr:uid="{1B0234DE-7839-43DB-8A79-90629DC857FE}"/>
    <cellStyle name="注释 2 3 6 3" xfId="32694" xr:uid="{070699AA-F1CC-4B01-97FC-9EAC476133F1}"/>
    <cellStyle name="注释 2 3 6 4" xfId="32695" xr:uid="{5FA6EC59-8D16-4607-9930-B3039CCCEBC3}"/>
    <cellStyle name="注释 2 3 6 5" xfId="32696" xr:uid="{5BA6C61C-21A0-47CF-A35A-A98C0A08EFA9}"/>
    <cellStyle name="注释 2 3 6 6" xfId="32697" xr:uid="{0926FF72-0BF6-4E68-B224-7F1A4233069B}"/>
    <cellStyle name="注释 2 3 7" xfId="32698" xr:uid="{CD924685-983C-4B6D-B6C6-C88112AFE4F7}"/>
    <cellStyle name="注释 2 3 8" xfId="32699" xr:uid="{8080A697-43CD-4D07-9EB8-D7010B51D4B4}"/>
    <cellStyle name="注释 2 3 9" xfId="32700" xr:uid="{2BBA590D-8A6E-4768-B2F9-FBB094CDA3D1}"/>
    <cellStyle name="注释 2 4" xfId="32701" xr:uid="{0AA6058E-2031-4E7D-B94F-721433F3CD5A}"/>
    <cellStyle name="注释 2 4 2" xfId="32702" xr:uid="{A95740B8-0A3D-47F8-BC7B-69FB1905946B}"/>
    <cellStyle name="注释 2 4 2 2" xfId="32703" xr:uid="{7F23A38F-7EF4-478F-AC2C-E23507FE1905}"/>
    <cellStyle name="注释 2 4 2 2 2" xfId="32704" xr:uid="{8AF6B606-91D4-4DBE-8F04-22C6A21FCAA5}"/>
    <cellStyle name="注释 2 4 2 3" xfId="32705" xr:uid="{BB15066F-8B5E-460B-9BB9-8D4D91B9EE1C}"/>
    <cellStyle name="注释 2 4 3" xfId="32706" xr:uid="{B7525951-8281-4231-A579-B89B634AAC42}"/>
    <cellStyle name="注释 2 4 3 2" xfId="32707" xr:uid="{D0942751-1271-4B6A-90FF-9E0D52D56370}"/>
    <cellStyle name="注释 2 4 3 2 2" xfId="32708" xr:uid="{B9003F68-1762-4AF8-AA95-2FA51B99247A}"/>
    <cellStyle name="注释 2 4 3 3" xfId="32709" xr:uid="{8393E258-3659-46F4-808B-88AB3E8E0067}"/>
    <cellStyle name="注释 2 4 4" xfId="32710" xr:uid="{DC4C6530-A281-4811-9447-072A47B2F073}"/>
    <cellStyle name="注释 2 4 4 2" xfId="32711" xr:uid="{61F7DF7E-2918-4DB7-AA0C-B528982E83C1}"/>
    <cellStyle name="注释 2 4 5" xfId="32712" xr:uid="{DDA61A92-39F0-4D01-9C40-1CBBDA552059}"/>
    <cellStyle name="注释 2 4 6" xfId="32713" xr:uid="{AED49650-A70A-4314-B0B4-5D9565F31602}"/>
    <cellStyle name="注释 2 5" xfId="32714" xr:uid="{0CD71A97-6EDA-4014-9D17-CB1F795CE96B}"/>
    <cellStyle name="注释 2 5 2" xfId="32715" xr:uid="{395F0441-82DE-4BBB-ABA9-CA2812C24319}"/>
    <cellStyle name="注释 2 5 2 2" xfId="32716" xr:uid="{E3BB8018-82CE-4119-9B46-FE5A7D392391}"/>
    <cellStyle name="注释 2 5 2 2 2" xfId="32717" xr:uid="{C942FF32-7928-43FA-9DE8-1581E4B1FE45}"/>
    <cellStyle name="注释 2 5 2 3" xfId="32718" xr:uid="{F16EDC84-E3C4-4A8E-ADAC-25D8AC8A44FE}"/>
    <cellStyle name="注释 2 5 3" xfId="32719" xr:uid="{F7562F5F-CFB2-429E-8860-E37C2DDD3AC0}"/>
    <cellStyle name="注释 2 5 3 2" xfId="32720" xr:uid="{2A87CFF5-3F7C-4321-B8FA-9E0CC58B712F}"/>
    <cellStyle name="注释 2 5 4" xfId="32721" xr:uid="{7EDD3544-91B3-49D8-8B35-D95E8F39BB2E}"/>
    <cellStyle name="注释 2 6" xfId="32722" xr:uid="{EF3B498B-AD90-4B94-8361-5B5FE6A15D8F}"/>
    <cellStyle name="注释 2 6 2" xfId="32723" xr:uid="{DFBCC629-A101-4BEF-BF03-4F2798A62ACE}"/>
    <cellStyle name="注释 2 6 2 2" xfId="32724" xr:uid="{9402E3A6-50B1-4CFA-B0D5-A2F687502EA8}"/>
    <cellStyle name="注释 2 6 3" xfId="32725" xr:uid="{6D4E12AE-A01B-41ED-9F1B-77E51ACBA5A2}"/>
    <cellStyle name="注释 2 7" xfId="32726" xr:uid="{675BEA3C-1C98-4BA8-8F67-73A5C3BAFAAD}"/>
    <cellStyle name="注释 2 7 2" xfId="32727" xr:uid="{92621379-1816-4F6B-892F-585ABA7CEB39}"/>
    <cellStyle name="注释 2 7 2 2" xfId="32728" xr:uid="{DDFE9CFD-D6B5-4DC2-8601-9433A224DF20}"/>
    <cellStyle name="注释 2 7 3" xfId="32729" xr:uid="{9D44C920-770E-48B5-A754-E99E77BF780B}"/>
    <cellStyle name="注释 2 8" xfId="32730" xr:uid="{253ABFB2-6C7D-44FD-A9AB-A4DDB41EC695}"/>
    <cellStyle name="注释 2 8 2" xfId="32731" xr:uid="{2EBE7B81-3EB1-4A0D-9866-E8FFF7D92A0A}"/>
    <cellStyle name="注释 2 8 2 2" xfId="32732" xr:uid="{7302004E-972E-4535-A0A3-DFF491184960}"/>
    <cellStyle name="注释 2 8 3" xfId="32733" xr:uid="{430C7C91-AFDA-4725-9C56-A59BEA805575}"/>
    <cellStyle name="注释 2 9" xfId="32734" xr:uid="{41DE4A5A-3E6B-4E74-8E29-068DBD5E1C04}"/>
    <cellStyle name="注释 2 9 2" xfId="32735" xr:uid="{2A2273DF-F0FD-449F-8DC0-4DA31211F58F}"/>
    <cellStyle name="注释 2 9 2 2" xfId="32736" xr:uid="{F40087B6-8444-41DF-A89D-5BE11331A247}"/>
    <cellStyle name="注释 2 9 2 3" xfId="32737" xr:uid="{6489D9C1-2A5E-4055-B6F4-63A47DDC3EDA}"/>
    <cellStyle name="注释 2 9 2 4" xfId="32738" xr:uid="{B85D7050-66D4-42C7-B4A0-978BCCF7D6CA}"/>
    <cellStyle name="注释 2 9 2 5" xfId="32739" xr:uid="{45838546-9E36-408D-A0C3-A6B25F7E98C5}"/>
    <cellStyle name="注释 2 9 2 6" xfId="32740" xr:uid="{8E8CAE87-153C-43E9-8CAD-D861261D4EF4}"/>
    <cellStyle name="注释 2 9 3" xfId="32741" xr:uid="{BFD72ED6-E017-47F4-8EB0-863950143AD3}"/>
    <cellStyle name="注释 2 9 4" xfId="32742" xr:uid="{FD7C3CC7-AAF7-4C4F-9E1E-001CA8E10962}"/>
    <cellStyle name="注释 2 9 5" xfId="32743" xr:uid="{F0AB0784-8484-442B-AFC6-2EE3ED6F43D9}"/>
    <cellStyle name="注释 2 9 6" xfId="32744" xr:uid="{5E2E59A7-96C7-4464-A1D7-C82A00FB428E}"/>
    <cellStyle name="注释 2 9 7" xfId="32745" xr:uid="{3CD53ED8-78CB-4EB5-9228-E4420BD9B010}"/>
    <cellStyle name="注释 3" xfId="32746" xr:uid="{79BF4F06-DB30-4259-A7BD-439F452079CA}"/>
    <cellStyle name="注释 3 10" xfId="32747" xr:uid="{FFC322D3-A2CC-4AE9-AEC2-C066FD73C758}"/>
    <cellStyle name="注释 3 11" xfId="32748" xr:uid="{B8678FC1-B976-4429-B6F1-0721A90271EE}"/>
    <cellStyle name="注释 3 12" xfId="32749" xr:uid="{D07A8153-43D8-43E6-A412-4AC39BCC4B64}"/>
    <cellStyle name="注释 3 13" xfId="32750" xr:uid="{53E1BAB8-F4B9-4C08-AB2E-B0B19AF9FE40}"/>
    <cellStyle name="注释 3 14" xfId="32751" xr:uid="{E17EE893-1C30-4887-8B66-A975429D9C25}"/>
    <cellStyle name="注释 3 2" xfId="32752" xr:uid="{B59C223E-9F7D-4DF4-A7B2-FA39960FBB5E}"/>
    <cellStyle name="注释 3 2 2" xfId="32753" xr:uid="{C7DD1409-98EC-44FA-AD04-679827FC37FD}"/>
    <cellStyle name="注释 3 2 2 2" xfId="32754" xr:uid="{8DD22469-7CD4-4D29-B65B-E3DEED66BD4E}"/>
    <cellStyle name="注释 3 2 2 2 2" xfId="32755" xr:uid="{5A4AADD4-9E46-4E27-8237-77FA8EB933AF}"/>
    <cellStyle name="注释 3 2 2 2 2 2" xfId="32756" xr:uid="{65673A1A-35FB-42CF-929D-C4281239448E}"/>
    <cellStyle name="注释 3 2 2 2 3" xfId="32757" xr:uid="{2E6FED75-EB82-484A-AF4E-753282112C61}"/>
    <cellStyle name="注释 3 2 2 3" xfId="32758" xr:uid="{DB87FE82-2186-41BD-A3A2-C1E3B3E0F289}"/>
    <cellStyle name="注释 3 2 2 3 2" xfId="32759" xr:uid="{E6BC0A5B-3CCF-4B3E-9DBC-02A41E6CD445}"/>
    <cellStyle name="注释 3 2 2 4" xfId="32760" xr:uid="{85F8DD18-E272-49C8-9DC0-28AC7AC04856}"/>
    <cellStyle name="注释 3 2 3" xfId="32761" xr:uid="{34B6FFBB-AC02-43FF-8837-573C5EA8CB85}"/>
    <cellStyle name="注释 3 2 3 2" xfId="32762" xr:uid="{75522100-A4F4-447D-A6C7-83EFA3BA8B49}"/>
    <cellStyle name="注释 3 2 3 2 2" xfId="32763" xr:uid="{C0A80DA4-48D5-4D9B-9FA3-305DFC55A438}"/>
    <cellStyle name="注释 3 2 3 3" xfId="32764" xr:uid="{018E17F3-7DFB-4234-81A2-5FD4AB9A910C}"/>
    <cellStyle name="注释 3 2 4" xfId="32765" xr:uid="{4DBE2BF1-CEBD-4E45-868A-7226F974B542}"/>
    <cellStyle name="注释 3 2 4 2" xfId="32766" xr:uid="{F3766669-D022-41BC-A8F3-D02BEDCADB1C}"/>
    <cellStyle name="注释 3 2 4 2 2" xfId="32767" xr:uid="{C269702D-887F-49E3-86D4-82E5FBE506DD}"/>
    <cellStyle name="注释 3 2 4 3" xfId="32768" xr:uid="{567339DC-4C92-4C20-B9E9-48D2C46A00AA}"/>
    <cellStyle name="注释 3 2 5" xfId="32769" xr:uid="{B3B168F9-BA83-4381-ACC0-59AA40383EBA}"/>
    <cellStyle name="注释 3 2 5 2" xfId="32770" xr:uid="{9C7E4782-C678-4B3C-83B0-DAFF45D6654E}"/>
    <cellStyle name="注释 3 2 6" xfId="32771" xr:uid="{5AFB61EB-D70B-49B8-8889-2307112EF0A7}"/>
    <cellStyle name="注释 3 2 7" xfId="32772" xr:uid="{577579D7-84BA-47E0-AF4F-272652AA3533}"/>
    <cellStyle name="注释 3 3" xfId="32773" xr:uid="{167CC5D4-FFF6-45BB-BCB5-46CF65E9BD18}"/>
    <cellStyle name="注释 3 3 2" xfId="32774" xr:uid="{719C7C25-2601-4C57-A8F3-28B8259C37B9}"/>
    <cellStyle name="注释 3 3 2 2" xfId="32775" xr:uid="{BCC67893-8DBB-40C7-AEDE-CF2CC0B42792}"/>
    <cellStyle name="注释 3 3 2 2 2" xfId="32776" xr:uid="{5A1A843B-AAA0-42AC-9DB2-8969F1719801}"/>
    <cellStyle name="注释 3 3 2 3" xfId="32777" xr:uid="{46B33DCD-3306-46AC-A05E-D12354A5F30F}"/>
    <cellStyle name="注释 3 3 3" xfId="32778" xr:uid="{B31C5EEA-FD14-4599-86AB-F33A75B472B3}"/>
    <cellStyle name="注释 3 3 3 2" xfId="32779" xr:uid="{32E78DD9-B94F-4FE3-BB0E-C21450C04CA7}"/>
    <cellStyle name="注释 3 3 3 2 2" xfId="32780" xr:uid="{9E7BC12E-A7BA-4685-9052-D3EA955089E5}"/>
    <cellStyle name="注释 3 3 3 3" xfId="32781" xr:uid="{22CE173A-5407-4336-9109-D578E9E7292B}"/>
    <cellStyle name="注释 3 3 4" xfId="32782" xr:uid="{859DA1EA-C77D-44A9-BC44-53F0EE81465C}"/>
    <cellStyle name="注释 3 3 4 2" xfId="32783" xr:uid="{AA1135D2-F5C7-4143-ABBB-6A28432996ED}"/>
    <cellStyle name="注释 3 3 5" xfId="32784" xr:uid="{6C359F19-99ED-4740-AC60-A40660DB7E63}"/>
    <cellStyle name="注释 3 3 6" xfId="32785" xr:uid="{2B650A4E-2AA7-4D83-A030-135F538D8413}"/>
    <cellStyle name="注释 3 4" xfId="32786" xr:uid="{381F1FCF-A99B-4A68-BB46-06EAFB197982}"/>
    <cellStyle name="注释 3 4 2" xfId="32787" xr:uid="{1BDA955C-4331-436A-AD39-2AB2686A019D}"/>
    <cellStyle name="注释 3 4 2 2" xfId="32788" xr:uid="{82CA6BA3-7366-49C2-80C7-9AFCD74365ED}"/>
    <cellStyle name="注释 3 4 2 2 2" xfId="32789" xr:uid="{61248A1C-CF7F-4A02-A19C-5528F7E3043D}"/>
    <cellStyle name="注释 3 4 2 3" xfId="32790" xr:uid="{67333A81-AACD-44A5-8FB5-8C190CF11BE9}"/>
    <cellStyle name="注释 3 4 3" xfId="32791" xr:uid="{836F9814-529C-4792-8506-04F9AD99FDF4}"/>
    <cellStyle name="注释 3 4 3 2" xfId="32792" xr:uid="{4D679EF9-6642-4AAC-922E-E3E9E18444F3}"/>
    <cellStyle name="注释 3 4 4" xfId="32793" xr:uid="{459EF25F-27A4-40DD-B61A-C664B71C6EB4}"/>
    <cellStyle name="注释 3 4 5" xfId="32794" xr:uid="{FD0EF0A2-077B-4F9F-9E3B-C4FB54A8084E}"/>
    <cellStyle name="注释 3 5" xfId="32795" xr:uid="{297418C9-4718-4D8A-98B4-6D8E7013FF74}"/>
    <cellStyle name="注释 3 5 2" xfId="32796" xr:uid="{05E49F32-4C38-49A5-A681-43B88D0CE800}"/>
    <cellStyle name="注释 3 5 2 2" xfId="32797" xr:uid="{5FA4063B-7E0F-4A17-BC59-37C23313BFE9}"/>
    <cellStyle name="注释 3 5 3" xfId="32798" xr:uid="{3B8803DC-C266-4DF8-A8FE-F59403932DC1}"/>
    <cellStyle name="注释 3 6" xfId="32799" xr:uid="{555293D3-A78D-4487-9929-12000ACD636C}"/>
    <cellStyle name="注释 3 6 2" xfId="32800" xr:uid="{4110B1FA-4843-4D43-8083-BEF73AF3836A}"/>
    <cellStyle name="注释 3 6 2 2" xfId="32801" xr:uid="{480FEBD4-7B48-4C6F-A2A7-C3090803D391}"/>
    <cellStyle name="注释 3 6 3" xfId="32802" xr:uid="{DC556C7D-6CF8-4162-82B5-8454BBB8E0C6}"/>
    <cellStyle name="注释 3 7" xfId="32803" xr:uid="{2DEEC85C-B325-4E52-B8B8-AE8262626439}"/>
    <cellStyle name="注释 3 7 2" xfId="32804" xr:uid="{1A59BC9E-704F-43A3-94F4-C1EE53EB514B}"/>
    <cellStyle name="注释 3 7 2 2" xfId="32805" xr:uid="{E9955607-C3EA-4BF8-A63B-BCCAD86611A7}"/>
    <cellStyle name="注释 3 7 3" xfId="32806" xr:uid="{342C7764-C8B0-4DC8-9FFD-03BEC154E59E}"/>
    <cellStyle name="注释 3 8" xfId="32807" xr:uid="{0699F0B8-D545-4A13-82A7-8B43EFF66205}"/>
    <cellStyle name="注释 3 8 2" xfId="32808" xr:uid="{4A3E93D4-AE95-46C3-AD55-A88D72BE5749}"/>
    <cellStyle name="注释 3 8 2 2" xfId="32809" xr:uid="{5AD767D0-2A63-4F2B-A422-03EE32D42F50}"/>
    <cellStyle name="注释 3 8 2 3" xfId="32810" xr:uid="{CF820F8D-92CB-4543-87B0-51BAD17F055A}"/>
    <cellStyle name="注释 3 8 2 4" xfId="32811" xr:uid="{CEE098B6-E7CD-4F4B-8041-41EB3D6BE59D}"/>
    <cellStyle name="注释 3 8 2 5" xfId="32812" xr:uid="{0C189370-E6FF-4996-8F06-D3FB55310138}"/>
    <cellStyle name="注释 3 8 2 6" xfId="32813" xr:uid="{CBF32CB4-F248-49E9-85B2-81046E9D33D5}"/>
    <cellStyle name="注释 3 8 3" xfId="32814" xr:uid="{0E33D19A-83B6-4758-A764-FCE53EFE4ED1}"/>
    <cellStyle name="注释 3 8 4" xfId="32815" xr:uid="{870252D2-692A-4B88-BE54-6334BFE0B90D}"/>
    <cellStyle name="注释 3 8 5" xfId="32816" xr:uid="{EDD55225-4E99-4C97-8C53-FEBC64FD72B6}"/>
    <cellStyle name="注释 3 8 6" xfId="32817" xr:uid="{0FA769CA-4E47-47DE-83E5-E77F5CFBEBB1}"/>
    <cellStyle name="注释 3 8 7" xfId="32818" xr:uid="{3A9B484A-6331-4799-BE3B-09A795B33270}"/>
    <cellStyle name="注释 3 9" xfId="32819" xr:uid="{8FD8683F-503C-4C08-A720-BB55B32D2C25}"/>
    <cellStyle name="注释 3 9 2" xfId="32820" xr:uid="{E3646220-DAB7-46B1-A237-5189B6BECAAC}"/>
    <cellStyle name="注释 3 9 3" xfId="32821" xr:uid="{B88038E3-D460-4519-87F6-65B7F5E06853}"/>
    <cellStyle name="注释 3 9 4" xfId="32822" xr:uid="{1CB232C1-708B-47CE-9960-178B44C783B6}"/>
    <cellStyle name="注释 3 9 5" xfId="32823" xr:uid="{99ABC500-7CE0-4D64-8E55-007E1C40B090}"/>
    <cellStyle name="注释 3 9 6" xfId="32824" xr:uid="{D939BC0F-F12C-4330-97D0-81B3A5733914}"/>
    <cellStyle name="注释 4" xfId="32825" xr:uid="{C9D4EF9E-D538-4F92-9CE0-73A64BBFFAEC}"/>
    <cellStyle name="注释 4 2" xfId="32826" xr:uid="{E9B71E57-830A-4C86-8307-A10671127C87}"/>
    <cellStyle name="注释 4 2 2" xfId="32827" xr:uid="{95C8959C-9C22-4CE6-8337-FC430F69FF2E}"/>
    <cellStyle name="注释 4 2 3" xfId="32828" xr:uid="{C9D174D1-A65E-4AA0-ABD5-21A41558E7DD}"/>
    <cellStyle name="注释 4 2 4" xfId="32829" xr:uid="{E8B4E00B-9A45-409E-BB25-C153031C5221}"/>
    <cellStyle name="注释 4 2 5" xfId="32830" xr:uid="{2A4E181D-067A-4DB3-8581-3184E6E1C50B}"/>
    <cellStyle name="注释 4 2 6" xfId="32831" xr:uid="{B652E433-F582-47B1-846F-197183F0F773}"/>
    <cellStyle name="注释 4 3" xfId="32832" xr:uid="{5CBBB7DE-B401-4C65-A833-3F81328021F9}"/>
    <cellStyle name="注释 4 4" xfId="32833" xr:uid="{6C486CA4-D664-4F43-938E-2FCA70E3AFCC}"/>
    <cellStyle name="注释 4 5" xfId="32834" xr:uid="{828DDA38-2B30-475A-9B97-E93F24B25136}"/>
    <cellStyle name="注释 4 6" xfId="32835" xr:uid="{DE577B4A-FE72-4347-8B98-77BE59654F94}"/>
    <cellStyle name="注释 4 7" xfId="32836" xr:uid="{92CE11BF-E3C5-4CD3-A27C-F6696FB88B2A}"/>
    <cellStyle name="注释 5" xfId="32837" xr:uid="{A467F276-D8CE-4653-B927-26EEF396F93A}"/>
  </cellStyles>
  <dxfs count="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microsoft.com/office/2017/06/relationships/rdRichValueTypes" Target="richData/rdRichValueTypes.xml"/><Relationship Id="rId42" Type="http://schemas.openxmlformats.org/officeDocument/2006/relationships/customXml" Target="../customXml/item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41"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 Target="richData/rdrichvalue.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Structure" Target="richData/rdrichvaluestructure.xml"/><Relationship Id="rId38"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4" Type="http://schemas.openxmlformats.org/officeDocument/2006/relationships/image" Target="../media/image19.png"/></Relationships>
</file>

<file path=xl/drawings/_rels/drawing7.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14</xdr:col>
      <xdr:colOff>123825</xdr:colOff>
      <xdr:row>79</xdr:row>
      <xdr:rowOff>47626</xdr:rowOff>
    </xdr:from>
    <xdr:to>
      <xdr:col>19</xdr:col>
      <xdr:colOff>502978</xdr:colOff>
      <xdr:row>82</xdr:row>
      <xdr:rowOff>46531</xdr:rowOff>
    </xdr:to>
    <xdr:pic>
      <xdr:nvPicPr>
        <xdr:cNvPr id="9" name="图片 1">
          <a:extLst>
            <a:ext uri="{FF2B5EF4-FFF2-40B4-BE49-F238E27FC236}">
              <a16:creationId xmlns:a16="http://schemas.microsoft.com/office/drawing/2014/main" id="{BC21C8F3-CA9D-4231-BFA4-48BBE9B88D24}"/>
            </a:ext>
          </a:extLst>
        </xdr:cNvPr>
        <xdr:cNvPicPr>
          <a:picLocks noChangeAspect="1"/>
        </xdr:cNvPicPr>
      </xdr:nvPicPr>
      <xdr:blipFill>
        <a:blip xmlns:r="http://schemas.openxmlformats.org/officeDocument/2006/relationships" r:embed="rId1"/>
        <a:stretch>
          <a:fillRect/>
        </a:stretch>
      </xdr:blipFill>
      <xdr:spPr>
        <a:xfrm>
          <a:off x="11439525" y="16144876"/>
          <a:ext cx="4274385" cy="628650"/>
        </a:xfrm>
        <a:prstGeom prst="rect">
          <a:avLst/>
        </a:prstGeom>
      </xdr:spPr>
    </xdr:pic>
    <xdr:clientData/>
  </xdr:twoCellAnchor>
  <xdr:twoCellAnchor editAs="oneCell">
    <xdr:from>
      <xdr:col>12</xdr:col>
      <xdr:colOff>276225</xdr:colOff>
      <xdr:row>97</xdr:row>
      <xdr:rowOff>171450</xdr:rowOff>
    </xdr:from>
    <xdr:to>
      <xdr:col>19</xdr:col>
      <xdr:colOff>75502</xdr:colOff>
      <xdr:row>114</xdr:row>
      <xdr:rowOff>163633</xdr:rowOff>
    </xdr:to>
    <xdr:pic>
      <xdr:nvPicPr>
        <xdr:cNvPr id="2" name="图片 1">
          <a:extLst>
            <a:ext uri="{FF2B5EF4-FFF2-40B4-BE49-F238E27FC236}">
              <a16:creationId xmlns:a16="http://schemas.microsoft.com/office/drawing/2014/main" id="{2388E0B4-B0EC-4654-8337-8C996909363B}"/>
            </a:ext>
          </a:extLst>
        </xdr:cNvPr>
        <xdr:cNvPicPr>
          <a:picLocks noChangeAspect="1"/>
        </xdr:cNvPicPr>
      </xdr:nvPicPr>
      <xdr:blipFill>
        <a:blip xmlns:r="http://schemas.openxmlformats.org/officeDocument/2006/relationships" r:embed="rId2"/>
        <a:stretch>
          <a:fillRect/>
        </a:stretch>
      </xdr:blipFill>
      <xdr:spPr>
        <a:xfrm>
          <a:off x="10144125" y="19202400"/>
          <a:ext cx="5580952" cy="2980952"/>
        </a:xfrm>
        <a:prstGeom prst="rect">
          <a:avLst/>
        </a:prstGeom>
      </xdr:spPr>
    </xdr:pic>
    <xdr:clientData/>
  </xdr:twoCellAnchor>
  <xdr:twoCellAnchor editAs="oneCell">
    <xdr:from>
      <xdr:col>12</xdr:col>
      <xdr:colOff>581025</xdr:colOff>
      <xdr:row>114</xdr:row>
      <xdr:rowOff>38100</xdr:rowOff>
    </xdr:from>
    <xdr:to>
      <xdr:col>18</xdr:col>
      <xdr:colOff>46193</xdr:colOff>
      <xdr:row>119</xdr:row>
      <xdr:rowOff>150701</xdr:rowOff>
    </xdr:to>
    <xdr:pic>
      <xdr:nvPicPr>
        <xdr:cNvPr id="3" name="图片 2">
          <a:extLst>
            <a:ext uri="{FF2B5EF4-FFF2-40B4-BE49-F238E27FC236}">
              <a16:creationId xmlns:a16="http://schemas.microsoft.com/office/drawing/2014/main" id="{69875577-A216-DA14-3D84-F765BD62C5C5}"/>
            </a:ext>
          </a:extLst>
        </xdr:cNvPr>
        <xdr:cNvPicPr>
          <a:picLocks noChangeAspect="1"/>
        </xdr:cNvPicPr>
      </xdr:nvPicPr>
      <xdr:blipFill>
        <a:blip xmlns:r="http://schemas.openxmlformats.org/officeDocument/2006/relationships" r:embed="rId3"/>
        <a:stretch>
          <a:fillRect/>
        </a:stretch>
      </xdr:blipFill>
      <xdr:spPr>
        <a:xfrm>
          <a:off x="10448925" y="23888700"/>
          <a:ext cx="4504762" cy="1028589"/>
        </a:xfrm>
        <a:prstGeom prst="rect">
          <a:avLst/>
        </a:prstGeom>
      </xdr:spPr>
    </xdr:pic>
    <xdr:clientData/>
  </xdr:twoCellAnchor>
  <xdr:twoCellAnchor editAs="oneCell">
    <xdr:from>
      <xdr:col>12</xdr:col>
      <xdr:colOff>171450</xdr:colOff>
      <xdr:row>88</xdr:row>
      <xdr:rowOff>95250</xdr:rowOff>
    </xdr:from>
    <xdr:to>
      <xdr:col>16</xdr:col>
      <xdr:colOff>541558</xdr:colOff>
      <xdr:row>91</xdr:row>
      <xdr:rowOff>152314</xdr:rowOff>
    </xdr:to>
    <xdr:pic>
      <xdr:nvPicPr>
        <xdr:cNvPr id="18" name="图片 4">
          <a:extLst>
            <a:ext uri="{FF2B5EF4-FFF2-40B4-BE49-F238E27FC236}">
              <a16:creationId xmlns:a16="http://schemas.microsoft.com/office/drawing/2014/main" id="{8B5A9B7C-0352-A4FD-908A-57F636F9635D}"/>
            </a:ext>
          </a:extLst>
        </xdr:cNvPr>
        <xdr:cNvPicPr>
          <a:picLocks noChangeAspect="1"/>
        </xdr:cNvPicPr>
      </xdr:nvPicPr>
      <xdr:blipFill>
        <a:blip xmlns:r="http://schemas.openxmlformats.org/officeDocument/2006/relationships" r:embed="rId4"/>
        <a:stretch>
          <a:fillRect/>
        </a:stretch>
      </xdr:blipFill>
      <xdr:spPr>
        <a:xfrm>
          <a:off x="10039350" y="18497550"/>
          <a:ext cx="3980952" cy="685714"/>
        </a:xfrm>
        <a:prstGeom prst="rect">
          <a:avLst/>
        </a:prstGeom>
      </xdr:spPr>
    </xdr:pic>
    <xdr:clientData/>
  </xdr:twoCellAnchor>
  <xdr:twoCellAnchor editAs="oneCell">
    <xdr:from>
      <xdr:col>15</xdr:col>
      <xdr:colOff>381077</xdr:colOff>
      <xdr:row>152</xdr:row>
      <xdr:rowOff>133350</xdr:rowOff>
    </xdr:from>
    <xdr:to>
      <xdr:col>21</xdr:col>
      <xdr:colOff>74118</xdr:colOff>
      <xdr:row>175</xdr:row>
      <xdr:rowOff>49350</xdr:rowOff>
    </xdr:to>
    <xdr:pic>
      <xdr:nvPicPr>
        <xdr:cNvPr id="32" name="图片 1">
          <a:extLst>
            <a:ext uri="{FF2B5EF4-FFF2-40B4-BE49-F238E27FC236}">
              <a16:creationId xmlns:a16="http://schemas.microsoft.com/office/drawing/2014/main" id="{2062FF81-87D3-C147-7108-61846B8A33CC}"/>
            </a:ext>
          </a:extLst>
        </xdr:cNvPr>
        <xdr:cNvPicPr>
          <a:picLocks noChangeAspect="1"/>
        </xdr:cNvPicPr>
      </xdr:nvPicPr>
      <xdr:blipFill>
        <a:blip xmlns:r="http://schemas.openxmlformats.org/officeDocument/2006/relationships" r:embed="rId5"/>
        <a:stretch>
          <a:fillRect/>
        </a:stretch>
      </xdr:blipFill>
      <xdr:spPr>
        <a:xfrm>
          <a:off x="13230302" y="27879675"/>
          <a:ext cx="4152823" cy="4049357"/>
        </a:xfrm>
        <a:prstGeom prst="rect">
          <a:avLst/>
        </a:prstGeom>
      </xdr:spPr>
    </xdr:pic>
    <xdr:clientData/>
  </xdr:twoCellAnchor>
  <xdr:twoCellAnchor editAs="oneCell">
    <xdr:from>
      <xdr:col>10</xdr:col>
      <xdr:colOff>1057274</xdr:colOff>
      <xdr:row>153</xdr:row>
      <xdr:rowOff>103266</xdr:rowOff>
    </xdr:from>
    <xdr:to>
      <xdr:col>15</xdr:col>
      <xdr:colOff>416793</xdr:colOff>
      <xdr:row>160</xdr:row>
      <xdr:rowOff>150317</xdr:rowOff>
    </xdr:to>
    <xdr:pic>
      <xdr:nvPicPr>
        <xdr:cNvPr id="37" name="图片 3">
          <a:extLst>
            <a:ext uri="{FF2B5EF4-FFF2-40B4-BE49-F238E27FC236}">
              <a16:creationId xmlns:a16="http://schemas.microsoft.com/office/drawing/2014/main" id="{E7578DD5-C29D-3CF3-82FB-366503CC7BBC}"/>
            </a:ext>
          </a:extLst>
        </xdr:cNvPr>
        <xdr:cNvPicPr>
          <a:picLocks noChangeAspect="1"/>
        </xdr:cNvPicPr>
      </xdr:nvPicPr>
      <xdr:blipFill>
        <a:blip xmlns:r="http://schemas.openxmlformats.org/officeDocument/2006/relationships" r:embed="rId6"/>
        <a:stretch>
          <a:fillRect/>
        </a:stretch>
      </xdr:blipFill>
      <xdr:spPr>
        <a:xfrm>
          <a:off x="9248774" y="28040091"/>
          <a:ext cx="3990976" cy="1325483"/>
        </a:xfrm>
        <a:prstGeom prst="rect">
          <a:avLst/>
        </a:prstGeom>
      </xdr:spPr>
    </xdr:pic>
    <xdr:clientData/>
  </xdr:twoCellAnchor>
  <xdr:twoCellAnchor editAs="oneCell">
    <xdr:from>
      <xdr:col>16</xdr:col>
      <xdr:colOff>487026</xdr:colOff>
      <xdr:row>199</xdr:row>
      <xdr:rowOff>0</xdr:rowOff>
    </xdr:from>
    <xdr:to>
      <xdr:col>22</xdr:col>
      <xdr:colOff>579931</xdr:colOff>
      <xdr:row>203</xdr:row>
      <xdr:rowOff>160073</xdr:rowOff>
    </xdr:to>
    <xdr:pic>
      <xdr:nvPicPr>
        <xdr:cNvPr id="6" name="图片 3">
          <a:extLst>
            <a:ext uri="{FF2B5EF4-FFF2-40B4-BE49-F238E27FC236}">
              <a16:creationId xmlns:a16="http://schemas.microsoft.com/office/drawing/2014/main" id="{AF8BBC60-DFCA-3EB3-11EE-14DAC5159103}"/>
            </a:ext>
          </a:extLst>
        </xdr:cNvPr>
        <xdr:cNvPicPr>
          <a:picLocks noChangeAspect="1"/>
        </xdr:cNvPicPr>
      </xdr:nvPicPr>
      <xdr:blipFill>
        <a:blip xmlns:r="http://schemas.openxmlformats.org/officeDocument/2006/relationships" r:embed="rId7"/>
        <a:stretch>
          <a:fillRect/>
        </a:stretch>
      </xdr:blipFill>
      <xdr:spPr>
        <a:xfrm>
          <a:off x="14203026" y="36290250"/>
          <a:ext cx="4512012" cy="894367"/>
        </a:xfrm>
        <a:prstGeom prst="rect">
          <a:avLst/>
        </a:prstGeom>
      </xdr:spPr>
    </xdr:pic>
    <xdr:clientData/>
  </xdr:twoCellAnchor>
  <xdr:twoCellAnchor editAs="oneCell">
    <xdr:from>
      <xdr:col>16</xdr:col>
      <xdr:colOff>388396</xdr:colOff>
      <xdr:row>204</xdr:row>
      <xdr:rowOff>161926</xdr:rowOff>
    </xdr:from>
    <xdr:to>
      <xdr:col>22</xdr:col>
      <xdr:colOff>381001</xdr:colOff>
      <xdr:row>211</xdr:row>
      <xdr:rowOff>76201</xdr:rowOff>
    </xdr:to>
    <xdr:pic>
      <xdr:nvPicPr>
        <xdr:cNvPr id="4" name="图片 4">
          <a:extLst>
            <a:ext uri="{FF2B5EF4-FFF2-40B4-BE49-F238E27FC236}">
              <a16:creationId xmlns:a16="http://schemas.microsoft.com/office/drawing/2014/main" id="{88A74A5A-E122-4CB9-A98D-58C3D0EB5269}"/>
            </a:ext>
          </a:extLst>
        </xdr:cNvPr>
        <xdr:cNvPicPr>
          <a:picLocks noChangeAspect="1"/>
        </xdr:cNvPicPr>
      </xdr:nvPicPr>
      <xdr:blipFill>
        <a:blip xmlns:r="http://schemas.openxmlformats.org/officeDocument/2006/relationships" r:embed="rId8"/>
        <a:stretch>
          <a:fillRect/>
        </a:stretch>
      </xdr:blipFill>
      <xdr:spPr>
        <a:xfrm>
          <a:off x="14056771" y="37357051"/>
          <a:ext cx="4412205" cy="1181100"/>
        </a:xfrm>
        <a:prstGeom prst="rect">
          <a:avLst/>
        </a:prstGeom>
      </xdr:spPr>
    </xdr:pic>
    <xdr:clientData/>
  </xdr:twoCellAnchor>
  <xdr:twoCellAnchor editAs="oneCell">
    <xdr:from>
      <xdr:col>11</xdr:col>
      <xdr:colOff>314324</xdr:colOff>
      <xdr:row>204</xdr:row>
      <xdr:rowOff>123468</xdr:rowOff>
    </xdr:from>
    <xdr:to>
      <xdr:col>13</xdr:col>
      <xdr:colOff>925190</xdr:colOff>
      <xdr:row>215</xdr:row>
      <xdr:rowOff>49943</xdr:rowOff>
    </xdr:to>
    <xdr:pic>
      <xdr:nvPicPr>
        <xdr:cNvPr id="11" name="图片 4">
          <a:extLst>
            <a:ext uri="{FF2B5EF4-FFF2-40B4-BE49-F238E27FC236}">
              <a16:creationId xmlns:a16="http://schemas.microsoft.com/office/drawing/2014/main" id="{516B8E16-BF9D-A797-4342-17C15894058C}"/>
            </a:ext>
          </a:extLst>
        </xdr:cNvPr>
        <xdr:cNvPicPr>
          <a:picLocks noChangeAspect="1"/>
        </xdr:cNvPicPr>
      </xdr:nvPicPr>
      <xdr:blipFill>
        <a:blip xmlns:r="http://schemas.openxmlformats.org/officeDocument/2006/relationships" r:embed="rId9"/>
        <a:stretch>
          <a:fillRect/>
        </a:stretch>
      </xdr:blipFill>
      <xdr:spPr>
        <a:xfrm>
          <a:off x="9677399" y="37318593"/>
          <a:ext cx="2162175" cy="18598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71218</xdr:colOff>
      <xdr:row>97</xdr:row>
      <xdr:rowOff>95250</xdr:rowOff>
    </xdr:from>
    <xdr:to>
      <xdr:col>22</xdr:col>
      <xdr:colOff>350062</xdr:colOff>
      <xdr:row>117</xdr:row>
      <xdr:rowOff>49786</xdr:rowOff>
    </xdr:to>
    <xdr:pic>
      <xdr:nvPicPr>
        <xdr:cNvPr id="6" name="图片 1">
          <a:extLst>
            <a:ext uri="{FF2B5EF4-FFF2-40B4-BE49-F238E27FC236}">
              <a16:creationId xmlns:a16="http://schemas.microsoft.com/office/drawing/2014/main" id="{C5685B24-AE14-449C-9668-123449C5FF4C}"/>
            </a:ext>
          </a:extLst>
        </xdr:cNvPr>
        <xdr:cNvPicPr>
          <a:picLocks noChangeAspect="1"/>
        </xdr:cNvPicPr>
      </xdr:nvPicPr>
      <xdr:blipFill>
        <a:blip xmlns:r="http://schemas.openxmlformats.org/officeDocument/2006/relationships" r:embed="rId1"/>
        <a:stretch>
          <a:fillRect/>
        </a:stretch>
      </xdr:blipFill>
      <xdr:spPr>
        <a:xfrm>
          <a:off x="15330268" y="17125950"/>
          <a:ext cx="4253130" cy="3629011"/>
        </a:xfrm>
        <a:prstGeom prst="rect">
          <a:avLst/>
        </a:prstGeom>
      </xdr:spPr>
    </xdr:pic>
    <xdr:clientData/>
  </xdr:twoCellAnchor>
  <xdr:twoCellAnchor editAs="oneCell">
    <xdr:from>
      <xdr:col>15</xdr:col>
      <xdr:colOff>485775</xdr:colOff>
      <xdr:row>116</xdr:row>
      <xdr:rowOff>454</xdr:rowOff>
    </xdr:from>
    <xdr:to>
      <xdr:col>22</xdr:col>
      <xdr:colOff>200021</xdr:colOff>
      <xdr:row>126</xdr:row>
      <xdr:rowOff>55343</xdr:rowOff>
    </xdr:to>
    <xdr:pic>
      <xdr:nvPicPr>
        <xdr:cNvPr id="2" name="图片 1">
          <a:extLst>
            <a:ext uri="{FF2B5EF4-FFF2-40B4-BE49-F238E27FC236}">
              <a16:creationId xmlns:a16="http://schemas.microsoft.com/office/drawing/2014/main" id="{8E8848E3-3589-B9B4-3B78-292C861B66A7}"/>
            </a:ext>
          </a:extLst>
        </xdr:cNvPr>
        <xdr:cNvPicPr>
          <a:picLocks noChangeAspect="1"/>
        </xdr:cNvPicPr>
      </xdr:nvPicPr>
      <xdr:blipFill>
        <a:blip xmlns:r="http://schemas.openxmlformats.org/officeDocument/2006/relationships" r:embed="rId2"/>
        <a:stretch>
          <a:fillRect/>
        </a:stretch>
      </xdr:blipFill>
      <xdr:spPr>
        <a:xfrm>
          <a:off x="15230475" y="21012604"/>
          <a:ext cx="4314821" cy="18567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161926</xdr:colOff>
      <xdr:row>19</xdr:row>
      <xdr:rowOff>47625</xdr:rowOff>
    </xdr:from>
    <xdr:to>
      <xdr:col>23</xdr:col>
      <xdr:colOff>533401</xdr:colOff>
      <xdr:row>22</xdr:row>
      <xdr:rowOff>1942</xdr:rowOff>
    </xdr:to>
    <xdr:pic>
      <xdr:nvPicPr>
        <xdr:cNvPr id="4" name="图片 1">
          <a:extLst>
            <a:ext uri="{FF2B5EF4-FFF2-40B4-BE49-F238E27FC236}">
              <a16:creationId xmlns:a16="http://schemas.microsoft.com/office/drawing/2014/main" id="{DC8B64D2-8C35-4397-9F6F-CDFD3E565E71}"/>
            </a:ext>
          </a:extLst>
        </xdr:cNvPr>
        <xdr:cNvPicPr>
          <a:picLocks noChangeAspect="1"/>
        </xdr:cNvPicPr>
      </xdr:nvPicPr>
      <xdr:blipFill>
        <a:blip xmlns:r="http://schemas.openxmlformats.org/officeDocument/2006/relationships" r:embed="rId1"/>
        <a:stretch>
          <a:fillRect/>
        </a:stretch>
      </xdr:blipFill>
      <xdr:spPr>
        <a:xfrm>
          <a:off x="12582526" y="3486150"/>
          <a:ext cx="4038600" cy="4940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523874</xdr:colOff>
      <xdr:row>36</xdr:row>
      <xdr:rowOff>76200</xdr:rowOff>
    </xdr:from>
    <xdr:to>
      <xdr:col>25</xdr:col>
      <xdr:colOff>188467</xdr:colOff>
      <xdr:row>53</xdr:row>
      <xdr:rowOff>17462</xdr:rowOff>
    </xdr:to>
    <xdr:pic>
      <xdr:nvPicPr>
        <xdr:cNvPr id="13" name="图片 1">
          <a:extLst>
            <a:ext uri="{FF2B5EF4-FFF2-40B4-BE49-F238E27FC236}">
              <a16:creationId xmlns:a16="http://schemas.microsoft.com/office/drawing/2014/main" id="{D333428F-4D65-C9DA-7CB9-EFC0A5A1484C}"/>
            </a:ext>
          </a:extLst>
        </xdr:cNvPr>
        <xdr:cNvPicPr>
          <a:picLocks noChangeAspect="1"/>
        </xdr:cNvPicPr>
      </xdr:nvPicPr>
      <xdr:blipFill>
        <a:blip xmlns:r="http://schemas.openxmlformats.org/officeDocument/2006/relationships" r:embed="rId1"/>
        <a:stretch>
          <a:fillRect/>
        </a:stretch>
      </xdr:blipFill>
      <xdr:spPr>
        <a:xfrm>
          <a:off x="15144749" y="7620000"/>
          <a:ext cx="3622231" cy="3067050"/>
        </a:xfrm>
        <a:prstGeom prst="rect">
          <a:avLst/>
        </a:prstGeom>
      </xdr:spPr>
    </xdr:pic>
    <xdr:clientData/>
  </xdr:twoCellAnchor>
  <xdr:twoCellAnchor editAs="oneCell">
    <xdr:from>
      <xdr:col>17</xdr:col>
      <xdr:colOff>276224</xdr:colOff>
      <xdr:row>84</xdr:row>
      <xdr:rowOff>57150</xdr:rowOff>
    </xdr:from>
    <xdr:to>
      <xdr:col>26</xdr:col>
      <xdr:colOff>190105</xdr:colOff>
      <xdr:row>87</xdr:row>
      <xdr:rowOff>107738</xdr:rowOff>
    </xdr:to>
    <xdr:pic>
      <xdr:nvPicPr>
        <xdr:cNvPr id="14" name="图片 1">
          <a:extLst>
            <a:ext uri="{FF2B5EF4-FFF2-40B4-BE49-F238E27FC236}">
              <a16:creationId xmlns:a16="http://schemas.microsoft.com/office/drawing/2014/main" id="{305C55A1-C9A8-1796-31F7-D582E00DD726}"/>
            </a:ext>
          </a:extLst>
        </xdr:cNvPr>
        <xdr:cNvPicPr>
          <a:picLocks noChangeAspect="1"/>
        </xdr:cNvPicPr>
      </xdr:nvPicPr>
      <xdr:blipFill>
        <a:blip xmlns:r="http://schemas.openxmlformats.org/officeDocument/2006/relationships" r:embed="rId2"/>
        <a:stretch>
          <a:fillRect/>
        </a:stretch>
      </xdr:blipFill>
      <xdr:spPr>
        <a:xfrm>
          <a:off x="13106399" y="14916150"/>
          <a:ext cx="6316269" cy="5998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276225</xdr:colOff>
      <xdr:row>3</xdr:row>
      <xdr:rowOff>1</xdr:rowOff>
    </xdr:from>
    <xdr:to>
      <xdr:col>23</xdr:col>
      <xdr:colOff>200025</xdr:colOff>
      <xdr:row>27</xdr:row>
      <xdr:rowOff>0</xdr:rowOff>
    </xdr:to>
    <xdr:grpSp>
      <xdr:nvGrpSpPr>
        <xdr:cNvPr id="12" name="组合 5">
          <a:extLst>
            <a:ext uri="{FF2B5EF4-FFF2-40B4-BE49-F238E27FC236}">
              <a16:creationId xmlns:a16="http://schemas.microsoft.com/office/drawing/2014/main" id="{7BC74501-BF22-AEBD-76BA-8622F154B2D1}"/>
            </a:ext>
          </a:extLst>
        </xdr:cNvPr>
        <xdr:cNvGrpSpPr/>
      </xdr:nvGrpSpPr>
      <xdr:grpSpPr>
        <a:xfrm>
          <a:off x="10629900" y="628651"/>
          <a:ext cx="6096000" cy="5029199"/>
          <a:chOff x="7942720" y="457201"/>
          <a:chExt cx="7021055" cy="5875635"/>
        </a:xfrm>
      </xdr:grpSpPr>
      <xdr:grpSp>
        <xdr:nvGrpSpPr>
          <xdr:cNvPr id="13" name="组合 4">
            <a:extLst>
              <a:ext uri="{FF2B5EF4-FFF2-40B4-BE49-F238E27FC236}">
                <a16:creationId xmlns:a16="http://schemas.microsoft.com/office/drawing/2014/main" id="{95511650-3191-608E-ACE0-07C9306E104C}"/>
              </a:ext>
            </a:extLst>
          </xdr:cNvPr>
          <xdr:cNvGrpSpPr/>
        </xdr:nvGrpSpPr>
        <xdr:grpSpPr>
          <a:xfrm>
            <a:off x="7942720" y="457201"/>
            <a:ext cx="3895679" cy="5875635"/>
            <a:chOff x="7942720" y="457201"/>
            <a:chExt cx="3895679" cy="5875635"/>
          </a:xfrm>
        </xdr:grpSpPr>
        <xdr:pic>
          <xdr:nvPicPr>
            <xdr:cNvPr id="14" name="图片 1">
              <a:extLst>
                <a:ext uri="{FF2B5EF4-FFF2-40B4-BE49-F238E27FC236}">
                  <a16:creationId xmlns:a16="http://schemas.microsoft.com/office/drawing/2014/main" id="{B03642F4-2292-7FFE-5831-ABDE74791FAC}"/>
                </a:ext>
              </a:extLst>
            </xdr:cNvPr>
            <xdr:cNvPicPr>
              <a:picLocks noChangeAspect="1"/>
            </xdr:cNvPicPr>
          </xdr:nvPicPr>
          <xdr:blipFill>
            <a:blip xmlns:r="http://schemas.openxmlformats.org/officeDocument/2006/relationships" r:embed="rId1"/>
            <a:stretch>
              <a:fillRect/>
            </a:stretch>
          </xdr:blipFill>
          <xdr:spPr>
            <a:xfrm>
              <a:off x="8172394" y="457201"/>
              <a:ext cx="3324281" cy="1447800"/>
            </a:xfrm>
            <a:prstGeom prst="rect">
              <a:avLst/>
            </a:prstGeom>
          </xdr:spPr>
        </xdr:pic>
        <xdr:pic>
          <xdr:nvPicPr>
            <xdr:cNvPr id="15" name="图片 2">
              <a:extLst>
                <a:ext uri="{FF2B5EF4-FFF2-40B4-BE49-F238E27FC236}">
                  <a16:creationId xmlns:a16="http://schemas.microsoft.com/office/drawing/2014/main" id="{6E2EB8D6-FCFF-2FD9-3DA8-EDF79CF0FE69}"/>
                </a:ext>
              </a:extLst>
            </xdr:cNvPr>
            <xdr:cNvPicPr>
              <a:picLocks noChangeAspect="1"/>
            </xdr:cNvPicPr>
          </xdr:nvPicPr>
          <xdr:blipFill>
            <a:blip xmlns:r="http://schemas.openxmlformats.org/officeDocument/2006/relationships" r:embed="rId2"/>
            <a:stretch>
              <a:fillRect/>
            </a:stretch>
          </xdr:blipFill>
          <xdr:spPr>
            <a:xfrm>
              <a:off x="7942720" y="1933574"/>
              <a:ext cx="3895679" cy="4399262"/>
            </a:xfrm>
            <a:prstGeom prst="rect">
              <a:avLst/>
            </a:prstGeom>
          </xdr:spPr>
        </xdr:pic>
      </xdr:grpSp>
      <xdr:pic>
        <xdr:nvPicPr>
          <xdr:cNvPr id="16" name="图片 3">
            <a:extLst>
              <a:ext uri="{FF2B5EF4-FFF2-40B4-BE49-F238E27FC236}">
                <a16:creationId xmlns:a16="http://schemas.microsoft.com/office/drawing/2014/main" id="{9AC05C49-1087-5C42-A66B-24044F957FA9}"/>
              </a:ext>
            </a:extLst>
          </xdr:cNvPr>
          <xdr:cNvPicPr>
            <a:picLocks noChangeAspect="1"/>
          </xdr:cNvPicPr>
        </xdr:nvPicPr>
        <xdr:blipFill>
          <a:blip xmlns:r="http://schemas.openxmlformats.org/officeDocument/2006/relationships" r:embed="rId3"/>
          <a:stretch>
            <a:fillRect/>
          </a:stretch>
        </xdr:blipFill>
        <xdr:spPr>
          <a:xfrm>
            <a:off x="11523763" y="476250"/>
            <a:ext cx="3440012" cy="410692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684181</xdr:colOff>
      <xdr:row>26</xdr:row>
      <xdr:rowOff>173076</xdr:rowOff>
    </xdr:from>
    <xdr:to>
      <xdr:col>24</xdr:col>
      <xdr:colOff>238422</xdr:colOff>
      <xdr:row>48</xdr:row>
      <xdr:rowOff>114300</xdr:rowOff>
    </xdr:to>
    <xdr:pic>
      <xdr:nvPicPr>
        <xdr:cNvPr id="2" name="图片 1">
          <a:extLst>
            <a:ext uri="{FF2B5EF4-FFF2-40B4-BE49-F238E27FC236}">
              <a16:creationId xmlns:a16="http://schemas.microsoft.com/office/drawing/2014/main" id="{72F129A3-5568-DABC-67DF-E8F11D1AF069}"/>
            </a:ext>
          </a:extLst>
        </xdr:cNvPr>
        <xdr:cNvPicPr>
          <a:picLocks noChangeAspect="1"/>
        </xdr:cNvPicPr>
      </xdr:nvPicPr>
      <xdr:blipFill>
        <a:blip xmlns:r="http://schemas.openxmlformats.org/officeDocument/2006/relationships" r:embed="rId1"/>
        <a:stretch>
          <a:fillRect/>
        </a:stretch>
      </xdr:blipFill>
      <xdr:spPr>
        <a:xfrm>
          <a:off x="13807514" y="5676409"/>
          <a:ext cx="6120141" cy="3922674"/>
        </a:xfrm>
        <a:prstGeom prst="rect">
          <a:avLst/>
        </a:prstGeom>
      </xdr:spPr>
    </xdr:pic>
    <xdr:clientData/>
  </xdr:twoCellAnchor>
  <xdr:twoCellAnchor editAs="oneCell">
    <xdr:from>
      <xdr:col>15</xdr:col>
      <xdr:colOff>541867</xdr:colOff>
      <xdr:row>8</xdr:row>
      <xdr:rowOff>104224</xdr:rowOff>
    </xdr:from>
    <xdr:to>
      <xdr:col>23</xdr:col>
      <xdr:colOff>478096</xdr:colOff>
      <xdr:row>23</xdr:row>
      <xdr:rowOff>122172</xdr:rowOff>
    </xdr:to>
    <xdr:pic>
      <xdr:nvPicPr>
        <xdr:cNvPr id="10" name="图片 2">
          <a:extLst>
            <a:ext uri="{FF2B5EF4-FFF2-40B4-BE49-F238E27FC236}">
              <a16:creationId xmlns:a16="http://schemas.microsoft.com/office/drawing/2014/main" id="{D88CD4DA-C90D-B99E-6F92-45508B96CC3B}"/>
            </a:ext>
          </a:extLst>
        </xdr:cNvPr>
        <xdr:cNvPicPr>
          <a:picLocks noChangeAspect="1"/>
        </xdr:cNvPicPr>
      </xdr:nvPicPr>
      <xdr:blipFill>
        <a:blip xmlns:r="http://schemas.openxmlformats.org/officeDocument/2006/relationships" r:embed="rId2"/>
        <a:stretch>
          <a:fillRect/>
        </a:stretch>
      </xdr:blipFill>
      <xdr:spPr>
        <a:xfrm>
          <a:off x="13527617" y="1543557"/>
          <a:ext cx="5754417" cy="2775532"/>
        </a:xfrm>
        <a:prstGeom prst="rect">
          <a:avLst/>
        </a:prstGeom>
      </xdr:spPr>
    </xdr:pic>
    <xdr:clientData/>
  </xdr:twoCellAnchor>
  <xdr:twoCellAnchor editAs="oneCell">
    <xdr:from>
      <xdr:col>16</xdr:col>
      <xdr:colOff>125412</xdr:colOff>
      <xdr:row>48</xdr:row>
      <xdr:rowOff>21167</xdr:rowOff>
    </xdr:from>
    <xdr:to>
      <xdr:col>23</xdr:col>
      <xdr:colOff>369455</xdr:colOff>
      <xdr:row>64</xdr:row>
      <xdr:rowOff>84975</xdr:rowOff>
    </xdr:to>
    <xdr:pic>
      <xdr:nvPicPr>
        <xdr:cNvPr id="4" name="图片 1">
          <a:extLst>
            <a:ext uri="{FF2B5EF4-FFF2-40B4-BE49-F238E27FC236}">
              <a16:creationId xmlns:a16="http://schemas.microsoft.com/office/drawing/2014/main" id="{1C33B09E-B650-017D-892D-1A66DD287835}"/>
            </a:ext>
          </a:extLst>
        </xdr:cNvPr>
        <xdr:cNvPicPr>
          <a:picLocks noChangeAspect="1"/>
        </xdr:cNvPicPr>
      </xdr:nvPicPr>
      <xdr:blipFill>
        <a:blip xmlns:r="http://schemas.openxmlformats.org/officeDocument/2006/relationships" r:embed="rId3"/>
        <a:stretch>
          <a:fillRect/>
        </a:stretch>
      </xdr:blipFill>
      <xdr:spPr>
        <a:xfrm>
          <a:off x="13386329" y="8657167"/>
          <a:ext cx="5528302" cy="3411846"/>
        </a:xfrm>
        <a:prstGeom prst="rect">
          <a:avLst/>
        </a:prstGeom>
      </xdr:spPr>
    </xdr:pic>
    <xdr:clientData/>
  </xdr:twoCellAnchor>
  <xdr:twoCellAnchor editAs="oneCell">
    <xdr:from>
      <xdr:col>17</xdr:col>
      <xdr:colOff>21166</xdr:colOff>
      <xdr:row>56</xdr:row>
      <xdr:rowOff>179686</xdr:rowOff>
    </xdr:from>
    <xdr:to>
      <xdr:col>23</xdr:col>
      <xdr:colOff>107923</xdr:colOff>
      <xdr:row>74</xdr:row>
      <xdr:rowOff>9298</xdr:rowOff>
    </xdr:to>
    <xdr:pic>
      <xdr:nvPicPr>
        <xdr:cNvPr id="7" name="图片 2">
          <a:extLst>
            <a:ext uri="{FF2B5EF4-FFF2-40B4-BE49-F238E27FC236}">
              <a16:creationId xmlns:a16="http://schemas.microsoft.com/office/drawing/2014/main" id="{C2CF7BD1-D4AD-9BF0-62B0-0145F6A4C583}"/>
            </a:ext>
          </a:extLst>
        </xdr:cNvPr>
        <xdr:cNvPicPr>
          <a:picLocks noChangeAspect="1"/>
        </xdr:cNvPicPr>
      </xdr:nvPicPr>
      <xdr:blipFill>
        <a:blip xmlns:r="http://schemas.openxmlformats.org/officeDocument/2006/relationships" r:embed="rId4"/>
        <a:stretch>
          <a:fillRect/>
        </a:stretch>
      </xdr:blipFill>
      <xdr:spPr>
        <a:xfrm>
          <a:off x="14552083" y="10255019"/>
          <a:ext cx="4442857" cy="309033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247651</xdr:colOff>
      <xdr:row>158</xdr:row>
      <xdr:rowOff>66675</xdr:rowOff>
    </xdr:from>
    <xdr:to>
      <xdr:col>18</xdr:col>
      <xdr:colOff>677956</xdr:colOff>
      <xdr:row>173</xdr:row>
      <xdr:rowOff>69038</xdr:rowOff>
    </xdr:to>
    <xdr:pic>
      <xdr:nvPicPr>
        <xdr:cNvPr id="5" name="图片 2">
          <a:extLst>
            <a:ext uri="{FF2B5EF4-FFF2-40B4-BE49-F238E27FC236}">
              <a16:creationId xmlns:a16="http://schemas.microsoft.com/office/drawing/2014/main" id="{7563858F-6713-57EB-5C81-43A3ABFD8F1F}"/>
            </a:ext>
          </a:extLst>
        </xdr:cNvPr>
        <xdr:cNvPicPr>
          <a:picLocks noChangeAspect="1"/>
        </xdr:cNvPicPr>
      </xdr:nvPicPr>
      <xdr:blipFill>
        <a:blip xmlns:r="http://schemas.openxmlformats.org/officeDocument/2006/relationships" r:embed="rId1"/>
        <a:stretch>
          <a:fillRect/>
        </a:stretch>
      </xdr:blipFill>
      <xdr:spPr>
        <a:xfrm>
          <a:off x="11715751" y="16621125"/>
          <a:ext cx="4572000" cy="2752726"/>
        </a:xfrm>
        <a:prstGeom prst="rect">
          <a:avLst/>
        </a:prstGeom>
      </xdr:spPr>
    </xdr:pic>
    <xdr:clientData/>
  </xdr:twoCellAnchor>
  <xdr:twoCellAnchor editAs="oneCell">
    <xdr:from>
      <xdr:col>12</xdr:col>
      <xdr:colOff>619125</xdr:colOff>
      <xdr:row>174</xdr:row>
      <xdr:rowOff>114304</xdr:rowOff>
    </xdr:from>
    <xdr:to>
      <xdr:col>23</xdr:col>
      <xdr:colOff>525369</xdr:colOff>
      <xdr:row>185</xdr:row>
      <xdr:rowOff>161925</xdr:rowOff>
    </xdr:to>
    <xdr:pic>
      <xdr:nvPicPr>
        <xdr:cNvPr id="2" name="图片 1">
          <a:extLst>
            <a:ext uri="{FF2B5EF4-FFF2-40B4-BE49-F238E27FC236}">
              <a16:creationId xmlns:a16="http://schemas.microsoft.com/office/drawing/2014/main" id="{AAEB540F-7CE5-42C8-5179-84AE96316043}"/>
            </a:ext>
          </a:extLst>
        </xdr:cNvPr>
        <xdr:cNvPicPr>
          <a:picLocks noChangeAspect="1"/>
        </xdr:cNvPicPr>
      </xdr:nvPicPr>
      <xdr:blipFill>
        <a:blip xmlns:r="http://schemas.openxmlformats.org/officeDocument/2006/relationships" r:embed="rId2"/>
        <a:stretch>
          <a:fillRect/>
        </a:stretch>
      </xdr:blipFill>
      <xdr:spPr>
        <a:xfrm>
          <a:off x="11401425" y="22955254"/>
          <a:ext cx="8088219" cy="2035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BBB3-A0FB-45CA-92BF-351D802BFD0E}">
  <dimension ref="A1:N22"/>
  <sheetViews>
    <sheetView zoomScale="85" zoomScaleNormal="85" workbookViewId="0">
      <pane xSplit="1" topLeftCell="B1" activePane="topRight" state="frozen"/>
      <selection pane="topRight" activeCell="D23" sqref="D23:D24"/>
    </sheetView>
  </sheetViews>
  <sheetFormatPr defaultColWidth="8.625" defaultRowHeight="16.5"/>
  <cols>
    <col min="1" max="1" width="26.875" style="326" bestFit="1" customWidth="1"/>
    <col min="2" max="2" width="19.875" style="326" bestFit="1" customWidth="1"/>
    <col min="3" max="3" width="21.875" style="326" bestFit="1" customWidth="1"/>
    <col min="4" max="4" width="40.125" style="326" bestFit="1" customWidth="1"/>
    <col min="5" max="5" width="45.125" style="326" bestFit="1" customWidth="1"/>
    <col min="6" max="6" width="29.125" style="542" bestFit="1" customWidth="1"/>
    <col min="7" max="7" width="30.25" style="326" bestFit="1" customWidth="1"/>
    <col min="8" max="8" width="22.875" style="326" bestFit="1" customWidth="1"/>
    <col min="9" max="9" width="21.875" style="326" bestFit="1" customWidth="1"/>
    <col min="10" max="10" width="25.125" style="326" bestFit="1" customWidth="1"/>
    <col min="11" max="11" width="41.125" style="326" bestFit="1" customWidth="1"/>
    <col min="12" max="12" width="29.125" style="326" bestFit="1" customWidth="1"/>
    <col min="13" max="14" width="21.875" style="326" bestFit="1" customWidth="1"/>
    <col min="15" max="16384" width="8.625" style="326"/>
  </cols>
  <sheetData>
    <row r="1" spans="1:14">
      <c r="A1" s="557"/>
      <c r="B1" s="557" t="s">
        <v>1924</v>
      </c>
      <c r="C1" s="557" t="s">
        <v>1925</v>
      </c>
      <c r="D1" s="557" t="s">
        <v>1923</v>
      </c>
      <c r="E1" s="557" t="s">
        <v>1926</v>
      </c>
      <c r="F1" s="557" t="s">
        <v>2413</v>
      </c>
      <c r="G1" s="557" t="s">
        <v>2311</v>
      </c>
      <c r="H1" s="557" t="s">
        <v>1927</v>
      </c>
      <c r="I1" s="557" t="s">
        <v>1928</v>
      </c>
      <c r="J1" s="557" t="s">
        <v>2558</v>
      </c>
      <c r="K1" s="557" t="s">
        <v>1929</v>
      </c>
      <c r="L1" s="557" t="s">
        <v>2218</v>
      </c>
      <c r="M1" s="557" t="s">
        <v>2559</v>
      </c>
      <c r="N1" s="557" t="s">
        <v>2217</v>
      </c>
    </row>
    <row r="2" spans="1:14">
      <c r="A2" s="557" t="s">
        <v>2414</v>
      </c>
      <c r="B2" s="557"/>
      <c r="C2" s="557"/>
      <c r="D2" s="558" t="s">
        <v>2528</v>
      </c>
      <c r="E2" s="557"/>
      <c r="F2" s="558" t="s">
        <v>2312</v>
      </c>
      <c r="G2" s="558" t="s">
        <v>2560</v>
      </c>
      <c r="H2" s="558" t="s">
        <v>2561</v>
      </c>
      <c r="I2" s="557"/>
      <c r="J2" s="557"/>
      <c r="K2" s="557"/>
      <c r="L2" s="557"/>
      <c r="M2" s="558" t="s">
        <v>2562</v>
      </c>
      <c r="N2" s="559" t="s">
        <v>2529</v>
      </c>
    </row>
    <row r="3" spans="1:14">
      <c r="A3" s="557" t="s">
        <v>1930</v>
      </c>
      <c r="B3" s="557"/>
      <c r="C3" s="557"/>
      <c r="D3" s="557"/>
      <c r="E3" s="557"/>
      <c r="F3" s="557"/>
      <c r="G3" s="558" t="s">
        <v>2530</v>
      </c>
      <c r="H3" s="559" t="s">
        <v>1931</v>
      </c>
      <c r="I3" s="557"/>
      <c r="J3" s="557"/>
      <c r="K3" s="557"/>
      <c r="L3" s="557"/>
      <c r="M3" s="557"/>
      <c r="N3" s="557"/>
    </row>
    <row r="4" spans="1:14">
      <c r="A4" s="557" t="s">
        <v>2313</v>
      </c>
      <c r="B4" s="557"/>
      <c r="C4" s="559" t="s">
        <v>2314</v>
      </c>
      <c r="D4" s="557"/>
      <c r="E4" s="557"/>
      <c r="F4" s="557"/>
      <c r="G4" s="558" t="s">
        <v>2381</v>
      </c>
      <c r="H4" s="557"/>
      <c r="I4" s="557"/>
      <c r="J4" s="558" t="s">
        <v>2312</v>
      </c>
      <c r="K4" s="558" t="s">
        <v>2531</v>
      </c>
      <c r="L4" s="558" t="s">
        <v>2219</v>
      </c>
      <c r="M4" s="557"/>
      <c r="N4" s="557"/>
    </row>
    <row r="5" spans="1:14">
      <c r="A5" s="557" t="s">
        <v>2315</v>
      </c>
      <c r="B5" s="557"/>
      <c r="C5" s="557"/>
      <c r="D5" s="557"/>
      <c r="E5" s="558" t="s">
        <v>2480</v>
      </c>
      <c r="F5" s="557"/>
      <c r="G5" s="557"/>
      <c r="H5" s="557"/>
      <c r="I5" s="557"/>
      <c r="J5" s="557"/>
      <c r="K5" s="557"/>
      <c r="L5" s="557"/>
      <c r="M5" s="557"/>
      <c r="N5" s="557"/>
    </row>
    <row r="6" spans="1:14">
      <c r="A6" s="557" t="s">
        <v>2316</v>
      </c>
      <c r="B6" s="557"/>
      <c r="C6" s="557"/>
      <c r="D6" s="557"/>
      <c r="E6" s="557"/>
      <c r="F6" s="557"/>
      <c r="G6" s="557"/>
      <c r="H6" s="557"/>
      <c r="I6" s="559" t="s">
        <v>2317</v>
      </c>
      <c r="J6" s="557"/>
      <c r="K6" s="557"/>
      <c r="L6" s="557"/>
      <c r="M6" s="557"/>
      <c r="N6" s="557"/>
    </row>
    <row r="7" spans="1:14">
      <c r="A7" s="557" t="s">
        <v>2318</v>
      </c>
      <c r="B7" s="557"/>
      <c r="C7" s="557"/>
      <c r="D7" s="557"/>
      <c r="E7" s="557"/>
      <c r="F7" s="557"/>
      <c r="G7" s="557"/>
      <c r="H7" s="559" t="s">
        <v>2319</v>
      </c>
      <c r="I7" s="557"/>
      <c r="J7" s="557"/>
      <c r="K7" s="557"/>
      <c r="L7" s="557"/>
      <c r="M7" s="557"/>
      <c r="N7" s="557"/>
    </row>
    <row r="8" spans="1:14">
      <c r="A8" s="557" t="s">
        <v>1932</v>
      </c>
      <c r="B8" s="557"/>
      <c r="C8" s="559" t="s">
        <v>2320</v>
      </c>
      <c r="D8" s="559" t="s">
        <v>2321</v>
      </c>
      <c r="E8" s="557"/>
      <c r="F8" s="557"/>
      <c r="G8" s="557"/>
      <c r="H8" s="557"/>
      <c r="I8" s="559" t="s">
        <v>1933</v>
      </c>
      <c r="J8" s="557"/>
      <c r="K8" s="557"/>
      <c r="L8" s="557"/>
      <c r="M8" s="557"/>
      <c r="N8" s="557"/>
    </row>
    <row r="9" spans="1:14">
      <c r="A9" s="557" t="s">
        <v>2322</v>
      </c>
      <c r="B9" s="557"/>
      <c r="C9" s="557"/>
      <c r="D9" s="557"/>
      <c r="E9" s="557"/>
      <c r="F9" s="557"/>
      <c r="G9" s="557"/>
      <c r="H9" s="559" t="s">
        <v>2323</v>
      </c>
      <c r="I9" s="557"/>
      <c r="J9" s="557"/>
      <c r="K9" s="557"/>
      <c r="L9" s="557"/>
      <c r="M9" s="557"/>
      <c r="N9" s="557"/>
    </row>
    <row r="10" spans="1:14">
      <c r="A10" s="557" t="s">
        <v>2324</v>
      </c>
      <c r="B10" s="557"/>
      <c r="C10" s="557"/>
      <c r="D10" s="557"/>
      <c r="E10" s="557"/>
      <c r="F10" s="557"/>
      <c r="G10" s="557"/>
      <c r="H10" s="559" t="s">
        <v>2325</v>
      </c>
      <c r="I10" s="557"/>
      <c r="J10" s="557"/>
      <c r="K10" s="557"/>
      <c r="L10" s="557"/>
      <c r="M10" s="557"/>
      <c r="N10" s="557"/>
    </row>
    <row r="11" spans="1:14">
      <c r="A11" s="557" t="s">
        <v>2326</v>
      </c>
      <c r="B11" s="557"/>
      <c r="C11" s="557"/>
      <c r="D11" s="557"/>
      <c r="E11" s="557"/>
      <c r="F11" s="557"/>
      <c r="G11" s="557"/>
      <c r="H11" s="557"/>
      <c r="I11" s="557"/>
      <c r="J11" s="557"/>
      <c r="K11" s="559" t="s">
        <v>2327</v>
      </c>
      <c r="L11" s="557"/>
      <c r="M11" s="557"/>
      <c r="N11" s="557"/>
    </row>
    <row r="12" spans="1:14">
      <c r="A12" s="557" t="s">
        <v>2220</v>
      </c>
      <c r="B12" s="559" t="s">
        <v>2415</v>
      </c>
      <c r="C12" s="557"/>
      <c r="D12" s="557"/>
      <c r="E12" s="559" t="s">
        <v>2328</v>
      </c>
      <c r="F12" s="557"/>
      <c r="G12" s="557"/>
      <c r="H12" s="557"/>
      <c r="I12" s="557"/>
      <c r="J12" s="557"/>
      <c r="K12" s="557"/>
      <c r="L12" s="557"/>
      <c r="M12" s="557"/>
      <c r="N12" s="557"/>
    </row>
    <row r="13" spans="1:14">
      <c r="A13" s="557" t="s">
        <v>2329</v>
      </c>
      <c r="B13" s="557"/>
      <c r="C13" s="557"/>
      <c r="D13" s="557"/>
      <c r="E13" s="557"/>
      <c r="F13" s="557"/>
      <c r="G13" s="557"/>
      <c r="H13" s="559" t="s">
        <v>2330</v>
      </c>
      <c r="I13" s="557"/>
      <c r="J13" s="557"/>
      <c r="K13" s="557"/>
      <c r="L13" s="557"/>
      <c r="M13" s="557"/>
      <c r="N13" s="557"/>
    </row>
    <row r="14" spans="1:14">
      <c r="A14" s="557" t="s">
        <v>2331</v>
      </c>
      <c r="B14" s="557"/>
      <c r="C14" s="557"/>
      <c r="D14" s="557"/>
      <c r="E14" s="557"/>
      <c r="F14" s="557"/>
      <c r="G14" s="557"/>
      <c r="H14" s="557"/>
      <c r="I14" s="559" t="s">
        <v>2481</v>
      </c>
      <c r="J14" s="557"/>
      <c r="K14" s="559" t="s">
        <v>2332</v>
      </c>
      <c r="L14" s="557"/>
      <c r="M14" s="557"/>
      <c r="N14" s="557"/>
    </row>
    <row r="15" spans="1:14">
      <c r="A15" s="557" t="s">
        <v>2333</v>
      </c>
      <c r="B15" s="559" t="s">
        <v>2351</v>
      </c>
      <c r="C15" s="557"/>
      <c r="D15" s="557"/>
      <c r="E15" s="559" t="s">
        <v>2334</v>
      </c>
      <c r="F15" s="557"/>
      <c r="G15" s="557"/>
      <c r="H15" s="557"/>
      <c r="I15" s="557"/>
      <c r="J15" s="557"/>
      <c r="K15" s="557"/>
      <c r="L15" s="557"/>
      <c r="M15" s="557"/>
      <c r="N15" s="557"/>
    </row>
    <row r="16" spans="1:14">
      <c r="A16" s="557" t="s">
        <v>2532</v>
      </c>
      <c r="B16" s="557"/>
      <c r="C16" s="557"/>
      <c r="D16" s="557"/>
      <c r="E16" s="557"/>
      <c r="F16" s="557"/>
      <c r="G16" s="557"/>
      <c r="H16" s="557"/>
      <c r="I16" s="557"/>
      <c r="J16" s="557"/>
      <c r="K16" s="559" t="s">
        <v>2533</v>
      </c>
      <c r="L16" s="557"/>
      <c r="M16" s="557"/>
      <c r="N16" s="557"/>
    </row>
    <row r="17" spans="1:14">
      <c r="A17" s="557" t="s">
        <v>2335</v>
      </c>
      <c r="B17" s="557"/>
      <c r="C17" s="557"/>
      <c r="D17" s="557"/>
      <c r="E17" s="557"/>
      <c r="F17" s="557"/>
      <c r="G17" s="557"/>
      <c r="H17" s="559" t="s">
        <v>2416</v>
      </c>
      <c r="I17" s="557"/>
      <c r="J17" s="557"/>
      <c r="K17" s="557"/>
      <c r="L17" s="557"/>
      <c r="M17" s="557"/>
      <c r="N17" s="557"/>
    </row>
    <row r="18" spans="1:14">
      <c r="A18" s="557" t="s">
        <v>2382</v>
      </c>
      <c r="B18" s="557"/>
      <c r="C18" s="557"/>
      <c r="D18" s="557"/>
      <c r="E18" s="559" t="s">
        <v>2383</v>
      </c>
      <c r="F18" s="557"/>
      <c r="G18" s="557"/>
      <c r="H18" s="557"/>
      <c r="I18" s="557"/>
      <c r="J18" s="557"/>
      <c r="K18" s="557"/>
      <c r="L18" s="558" t="s">
        <v>2219</v>
      </c>
      <c r="M18" s="557"/>
      <c r="N18" s="558" t="s">
        <v>2219</v>
      </c>
    </row>
    <row r="19" spans="1:14">
      <c r="A19" s="557" t="s">
        <v>2336</v>
      </c>
      <c r="B19" s="557"/>
      <c r="C19" s="557"/>
      <c r="D19" s="559" t="s">
        <v>2464</v>
      </c>
      <c r="E19" s="557"/>
      <c r="F19" s="557"/>
      <c r="G19" s="557"/>
      <c r="H19" s="557"/>
      <c r="I19" s="559" t="s">
        <v>2534</v>
      </c>
      <c r="J19" s="557"/>
      <c r="K19" s="557"/>
      <c r="L19" s="557"/>
      <c r="M19" s="557"/>
      <c r="N19" s="557"/>
    </row>
    <row r="20" spans="1:14">
      <c r="A20" s="557" t="s">
        <v>2563</v>
      </c>
      <c r="B20" s="557"/>
      <c r="C20" s="557"/>
      <c r="D20" s="557"/>
      <c r="E20" s="557"/>
      <c r="F20" s="557"/>
      <c r="G20" s="557"/>
      <c r="H20" s="559" t="s">
        <v>2564</v>
      </c>
      <c r="I20" s="557"/>
      <c r="J20" s="557"/>
      <c r="K20" s="557"/>
      <c r="L20" s="557"/>
      <c r="M20" s="557"/>
      <c r="N20" s="557"/>
    </row>
    <row r="22" spans="1:14">
      <c r="A22" s="560" t="s">
        <v>1934</v>
      </c>
      <c r="B22" s="557"/>
      <c r="C22" s="557"/>
      <c r="D22" s="557"/>
      <c r="E22" s="557"/>
      <c r="F22" s="557"/>
      <c r="G22" s="557"/>
      <c r="H22" s="557"/>
      <c r="I22" s="557"/>
      <c r="J22" s="557"/>
      <c r="K22" s="557"/>
      <c r="L22" s="557"/>
      <c r="M22" s="557"/>
      <c r="N22" s="557"/>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16B3-249E-4BB7-8F30-04E10A71ED1B}">
  <sheetPr codeName="Sheet1">
    <tabColor rgb="FFC00000"/>
  </sheetPr>
  <dimension ref="A1:U168"/>
  <sheetViews>
    <sheetView workbookViewId="0">
      <pane ySplit="1" topLeftCell="A134" activePane="bottomLeft" state="frozen"/>
      <selection pane="bottomLeft" activeCell="H154" sqref="H154"/>
    </sheetView>
  </sheetViews>
  <sheetFormatPr defaultRowHeight="16.5"/>
  <cols>
    <col min="1" max="1" width="10" style="1" bestFit="1" customWidth="1"/>
    <col min="2" max="4" width="12.875" style="109" bestFit="1" customWidth="1"/>
    <col min="5" max="5" width="10.125" style="109" customWidth="1"/>
    <col min="6" max="6" width="12.625" style="109" customWidth="1"/>
    <col min="7" max="7" width="14.375" style="109" bestFit="1" customWidth="1"/>
    <col min="8" max="9" width="8.375" style="109" bestFit="1" customWidth="1"/>
    <col min="10" max="10" width="8.375" style="109" customWidth="1"/>
    <col min="11" max="11" width="9.375" style="109" bestFit="1" customWidth="1"/>
    <col min="12" max="13" width="8.5" style="109" bestFit="1" customWidth="1"/>
    <col min="14" max="14" width="12.875" style="109" bestFit="1" customWidth="1"/>
  </cols>
  <sheetData>
    <row r="1" spans="1:20">
      <c r="A1" s="1" t="s">
        <v>0</v>
      </c>
      <c r="B1" s="109" t="s">
        <v>6</v>
      </c>
      <c r="C1" s="109" t="s">
        <v>5</v>
      </c>
      <c r="D1" s="109" t="s">
        <v>7</v>
      </c>
      <c r="E1" s="109" t="s">
        <v>19</v>
      </c>
      <c r="F1" s="109" t="s">
        <v>341</v>
      </c>
      <c r="G1" s="109" t="s">
        <v>342</v>
      </c>
      <c r="H1" s="109" t="s">
        <v>300</v>
      </c>
      <c r="I1" s="109" t="s">
        <v>301</v>
      </c>
      <c r="J1" s="109" t="s">
        <v>572</v>
      </c>
      <c r="K1" s="109" t="s">
        <v>302</v>
      </c>
      <c r="L1" s="109" t="s">
        <v>303</v>
      </c>
      <c r="M1" s="109" t="s">
        <v>304</v>
      </c>
      <c r="N1" s="109" t="s">
        <v>343</v>
      </c>
      <c r="O1" s="109" t="s">
        <v>963</v>
      </c>
      <c r="P1" s="109" t="s">
        <v>964</v>
      </c>
      <c r="Q1" s="109" t="s">
        <v>965</v>
      </c>
      <c r="R1" s="109" t="s">
        <v>1843</v>
      </c>
      <c r="S1" s="109" t="s">
        <v>1388</v>
      </c>
      <c r="T1" s="109" t="s">
        <v>2537</v>
      </c>
    </row>
    <row r="2" spans="1:20" hidden="1">
      <c r="A2" s="1">
        <v>46023</v>
      </c>
      <c r="B2" s="109" cm="1">
        <f t="array" aca="1" ref="B2" ca="1">INDEX(_xlfn._xlws.FILTER(INDIRECT(B1&amp;"!$E1:$E10000"),INDIRECT(B1&amp;"!$a1:$a10000")=汇总!$A2),COUNTIF(INDIRECT(B1&amp;"!$a1:$a10000"),汇总!$A2))</f>
        <v>619</v>
      </c>
      <c r="C2" s="109" cm="1">
        <f t="array" aca="1" ref="C2" ca="1">INDEX(_xlfn._xlws.FILTER(INDIRECT(C1&amp;"!$E1:$E10000"),INDIRECT(C1&amp;"!$a1:$a10000")=汇总!$A2),COUNTIF(INDIRECT(C1&amp;"!$a1:$a10000"),汇总!$A2))</f>
        <v>4182</v>
      </c>
      <c r="D2" s="109" cm="1">
        <f t="array" aca="1" ref="D2" ca="1">INDEX(_xlfn._xlws.FILTER(INDIRECT(D1&amp;"!$E1:$E10000"),INDIRECT(D1&amp;"!$a1:$a10000")=汇总!$A2),COUNTIF(INDIRECT(D1&amp;"!$a1:$a10000"),汇总!$A2))</f>
        <v>97</v>
      </c>
      <c r="E2" s="109" t="e" cm="1" vm="1">
        <f t="array" aca="1" ref="E2" ca="1">INDEX(_xlfn._xlws.FILTER(INDIRECT(E1&amp;"!$E1:$E10000"),INDIRECT(E1&amp;"!$a1:$a10000")=汇总!$A2),COUNTIF(INDIRECT(E1&amp;"!$a1:$a10000"),汇总!$A2))</f>
        <v>#VALUE!</v>
      </c>
      <c r="F2" s="109" cm="1">
        <f t="array" aca="1" ref="F2" ca="1">INDEX(_xlfn._xlws.FILTER(INDIRECT(F1&amp;"!$E1:$E10000"),INDIRECT(F1&amp;"!$a1:$a10000")=汇总!$A2),COUNTIF(INDIRECT(F1&amp;"!$a1:$a10000"),汇总!$A2))</f>
        <v>192</v>
      </c>
      <c r="G2" s="109" cm="1">
        <f t="array" aca="1" ref="G2" ca="1">INDEX(_xlfn._xlws.FILTER(INDIRECT(G1&amp;"!$E1:$E10000"),INDIRECT(G1&amp;"!$a1:$a10000")=汇总!$A2),COUNTIF(INDIRECT(G1&amp;"!$a1:$a10000"),汇总!$A2))</f>
        <v>202</v>
      </c>
      <c r="H2" s="109" cm="1">
        <f t="array" aca="1" ref="H2" ca="1">INDEX(_xlfn._xlws.FILTER(INDIRECT(H1&amp;"!$E1:$E10000"),INDIRECT(H1&amp;"!$a1:$a10000")=汇总!$A2),COUNTIF(INDIRECT(H1&amp;"!$a1:$a10000"),汇总!$A2))</f>
        <v>151</v>
      </c>
      <c r="I2" s="109" cm="1">
        <f t="array" aca="1" ref="I2" ca="1">INDEX(_xlfn._xlws.FILTER(INDIRECT(I1&amp;"!$E1:$E10000"),INDIRECT(I1&amp;"!$a1:$a10000")=汇总!$A2),COUNTIF(INDIRECT(I1&amp;"!$a1:$a10000"),汇总!$A2))</f>
        <v>11</v>
      </c>
      <c r="J2" s="109" cm="1">
        <f t="array" aca="1" ref="J2" ca="1">INDEX(_xlfn._xlws.FILTER(INDIRECT(J1&amp;"!$E1:$E10000"),INDIRECT(J1&amp;"!$a1:$a10000")=汇总!$A2),COUNTIF(INDIRECT(J1&amp;"!$a1:$a10000"),汇总!$A2))</f>
        <v>0</v>
      </c>
      <c r="K2" s="109" cm="1">
        <f t="array" aca="1" ref="K2" ca="1">INDEX(_xlfn._xlws.FILTER(INDIRECT(K1&amp;"!$E1:$E10000"),INDIRECT(K1&amp;"!$a1:$a10000")=汇总!$A2),COUNTIF(INDIRECT(K1&amp;"!$a1:$a10000"),汇总!$A2))</f>
        <v>277.92</v>
      </c>
      <c r="L2" s="109" cm="1">
        <f t="array" aca="1" ref="L2" ca="1">INDEX(_xlfn._xlws.FILTER(INDIRECT(L1&amp;"!$E1:$E10000"),INDIRECT(L1&amp;"!$a1:$a10000")=汇总!$A2),COUNTIF(INDIRECT(L1&amp;"!$a1:$a10000"),汇总!$A2))</f>
        <v>234</v>
      </c>
      <c r="M2" s="109" cm="1">
        <f t="array" aca="1" ref="M2" ca="1">INDEX(_xlfn._xlws.FILTER(INDIRECT(M1&amp;"!$E1:$E10000"),INDIRECT(M1&amp;"!$a1:$a10000")=汇总!$A2),COUNTIF(INDIRECT(M1&amp;"!$a1:$a10000"),汇总!$A2))</f>
        <v>2020</v>
      </c>
      <c r="N2" s="109" cm="1">
        <f t="array" aca="1" ref="N2" ca="1">INDEX(_xlfn._xlws.FILTER(INDIRECT(N1&amp;"!$E1:$E10000"),INDIRECT(N1&amp;"!$a1:$a10000")=汇总!$A2),COUNTIF(INDIRECT(N1&amp;"!$a1:$a10000"),汇总!$A2))</f>
        <v>234</v>
      </c>
      <c r="O2" s="109" t="e" cm="1" vm="1">
        <f t="array" aca="1" ref="O2" ca="1">INDEX(_xlfn._xlws.FILTER(INDIRECT(O1&amp;"!$E1:$E10000"),INDIRECT(O1&amp;"!$a1:$a10000")=汇总!$A2),COUNTIF(INDIRECT(O1&amp;"!$a1:$a10000"),汇总!$A2))</f>
        <v>#VALUE!</v>
      </c>
      <c r="P2" s="109" t="e" cm="1" vm="1">
        <f t="array" aca="1" ref="P2" ca="1">INDEX(_xlfn._xlws.FILTER(INDIRECT(P1&amp;"!$E1:$E10000"),INDIRECT(P1&amp;"!$a1:$a10000")=汇总!$A2),COUNTIF(INDIRECT(P1&amp;"!$a1:$a10000"),汇总!$A2))</f>
        <v>#VALUE!</v>
      </c>
      <c r="Q2" s="109" t="e" cm="1" vm="1">
        <f t="array" aca="1" ref="Q2" ca="1">INDEX(_xlfn._xlws.FILTER(INDIRECT(Q1&amp;"!$E1:$E10000"),INDIRECT(Q1&amp;"!$a1:$a10000")=汇总!$A2),COUNTIF(INDIRECT(Q1&amp;"!$a1:$a10000"),汇总!$A2))</f>
        <v>#VALUE!</v>
      </c>
      <c r="R2" s="109" t="e" cm="1" vm="1">
        <f t="array" aca="1" ref="R2" ca="1">INDEX(_xlfn._xlws.FILTER(INDIRECT(R1&amp;"!$E1:$E10000"),INDIRECT(R1&amp;"!$a1:$a10000")=汇总!$A2),COUNTIF(INDIRECT(R1&amp;"!$a1:$a10000"),汇总!$A2))</f>
        <v>#VALUE!</v>
      </c>
      <c r="S2" s="109" t="e" cm="1" vm="1">
        <f t="array" aca="1" ref="S2" ca="1">INDEX(_xlfn._xlws.FILTER(INDIRECT(S1&amp;"!$E1:$E10000"),INDIRECT(S1&amp;"!$a1:$a10000")=汇总!$A2),COUNTIF(INDIRECT(S1&amp;"!$a1:$a10000"),汇总!$A2))</f>
        <v>#VALUE!</v>
      </c>
    </row>
    <row r="3" spans="1:20" hidden="1">
      <c r="A3" s="1">
        <f>+A2+1</f>
        <v>46024</v>
      </c>
      <c r="B3" s="109" cm="1">
        <f t="array" aca="1" ref="B3" ca="1">IFERROR(INDEX(_xlfn._xlws.FILTER(INDIRECT(B$1&amp;"!$E1:$E10000"),INDIRECT(B$1&amp;"!$a1:$a10000")=汇总!$A3),COUNTIF(INDIRECT(B$1&amp;"!$a1:$a10000"),汇总!$A3)),B2)</f>
        <v>619</v>
      </c>
      <c r="C3" s="109" cm="1">
        <f t="array" aca="1" ref="C3" ca="1">IFERROR(INDEX(_xlfn._xlws.FILTER(INDIRECT(C$1&amp;"!$E1:$E10000"),INDIRECT(C$1&amp;"!$a1:$a10000")=汇总!$A3),COUNTIF(INDIRECT(C$1&amp;"!$a1:$a10000"),汇总!$A3)),C2)</f>
        <v>4182</v>
      </c>
      <c r="D3" s="109" cm="1">
        <f t="array" aca="1" ref="D3" ca="1">IFERROR(INDEX(_xlfn._xlws.FILTER(INDIRECT(D$1&amp;"!$E1:$E10000"),INDIRECT(D$1&amp;"!$a1:$a10000")=汇总!$A3),COUNTIF(INDIRECT(D$1&amp;"!$a1:$a10000"),汇总!$A3)),D2)</f>
        <v>97</v>
      </c>
      <c r="E3" s="109" t="e" cm="1" vm="2">
        <f t="array" aca="1" ref="E3" ca="1">IFERROR(INDEX(_xlfn._xlws.FILTER(INDIRECT(E$1&amp;"!$E1:$E10000"),INDIRECT(E$1&amp;"!$a1:$a10000")=汇总!$A3),COUNTIF(INDIRECT(E$1&amp;"!$a1:$a10000"),汇总!$A3)),E2)</f>
        <v>#VALUE!</v>
      </c>
      <c r="F3" s="109" cm="1">
        <f t="array" aca="1" ref="F3" ca="1">IFERROR(INDEX(_xlfn._xlws.FILTER(INDIRECT(F$1&amp;"!$E1:$E10000"),INDIRECT(F$1&amp;"!$a1:$a10000")=汇总!$A3),COUNTIF(INDIRECT(F$1&amp;"!$a1:$a10000"),汇总!$A3)),F2)</f>
        <v>192</v>
      </c>
      <c r="G3" s="109" cm="1">
        <f t="array" aca="1" ref="G3" ca="1">IFERROR(INDEX(_xlfn._xlws.FILTER(INDIRECT(G$1&amp;"!$E1:$E10000"),INDIRECT(G$1&amp;"!$a1:$a10000")=汇总!$A3),COUNTIF(INDIRECT(G$1&amp;"!$a1:$a10000"),汇总!$A3)),G2)</f>
        <v>202</v>
      </c>
      <c r="H3" s="109" cm="1">
        <f t="array" aca="1" ref="H3" ca="1">IFERROR(INDEX(_xlfn._xlws.FILTER(INDIRECT(H$1&amp;"!$E1:$E10000"),INDIRECT(H$1&amp;"!$a1:$a10000")=汇总!$A3),COUNTIF(INDIRECT(H$1&amp;"!$a1:$a10000"),汇总!$A3)),H2)</f>
        <v>151</v>
      </c>
      <c r="I3" s="109" cm="1">
        <f t="array" aca="1" ref="I3" ca="1">IFERROR(INDEX(_xlfn._xlws.FILTER(INDIRECT(I$1&amp;"!$E1:$E10000"),INDIRECT(I$1&amp;"!$a1:$a10000")=汇总!$A3),COUNTIF(INDIRECT(I$1&amp;"!$a1:$a10000"),汇总!$A3)),I2)</f>
        <v>11</v>
      </c>
      <c r="J3" s="109" cm="1">
        <f t="array" aca="1" ref="J3" ca="1">IFERROR(INDEX(_xlfn._xlws.FILTER(INDIRECT(J$1&amp;"!$E1:$E10000"),INDIRECT(J$1&amp;"!$a1:$a10000")=汇总!$A3),COUNTIF(INDIRECT(J$1&amp;"!$a1:$a10000"),汇总!$A3)),J2)</f>
        <v>0</v>
      </c>
      <c r="K3" s="109" cm="1">
        <f t="array" aca="1" ref="K3" ca="1">IFERROR(INDEX(_xlfn._xlws.FILTER(INDIRECT(K$1&amp;"!$E1:$E10000"),INDIRECT(K$1&amp;"!$a1:$a10000")=汇总!$A3),COUNTIF(INDIRECT(K$1&amp;"!$a1:$a10000"),汇总!$A3)),K2)</f>
        <v>277.92</v>
      </c>
      <c r="L3" s="109" cm="1">
        <f t="array" aca="1" ref="L3" ca="1">IFERROR(INDEX(_xlfn._xlws.FILTER(INDIRECT(L$1&amp;"!$E1:$E10000"),INDIRECT(L$1&amp;"!$a1:$a10000")=汇总!$A3),COUNTIF(INDIRECT(L$1&amp;"!$a1:$a10000"),汇总!$A3)),L2)</f>
        <v>234</v>
      </c>
      <c r="M3" s="109" cm="1">
        <f t="array" aca="1" ref="M3" ca="1">IFERROR(INDEX(_xlfn._xlws.FILTER(INDIRECT(M$1&amp;"!$E1:$E10000"),INDIRECT(M$1&amp;"!$a1:$a10000")=汇总!$A3),COUNTIF(INDIRECT(M$1&amp;"!$a1:$a10000"),汇总!$A3)),M2)</f>
        <v>2020</v>
      </c>
      <c r="N3" s="109" cm="1">
        <f t="array" aca="1" ref="N3" ca="1">IFERROR(INDEX(_xlfn._xlws.FILTER(INDIRECT(N$1&amp;"!$E1:$E10000"),INDIRECT(N$1&amp;"!$a1:$a10000")=汇总!$A3),COUNTIF(INDIRECT(N$1&amp;"!$a1:$a10000"),汇总!$A3)),N2)</f>
        <v>234</v>
      </c>
      <c r="O3" s="109" t="e" cm="1" vm="2">
        <f t="array" aca="1" ref="O3" ca="1">IFERROR(INDEX(_xlfn._xlws.FILTER(INDIRECT(O$1&amp;"!$E1:$E10000"),INDIRECT(O$1&amp;"!$a1:$a10000")=汇总!$A3),COUNTIF(INDIRECT(O$1&amp;"!$a1:$a10000"),汇总!$A3)),O2)</f>
        <v>#VALUE!</v>
      </c>
      <c r="P3" s="109" t="e" cm="1" vm="2">
        <f t="array" aca="1" ref="P3" ca="1">IFERROR(INDEX(_xlfn._xlws.FILTER(INDIRECT(P$1&amp;"!$E1:$E10000"),INDIRECT(P$1&amp;"!$a1:$a10000")=汇总!$A3),COUNTIF(INDIRECT(P$1&amp;"!$a1:$a10000"),汇总!$A3)),P2)</f>
        <v>#VALUE!</v>
      </c>
      <c r="Q3" s="109" t="e" cm="1" vm="2">
        <f t="array" aca="1" ref="Q3" ca="1">IFERROR(INDEX(_xlfn._xlws.FILTER(INDIRECT(Q$1&amp;"!$E1:$E10000"),INDIRECT(Q$1&amp;"!$a1:$a10000")=汇总!$A3),COUNTIF(INDIRECT(Q$1&amp;"!$a1:$a10000"),汇总!$A3)),Q2)</f>
        <v>#VALUE!</v>
      </c>
      <c r="R3" s="109" t="e" cm="1" vm="2">
        <f t="array" aca="1" ref="R3" ca="1">IFERROR(INDEX(_xlfn._xlws.FILTER(INDIRECT(R$1&amp;"!$E1:$E10000"),INDIRECT(R$1&amp;"!$a1:$a10000")=汇总!$A3),COUNTIF(INDIRECT(R$1&amp;"!$a1:$a10000"),汇总!$A3)),R2)</f>
        <v>#VALUE!</v>
      </c>
      <c r="S3" s="109" t="e" cm="1" vm="2">
        <f t="array" aca="1" ref="S3" ca="1">IFERROR(INDEX(_xlfn._xlws.FILTER(INDIRECT(S$1&amp;"!$E1:$E10000"),INDIRECT(S$1&amp;"!$a1:$a10000")=汇总!$A3),COUNTIF(INDIRECT(S$1&amp;"!$a1:$a10000"),汇总!$A3)),S2)</f>
        <v>#VALUE!</v>
      </c>
    </row>
    <row r="4" spans="1:20" hidden="1">
      <c r="A4" s="1">
        <f t="shared" ref="A4:A30" si="0">+A3+1</f>
        <v>46025</v>
      </c>
      <c r="B4" s="109" cm="1">
        <f t="array" aca="1" ref="B4" ca="1">IFERROR(INDEX(_xlfn._xlws.FILTER(INDIRECT(B$1&amp;"!$E1:$E10000"),INDIRECT(B$1&amp;"!$a1:$a10000")=汇总!$A4),COUNTIF(INDIRECT(B$1&amp;"!$a1:$a10000"),汇总!$A4)),B3)</f>
        <v>619</v>
      </c>
      <c r="C4" s="109" cm="1">
        <f t="array" aca="1" ref="C4" ca="1">IFERROR(INDEX(_xlfn._xlws.FILTER(INDIRECT(C$1&amp;"!$E1:$E10000"),INDIRECT(C$1&amp;"!$a1:$a10000")=汇总!$A4),COUNTIF(INDIRECT(C$1&amp;"!$a1:$a10000"),汇总!$A4)),C3)</f>
        <v>4182</v>
      </c>
      <c r="D4" s="109" cm="1">
        <f t="array" aca="1" ref="D4" ca="1">IFERROR(INDEX(_xlfn._xlws.FILTER(INDIRECT(D$1&amp;"!$E1:$E10000"),INDIRECT(D$1&amp;"!$a1:$a10000")=汇总!$A4),COUNTIF(INDIRECT(D$1&amp;"!$a1:$a10000"),汇总!$A4)),D3)</f>
        <v>97</v>
      </c>
      <c r="E4" s="109" t="e" cm="1" vm="2">
        <f t="array" aca="1" ref="E4" ca="1">IFERROR(INDEX(_xlfn._xlws.FILTER(INDIRECT(E$1&amp;"!$E1:$E10000"),INDIRECT(E$1&amp;"!$a1:$a10000")=汇总!$A4),COUNTIF(INDIRECT(E$1&amp;"!$a1:$a10000"),汇总!$A4)),E3)</f>
        <v>#VALUE!</v>
      </c>
      <c r="F4" s="109" cm="1">
        <f t="array" aca="1" ref="F4" ca="1">IFERROR(INDEX(_xlfn._xlws.FILTER(INDIRECT(F$1&amp;"!$E1:$E10000"),INDIRECT(F$1&amp;"!$a1:$a10000")=汇总!$A4),COUNTIF(INDIRECT(F$1&amp;"!$a1:$a10000"),汇总!$A4)),F3)</f>
        <v>192</v>
      </c>
      <c r="G4" s="109" cm="1">
        <f t="array" aca="1" ref="G4" ca="1">IFERROR(INDEX(_xlfn._xlws.FILTER(INDIRECT(G$1&amp;"!$E1:$E10000"),INDIRECT(G$1&amp;"!$a1:$a10000")=汇总!$A4),COUNTIF(INDIRECT(G$1&amp;"!$a1:$a10000"),汇总!$A4)),G3)</f>
        <v>202</v>
      </c>
      <c r="H4" s="109" cm="1">
        <f t="array" aca="1" ref="H4" ca="1">IFERROR(INDEX(_xlfn._xlws.FILTER(INDIRECT(H$1&amp;"!$E1:$E10000"),INDIRECT(H$1&amp;"!$a1:$a10000")=汇总!$A4),COUNTIF(INDIRECT(H$1&amp;"!$a1:$a10000"),汇总!$A4)),H3)</f>
        <v>151</v>
      </c>
      <c r="I4" s="109" cm="1">
        <f t="array" aca="1" ref="I4" ca="1">IFERROR(INDEX(_xlfn._xlws.FILTER(INDIRECT(I$1&amp;"!$E1:$E10000"),INDIRECT(I$1&amp;"!$a1:$a10000")=汇总!$A4),COUNTIF(INDIRECT(I$1&amp;"!$a1:$a10000"),汇总!$A4)),I3)</f>
        <v>11</v>
      </c>
      <c r="J4" s="109" cm="1">
        <f t="array" aca="1" ref="J4" ca="1">IFERROR(INDEX(_xlfn._xlws.FILTER(INDIRECT(J$1&amp;"!$E1:$E10000"),INDIRECT(J$1&amp;"!$a1:$a10000")=汇总!$A4),COUNTIF(INDIRECT(J$1&amp;"!$a1:$a10000"),汇总!$A4)),J3)</f>
        <v>0</v>
      </c>
      <c r="K4" s="109" cm="1">
        <f t="array" aca="1" ref="K4" ca="1">IFERROR(INDEX(_xlfn._xlws.FILTER(INDIRECT(K$1&amp;"!$E1:$E10000"),INDIRECT(K$1&amp;"!$a1:$a10000")=汇总!$A4),COUNTIF(INDIRECT(K$1&amp;"!$a1:$a10000"),汇总!$A4)),K3)</f>
        <v>277.92</v>
      </c>
      <c r="L4" s="109" cm="1">
        <f t="array" aca="1" ref="L4" ca="1">IFERROR(INDEX(_xlfn._xlws.FILTER(INDIRECT(L$1&amp;"!$E1:$E10000"),INDIRECT(L$1&amp;"!$a1:$a10000")=汇总!$A4),COUNTIF(INDIRECT(L$1&amp;"!$a1:$a10000"),汇总!$A4)),L3)</f>
        <v>234</v>
      </c>
      <c r="M4" s="109" cm="1">
        <f t="array" aca="1" ref="M4" ca="1">IFERROR(INDEX(_xlfn._xlws.FILTER(INDIRECT(M$1&amp;"!$E1:$E10000"),INDIRECT(M$1&amp;"!$a1:$a10000")=汇总!$A4),COUNTIF(INDIRECT(M$1&amp;"!$a1:$a10000"),汇总!$A4)),M3)</f>
        <v>2020</v>
      </c>
      <c r="N4" s="109" cm="1">
        <f t="array" aca="1" ref="N4" ca="1">IFERROR(INDEX(_xlfn._xlws.FILTER(INDIRECT(N$1&amp;"!$E1:$E10000"),INDIRECT(N$1&amp;"!$a1:$a10000")=汇总!$A4),COUNTIF(INDIRECT(N$1&amp;"!$a1:$a10000"),汇总!$A4)),N3)</f>
        <v>234</v>
      </c>
      <c r="O4" s="109" t="e" cm="1" vm="2">
        <f t="array" aca="1" ref="O4" ca="1">IFERROR(INDEX(_xlfn._xlws.FILTER(INDIRECT(O$1&amp;"!$E1:$E10000"),INDIRECT(O$1&amp;"!$a1:$a10000")=汇总!$A4),COUNTIF(INDIRECT(O$1&amp;"!$a1:$a10000"),汇总!$A4)),O3)</f>
        <v>#VALUE!</v>
      </c>
      <c r="P4" s="109" t="e" cm="1" vm="2">
        <f t="array" aca="1" ref="P4" ca="1">IFERROR(INDEX(_xlfn._xlws.FILTER(INDIRECT(P$1&amp;"!$E1:$E10000"),INDIRECT(P$1&amp;"!$a1:$a10000")=汇总!$A4),COUNTIF(INDIRECT(P$1&amp;"!$a1:$a10000"),汇总!$A4)),P3)</f>
        <v>#VALUE!</v>
      </c>
      <c r="Q4" s="109" t="e" cm="1" vm="2">
        <f t="array" aca="1" ref="Q4" ca="1">IFERROR(INDEX(_xlfn._xlws.FILTER(INDIRECT(Q$1&amp;"!$E1:$E10000"),INDIRECT(Q$1&amp;"!$a1:$a10000")=汇总!$A4),COUNTIF(INDIRECT(Q$1&amp;"!$a1:$a10000"),汇总!$A4)),Q3)</f>
        <v>#VALUE!</v>
      </c>
      <c r="R4" s="109" t="e" cm="1" vm="2">
        <f t="array" aca="1" ref="R4" ca="1">IFERROR(INDEX(_xlfn._xlws.FILTER(INDIRECT(R$1&amp;"!$E1:$E10000"),INDIRECT(R$1&amp;"!$a1:$a10000")=汇总!$A4),COUNTIF(INDIRECT(R$1&amp;"!$a1:$a10000"),汇总!$A4)),R3)</f>
        <v>#VALUE!</v>
      </c>
      <c r="S4" s="109" t="e" cm="1" vm="2">
        <f t="array" aca="1" ref="S4" ca="1">IFERROR(INDEX(_xlfn._xlws.FILTER(INDIRECT(S$1&amp;"!$E1:$E10000"),INDIRECT(S$1&amp;"!$a1:$a10000")=汇总!$A4),COUNTIF(INDIRECT(S$1&amp;"!$a1:$a10000"),汇总!$A4)),S3)</f>
        <v>#VALUE!</v>
      </c>
    </row>
    <row r="5" spans="1:20" hidden="1">
      <c r="A5" s="1">
        <f t="shared" si="0"/>
        <v>46026</v>
      </c>
      <c r="B5" s="109" cm="1">
        <f t="array" aca="1" ref="B5" ca="1">IFERROR(INDEX(_xlfn._xlws.FILTER(INDIRECT(B$1&amp;"!$E1:$E10000"),INDIRECT(B$1&amp;"!$a1:$a10000")=汇总!$A5),COUNTIF(INDIRECT(B$1&amp;"!$a1:$a10000"),汇总!$A5)),B4)</f>
        <v>619</v>
      </c>
      <c r="C5" s="109" cm="1">
        <f t="array" aca="1" ref="C5" ca="1">IFERROR(INDEX(_xlfn._xlws.FILTER(INDIRECT(C$1&amp;"!$E1:$E10000"),INDIRECT(C$1&amp;"!$a1:$a10000")=汇总!$A5),COUNTIF(INDIRECT(C$1&amp;"!$a1:$a10000"),汇总!$A5)),C4)</f>
        <v>4182</v>
      </c>
      <c r="D5" s="109" cm="1">
        <f t="array" aca="1" ref="D5" ca="1">IFERROR(INDEX(_xlfn._xlws.FILTER(INDIRECT(D$1&amp;"!$E1:$E10000"),INDIRECT(D$1&amp;"!$a1:$a10000")=汇总!$A5),COUNTIF(INDIRECT(D$1&amp;"!$a1:$a10000"),汇总!$A5)),D4)</f>
        <v>97</v>
      </c>
      <c r="E5" s="109" t="e" cm="1" vm="2">
        <f t="array" aca="1" ref="E5" ca="1">IFERROR(INDEX(_xlfn._xlws.FILTER(INDIRECT(E$1&amp;"!$E1:$E10000"),INDIRECT(E$1&amp;"!$a1:$a10000")=汇总!$A5),COUNTIF(INDIRECT(E$1&amp;"!$a1:$a10000"),汇总!$A5)),E4)</f>
        <v>#VALUE!</v>
      </c>
      <c r="F5" s="109" cm="1">
        <f t="array" aca="1" ref="F5" ca="1">IFERROR(INDEX(_xlfn._xlws.FILTER(INDIRECT(F$1&amp;"!$E1:$E10000"),INDIRECT(F$1&amp;"!$a1:$a10000")=汇总!$A5),COUNTIF(INDIRECT(F$1&amp;"!$a1:$a10000"),汇总!$A5)),F4)</f>
        <v>192</v>
      </c>
      <c r="G5" s="109" cm="1">
        <f t="array" aca="1" ref="G5" ca="1">IFERROR(INDEX(_xlfn._xlws.FILTER(INDIRECT(G$1&amp;"!$E1:$E10000"),INDIRECT(G$1&amp;"!$a1:$a10000")=汇总!$A5),COUNTIF(INDIRECT(G$1&amp;"!$a1:$a10000"),汇总!$A5)),G4)</f>
        <v>202</v>
      </c>
      <c r="H5" s="109" cm="1">
        <f t="array" aca="1" ref="H5" ca="1">IFERROR(INDEX(_xlfn._xlws.FILTER(INDIRECT(H$1&amp;"!$E1:$E10000"),INDIRECT(H$1&amp;"!$a1:$a10000")=汇总!$A5),COUNTIF(INDIRECT(H$1&amp;"!$a1:$a10000"),汇总!$A5)),H4)</f>
        <v>151</v>
      </c>
      <c r="I5" s="109" cm="1">
        <f t="array" aca="1" ref="I5" ca="1">IFERROR(INDEX(_xlfn._xlws.FILTER(INDIRECT(I$1&amp;"!$E1:$E10000"),INDIRECT(I$1&amp;"!$a1:$a10000")=汇总!$A5),COUNTIF(INDIRECT(I$1&amp;"!$a1:$a10000"),汇总!$A5)),I4)</f>
        <v>11</v>
      </c>
      <c r="J5" s="109" cm="1">
        <f t="array" aca="1" ref="J5" ca="1">IFERROR(INDEX(_xlfn._xlws.FILTER(INDIRECT(J$1&amp;"!$E1:$E10000"),INDIRECT(J$1&amp;"!$a1:$a10000")=汇总!$A5),COUNTIF(INDIRECT(J$1&amp;"!$a1:$a10000"),汇总!$A5)),J4)</f>
        <v>0</v>
      </c>
      <c r="K5" s="109" cm="1">
        <f t="array" aca="1" ref="K5" ca="1">IFERROR(INDEX(_xlfn._xlws.FILTER(INDIRECT(K$1&amp;"!$E1:$E10000"),INDIRECT(K$1&amp;"!$a1:$a10000")=汇总!$A5),COUNTIF(INDIRECT(K$1&amp;"!$a1:$a10000"),汇总!$A5)),K4)</f>
        <v>277.92</v>
      </c>
      <c r="L5" s="109" cm="1">
        <f t="array" aca="1" ref="L5" ca="1">IFERROR(INDEX(_xlfn._xlws.FILTER(INDIRECT(L$1&amp;"!$E1:$E10000"),INDIRECT(L$1&amp;"!$a1:$a10000")=汇总!$A5),COUNTIF(INDIRECT(L$1&amp;"!$a1:$a10000"),汇总!$A5)),L4)</f>
        <v>234</v>
      </c>
      <c r="M5" s="109" cm="1">
        <f t="array" aca="1" ref="M5" ca="1">IFERROR(INDEX(_xlfn._xlws.FILTER(INDIRECT(M$1&amp;"!$E1:$E10000"),INDIRECT(M$1&amp;"!$a1:$a10000")=汇总!$A5),COUNTIF(INDIRECT(M$1&amp;"!$a1:$a10000"),汇总!$A5)),M4)</f>
        <v>2020</v>
      </c>
      <c r="N5" s="109" cm="1">
        <f t="array" aca="1" ref="N5" ca="1">IFERROR(INDEX(_xlfn._xlws.FILTER(INDIRECT(N$1&amp;"!$E1:$E10000"),INDIRECT(N$1&amp;"!$a1:$a10000")=汇总!$A5),COUNTIF(INDIRECT(N$1&amp;"!$a1:$a10000"),汇总!$A5)),N4)</f>
        <v>234</v>
      </c>
      <c r="O5" s="109" t="e" cm="1" vm="2">
        <f t="array" aca="1" ref="O5" ca="1">IFERROR(INDEX(_xlfn._xlws.FILTER(INDIRECT(O$1&amp;"!$E1:$E10000"),INDIRECT(O$1&amp;"!$a1:$a10000")=汇总!$A5),COUNTIF(INDIRECT(O$1&amp;"!$a1:$a10000"),汇总!$A5)),O4)</f>
        <v>#VALUE!</v>
      </c>
      <c r="P5" s="109" t="e" cm="1" vm="2">
        <f t="array" aca="1" ref="P5" ca="1">IFERROR(INDEX(_xlfn._xlws.FILTER(INDIRECT(P$1&amp;"!$E1:$E10000"),INDIRECT(P$1&amp;"!$a1:$a10000")=汇总!$A5),COUNTIF(INDIRECT(P$1&amp;"!$a1:$a10000"),汇总!$A5)),P4)</f>
        <v>#VALUE!</v>
      </c>
      <c r="Q5" s="109" t="e" cm="1" vm="2">
        <f t="array" aca="1" ref="Q5" ca="1">IFERROR(INDEX(_xlfn._xlws.FILTER(INDIRECT(Q$1&amp;"!$E1:$E10000"),INDIRECT(Q$1&amp;"!$a1:$a10000")=汇总!$A5),COUNTIF(INDIRECT(Q$1&amp;"!$a1:$a10000"),汇总!$A5)),Q4)</f>
        <v>#VALUE!</v>
      </c>
      <c r="R5" s="109" t="e" cm="1" vm="2">
        <f t="array" aca="1" ref="R5" ca="1">IFERROR(INDEX(_xlfn._xlws.FILTER(INDIRECT(R$1&amp;"!$E1:$E10000"),INDIRECT(R$1&amp;"!$a1:$a10000")=汇总!$A5),COUNTIF(INDIRECT(R$1&amp;"!$a1:$a10000"),汇总!$A5)),R4)</f>
        <v>#VALUE!</v>
      </c>
      <c r="S5" s="109" t="e" cm="1" vm="2">
        <f t="array" aca="1" ref="S5" ca="1">IFERROR(INDEX(_xlfn._xlws.FILTER(INDIRECT(S$1&amp;"!$E1:$E10000"),INDIRECT(S$1&amp;"!$a1:$a10000")=汇总!$A5),COUNTIF(INDIRECT(S$1&amp;"!$a1:$a10000"),汇总!$A5)),S4)</f>
        <v>#VALUE!</v>
      </c>
    </row>
    <row r="6" spans="1:20" hidden="1">
      <c r="A6" s="1">
        <f t="shared" si="0"/>
        <v>46027</v>
      </c>
      <c r="B6" s="109" cm="1">
        <f t="array" aca="1" ref="B6" ca="1">IFERROR(INDEX(_xlfn._xlws.FILTER(INDIRECT(B$1&amp;"!$E1:$E10000"),INDIRECT(B$1&amp;"!$a1:$a10000")=汇总!$A6),COUNTIF(INDIRECT(B$1&amp;"!$a1:$a10000"),汇总!$A6)),B5)</f>
        <v>619</v>
      </c>
      <c r="C6" s="109" cm="1">
        <f t="array" aca="1" ref="C6" ca="1">IFERROR(INDEX(_xlfn._xlws.FILTER(INDIRECT(C$1&amp;"!$E1:$E10000"),INDIRECT(C$1&amp;"!$a1:$a10000")=汇总!$A6),COUNTIF(INDIRECT(C$1&amp;"!$a1:$a10000"),汇总!$A6)),C5)</f>
        <v>2377</v>
      </c>
      <c r="D6" s="109" cm="1">
        <f t="array" aca="1" ref="D6" ca="1">IFERROR(INDEX(_xlfn._xlws.FILTER(INDIRECT(D$1&amp;"!$E1:$E10000"),INDIRECT(D$1&amp;"!$a1:$a10000")=汇总!$A6),COUNTIF(INDIRECT(D$1&amp;"!$a1:$a10000"),汇总!$A6)),D5)</f>
        <v>97</v>
      </c>
      <c r="E6" s="109" t="e" cm="1" vm="2">
        <f t="array" aca="1" ref="E6" ca="1">IFERROR(INDEX(_xlfn._xlws.FILTER(INDIRECT(E$1&amp;"!$E1:$E10000"),INDIRECT(E$1&amp;"!$a1:$a10000")=汇总!$A6),COUNTIF(INDIRECT(E$1&amp;"!$a1:$a10000"),汇总!$A6)),E5)</f>
        <v>#VALUE!</v>
      </c>
      <c r="F6" s="109" cm="1">
        <f t="array" aca="1" ref="F6" ca="1">IFERROR(INDEX(_xlfn._xlws.FILTER(INDIRECT(F$1&amp;"!$E1:$E10000"),INDIRECT(F$1&amp;"!$a1:$a10000")=汇总!$A6),COUNTIF(INDIRECT(F$1&amp;"!$a1:$a10000"),汇总!$A6)),F5)</f>
        <v>192</v>
      </c>
      <c r="G6" s="109" cm="1">
        <f t="array" aca="1" ref="G6" ca="1">IFERROR(INDEX(_xlfn._xlws.FILTER(INDIRECT(G$1&amp;"!$E1:$E10000"),INDIRECT(G$1&amp;"!$a1:$a10000")=汇总!$A6),COUNTIF(INDIRECT(G$1&amp;"!$a1:$a10000"),汇总!$A6)),G5)</f>
        <v>202</v>
      </c>
      <c r="H6" s="109" cm="1">
        <f t="array" aca="1" ref="H6" ca="1">IFERROR(INDEX(_xlfn._xlws.FILTER(INDIRECT(H$1&amp;"!$E1:$E10000"),INDIRECT(H$1&amp;"!$a1:$a10000")=汇总!$A6),COUNTIF(INDIRECT(H$1&amp;"!$a1:$a10000"),汇总!$A6)),H5)</f>
        <v>151</v>
      </c>
      <c r="I6" s="109" cm="1">
        <f t="array" aca="1" ref="I6" ca="1">IFERROR(INDEX(_xlfn._xlws.FILTER(INDIRECT(I$1&amp;"!$E1:$E10000"),INDIRECT(I$1&amp;"!$a1:$a10000")=汇总!$A6),COUNTIF(INDIRECT(I$1&amp;"!$a1:$a10000"),汇总!$A6)),I5)</f>
        <v>11</v>
      </c>
      <c r="J6" s="109" cm="1">
        <f t="array" aca="1" ref="J6" ca="1">IFERROR(INDEX(_xlfn._xlws.FILTER(INDIRECT(J$1&amp;"!$E1:$E10000"),INDIRECT(J$1&amp;"!$a1:$a10000")=汇总!$A6),COUNTIF(INDIRECT(J$1&amp;"!$a1:$a10000"),汇总!$A6)),J5)</f>
        <v>0</v>
      </c>
      <c r="K6" s="109" cm="1">
        <f t="array" aca="1" ref="K6" ca="1">IFERROR(INDEX(_xlfn._xlws.FILTER(INDIRECT(K$1&amp;"!$E1:$E10000"),INDIRECT(K$1&amp;"!$a1:$a10000")=汇总!$A6),COUNTIF(INDIRECT(K$1&amp;"!$a1:$a10000"),汇总!$A6)),K5)</f>
        <v>277.92</v>
      </c>
      <c r="L6" s="109" cm="1">
        <f t="array" aca="1" ref="L6" ca="1">IFERROR(INDEX(_xlfn._xlws.FILTER(INDIRECT(L$1&amp;"!$E1:$E10000"),INDIRECT(L$1&amp;"!$a1:$a10000")=汇总!$A6),COUNTIF(INDIRECT(L$1&amp;"!$a1:$a10000"),汇总!$A6)),L5)</f>
        <v>234</v>
      </c>
      <c r="M6" s="109" cm="1">
        <f t="array" aca="1" ref="M6" ca="1">IFERROR(INDEX(_xlfn._xlws.FILTER(INDIRECT(M$1&amp;"!$E1:$E10000"),INDIRECT(M$1&amp;"!$a1:$a10000")=汇总!$A6),COUNTIF(INDIRECT(M$1&amp;"!$a1:$a10000"),汇总!$A6)),M5)</f>
        <v>2020</v>
      </c>
      <c r="N6" s="109" cm="1">
        <f t="array" aca="1" ref="N6" ca="1">IFERROR(INDEX(_xlfn._xlws.FILTER(INDIRECT(N$1&amp;"!$E1:$E10000"),INDIRECT(N$1&amp;"!$a1:$a10000")=汇总!$A6),COUNTIF(INDIRECT(N$1&amp;"!$a1:$a10000"),汇总!$A6)),N5)</f>
        <v>1206</v>
      </c>
      <c r="O6" s="109" t="e" cm="1" vm="2">
        <f t="array" aca="1" ref="O6" ca="1">IFERROR(INDEX(_xlfn._xlws.FILTER(INDIRECT(O$1&amp;"!$E1:$E10000"),INDIRECT(O$1&amp;"!$a1:$a10000")=汇总!$A6),COUNTIF(INDIRECT(O$1&amp;"!$a1:$a10000"),汇总!$A6)),O5)</f>
        <v>#VALUE!</v>
      </c>
      <c r="P6" s="109" t="e" cm="1" vm="2">
        <f t="array" aca="1" ref="P6" ca="1">IFERROR(INDEX(_xlfn._xlws.FILTER(INDIRECT(P$1&amp;"!$E1:$E10000"),INDIRECT(P$1&amp;"!$a1:$a10000")=汇总!$A6),COUNTIF(INDIRECT(P$1&amp;"!$a1:$a10000"),汇总!$A6)),P5)</f>
        <v>#VALUE!</v>
      </c>
      <c r="Q6" s="109" t="e" cm="1" vm="2">
        <f t="array" aca="1" ref="Q6" ca="1">IFERROR(INDEX(_xlfn._xlws.FILTER(INDIRECT(Q$1&amp;"!$E1:$E10000"),INDIRECT(Q$1&amp;"!$a1:$a10000")=汇总!$A6),COUNTIF(INDIRECT(Q$1&amp;"!$a1:$a10000"),汇总!$A6)),Q5)</f>
        <v>#VALUE!</v>
      </c>
      <c r="R6" s="109" t="e" cm="1" vm="2">
        <f t="array" aca="1" ref="R6" ca="1">IFERROR(INDEX(_xlfn._xlws.FILTER(INDIRECT(R$1&amp;"!$E1:$E10000"),INDIRECT(R$1&amp;"!$a1:$a10000")=汇总!$A6),COUNTIF(INDIRECT(R$1&amp;"!$a1:$a10000"),汇总!$A6)),R5)</f>
        <v>#VALUE!</v>
      </c>
      <c r="S6" s="109" t="e" cm="1" vm="2">
        <f t="array" aca="1" ref="S6" ca="1">IFERROR(INDEX(_xlfn._xlws.FILTER(INDIRECT(S$1&amp;"!$E1:$E10000"),INDIRECT(S$1&amp;"!$a1:$a10000")=汇总!$A6),COUNTIF(INDIRECT(S$1&amp;"!$a1:$a10000"),汇总!$A6)),S5)</f>
        <v>#VALUE!</v>
      </c>
    </row>
    <row r="7" spans="1:20" hidden="1">
      <c r="A7" s="1">
        <f t="shared" si="0"/>
        <v>46028</v>
      </c>
      <c r="B7" s="109" cm="1">
        <f t="array" aca="1" ref="B7" ca="1">IFERROR(INDEX(_xlfn._xlws.FILTER(INDIRECT(B$1&amp;"!$E1:$E10000"),INDIRECT(B$1&amp;"!$a1:$a10000")=汇总!$A7),COUNTIF(INDIRECT(B$1&amp;"!$a1:$a10000"),汇总!$A7)),B6)</f>
        <v>619</v>
      </c>
      <c r="C7" s="109" cm="1">
        <f t="array" aca="1" ref="C7" ca="1">IFERROR(INDEX(_xlfn._xlws.FILTER(INDIRECT(C$1&amp;"!$E1:$E10000"),INDIRECT(C$1&amp;"!$a1:$a10000")=汇总!$A7),COUNTIF(INDIRECT(C$1&amp;"!$a1:$a10000"),汇总!$A7)),C6)</f>
        <v>2377</v>
      </c>
      <c r="D7" s="109" cm="1">
        <f t="array" aca="1" ref="D7" ca="1">IFERROR(INDEX(_xlfn._xlws.FILTER(INDIRECT(D$1&amp;"!$E1:$E10000"),INDIRECT(D$1&amp;"!$a1:$a10000")=汇总!$A7),COUNTIF(INDIRECT(D$1&amp;"!$a1:$a10000"),汇总!$A7)),D6)</f>
        <v>97</v>
      </c>
      <c r="E7" s="109" cm="1">
        <f t="array" aca="1" ref="E7" ca="1">IFERROR(INDEX(_xlfn._xlws.FILTER(INDIRECT(E$1&amp;"!$E1:$E10000"),INDIRECT(E$1&amp;"!$a1:$a10000")=汇总!$A7),COUNTIF(INDIRECT(E$1&amp;"!$a1:$a10000"),汇总!$A7)),E6)</f>
        <v>295.8</v>
      </c>
      <c r="F7" s="109" cm="1">
        <f t="array" aca="1" ref="F7" ca="1">IFERROR(INDEX(_xlfn._xlws.FILTER(INDIRECT(F$1&amp;"!$E1:$E10000"),INDIRECT(F$1&amp;"!$a1:$a10000")=汇总!$A7),COUNTIF(INDIRECT(F$1&amp;"!$a1:$a10000"),汇总!$A7)),F6)</f>
        <v>192</v>
      </c>
      <c r="G7" s="109" cm="1">
        <f t="array" aca="1" ref="G7" ca="1">IFERROR(INDEX(_xlfn._xlws.FILTER(INDIRECT(G$1&amp;"!$E1:$E10000"),INDIRECT(G$1&amp;"!$a1:$a10000")=汇总!$A7),COUNTIF(INDIRECT(G$1&amp;"!$a1:$a10000"),汇总!$A7)),G6)</f>
        <v>202</v>
      </c>
      <c r="H7" s="109" cm="1">
        <f t="array" aca="1" ref="H7" ca="1">IFERROR(INDEX(_xlfn._xlws.FILTER(INDIRECT(H$1&amp;"!$E1:$E10000"),INDIRECT(H$1&amp;"!$a1:$a10000")=汇总!$A7),COUNTIF(INDIRECT(H$1&amp;"!$a1:$a10000"),汇总!$A7)),H6)</f>
        <v>601</v>
      </c>
      <c r="I7" s="109" cm="1">
        <f t="array" aca="1" ref="I7" ca="1">IFERROR(INDEX(_xlfn._xlws.FILTER(INDIRECT(I$1&amp;"!$E1:$E10000"),INDIRECT(I$1&amp;"!$a1:$a10000")=汇总!$A7),COUNTIF(INDIRECT(I$1&amp;"!$a1:$a10000"),汇总!$A7)),I6)</f>
        <v>11</v>
      </c>
      <c r="J7" s="109" cm="1">
        <f t="array" aca="1" ref="J7" ca="1">IFERROR(INDEX(_xlfn._xlws.FILTER(INDIRECT(J$1&amp;"!$E1:$E10000"),INDIRECT(J$1&amp;"!$a1:$a10000")=汇总!$A7),COUNTIF(INDIRECT(J$1&amp;"!$a1:$a10000"),汇总!$A7)),J6)</f>
        <v>0</v>
      </c>
      <c r="K7" s="109" cm="1">
        <f t="array" aca="1" ref="K7" ca="1">IFERROR(INDEX(_xlfn._xlws.FILTER(INDIRECT(K$1&amp;"!$E1:$E10000"),INDIRECT(K$1&amp;"!$a1:$a10000")=汇总!$A7),COUNTIF(INDIRECT(K$1&amp;"!$a1:$a10000"),汇总!$A7)),K6)</f>
        <v>277.92</v>
      </c>
      <c r="L7" s="109" cm="1">
        <f t="array" aca="1" ref="L7" ca="1">IFERROR(INDEX(_xlfn._xlws.FILTER(INDIRECT(L$1&amp;"!$E1:$E10000"),INDIRECT(L$1&amp;"!$a1:$a10000")=汇总!$A7),COUNTIF(INDIRECT(L$1&amp;"!$a1:$a10000"),汇总!$A7)),L6)</f>
        <v>234</v>
      </c>
      <c r="M7" s="109" cm="1">
        <f t="array" aca="1" ref="M7" ca="1">IFERROR(INDEX(_xlfn._xlws.FILTER(INDIRECT(M$1&amp;"!$E1:$E10000"),INDIRECT(M$1&amp;"!$a1:$a10000")=汇总!$A7),COUNTIF(INDIRECT(M$1&amp;"!$a1:$a10000"),汇总!$A7)),M6)</f>
        <v>2020</v>
      </c>
      <c r="N7" s="109" cm="1">
        <f t="array" aca="1" ref="N7" ca="1">IFERROR(INDEX(_xlfn._xlws.FILTER(INDIRECT(N$1&amp;"!$E1:$E10000"),INDIRECT(N$1&amp;"!$a1:$a10000")=汇总!$A7),COUNTIF(INDIRECT(N$1&amp;"!$a1:$a10000"),汇总!$A7)),N6)</f>
        <v>1206</v>
      </c>
      <c r="O7" s="109" t="e" cm="1" vm="2">
        <f t="array" aca="1" ref="O7" ca="1">IFERROR(INDEX(_xlfn._xlws.FILTER(INDIRECT(O$1&amp;"!$E1:$E10000"),INDIRECT(O$1&amp;"!$a1:$a10000")=汇总!$A7),COUNTIF(INDIRECT(O$1&amp;"!$a1:$a10000"),汇总!$A7)),O6)</f>
        <v>#VALUE!</v>
      </c>
      <c r="P7" s="109" t="e" cm="1" vm="2">
        <f t="array" aca="1" ref="P7" ca="1">IFERROR(INDEX(_xlfn._xlws.FILTER(INDIRECT(P$1&amp;"!$E1:$E10000"),INDIRECT(P$1&amp;"!$a1:$a10000")=汇总!$A7),COUNTIF(INDIRECT(P$1&amp;"!$a1:$a10000"),汇总!$A7)),P6)</f>
        <v>#VALUE!</v>
      </c>
      <c r="Q7" s="109" t="e" cm="1" vm="2">
        <f t="array" aca="1" ref="Q7" ca="1">IFERROR(INDEX(_xlfn._xlws.FILTER(INDIRECT(Q$1&amp;"!$E1:$E10000"),INDIRECT(Q$1&amp;"!$a1:$a10000")=汇总!$A7),COUNTIF(INDIRECT(Q$1&amp;"!$a1:$a10000"),汇总!$A7)),Q6)</f>
        <v>#VALUE!</v>
      </c>
      <c r="R7" s="109" t="e" cm="1" vm="2">
        <f t="array" aca="1" ref="R7" ca="1">IFERROR(INDEX(_xlfn._xlws.FILTER(INDIRECT(R$1&amp;"!$E1:$E10000"),INDIRECT(R$1&amp;"!$a1:$a10000")=汇总!$A7),COUNTIF(INDIRECT(R$1&amp;"!$a1:$a10000"),汇总!$A7)),R6)</f>
        <v>#VALUE!</v>
      </c>
      <c r="S7" s="109" t="e" cm="1" vm="2">
        <f t="array" aca="1" ref="S7" ca="1">IFERROR(INDEX(_xlfn._xlws.FILTER(INDIRECT(S$1&amp;"!$E1:$E10000"),INDIRECT(S$1&amp;"!$a1:$a10000")=汇总!$A7),COUNTIF(INDIRECT(S$1&amp;"!$a1:$a10000"),汇总!$A7)),S6)</f>
        <v>#VALUE!</v>
      </c>
    </row>
    <row r="8" spans="1:20" hidden="1">
      <c r="A8" s="1">
        <f t="shared" si="0"/>
        <v>46029</v>
      </c>
      <c r="B8" s="109" cm="1">
        <f t="array" aca="1" ref="B8" ca="1">IFERROR(INDEX(_xlfn._xlws.FILTER(INDIRECT(B$1&amp;"!$E1:$E10000"),INDIRECT(B$1&amp;"!$a1:$a10000")=汇总!$A8),COUNTIF(INDIRECT(B$1&amp;"!$a1:$a10000"),汇总!$A8)),B7)</f>
        <v>164</v>
      </c>
      <c r="C8" s="109" cm="1">
        <f t="array" aca="1" ref="C8" ca="1">IFERROR(INDEX(_xlfn._xlws.FILTER(INDIRECT(C$1&amp;"!$E1:$E10000"),INDIRECT(C$1&amp;"!$a1:$a10000")=汇总!$A8),COUNTIF(INDIRECT(C$1&amp;"!$a1:$a10000"),汇总!$A8)),C7)</f>
        <v>253</v>
      </c>
      <c r="D8" s="109" cm="1">
        <f t="array" aca="1" ref="D8" ca="1">IFERROR(INDEX(_xlfn._xlws.FILTER(INDIRECT(D$1&amp;"!$E1:$E10000"),INDIRECT(D$1&amp;"!$a1:$a10000")=汇总!$A8),COUNTIF(INDIRECT(D$1&amp;"!$a1:$a10000"),汇总!$A8)),D7)</f>
        <v>97</v>
      </c>
      <c r="E8" s="109" cm="1">
        <f t="array" aca="1" ref="E8" ca="1">IFERROR(INDEX(_xlfn._xlws.FILTER(INDIRECT(E$1&amp;"!$E1:$E10000"),INDIRECT(E$1&amp;"!$a1:$a10000")=汇总!$A8),COUNTIF(INDIRECT(E$1&amp;"!$a1:$a10000"),汇总!$A8)),E7)</f>
        <v>4613.7975299999998</v>
      </c>
      <c r="F8" s="109" cm="1">
        <f t="array" aca="1" ref="F8" ca="1">IFERROR(INDEX(_xlfn._xlws.FILTER(INDIRECT(F$1&amp;"!$E1:$E10000"),INDIRECT(F$1&amp;"!$a1:$a10000")=汇总!$A8),COUNTIF(INDIRECT(F$1&amp;"!$a1:$a10000"),汇总!$A8)),F7)</f>
        <v>192</v>
      </c>
      <c r="G8" s="109" cm="1">
        <f t="array" aca="1" ref="G8" ca="1">IFERROR(INDEX(_xlfn._xlws.FILTER(INDIRECT(G$1&amp;"!$E1:$E10000"),INDIRECT(G$1&amp;"!$a1:$a10000")=汇总!$A8),COUNTIF(INDIRECT(G$1&amp;"!$a1:$a10000"),汇总!$A8)),G7)</f>
        <v>202</v>
      </c>
      <c r="H8" s="109" cm="1">
        <f t="array" aca="1" ref="H8" ca="1">IFERROR(INDEX(_xlfn._xlws.FILTER(INDIRECT(H$1&amp;"!$E1:$E10000"),INDIRECT(H$1&amp;"!$a1:$a10000")=汇总!$A8),COUNTIF(INDIRECT(H$1&amp;"!$a1:$a10000"),汇总!$A8)),H7)</f>
        <v>601</v>
      </c>
      <c r="I8" s="109" cm="1">
        <f t="array" aca="1" ref="I8" ca="1">IFERROR(INDEX(_xlfn._xlws.FILTER(INDIRECT(I$1&amp;"!$E1:$E10000"),INDIRECT(I$1&amp;"!$a1:$a10000")=汇总!$A8),COUNTIF(INDIRECT(I$1&amp;"!$a1:$a10000"),汇总!$A8)),I7)</f>
        <v>11</v>
      </c>
      <c r="J8" s="109" cm="1">
        <f t="array" aca="1" ref="J8" ca="1">IFERROR(INDEX(_xlfn._xlws.FILTER(INDIRECT(J$1&amp;"!$E1:$E10000"),INDIRECT(J$1&amp;"!$a1:$a10000")=汇总!$A8),COUNTIF(INDIRECT(J$1&amp;"!$a1:$a10000"),汇总!$A8)),J7)</f>
        <v>0</v>
      </c>
      <c r="K8" s="109" cm="1">
        <f t="array" aca="1" ref="K8" ca="1">IFERROR(INDEX(_xlfn._xlws.FILTER(INDIRECT(K$1&amp;"!$E1:$E10000"),INDIRECT(K$1&amp;"!$a1:$a10000")=汇总!$A8),COUNTIF(INDIRECT(K$1&amp;"!$a1:$a10000"),汇总!$A8)),K7)</f>
        <v>133.92000000000002</v>
      </c>
      <c r="L8" s="109" cm="1">
        <f t="array" aca="1" ref="L8" ca="1">IFERROR(INDEX(_xlfn._xlws.FILTER(INDIRECT(L$1&amp;"!$E1:$E10000"),INDIRECT(L$1&amp;"!$a1:$a10000")=汇总!$A8),COUNTIF(INDIRECT(L$1&amp;"!$a1:$a10000"),汇总!$A8)),L7)</f>
        <v>234</v>
      </c>
      <c r="M8" s="109" cm="1">
        <f t="array" aca="1" ref="M8" ca="1">IFERROR(INDEX(_xlfn._xlws.FILTER(INDIRECT(M$1&amp;"!$E1:$E10000"),INDIRECT(M$1&amp;"!$a1:$a10000")=汇总!$A8),COUNTIF(INDIRECT(M$1&amp;"!$a1:$a10000"),汇总!$A8)),M7)</f>
        <v>2020</v>
      </c>
      <c r="N8" s="109" cm="1">
        <f t="array" aca="1" ref="N8" ca="1">IFERROR(INDEX(_xlfn._xlws.FILTER(INDIRECT(N$1&amp;"!$E1:$E10000"),INDIRECT(N$1&amp;"!$a1:$a10000")=汇总!$A8),COUNTIF(INDIRECT(N$1&amp;"!$a1:$a10000"),汇总!$A8)),N7)</f>
        <v>1206</v>
      </c>
      <c r="O8" s="109" t="e" cm="1" vm="2">
        <f t="array" aca="1" ref="O8" ca="1">IFERROR(INDEX(_xlfn._xlws.FILTER(INDIRECT(O$1&amp;"!$E1:$E10000"),INDIRECT(O$1&amp;"!$a1:$a10000")=汇总!$A8),COUNTIF(INDIRECT(O$1&amp;"!$a1:$a10000"),汇总!$A8)),O7)</f>
        <v>#VALUE!</v>
      </c>
      <c r="P8" s="109" t="e" cm="1" vm="2">
        <f t="array" aca="1" ref="P8" ca="1">IFERROR(INDEX(_xlfn._xlws.FILTER(INDIRECT(P$1&amp;"!$E1:$E10000"),INDIRECT(P$1&amp;"!$a1:$a10000")=汇总!$A8),COUNTIF(INDIRECT(P$1&amp;"!$a1:$a10000"),汇总!$A8)),P7)</f>
        <v>#VALUE!</v>
      </c>
      <c r="Q8" s="109" t="e" cm="1" vm="2">
        <f t="array" aca="1" ref="Q8" ca="1">IFERROR(INDEX(_xlfn._xlws.FILTER(INDIRECT(Q$1&amp;"!$E1:$E10000"),INDIRECT(Q$1&amp;"!$a1:$a10000")=汇总!$A8),COUNTIF(INDIRECT(Q$1&amp;"!$a1:$a10000"),汇总!$A8)),Q7)</f>
        <v>#VALUE!</v>
      </c>
      <c r="R8" s="109" t="e" cm="1" vm="2">
        <f t="array" aca="1" ref="R8" ca="1">IFERROR(INDEX(_xlfn._xlws.FILTER(INDIRECT(R$1&amp;"!$E1:$E10000"),INDIRECT(R$1&amp;"!$a1:$a10000")=汇总!$A8),COUNTIF(INDIRECT(R$1&amp;"!$a1:$a10000"),汇总!$A8)),R7)</f>
        <v>#VALUE!</v>
      </c>
      <c r="S8" s="109" t="e" cm="1" vm="2">
        <f t="array" aca="1" ref="S8" ca="1">IFERROR(INDEX(_xlfn._xlws.FILTER(INDIRECT(S$1&amp;"!$E1:$E10000"),INDIRECT(S$1&amp;"!$a1:$a10000")=汇总!$A8),COUNTIF(INDIRECT(S$1&amp;"!$a1:$a10000"),汇总!$A8)),S7)</f>
        <v>#VALUE!</v>
      </c>
    </row>
    <row r="9" spans="1:20" hidden="1">
      <c r="A9" s="1">
        <f t="shared" si="0"/>
        <v>46030</v>
      </c>
      <c r="B9" s="109" cm="1">
        <f t="array" aca="1" ref="B9" ca="1">IFERROR(INDEX(_xlfn._xlws.FILTER(INDIRECT(B$1&amp;"!$E1:$E10000"),INDIRECT(B$1&amp;"!$a1:$a10000")=汇总!$A9),COUNTIF(INDIRECT(B$1&amp;"!$a1:$a10000"),汇总!$A9)),B8)</f>
        <v>164</v>
      </c>
      <c r="C9" s="109" cm="1">
        <f t="array" aca="1" ref="C9" ca="1">IFERROR(INDEX(_xlfn._xlws.FILTER(INDIRECT(C$1&amp;"!$E1:$E10000"),INDIRECT(C$1&amp;"!$a1:$a10000")=汇总!$A9),COUNTIF(INDIRECT(C$1&amp;"!$a1:$a10000"),汇总!$A9)),C8)</f>
        <v>2486</v>
      </c>
      <c r="D9" s="109" cm="1">
        <f t="array" aca="1" ref="D9" ca="1">IFERROR(INDEX(_xlfn._xlws.FILTER(INDIRECT(D$1&amp;"!$E1:$E10000"),INDIRECT(D$1&amp;"!$a1:$a10000")=汇总!$A9),COUNTIF(INDIRECT(D$1&amp;"!$a1:$a10000"),汇总!$A9)),D8)</f>
        <v>97</v>
      </c>
      <c r="E9" s="109" cm="1">
        <f t="array" aca="1" ref="E9" ca="1">IFERROR(INDEX(_xlfn._xlws.FILTER(INDIRECT(E$1&amp;"!$E1:$E10000"),INDIRECT(E$1&amp;"!$a1:$a10000")=汇总!$A9),COUNTIF(INDIRECT(E$1&amp;"!$a1:$a10000"),汇总!$A9)),E8)</f>
        <v>1100.2632800000001</v>
      </c>
      <c r="F9" s="109" cm="1">
        <f t="array" aca="1" ref="F9" ca="1">IFERROR(INDEX(_xlfn._xlws.FILTER(INDIRECT(F$1&amp;"!$E1:$E10000"),INDIRECT(F$1&amp;"!$a1:$a10000")=汇总!$A9),COUNTIF(INDIRECT(F$1&amp;"!$a1:$a10000"),汇总!$A9)),F8)</f>
        <v>199.56</v>
      </c>
      <c r="G9" s="109" cm="1">
        <f t="array" aca="1" ref="G9" ca="1">IFERROR(INDEX(_xlfn._xlws.FILTER(INDIRECT(G$1&amp;"!$E1:$E10000"),INDIRECT(G$1&amp;"!$a1:$a10000")=汇总!$A9),COUNTIF(INDIRECT(G$1&amp;"!$a1:$a10000"),汇总!$A9)),G8)</f>
        <v>202</v>
      </c>
      <c r="H9" s="109" cm="1">
        <f t="array" aca="1" ref="H9" ca="1">IFERROR(INDEX(_xlfn._xlws.FILTER(INDIRECT(H$1&amp;"!$E1:$E10000"),INDIRECT(H$1&amp;"!$a1:$a10000")=汇总!$A9),COUNTIF(INDIRECT(H$1&amp;"!$a1:$a10000"),汇总!$A9)),H8)</f>
        <v>601</v>
      </c>
      <c r="I9" s="109" cm="1">
        <f t="array" aca="1" ref="I9" ca="1">IFERROR(INDEX(_xlfn._xlws.FILTER(INDIRECT(I$1&amp;"!$E1:$E10000"),INDIRECT(I$1&amp;"!$a1:$a10000")=汇总!$A9),COUNTIF(INDIRECT(I$1&amp;"!$a1:$a10000"),汇总!$A9)),I8)</f>
        <v>11</v>
      </c>
      <c r="J9" s="109" cm="1">
        <f t="array" aca="1" ref="J9" ca="1">IFERROR(INDEX(_xlfn._xlws.FILTER(INDIRECT(J$1&amp;"!$E1:$E10000"),INDIRECT(J$1&amp;"!$a1:$a10000")=汇总!$A9),COUNTIF(INDIRECT(J$1&amp;"!$a1:$a10000"),汇总!$A9)),J8)</f>
        <v>0</v>
      </c>
      <c r="K9" s="109" cm="1">
        <f t="array" aca="1" ref="K9" ca="1">IFERROR(INDEX(_xlfn._xlws.FILTER(INDIRECT(K$1&amp;"!$E1:$E10000"),INDIRECT(K$1&amp;"!$a1:$a10000")=汇总!$A9),COUNTIF(INDIRECT(K$1&amp;"!$a1:$a10000"),汇总!$A9)),K8)</f>
        <v>133.92000000000002</v>
      </c>
      <c r="L9" s="109" cm="1">
        <f t="array" aca="1" ref="L9" ca="1">IFERROR(INDEX(_xlfn._xlws.FILTER(INDIRECT(L$1&amp;"!$E1:$E10000"),INDIRECT(L$1&amp;"!$a1:$a10000")=汇总!$A9),COUNTIF(INDIRECT(L$1&amp;"!$a1:$a10000"),汇总!$A9)),L8)</f>
        <v>234</v>
      </c>
      <c r="M9" s="109" cm="1">
        <f t="array" aca="1" ref="M9" ca="1">IFERROR(INDEX(_xlfn._xlws.FILTER(INDIRECT(M$1&amp;"!$E1:$E10000"),INDIRECT(M$1&amp;"!$a1:$a10000")=汇总!$A9),COUNTIF(INDIRECT(M$1&amp;"!$a1:$a10000"),汇总!$A9)),M8)</f>
        <v>2020</v>
      </c>
      <c r="N9" s="109" cm="1">
        <f t="array" aca="1" ref="N9" ca="1">IFERROR(INDEX(_xlfn._xlws.FILTER(INDIRECT(N$1&amp;"!$E1:$E10000"),INDIRECT(N$1&amp;"!$a1:$a10000")=汇总!$A9),COUNTIF(INDIRECT(N$1&amp;"!$a1:$a10000"),汇总!$A9)),N8)</f>
        <v>1756</v>
      </c>
      <c r="O9" s="109" t="e" cm="1" vm="2">
        <f t="array" aca="1" ref="O9" ca="1">IFERROR(INDEX(_xlfn._xlws.FILTER(INDIRECT(O$1&amp;"!$E1:$E10000"),INDIRECT(O$1&amp;"!$a1:$a10000")=汇总!$A9),COUNTIF(INDIRECT(O$1&amp;"!$a1:$a10000"),汇总!$A9)),O8)</f>
        <v>#VALUE!</v>
      </c>
      <c r="P9" s="109" t="e" cm="1" vm="2">
        <f t="array" aca="1" ref="P9" ca="1">IFERROR(INDEX(_xlfn._xlws.FILTER(INDIRECT(P$1&amp;"!$E1:$E10000"),INDIRECT(P$1&amp;"!$a1:$a10000")=汇总!$A9),COUNTIF(INDIRECT(P$1&amp;"!$a1:$a10000"),汇总!$A9)),P8)</f>
        <v>#VALUE!</v>
      </c>
      <c r="Q9" s="109" t="e" cm="1" vm="2">
        <f t="array" aca="1" ref="Q9" ca="1">IFERROR(INDEX(_xlfn._xlws.FILTER(INDIRECT(Q$1&amp;"!$E1:$E10000"),INDIRECT(Q$1&amp;"!$a1:$a10000")=汇总!$A9),COUNTIF(INDIRECT(Q$1&amp;"!$a1:$a10000"),汇总!$A9)),Q8)</f>
        <v>#VALUE!</v>
      </c>
      <c r="R9" s="109" t="e" cm="1" vm="2">
        <f t="array" aca="1" ref="R9" ca="1">IFERROR(INDEX(_xlfn._xlws.FILTER(INDIRECT(R$1&amp;"!$E1:$E10000"),INDIRECT(R$1&amp;"!$a1:$a10000")=汇总!$A9),COUNTIF(INDIRECT(R$1&amp;"!$a1:$a10000"),汇总!$A9)),R8)</f>
        <v>#VALUE!</v>
      </c>
      <c r="S9" s="109" t="e" cm="1" vm="2">
        <f t="array" aca="1" ref="S9" ca="1">IFERROR(INDEX(_xlfn._xlws.FILTER(INDIRECT(S$1&amp;"!$E1:$E10000"),INDIRECT(S$1&amp;"!$a1:$a10000")=汇总!$A9),COUNTIF(INDIRECT(S$1&amp;"!$a1:$a10000"),汇总!$A9)),S8)</f>
        <v>#VALUE!</v>
      </c>
    </row>
    <row r="10" spans="1:20" hidden="1">
      <c r="A10" s="1">
        <f t="shared" si="0"/>
        <v>46031</v>
      </c>
      <c r="B10" s="109" cm="1">
        <f t="array" aca="1" ref="B10" ca="1">IFERROR(INDEX(_xlfn._xlws.FILTER(INDIRECT(B$1&amp;"!$E1:$E10000"),INDIRECT(B$1&amp;"!$a1:$a10000")=汇总!$A10),COUNTIF(INDIRECT(B$1&amp;"!$a1:$a10000"),汇总!$A10)),B9)</f>
        <v>466</v>
      </c>
      <c r="C10" s="109" cm="1">
        <f t="array" aca="1" ref="C10" ca="1">IFERROR(INDEX(_xlfn._xlws.FILTER(INDIRECT(C$1&amp;"!$E1:$E10000"),INDIRECT(C$1&amp;"!$a1:$a10000")=汇总!$A10),COUNTIF(INDIRECT(C$1&amp;"!$a1:$a10000"),汇总!$A10)),C9)</f>
        <v>2486</v>
      </c>
      <c r="D10" s="109" cm="1">
        <f t="array" aca="1" ref="D10" ca="1">IFERROR(INDEX(_xlfn._xlws.FILTER(INDIRECT(D$1&amp;"!$E1:$E10000"),INDIRECT(D$1&amp;"!$a1:$a10000")=汇总!$A10),COUNTIF(INDIRECT(D$1&amp;"!$a1:$a10000"),汇总!$A10)),D9)</f>
        <v>597</v>
      </c>
      <c r="E10" s="109" cm="1">
        <f t="array" aca="1" ref="E10" ca="1">IFERROR(INDEX(_xlfn._xlws.FILTER(INDIRECT(E$1&amp;"!$E1:$E10000"),INDIRECT(E$1&amp;"!$a1:$a10000")=汇总!$A10),COUNTIF(INDIRECT(E$1&amp;"!$a1:$a10000"),汇总!$A10)),E9)</f>
        <v>1100.2632800000001</v>
      </c>
      <c r="F10" s="109" cm="1">
        <f t="array" aca="1" ref="F10" ca="1">IFERROR(INDEX(_xlfn._xlws.FILTER(INDIRECT(F$1&amp;"!$E1:$E10000"),INDIRECT(F$1&amp;"!$a1:$a10000")=汇总!$A10),COUNTIF(INDIRECT(F$1&amp;"!$a1:$a10000"),汇总!$A10)),F9)</f>
        <v>199.56</v>
      </c>
      <c r="G10" s="109" cm="1">
        <f t="array" aca="1" ref="G10" ca="1">IFERROR(INDEX(_xlfn._xlws.FILTER(INDIRECT(G$1&amp;"!$E1:$E10000"),INDIRECT(G$1&amp;"!$a1:$a10000")=汇总!$A10),COUNTIF(INDIRECT(G$1&amp;"!$a1:$a10000"),汇总!$A10)),G9)</f>
        <v>93.352000000000004</v>
      </c>
      <c r="H10" s="109" cm="1">
        <f t="array" aca="1" ref="H10" ca="1">IFERROR(INDEX(_xlfn._xlws.FILTER(INDIRECT(H$1&amp;"!$E1:$E10000"),INDIRECT(H$1&amp;"!$a1:$a10000")=汇总!$A10),COUNTIF(INDIRECT(H$1&amp;"!$a1:$a10000"),汇总!$A10)),H9)</f>
        <v>48.700000000000045</v>
      </c>
      <c r="I10" s="109" cm="1">
        <f t="array" aca="1" ref="I10" ca="1">IFERROR(INDEX(_xlfn._xlws.FILTER(INDIRECT(I$1&amp;"!$E1:$E10000"),INDIRECT(I$1&amp;"!$a1:$a10000")=汇总!$A10),COUNTIF(INDIRECT(I$1&amp;"!$a1:$a10000"),汇总!$A10)),I9)</f>
        <v>11</v>
      </c>
      <c r="J10" s="109" cm="1">
        <f t="array" aca="1" ref="J10" ca="1">IFERROR(INDEX(_xlfn._xlws.FILTER(INDIRECT(J$1&amp;"!$E1:$E10000"),INDIRECT(J$1&amp;"!$a1:$a10000")=汇总!$A10),COUNTIF(INDIRECT(J$1&amp;"!$a1:$a10000"),汇总!$A10)),J9)</f>
        <v>876</v>
      </c>
      <c r="K10" s="109" cm="1">
        <f t="array" aca="1" ref="K10" ca="1">IFERROR(INDEX(_xlfn._xlws.FILTER(INDIRECT(K$1&amp;"!$E1:$E10000"),INDIRECT(K$1&amp;"!$a1:$a10000")=汇总!$A10),COUNTIF(INDIRECT(K$1&amp;"!$a1:$a10000"),汇总!$A10)),K9)</f>
        <v>6.9200000000000159</v>
      </c>
      <c r="L10" s="109" cm="1">
        <f t="array" aca="1" ref="L10" ca="1">IFERROR(INDEX(_xlfn._xlws.FILTER(INDIRECT(L$1&amp;"!$E1:$E10000"),INDIRECT(L$1&amp;"!$a1:$a10000")=汇总!$A10),COUNTIF(INDIRECT(L$1&amp;"!$a1:$a10000"),汇总!$A10)),L9)</f>
        <v>1184</v>
      </c>
      <c r="M10" s="109" cm="1">
        <f t="array" aca="1" ref="M10" ca="1">IFERROR(INDEX(_xlfn._xlws.FILTER(INDIRECT(M$1&amp;"!$E1:$E10000"),INDIRECT(M$1&amp;"!$a1:$a10000")=汇总!$A10),COUNTIF(INDIRECT(M$1&amp;"!$a1:$a10000"),汇总!$A10)),M9)</f>
        <v>1082.6500000000001</v>
      </c>
      <c r="N10" s="109" cm="1">
        <f t="array" aca="1" ref="N10" ca="1">IFERROR(INDEX(_xlfn._xlws.FILTER(INDIRECT(N$1&amp;"!$E1:$E10000"),INDIRECT(N$1&amp;"!$a1:$a10000")=汇总!$A10),COUNTIF(INDIRECT(N$1&amp;"!$a1:$a10000"),汇总!$A10)),N9)</f>
        <v>436</v>
      </c>
      <c r="O10" s="109" t="e" cm="1" vm="2">
        <f t="array" aca="1" ref="O10" ca="1">IFERROR(INDEX(_xlfn._xlws.FILTER(INDIRECT(O$1&amp;"!$E1:$E10000"),INDIRECT(O$1&amp;"!$a1:$a10000")=汇总!$A10),COUNTIF(INDIRECT(O$1&amp;"!$a1:$a10000"),汇总!$A10)),O9)</f>
        <v>#VALUE!</v>
      </c>
      <c r="P10" s="109" t="e" cm="1" vm="2">
        <f t="array" aca="1" ref="P10" ca="1">IFERROR(INDEX(_xlfn._xlws.FILTER(INDIRECT(P$1&amp;"!$E1:$E10000"),INDIRECT(P$1&amp;"!$a1:$a10000")=汇总!$A10),COUNTIF(INDIRECT(P$1&amp;"!$a1:$a10000"),汇总!$A10)),P9)</f>
        <v>#VALUE!</v>
      </c>
      <c r="Q10" s="109" t="e" cm="1" vm="2">
        <f t="array" aca="1" ref="Q10" ca="1">IFERROR(INDEX(_xlfn._xlws.FILTER(INDIRECT(Q$1&amp;"!$E1:$E10000"),INDIRECT(Q$1&amp;"!$a1:$a10000")=汇总!$A10),COUNTIF(INDIRECT(Q$1&amp;"!$a1:$a10000"),汇总!$A10)),Q9)</f>
        <v>#VALUE!</v>
      </c>
      <c r="R10" s="109" t="e" cm="1" vm="2">
        <f t="array" aca="1" ref="R10" ca="1">IFERROR(INDEX(_xlfn._xlws.FILTER(INDIRECT(R$1&amp;"!$E1:$E10000"),INDIRECT(R$1&amp;"!$a1:$a10000")=汇总!$A10),COUNTIF(INDIRECT(R$1&amp;"!$a1:$a10000"),汇总!$A10)),R9)</f>
        <v>#VALUE!</v>
      </c>
      <c r="S10" s="109" t="e" cm="1" vm="2">
        <f t="array" aca="1" ref="S10" ca="1">IFERROR(INDEX(_xlfn._xlws.FILTER(INDIRECT(S$1&amp;"!$E1:$E10000"),INDIRECT(S$1&amp;"!$a1:$a10000")=汇总!$A10),COUNTIF(INDIRECT(S$1&amp;"!$a1:$a10000"),汇总!$A10)),S9)</f>
        <v>#VALUE!</v>
      </c>
    </row>
    <row r="11" spans="1:20" hidden="1">
      <c r="A11" s="1">
        <f t="shared" si="0"/>
        <v>46032</v>
      </c>
      <c r="B11" s="109" cm="1">
        <f t="array" aca="1" ref="B11" ca="1">IFERROR(INDEX(_xlfn._xlws.FILTER(INDIRECT(B$1&amp;"!$E1:$E10000"),INDIRECT(B$1&amp;"!$a1:$a10000")=汇总!$A11),COUNTIF(INDIRECT(B$1&amp;"!$a1:$a10000"),汇总!$A11)),B10)</f>
        <v>466</v>
      </c>
      <c r="C11" s="109" cm="1">
        <f t="array" aca="1" ref="C11" ca="1">IFERROR(INDEX(_xlfn._xlws.FILTER(INDIRECT(C$1&amp;"!$E1:$E10000"),INDIRECT(C$1&amp;"!$a1:$a10000")=汇总!$A11),COUNTIF(INDIRECT(C$1&amp;"!$a1:$a10000"),汇总!$A11)),C10)</f>
        <v>2486</v>
      </c>
      <c r="D11" s="109" cm="1">
        <f t="array" aca="1" ref="D11" ca="1">IFERROR(INDEX(_xlfn._xlws.FILTER(INDIRECT(D$1&amp;"!$E1:$E10000"),INDIRECT(D$1&amp;"!$a1:$a10000")=汇总!$A11),COUNTIF(INDIRECT(D$1&amp;"!$a1:$a10000"),汇总!$A11)),D10)</f>
        <v>597</v>
      </c>
      <c r="E11" s="109" cm="1">
        <f t="array" aca="1" ref="E11" ca="1">IFERROR(INDEX(_xlfn._xlws.FILTER(INDIRECT(E$1&amp;"!$E1:$E10000"),INDIRECT(E$1&amp;"!$a1:$a10000")=汇总!$A11),COUNTIF(INDIRECT(E$1&amp;"!$a1:$a10000"),汇总!$A11)),E10)</f>
        <v>1100.2632800000001</v>
      </c>
      <c r="F11" s="109" cm="1">
        <f t="array" aca="1" ref="F11" ca="1">IFERROR(INDEX(_xlfn._xlws.FILTER(INDIRECT(F$1&amp;"!$E1:$E10000"),INDIRECT(F$1&amp;"!$a1:$a10000")=汇总!$A11),COUNTIF(INDIRECT(F$1&amp;"!$a1:$a10000"),汇总!$A11)),F10)</f>
        <v>199.56</v>
      </c>
      <c r="G11" s="109" cm="1">
        <f t="array" aca="1" ref="G11" ca="1">IFERROR(INDEX(_xlfn._xlws.FILTER(INDIRECT(G$1&amp;"!$E1:$E10000"),INDIRECT(G$1&amp;"!$a1:$a10000")=汇总!$A11),COUNTIF(INDIRECT(G$1&amp;"!$a1:$a10000"),汇总!$A11)),G10)</f>
        <v>93.352000000000004</v>
      </c>
      <c r="H11" s="109" cm="1">
        <f t="array" aca="1" ref="H11" ca="1">IFERROR(INDEX(_xlfn._xlws.FILTER(INDIRECT(H$1&amp;"!$E1:$E10000"),INDIRECT(H$1&amp;"!$a1:$a10000")=汇总!$A11),COUNTIF(INDIRECT(H$1&amp;"!$a1:$a10000"),汇总!$A11)),H10)</f>
        <v>48.700000000000045</v>
      </c>
      <c r="I11" s="109" cm="1">
        <f t="array" aca="1" ref="I11" ca="1">IFERROR(INDEX(_xlfn._xlws.FILTER(INDIRECT(I$1&amp;"!$E1:$E10000"),INDIRECT(I$1&amp;"!$a1:$a10000")=汇总!$A11),COUNTIF(INDIRECT(I$1&amp;"!$a1:$a10000"),汇总!$A11)),I10)</f>
        <v>11</v>
      </c>
      <c r="J11" s="109" cm="1">
        <f t="array" aca="1" ref="J11" ca="1">IFERROR(INDEX(_xlfn._xlws.FILTER(INDIRECT(J$1&amp;"!$E1:$E10000"),INDIRECT(J$1&amp;"!$a1:$a10000")=汇总!$A11),COUNTIF(INDIRECT(J$1&amp;"!$a1:$a10000"),汇总!$A11)),J10)</f>
        <v>876</v>
      </c>
      <c r="K11" s="109" cm="1">
        <f t="array" aca="1" ref="K11" ca="1">IFERROR(INDEX(_xlfn._xlws.FILTER(INDIRECT(K$1&amp;"!$E1:$E10000"),INDIRECT(K$1&amp;"!$a1:$a10000")=汇总!$A11),COUNTIF(INDIRECT(K$1&amp;"!$a1:$a10000"),汇总!$A11)),K10)</f>
        <v>6.9200000000000159</v>
      </c>
      <c r="L11" s="109" cm="1">
        <f t="array" aca="1" ref="L11" ca="1">IFERROR(INDEX(_xlfn._xlws.FILTER(INDIRECT(L$1&amp;"!$E1:$E10000"),INDIRECT(L$1&amp;"!$a1:$a10000")=汇总!$A11),COUNTIF(INDIRECT(L$1&amp;"!$a1:$a10000"),汇总!$A11)),L10)</f>
        <v>1184</v>
      </c>
      <c r="M11" s="109" cm="1">
        <f t="array" aca="1" ref="M11" ca="1">IFERROR(INDEX(_xlfn._xlws.FILTER(INDIRECT(M$1&amp;"!$E1:$E10000"),INDIRECT(M$1&amp;"!$a1:$a10000")=汇总!$A11),COUNTIF(INDIRECT(M$1&amp;"!$a1:$a10000"),汇总!$A11)),M10)</f>
        <v>1082.6500000000001</v>
      </c>
      <c r="N11" s="109" cm="1">
        <f t="array" aca="1" ref="N11" ca="1">IFERROR(INDEX(_xlfn._xlws.FILTER(INDIRECT(N$1&amp;"!$E1:$E10000"),INDIRECT(N$1&amp;"!$a1:$a10000")=汇总!$A11),COUNTIF(INDIRECT(N$1&amp;"!$a1:$a10000"),汇总!$A11)),N10)</f>
        <v>436</v>
      </c>
      <c r="O11" s="109" t="e" cm="1" vm="2">
        <f t="array" aca="1" ref="O11" ca="1">IFERROR(INDEX(_xlfn._xlws.FILTER(INDIRECT(O$1&amp;"!$E1:$E10000"),INDIRECT(O$1&amp;"!$a1:$a10000")=汇总!$A11),COUNTIF(INDIRECT(O$1&amp;"!$a1:$a10000"),汇总!$A11)),O10)</f>
        <v>#VALUE!</v>
      </c>
      <c r="P11" s="109" t="e" cm="1" vm="2">
        <f t="array" aca="1" ref="P11" ca="1">IFERROR(INDEX(_xlfn._xlws.FILTER(INDIRECT(P$1&amp;"!$E1:$E10000"),INDIRECT(P$1&amp;"!$a1:$a10000")=汇总!$A11),COUNTIF(INDIRECT(P$1&amp;"!$a1:$a10000"),汇总!$A11)),P10)</f>
        <v>#VALUE!</v>
      </c>
      <c r="Q11" s="109" t="e" cm="1" vm="2">
        <f t="array" aca="1" ref="Q11" ca="1">IFERROR(INDEX(_xlfn._xlws.FILTER(INDIRECT(Q$1&amp;"!$E1:$E10000"),INDIRECT(Q$1&amp;"!$a1:$a10000")=汇总!$A11),COUNTIF(INDIRECT(Q$1&amp;"!$a1:$a10000"),汇总!$A11)),Q10)</f>
        <v>#VALUE!</v>
      </c>
      <c r="R11" s="109" t="e" cm="1" vm="2">
        <f t="array" aca="1" ref="R11" ca="1">IFERROR(INDEX(_xlfn._xlws.FILTER(INDIRECT(R$1&amp;"!$E1:$E10000"),INDIRECT(R$1&amp;"!$a1:$a10000")=汇总!$A11),COUNTIF(INDIRECT(R$1&amp;"!$a1:$a10000"),汇总!$A11)),R10)</f>
        <v>#VALUE!</v>
      </c>
      <c r="S11" s="109" t="e" cm="1" vm="2">
        <f t="array" aca="1" ref="S11" ca="1">IFERROR(INDEX(_xlfn._xlws.FILTER(INDIRECT(S$1&amp;"!$E1:$E10000"),INDIRECT(S$1&amp;"!$a1:$a10000")=汇总!$A11),COUNTIF(INDIRECT(S$1&amp;"!$a1:$a10000"),汇总!$A11)),S10)</f>
        <v>#VALUE!</v>
      </c>
    </row>
    <row r="12" spans="1:20" hidden="1">
      <c r="A12" s="1">
        <f t="shared" si="0"/>
        <v>46033</v>
      </c>
      <c r="B12" s="109" cm="1">
        <f t="array" aca="1" ref="B12" ca="1">IFERROR(INDEX(_xlfn._xlws.FILTER(INDIRECT(B$1&amp;"!$E1:$E10000"),INDIRECT(B$1&amp;"!$a1:$a10000")=汇总!$A12),COUNTIF(INDIRECT(B$1&amp;"!$a1:$a10000"),汇总!$A12)),B11)</f>
        <v>466</v>
      </c>
      <c r="C12" s="109" cm="1">
        <f t="array" aca="1" ref="C12" ca="1">IFERROR(INDEX(_xlfn._xlws.FILTER(INDIRECT(C$1&amp;"!$E1:$E10000"),INDIRECT(C$1&amp;"!$a1:$a10000")=汇总!$A12),COUNTIF(INDIRECT(C$1&amp;"!$a1:$a10000"),汇总!$A12)),C11)</f>
        <v>2486</v>
      </c>
      <c r="D12" s="109" cm="1">
        <f t="array" aca="1" ref="D12" ca="1">IFERROR(INDEX(_xlfn._xlws.FILTER(INDIRECT(D$1&amp;"!$E1:$E10000"),INDIRECT(D$1&amp;"!$a1:$a10000")=汇总!$A12),COUNTIF(INDIRECT(D$1&amp;"!$a1:$a10000"),汇总!$A12)),D11)</f>
        <v>597</v>
      </c>
      <c r="E12" s="109" cm="1">
        <f t="array" aca="1" ref="E12" ca="1">IFERROR(INDEX(_xlfn._xlws.FILTER(INDIRECT(E$1&amp;"!$E1:$E10000"),INDIRECT(E$1&amp;"!$a1:$a10000")=汇总!$A12),COUNTIF(INDIRECT(E$1&amp;"!$a1:$a10000"),汇总!$A12)),E11)</f>
        <v>1100.2632800000001</v>
      </c>
      <c r="F12" s="109" cm="1">
        <f t="array" aca="1" ref="F12" ca="1">IFERROR(INDEX(_xlfn._xlws.FILTER(INDIRECT(F$1&amp;"!$E1:$E10000"),INDIRECT(F$1&amp;"!$a1:$a10000")=汇总!$A12),COUNTIF(INDIRECT(F$1&amp;"!$a1:$a10000"),汇总!$A12)),F11)</f>
        <v>199.56</v>
      </c>
      <c r="G12" s="109" cm="1">
        <f t="array" aca="1" ref="G12" ca="1">IFERROR(INDEX(_xlfn._xlws.FILTER(INDIRECT(G$1&amp;"!$E1:$E10000"),INDIRECT(G$1&amp;"!$a1:$a10000")=汇总!$A12),COUNTIF(INDIRECT(G$1&amp;"!$a1:$a10000"),汇总!$A12)),G11)</f>
        <v>93.352000000000004</v>
      </c>
      <c r="H12" s="109" cm="1">
        <f t="array" aca="1" ref="H12" ca="1">IFERROR(INDEX(_xlfn._xlws.FILTER(INDIRECT(H$1&amp;"!$E1:$E10000"),INDIRECT(H$1&amp;"!$a1:$a10000")=汇总!$A12),COUNTIF(INDIRECT(H$1&amp;"!$a1:$a10000"),汇总!$A12)),H11)</f>
        <v>48.700000000000045</v>
      </c>
      <c r="I12" s="109" cm="1">
        <f t="array" aca="1" ref="I12" ca="1">IFERROR(INDEX(_xlfn._xlws.FILTER(INDIRECT(I$1&amp;"!$E1:$E10000"),INDIRECT(I$1&amp;"!$a1:$a10000")=汇总!$A12),COUNTIF(INDIRECT(I$1&amp;"!$a1:$a10000"),汇总!$A12)),I11)</f>
        <v>11</v>
      </c>
      <c r="J12" s="109" cm="1">
        <f t="array" aca="1" ref="J12" ca="1">IFERROR(INDEX(_xlfn._xlws.FILTER(INDIRECT(J$1&amp;"!$E1:$E10000"),INDIRECT(J$1&amp;"!$a1:$a10000")=汇总!$A12),COUNTIF(INDIRECT(J$1&amp;"!$a1:$a10000"),汇总!$A12)),J11)</f>
        <v>876</v>
      </c>
      <c r="K12" s="109" cm="1">
        <f t="array" aca="1" ref="K12" ca="1">IFERROR(INDEX(_xlfn._xlws.FILTER(INDIRECT(K$1&amp;"!$E1:$E10000"),INDIRECT(K$1&amp;"!$a1:$a10000")=汇总!$A12),COUNTIF(INDIRECT(K$1&amp;"!$a1:$a10000"),汇总!$A12)),K11)</f>
        <v>6.9200000000000159</v>
      </c>
      <c r="L12" s="109" cm="1">
        <f t="array" aca="1" ref="L12" ca="1">IFERROR(INDEX(_xlfn._xlws.FILTER(INDIRECT(L$1&amp;"!$E1:$E10000"),INDIRECT(L$1&amp;"!$a1:$a10000")=汇总!$A12),COUNTIF(INDIRECT(L$1&amp;"!$a1:$a10000"),汇总!$A12)),L11)</f>
        <v>1184</v>
      </c>
      <c r="M12" s="109" cm="1">
        <f t="array" aca="1" ref="M12" ca="1">IFERROR(INDEX(_xlfn._xlws.FILTER(INDIRECT(M$1&amp;"!$E1:$E10000"),INDIRECT(M$1&amp;"!$a1:$a10000")=汇总!$A12),COUNTIF(INDIRECT(M$1&amp;"!$a1:$a10000"),汇总!$A12)),M11)</f>
        <v>1082.6500000000001</v>
      </c>
      <c r="N12" s="109" cm="1">
        <f t="array" aca="1" ref="N12" ca="1">IFERROR(INDEX(_xlfn._xlws.FILTER(INDIRECT(N$1&amp;"!$E1:$E10000"),INDIRECT(N$1&amp;"!$a1:$a10000")=汇总!$A12),COUNTIF(INDIRECT(N$1&amp;"!$a1:$a10000"),汇总!$A12)),N11)</f>
        <v>436</v>
      </c>
      <c r="O12" s="109" t="e" cm="1" vm="2">
        <f t="array" aca="1" ref="O12" ca="1">IFERROR(INDEX(_xlfn._xlws.FILTER(INDIRECT(O$1&amp;"!$E1:$E10000"),INDIRECT(O$1&amp;"!$a1:$a10000")=汇总!$A12),COUNTIF(INDIRECT(O$1&amp;"!$a1:$a10000"),汇总!$A12)),O11)</f>
        <v>#VALUE!</v>
      </c>
      <c r="P12" s="109" t="e" cm="1" vm="2">
        <f t="array" aca="1" ref="P12" ca="1">IFERROR(INDEX(_xlfn._xlws.FILTER(INDIRECT(P$1&amp;"!$E1:$E10000"),INDIRECT(P$1&amp;"!$a1:$a10000")=汇总!$A12),COUNTIF(INDIRECT(P$1&amp;"!$a1:$a10000"),汇总!$A12)),P11)</f>
        <v>#VALUE!</v>
      </c>
      <c r="Q12" s="109" t="e" cm="1" vm="2">
        <f t="array" aca="1" ref="Q12" ca="1">IFERROR(INDEX(_xlfn._xlws.FILTER(INDIRECT(Q$1&amp;"!$E1:$E10000"),INDIRECT(Q$1&amp;"!$a1:$a10000")=汇总!$A12),COUNTIF(INDIRECT(Q$1&amp;"!$a1:$a10000"),汇总!$A12)),Q11)</f>
        <v>#VALUE!</v>
      </c>
      <c r="R12" s="109" t="e" cm="1" vm="2">
        <f t="array" aca="1" ref="R12" ca="1">IFERROR(INDEX(_xlfn._xlws.FILTER(INDIRECT(R$1&amp;"!$E1:$E10000"),INDIRECT(R$1&amp;"!$a1:$a10000")=汇总!$A12),COUNTIF(INDIRECT(R$1&amp;"!$a1:$a10000"),汇总!$A12)),R11)</f>
        <v>#VALUE!</v>
      </c>
      <c r="S12" s="109" t="e" cm="1" vm="2">
        <f t="array" aca="1" ref="S12" ca="1">IFERROR(INDEX(_xlfn._xlws.FILTER(INDIRECT(S$1&amp;"!$E1:$E10000"),INDIRECT(S$1&amp;"!$a1:$a10000")=汇总!$A12),COUNTIF(INDIRECT(S$1&amp;"!$a1:$a10000"),汇总!$A12)),S11)</f>
        <v>#VALUE!</v>
      </c>
    </row>
    <row r="13" spans="1:20" hidden="1">
      <c r="A13" s="1">
        <f t="shared" si="0"/>
        <v>46034</v>
      </c>
      <c r="B13" s="109" cm="1">
        <f t="array" aca="1" ref="B13" ca="1">IFERROR(INDEX(_xlfn._xlws.FILTER(INDIRECT(B$1&amp;"!$E1:$E10000"),INDIRECT(B$1&amp;"!$a1:$a10000")=汇总!$A13),COUNTIF(INDIRECT(B$1&amp;"!$a1:$a10000"),汇总!$A13)),B12)</f>
        <v>764.5</v>
      </c>
      <c r="C13" s="109" cm="1">
        <f t="array" aca="1" ref="C13" ca="1">IFERROR(INDEX(_xlfn._xlws.FILTER(INDIRECT(C$1&amp;"!$E1:$E10000"),INDIRECT(C$1&amp;"!$a1:$a10000")=汇总!$A13),COUNTIF(INDIRECT(C$1&amp;"!$a1:$a10000"),汇总!$A13)),C12)</f>
        <v>258</v>
      </c>
      <c r="D13" s="109" cm="1">
        <f t="array" aca="1" ref="D13" ca="1">IFERROR(INDEX(_xlfn._xlws.FILTER(INDIRECT(D$1&amp;"!$E1:$E10000"),INDIRECT(D$1&amp;"!$a1:$a10000")=汇总!$A13),COUNTIF(INDIRECT(D$1&amp;"!$a1:$a10000"),汇总!$A13)),D12)</f>
        <v>173.75875000000002</v>
      </c>
      <c r="E13" s="109" cm="1">
        <f t="array" aca="1" ref="E13" ca="1">IFERROR(INDEX(_xlfn._xlws.FILTER(INDIRECT(E$1&amp;"!$E1:$E10000"),INDIRECT(E$1&amp;"!$a1:$a10000")=汇总!$A13),COUNTIF(INDIRECT(E$1&amp;"!$a1:$a10000"),汇总!$A13)),E12)</f>
        <v>1100.2632800000001</v>
      </c>
      <c r="F13" s="109" cm="1">
        <f t="array" aca="1" ref="F13" ca="1">IFERROR(INDEX(_xlfn._xlws.FILTER(INDIRECT(F$1&amp;"!$E1:$E10000"),INDIRECT(F$1&amp;"!$a1:$a10000")=汇总!$A13),COUNTIF(INDIRECT(F$1&amp;"!$a1:$a10000"),汇总!$A13)),F12)</f>
        <v>204.71</v>
      </c>
      <c r="G13" s="109" cm="1">
        <f t="array" aca="1" ref="G13" ca="1">IFERROR(INDEX(_xlfn._xlws.FILTER(INDIRECT(G$1&amp;"!$E1:$E10000"),INDIRECT(G$1&amp;"!$a1:$a10000")=汇总!$A13),COUNTIF(INDIRECT(G$1&amp;"!$a1:$a10000"),汇总!$A13)),G12)</f>
        <v>93.352000000000004</v>
      </c>
      <c r="H13" s="109" cm="1">
        <f t="array" aca="1" ref="H13" ca="1">IFERROR(INDEX(_xlfn._xlws.FILTER(INDIRECT(H$1&amp;"!$E1:$E10000"),INDIRECT(H$1&amp;"!$a1:$a10000")=汇总!$A13),COUNTIF(INDIRECT(H$1&amp;"!$a1:$a10000"),汇总!$A13)),H12)</f>
        <v>48.700000000000045</v>
      </c>
      <c r="I13" s="109" cm="1">
        <f t="array" aca="1" ref="I13" ca="1">IFERROR(INDEX(_xlfn._xlws.FILTER(INDIRECT(I$1&amp;"!$E1:$E10000"),INDIRECT(I$1&amp;"!$a1:$a10000")=汇总!$A13),COUNTIF(INDIRECT(I$1&amp;"!$a1:$a10000"),汇总!$A13)),I12)</f>
        <v>11</v>
      </c>
      <c r="J13" s="109" cm="1">
        <f t="array" aca="1" ref="J13" ca="1">IFERROR(INDEX(_xlfn._xlws.FILTER(INDIRECT(J$1&amp;"!$E1:$E10000"),INDIRECT(J$1&amp;"!$a1:$a10000")=汇总!$A13),COUNTIF(INDIRECT(J$1&amp;"!$a1:$a10000"),汇总!$A13)),J12)</f>
        <v>876</v>
      </c>
      <c r="K13" s="109" cm="1">
        <f t="array" aca="1" ref="K13" ca="1">IFERROR(INDEX(_xlfn._xlws.FILTER(INDIRECT(K$1&amp;"!$E1:$E10000"),INDIRECT(K$1&amp;"!$a1:$a10000")=汇总!$A13),COUNTIF(INDIRECT(K$1&amp;"!$a1:$a10000"),汇总!$A13)),K12)</f>
        <v>6.9200000000000159</v>
      </c>
      <c r="L13" s="109" cm="1">
        <f t="array" aca="1" ref="L13" ca="1">IFERROR(INDEX(_xlfn._xlws.FILTER(INDIRECT(L$1&amp;"!$E1:$E10000"),INDIRECT(L$1&amp;"!$a1:$a10000")=汇总!$A13),COUNTIF(INDIRECT(L$1&amp;"!$a1:$a10000"),汇总!$A13)),L12)</f>
        <v>1184</v>
      </c>
      <c r="M13" s="109" cm="1">
        <f t="array" aca="1" ref="M13" ca="1">IFERROR(INDEX(_xlfn._xlws.FILTER(INDIRECT(M$1&amp;"!$E1:$E10000"),INDIRECT(M$1&amp;"!$a1:$a10000")=汇总!$A13),COUNTIF(INDIRECT(M$1&amp;"!$a1:$a10000"),汇总!$A13)),M12)</f>
        <v>76.210000000000036</v>
      </c>
      <c r="N13" s="109" cm="1">
        <f t="array" aca="1" ref="N13" ca="1">IFERROR(INDEX(_xlfn._xlws.FILTER(INDIRECT(N$1&amp;"!$E1:$E10000"),INDIRECT(N$1&amp;"!$a1:$a10000")=汇总!$A13),COUNTIF(INDIRECT(N$1&amp;"!$a1:$a10000"),汇总!$A13)),N12)</f>
        <v>436</v>
      </c>
      <c r="O13" s="109" t="e" cm="1" vm="2">
        <f t="array" aca="1" ref="O13" ca="1">IFERROR(INDEX(_xlfn._xlws.FILTER(INDIRECT(O$1&amp;"!$E1:$E10000"),INDIRECT(O$1&amp;"!$a1:$a10000")=汇总!$A13),COUNTIF(INDIRECT(O$1&amp;"!$a1:$a10000"),汇总!$A13)),O12)</f>
        <v>#VALUE!</v>
      </c>
      <c r="P13" s="109" t="e" cm="1" vm="2">
        <f t="array" aca="1" ref="P13" ca="1">IFERROR(INDEX(_xlfn._xlws.FILTER(INDIRECT(P$1&amp;"!$E1:$E10000"),INDIRECT(P$1&amp;"!$a1:$a10000")=汇总!$A13),COUNTIF(INDIRECT(P$1&amp;"!$a1:$a10000"),汇总!$A13)),P12)</f>
        <v>#VALUE!</v>
      </c>
      <c r="Q13" s="109" t="e" cm="1" vm="2">
        <f t="array" aca="1" ref="Q13" ca="1">IFERROR(INDEX(_xlfn._xlws.FILTER(INDIRECT(Q$1&amp;"!$E1:$E10000"),INDIRECT(Q$1&amp;"!$a1:$a10000")=汇总!$A13),COUNTIF(INDIRECT(Q$1&amp;"!$a1:$a10000"),汇总!$A13)),Q12)</f>
        <v>#VALUE!</v>
      </c>
      <c r="R13" s="109" t="e" cm="1" vm="2">
        <f t="array" aca="1" ref="R13" ca="1">IFERROR(INDEX(_xlfn._xlws.FILTER(INDIRECT(R$1&amp;"!$E1:$E10000"),INDIRECT(R$1&amp;"!$a1:$a10000")=汇总!$A13),COUNTIF(INDIRECT(R$1&amp;"!$a1:$a10000"),汇总!$A13)),R12)</f>
        <v>#VALUE!</v>
      </c>
      <c r="S13" s="109" t="e" cm="1" vm="2">
        <f t="array" aca="1" ref="S13" ca="1">IFERROR(INDEX(_xlfn._xlws.FILTER(INDIRECT(S$1&amp;"!$E1:$E10000"),INDIRECT(S$1&amp;"!$a1:$a10000")=汇总!$A13),COUNTIF(INDIRECT(S$1&amp;"!$a1:$a10000"),汇总!$A13)),S12)</f>
        <v>#VALUE!</v>
      </c>
    </row>
    <row r="14" spans="1:20" hidden="1">
      <c r="A14" s="1">
        <f t="shared" si="0"/>
        <v>46035</v>
      </c>
      <c r="B14" s="109" cm="1">
        <f t="array" aca="1" ref="B14" ca="1">IFERROR(INDEX(_xlfn._xlws.FILTER(INDIRECT(B$1&amp;"!$E1:$E10000"),INDIRECT(B$1&amp;"!$a1:$a10000")=汇总!$A14),COUNTIF(INDIRECT(B$1&amp;"!$a1:$a10000"),汇总!$A14)),B13)</f>
        <v>232.39999999999998</v>
      </c>
      <c r="C14" s="109" cm="1">
        <f t="array" aca="1" ref="C14" ca="1">IFERROR(INDEX(_xlfn._xlws.FILTER(INDIRECT(C$1&amp;"!$E1:$E10000"),INDIRECT(C$1&amp;"!$a1:$a10000")=汇总!$A14),COUNTIF(INDIRECT(C$1&amp;"!$a1:$a10000"),汇总!$A14)),C13)</f>
        <v>708</v>
      </c>
      <c r="D14" s="109" cm="1">
        <f t="array" aca="1" ref="D14" ca="1">IFERROR(INDEX(_xlfn._xlws.FILTER(INDIRECT(D$1&amp;"!$E1:$E10000"),INDIRECT(D$1&amp;"!$a1:$a10000")=汇总!$A14),COUNTIF(INDIRECT(D$1&amp;"!$a1:$a10000"),汇总!$A14)),D13)</f>
        <v>369.02099999999996</v>
      </c>
      <c r="E14" s="109" cm="1">
        <f t="array" aca="1" ref="E14" ca="1">IFERROR(INDEX(_xlfn._xlws.FILTER(INDIRECT(E$1&amp;"!$E1:$E10000"),INDIRECT(E$1&amp;"!$a1:$a10000")=汇总!$A14),COUNTIF(INDIRECT(E$1&amp;"!$a1:$a10000"),汇总!$A14)),E13)</f>
        <v>1100.2632800000001</v>
      </c>
      <c r="F14" s="109" cm="1">
        <f t="array" aca="1" ref="F14" ca="1">IFERROR(INDEX(_xlfn._xlws.FILTER(INDIRECT(F$1&amp;"!$E1:$E10000"),INDIRECT(F$1&amp;"!$a1:$a10000")=汇总!$A14),COUNTIF(INDIRECT(F$1&amp;"!$a1:$a10000"),汇总!$A14)),F13)</f>
        <v>204.71</v>
      </c>
      <c r="G14" s="109" cm="1">
        <f t="array" aca="1" ref="G14" ca="1">IFERROR(INDEX(_xlfn._xlws.FILTER(INDIRECT(G$1&amp;"!$E1:$E10000"),INDIRECT(G$1&amp;"!$a1:$a10000")=汇总!$A14),COUNTIF(INDIRECT(G$1&amp;"!$a1:$a10000"),汇总!$A14)),G13)</f>
        <v>93.352000000000004</v>
      </c>
      <c r="H14" s="109" cm="1">
        <f t="array" aca="1" ref="H14" ca="1">IFERROR(INDEX(_xlfn._xlws.FILTER(INDIRECT(H$1&amp;"!$E1:$E10000"),INDIRECT(H$1&amp;"!$a1:$a10000")=汇总!$A14),COUNTIF(INDIRECT(H$1&amp;"!$a1:$a10000"),汇总!$A14)),H13)</f>
        <v>48.700000000000045</v>
      </c>
      <c r="I14" s="109" cm="1">
        <f t="array" aca="1" ref="I14" ca="1">IFERROR(INDEX(_xlfn._xlws.FILTER(INDIRECT(I$1&amp;"!$E1:$E10000"),INDIRECT(I$1&amp;"!$a1:$a10000")=汇总!$A14),COUNTIF(INDIRECT(I$1&amp;"!$a1:$a10000"),汇总!$A14)),I13)</f>
        <v>11</v>
      </c>
      <c r="J14" s="109" cm="1">
        <f t="array" aca="1" ref="J14" ca="1">IFERROR(INDEX(_xlfn._xlws.FILTER(INDIRECT(J$1&amp;"!$E1:$E10000"),INDIRECT(J$1&amp;"!$a1:$a10000")=汇总!$A14),COUNTIF(INDIRECT(J$1&amp;"!$a1:$a10000"),汇总!$A14)),J13)</f>
        <v>1984</v>
      </c>
      <c r="K14" s="109" cm="1">
        <f t="array" aca="1" ref="K14" ca="1">IFERROR(INDEX(_xlfn._xlws.FILTER(INDIRECT(K$1&amp;"!$E1:$E10000"),INDIRECT(K$1&amp;"!$a1:$a10000")=汇总!$A14),COUNTIF(INDIRECT(K$1&amp;"!$a1:$a10000"),汇总!$A14)),K13)</f>
        <v>6.9200000000000159</v>
      </c>
      <c r="L14" s="109" cm="1">
        <f t="array" aca="1" ref="L14" ca="1">IFERROR(INDEX(_xlfn._xlws.FILTER(INDIRECT(L$1&amp;"!$E1:$E10000"),INDIRECT(L$1&amp;"!$a1:$a10000")=汇总!$A14),COUNTIF(INDIRECT(L$1&amp;"!$a1:$a10000"),汇总!$A14)),L13)</f>
        <v>73</v>
      </c>
      <c r="M14" s="109" cm="1">
        <f t="array" aca="1" ref="M14" ca="1">IFERROR(INDEX(_xlfn._xlws.FILTER(INDIRECT(M$1&amp;"!$E1:$E10000"),INDIRECT(M$1&amp;"!$a1:$a10000")=汇总!$A14),COUNTIF(INDIRECT(M$1&amp;"!$a1:$a10000"),汇总!$A14)),M13)</f>
        <v>76.210000000000036</v>
      </c>
      <c r="N14" s="109" cm="1">
        <f t="array" aca="1" ref="N14" ca="1">IFERROR(INDEX(_xlfn._xlws.FILTER(INDIRECT(N$1&amp;"!$E1:$E10000"),INDIRECT(N$1&amp;"!$a1:$a10000")=汇总!$A14),COUNTIF(INDIRECT(N$1&amp;"!$a1:$a10000"),汇总!$A14)),N13)</f>
        <v>436</v>
      </c>
      <c r="O14" s="109" t="e" cm="1" vm="2">
        <f t="array" aca="1" ref="O14" ca="1">IFERROR(INDEX(_xlfn._xlws.FILTER(INDIRECT(O$1&amp;"!$E1:$E10000"),INDIRECT(O$1&amp;"!$a1:$a10000")=汇总!$A14),COUNTIF(INDIRECT(O$1&amp;"!$a1:$a10000"),汇总!$A14)),O13)</f>
        <v>#VALUE!</v>
      </c>
      <c r="P14" s="109" t="e" cm="1" vm="2">
        <f t="array" aca="1" ref="P14" ca="1">IFERROR(INDEX(_xlfn._xlws.FILTER(INDIRECT(P$1&amp;"!$E1:$E10000"),INDIRECT(P$1&amp;"!$a1:$a10000")=汇总!$A14),COUNTIF(INDIRECT(P$1&amp;"!$a1:$a10000"),汇总!$A14)),P13)</f>
        <v>#VALUE!</v>
      </c>
      <c r="Q14" s="109" t="e" cm="1" vm="2">
        <f t="array" aca="1" ref="Q14" ca="1">IFERROR(INDEX(_xlfn._xlws.FILTER(INDIRECT(Q$1&amp;"!$E1:$E10000"),INDIRECT(Q$1&amp;"!$a1:$a10000")=汇总!$A14),COUNTIF(INDIRECT(Q$1&amp;"!$a1:$a10000"),汇总!$A14)),Q13)</f>
        <v>#VALUE!</v>
      </c>
      <c r="R14" s="109" t="e" cm="1" vm="2">
        <f t="array" aca="1" ref="R14" ca="1">IFERROR(INDEX(_xlfn._xlws.FILTER(INDIRECT(R$1&amp;"!$E1:$E10000"),INDIRECT(R$1&amp;"!$a1:$a10000")=汇总!$A14),COUNTIF(INDIRECT(R$1&amp;"!$a1:$a10000"),汇总!$A14)),R13)</f>
        <v>#VALUE!</v>
      </c>
      <c r="S14" s="109" t="e" cm="1" vm="2">
        <f t="array" aca="1" ref="S14" ca="1">IFERROR(INDEX(_xlfn._xlws.FILTER(INDIRECT(S$1&amp;"!$E1:$E10000"),INDIRECT(S$1&amp;"!$a1:$a10000")=汇总!$A14),COUNTIF(INDIRECT(S$1&amp;"!$a1:$a10000"),汇总!$A14)),S13)</f>
        <v>#VALUE!</v>
      </c>
    </row>
    <row r="15" spans="1:20" hidden="1">
      <c r="A15" s="1">
        <f t="shared" si="0"/>
        <v>46036</v>
      </c>
      <c r="B15" s="109" cm="1">
        <f t="array" aca="1" ref="B15" ca="1">IFERROR(INDEX(_xlfn._xlws.FILTER(INDIRECT(B$1&amp;"!$E1:$E10000"),INDIRECT(B$1&amp;"!$a1:$a10000")=汇总!$A15),COUNTIF(INDIRECT(B$1&amp;"!$a1:$a10000"),汇总!$A15)),B14)</f>
        <v>947.40000000000009</v>
      </c>
      <c r="C15" s="109" cm="1">
        <f t="array" aca="1" ref="C15" ca="1">IFERROR(INDEX(_xlfn._xlws.FILTER(INDIRECT(C$1&amp;"!$E1:$E10000"),INDIRECT(C$1&amp;"!$a1:$a10000")=汇总!$A15),COUNTIF(INDIRECT(C$1&amp;"!$a1:$a10000"),汇总!$A15)),C14)</f>
        <v>708</v>
      </c>
      <c r="D15" s="109" cm="1">
        <f t="array" aca="1" ref="D15" ca="1">IFERROR(INDEX(_xlfn._xlws.FILTER(INDIRECT(D$1&amp;"!$E1:$E10000"),INDIRECT(D$1&amp;"!$a1:$a10000")=汇总!$A15),COUNTIF(INDIRECT(D$1&amp;"!$a1:$a10000"),汇总!$A15)),D14)</f>
        <v>369.02099999999996</v>
      </c>
      <c r="E15" s="109" cm="1">
        <f t="array" aca="1" ref="E15" ca="1">IFERROR(INDEX(_xlfn._xlws.FILTER(INDIRECT(E$1&amp;"!$E1:$E10000"),INDIRECT(E$1&amp;"!$a1:$a10000")=汇总!$A15),COUNTIF(INDIRECT(E$1&amp;"!$a1:$a10000"),汇总!$A15)),E14)</f>
        <v>1005</v>
      </c>
      <c r="F15" s="109" cm="1">
        <f t="array" aca="1" ref="F15" ca="1">IFERROR(INDEX(_xlfn._xlws.FILTER(INDIRECT(F$1&amp;"!$E1:$E10000"),INDIRECT(F$1&amp;"!$a1:$a10000")=汇总!$A15),COUNTIF(INDIRECT(F$1&amp;"!$a1:$a10000"),汇总!$A15)),F14)</f>
        <v>115</v>
      </c>
      <c r="G15" s="109" cm="1">
        <f t="array" aca="1" ref="G15" ca="1">IFERROR(INDEX(_xlfn._xlws.FILTER(INDIRECT(G$1&amp;"!$E1:$E10000"),INDIRECT(G$1&amp;"!$a1:$a10000")=汇总!$A15),COUNTIF(INDIRECT(G$1&amp;"!$a1:$a10000"),汇总!$A15)),G14)</f>
        <v>93.352000000000004</v>
      </c>
      <c r="H15" s="109" cm="1">
        <f t="array" aca="1" ref="H15" ca="1">IFERROR(INDEX(_xlfn._xlws.FILTER(INDIRECT(H$1&amp;"!$E1:$E10000"),INDIRECT(H$1&amp;"!$a1:$a10000")=汇总!$A15),COUNTIF(INDIRECT(H$1&amp;"!$a1:$a10000"),汇总!$A15)),H14)</f>
        <v>48.700000000000045</v>
      </c>
      <c r="I15" s="109" cm="1">
        <f t="array" aca="1" ref="I15" ca="1">IFERROR(INDEX(_xlfn._xlws.FILTER(INDIRECT(I$1&amp;"!$E1:$E10000"),INDIRECT(I$1&amp;"!$a1:$a10000")=汇总!$A15),COUNTIF(INDIRECT(I$1&amp;"!$a1:$a10000"),汇总!$A15)),I14)</f>
        <v>11</v>
      </c>
      <c r="J15" s="109" cm="1">
        <f t="array" aca="1" ref="J15" ca="1">IFERROR(INDEX(_xlfn._xlws.FILTER(INDIRECT(J$1&amp;"!$E1:$E10000"),INDIRECT(J$1&amp;"!$a1:$a10000")=汇总!$A15),COUNTIF(INDIRECT(J$1&amp;"!$a1:$a10000"),汇总!$A15)),J14)</f>
        <v>2.5</v>
      </c>
      <c r="K15" s="109" cm="1">
        <f t="array" aca="1" ref="K15" ca="1">IFERROR(INDEX(_xlfn._xlws.FILTER(INDIRECT(K$1&amp;"!$E1:$E10000"),INDIRECT(K$1&amp;"!$a1:$a10000")=汇总!$A15),COUNTIF(INDIRECT(K$1&amp;"!$a1:$a10000"),汇总!$A15)),K14)</f>
        <v>6.9200000000000159</v>
      </c>
      <c r="L15" s="109" cm="1">
        <f t="array" aca="1" ref="L15" ca="1">IFERROR(INDEX(_xlfn._xlws.FILTER(INDIRECT(L$1&amp;"!$E1:$E10000"),INDIRECT(L$1&amp;"!$a1:$a10000")=汇总!$A15),COUNTIF(INDIRECT(L$1&amp;"!$a1:$a10000"),汇总!$A15)),L14)</f>
        <v>97</v>
      </c>
      <c r="M15" s="109" cm="1">
        <f t="array" aca="1" ref="M15" ca="1">IFERROR(INDEX(_xlfn._xlws.FILTER(INDIRECT(M$1&amp;"!$E1:$E10000"),INDIRECT(M$1&amp;"!$a1:$a10000")=汇总!$A15),COUNTIF(INDIRECT(M$1&amp;"!$a1:$a10000"),汇总!$A15)),M14)</f>
        <v>76.210000000000036</v>
      </c>
      <c r="N15" s="109" cm="1">
        <f t="array" aca="1" ref="N15" ca="1">IFERROR(INDEX(_xlfn._xlws.FILTER(INDIRECT(N$1&amp;"!$E1:$E10000"),INDIRECT(N$1&amp;"!$a1:$a10000")=汇总!$A15),COUNTIF(INDIRECT(N$1&amp;"!$a1:$a10000"),汇总!$A15)),N14)</f>
        <v>436</v>
      </c>
      <c r="O15" s="109" t="e" cm="1" vm="2">
        <f t="array" aca="1" ref="O15" ca="1">IFERROR(INDEX(_xlfn._xlws.FILTER(INDIRECT(O$1&amp;"!$E1:$E10000"),INDIRECT(O$1&amp;"!$a1:$a10000")=汇总!$A15),COUNTIF(INDIRECT(O$1&amp;"!$a1:$a10000"),汇总!$A15)),O14)</f>
        <v>#VALUE!</v>
      </c>
      <c r="P15" s="109" t="e" cm="1" vm="2">
        <f t="array" aca="1" ref="P15" ca="1">IFERROR(INDEX(_xlfn._xlws.FILTER(INDIRECT(P$1&amp;"!$E1:$E10000"),INDIRECT(P$1&amp;"!$a1:$a10000")=汇总!$A15),COUNTIF(INDIRECT(P$1&amp;"!$a1:$a10000"),汇总!$A15)),P14)</f>
        <v>#VALUE!</v>
      </c>
      <c r="Q15" s="109" t="e" cm="1" vm="2">
        <f t="array" aca="1" ref="Q15" ca="1">IFERROR(INDEX(_xlfn._xlws.FILTER(INDIRECT(Q$1&amp;"!$E1:$E10000"),INDIRECT(Q$1&amp;"!$a1:$a10000")=汇总!$A15),COUNTIF(INDIRECT(Q$1&amp;"!$a1:$a10000"),汇总!$A15)),Q14)</f>
        <v>#VALUE!</v>
      </c>
      <c r="R15" s="109" t="e" cm="1" vm="2">
        <f t="array" aca="1" ref="R15" ca="1">IFERROR(INDEX(_xlfn._xlws.FILTER(INDIRECT(R$1&amp;"!$E1:$E10000"),INDIRECT(R$1&amp;"!$a1:$a10000")=汇总!$A15),COUNTIF(INDIRECT(R$1&amp;"!$a1:$a10000"),汇总!$A15)),R14)</f>
        <v>#VALUE!</v>
      </c>
      <c r="S15" s="109" t="e" cm="1" vm="2">
        <f t="array" aca="1" ref="S15" ca="1">IFERROR(INDEX(_xlfn._xlws.FILTER(INDIRECT(S$1&amp;"!$E1:$E10000"),INDIRECT(S$1&amp;"!$a1:$a10000")=汇总!$A15),COUNTIF(INDIRECT(S$1&amp;"!$a1:$a10000"),汇总!$A15)),S14)</f>
        <v>#VALUE!</v>
      </c>
    </row>
    <row r="16" spans="1:20" hidden="1">
      <c r="A16" s="1">
        <f t="shared" si="0"/>
        <v>46037</v>
      </c>
      <c r="B16" s="109" cm="1">
        <f t="array" aca="1" ref="B16" ca="1">IFERROR(INDEX(_xlfn._xlws.FILTER(INDIRECT(B$1&amp;"!$E1:$E10000"),INDIRECT(B$1&amp;"!$a1:$a10000")=汇总!$A16),COUNTIF(INDIRECT(B$1&amp;"!$a1:$a10000"),汇总!$A16)),B15)</f>
        <v>5870.4</v>
      </c>
      <c r="C16" s="109" cm="1">
        <f t="array" aca="1" ref="C16" ca="1">IFERROR(INDEX(_xlfn._xlws.FILTER(INDIRECT(C$1&amp;"!$E1:$E10000"),INDIRECT(C$1&amp;"!$a1:$a10000")=汇总!$A16),COUNTIF(INDIRECT(C$1&amp;"!$a1:$a10000"),汇总!$A16)),C15)</f>
        <v>925</v>
      </c>
      <c r="D16" s="109" cm="1">
        <f t="array" aca="1" ref="D16" ca="1">IFERROR(INDEX(_xlfn._xlws.FILTER(INDIRECT(D$1&amp;"!$E1:$E10000"),INDIRECT(D$1&amp;"!$a1:$a10000")=汇总!$A16),COUNTIF(INDIRECT(D$1&amp;"!$a1:$a10000"),汇总!$A16)),D15)</f>
        <v>688.02099999999996</v>
      </c>
      <c r="E16" s="109" cm="1">
        <f t="array" aca="1" ref="E16" ca="1">IFERROR(INDEX(_xlfn._xlws.FILTER(INDIRECT(E$1&amp;"!$E1:$E10000"),INDIRECT(E$1&amp;"!$a1:$a10000")=汇总!$A16),COUNTIF(INDIRECT(E$1&amp;"!$a1:$a10000"),汇总!$A16)),E15)</f>
        <v>1008.4</v>
      </c>
      <c r="F16" s="109" cm="1">
        <f t="array" aca="1" ref="F16" ca="1">IFERROR(INDEX(_xlfn._xlws.FILTER(INDIRECT(F$1&amp;"!$E1:$E10000"),INDIRECT(F$1&amp;"!$a1:$a10000")=汇总!$A16),COUNTIF(INDIRECT(F$1&amp;"!$a1:$a10000"),汇总!$A16)),F15)</f>
        <v>9366</v>
      </c>
      <c r="G16" s="109" cm="1">
        <f t="array" aca="1" ref="G16" ca="1">IFERROR(INDEX(_xlfn._xlws.FILTER(INDIRECT(G$1&amp;"!$E1:$E10000"),INDIRECT(G$1&amp;"!$a1:$a10000")=汇总!$A16),COUNTIF(INDIRECT(G$1&amp;"!$a1:$a10000"),汇总!$A16)),G15)</f>
        <v>345</v>
      </c>
      <c r="H16" s="109" cm="1">
        <f t="array" aca="1" ref="H16" ca="1">IFERROR(INDEX(_xlfn._xlws.FILTER(INDIRECT(H$1&amp;"!$E1:$E10000"),INDIRECT(H$1&amp;"!$a1:$a10000")=汇总!$A16),COUNTIF(INDIRECT(H$1&amp;"!$a1:$a10000"),汇总!$A16)),H15)</f>
        <v>48.700000000000045</v>
      </c>
      <c r="I16" s="109" cm="1">
        <f t="array" aca="1" ref="I16" ca="1">IFERROR(INDEX(_xlfn._xlws.FILTER(INDIRECT(I$1&amp;"!$E1:$E10000"),INDIRECT(I$1&amp;"!$a1:$a10000")=汇总!$A16),COUNTIF(INDIRECT(I$1&amp;"!$a1:$a10000"),汇总!$A16)),I15)</f>
        <v>211</v>
      </c>
      <c r="J16" s="109" cm="1">
        <f t="array" aca="1" ref="J16" ca="1">IFERROR(INDEX(_xlfn._xlws.FILTER(INDIRECT(J$1&amp;"!$E1:$E10000"),INDIRECT(J$1&amp;"!$a1:$a10000")=汇总!$A16),COUNTIF(INDIRECT(J$1&amp;"!$a1:$a10000"),汇总!$A16)),J15)</f>
        <v>2.5</v>
      </c>
      <c r="K16" s="109" cm="1">
        <f t="array" aca="1" ref="K16" ca="1">IFERROR(INDEX(_xlfn._xlws.FILTER(INDIRECT(K$1&amp;"!$E1:$E10000"),INDIRECT(K$1&amp;"!$a1:$a10000")=汇总!$A16),COUNTIF(INDIRECT(K$1&amp;"!$a1:$a10000"),汇总!$A16)),K15)</f>
        <v>6.9200000000000159</v>
      </c>
      <c r="L16" s="109" cm="1">
        <f t="array" aca="1" ref="L16" ca="1">IFERROR(INDEX(_xlfn._xlws.FILTER(INDIRECT(L$1&amp;"!$E1:$E10000"),INDIRECT(L$1&amp;"!$a1:$a10000")=汇总!$A16),COUNTIF(INDIRECT(L$1&amp;"!$a1:$a10000"),汇总!$A16)),L15)</f>
        <v>97</v>
      </c>
      <c r="M16" s="109" cm="1">
        <f t="array" aca="1" ref="M16" ca="1">IFERROR(INDEX(_xlfn._xlws.FILTER(INDIRECT(M$1&amp;"!$E1:$E10000"),INDIRECT(M$1&amp;"!$a1:$a10000")=汇总!$A16),COUNTIF(INDIRECT(M$1&amp;"!$a1:$a10000"),汇总!$A16)),M15)</f>
        <v>76.210000000000036</v>
      </c>
      <c r="N16" s="109" cm="1">
        <f t="array" aca="1" ref="N16" ca="1">IFERROR(INDEX(_xlfn._xlws.FILTER(INDIRECT(N$1&amp;"!$E1:$E10000"),INDIRECT(N$1&amp;"!$a1:$a10000")=汇总!$A16),COUNTIF(INDIRECT(N$1&amp;"!$a1:$a10000"),汇总!$A16)),N15)</f>
        <v>5972</v>
      </c>
      <c r="O16" s="109" t="e" cm="1" vm="2">
        <f t="array" aca="1" ref="O16" ca="1">IFERROR(INDEX(_xlfn._xlws.FILTER(INDIRECT(O$1&amp;"!$E1:$E10000"),INDIRECT(O$1&amp;"!$a1:$a10000")=汇总!$A16),COUNTIF(INDIRECT(O$1&amp;"!$a1:$a10000"),汇总!$A16)),O15)</f>
        <v>#VALUE!</v>
      </c>
      <c r="P16" s="109" t="e" cm="1" vm="2">
        <f t="array" aca="1" ref="P16" ca="1">IFERROR(INDEX(_xlfn._xlws.FILTER(INDIRECT(P$1&amp;"!$E1:$E10000"),INDIRECT(P$1&amp;"!$a1:$a10000")=汇总!$A16),COUNTIF(INDIRECT(P$1&amp;"!$a1:$a10000"),汇总!$A16)),P15)</f>
        <v>#VALUE!</v>
      </c>
      <c r="Q16" s="109" t="e" cm="1" vm="2">
        <f t="array" aca="1" ref="Q16" ca="1">IFERROR(INDEX(_xlfn._xlws.FILTER(INDIRECT(Q$1&amp;"!$E1:$E10000"),INDIRECT(Q$1&amp;"!$a1:$a10000")=汇总!$A16),COUNTIF(INDIRECT(Q$1&amp;"!$a1:$a10000"),汇总!$A16)),Q15)</f>
        <v>#VALUE!</v>
      </c>
      <c r="R16" s="109" t="e" cm="1" vm="2">
        <f t="array" aca="1" ref="R16" ca="1">IFERROR(INDEX(_xlfn._xlws.FILTER(INDIRECT(R$1&amp;"!$E1:$E10000"),INDIRECT(R$1&amp;"!$a1:$a10000")=汇总!$A16),COUNTIF(INDIRECT(R$1&amp;"!$a1:$a10000"),汇总!$A16)),R15)</f>
        <v>#VALUE!</v>
      </c>
      <c r="S16" s="109" t="e" cm="1" vm="2">
        <f t="array" aca="1" ref="S16" ca="1">IFERROR(INDEX(_xlfn._xlws.FILTER(INDIRECT(S$1&amp;"!$E1:$E10000"),INDIRECT(S$1&amp;"!$a1:$a10000")=汇总!$A16),COUNTIF(INDIRECT(S$1&amp;"!$a1:$a10000"),汇总!$A16)),S15)</f>
        <v>#VALUE!</v>
      </c>
    </row>
    <row r="17" spans="1:19" hidden="1">
      <c r="A17" s="1">
        <f t="shared" si="0"/>
        <v>46038</v>
      </c>
      <c r="B17" s="109" cm="1">
        <f t="array" aca="1" ref="B17" ca="1">IFERROR(INDEX(_xlfn._xlws.FILTER(INDIRECT(B$1&amp;"!$E1:$E10000"),INDIRECT(B$1&amp;"!$a1:$a10000")=汇总!$A17),COUNTIF(INDIRECT(B$1&amp;"!$a1:$a10000"),汇总!$A17)),B16)</f>
        <v>5132.3999999999996</v>
      </c>
      <c r="C17" s="109" cm="1">
        <f t="array" aca="1" ref="C17" ca="1">IFERROR(INDEX(_xlfn._xlws.FILTER(INDIRECT(C$1&amp;"!$E1:$E10000"),INDIRECT(C$1&amp;"!$a1:$a10000")=汇总!$A17),COUNTIF(INDIRECT(C$1&amp;"!$a1:$a10000"),汇总!$A17)),C16)</f>
        <v>2950</v>
      </c>
      <c r="D17" s="109" cm="1">
        <f t="array" aca="1" ref="D17" ca="1">IFERROR(INDEX(_xlfn._xlws.FILTER(INDIRECT(D$1&amp;"!$E1:$E10000"),INDIRECT(D$1&amp;"!$a1:$a10000")=汇总!$A17),COUNTIF(INDIRECT(D$1&amp;"!$a1:$a10000"),汇总!$A17)),D16)</f>
        <v>934.02099999999996</v>
      </c>
      <c r="E17" s="109" cm="1">
        <f t="array" aca="1" ref="E17" ca="1">IFERROR(INDEX(_xlfn._xlws.FILTER(INDIRECT(E$1&amp;"!$E1:$E10000"),INDIRECT(E$1&amp;"!$a1:$a10000")=汇总!$A17),COUNTIF(INDIRECT(E$1&amp;"!$a1:$a10000"),汇总!$A17)),E16)</f>
        <v>1561.9</v>
      </c>
      <c r="F17" s="109" cm="1">
        <f t="array" aca="1" ref="F17" ca="1">IFERROR(INDEX(_xlfn._xlws.FILTER(INDIRECT(F$1&amp;"!$E1:$E10000"),INDIRECT(F$1&amp;"!$a1:$a10000")=汇总!$A17),COUNTIF(INDIRECT(F$1&amp;"!$a1:$a10000"),汇总!$A17)),F16)</f>
        <v>5260</v>
      </c>
      <c r="G17" s="109" cm="1">
        <f t="array" aca="1" ref="G17" ca="1">IFERROR(INDEX(_xlfn._xlws.FILTER(INDIRECT(G$1&amp;"!$E1:$E10000"),INDIRECT(G$1&amp;"!$a1:$a10000")=汇总!$A17),COUNTIF(INDIRECT(G$1&amp;"!$a1:$a10000"),汇总!$A17)),G16)</f>
        <v>9434</v>
      </c>
      <c r="H17" s="109" cm="1">
        <f t="array" aca="1" ref="H17" ca="1">IFERROR(INDEX(_xlfn._xlws.FILTER(INDIRECT(H$1&amp;"!$E1:$E10000"),INDIRECT(H$1&amp;"!$a1:$a10000")=汇总!$A17),COUNTIF(INDIRECT(H$1&amp;"!$a1:$a10000"),汇总!$A17)),H16)</f>
        <v>1048.7</v>
      </c>
      <c r="I17" s="109" cm="1">
        <f t="array" aca="1" ref="I17" ca="1">IFERROR(INDEX(_xlfn._xlws.FILTER(INDIRECT(I$1&amp;"!$E1:$E10000"),INDIRECT(I$1&amp;"!$a1:$a10000")=汇总!$A17),COUNTIF(INDIRECT(I$1&amp;"!$a1:$a10000"),汇总!$A17)),I16)</f>
        <v>61</v>
      </c>
      <c r="J17" s="109" cm="1">
        <f t="array" aca="1" ref="J17" ca="1">IFERROR(INDEX(_xlfn._xlws.FILTER(INDIRECT(J$1&amp;"!$E1:$E10000"),INDIRECT(J$1&amp;"!$a1:$a10000")=汇总!$A17),COUNTIF(INDIRECT(J$1&amp;"!$a1:$a10000"),汇总!$A17)),J16)</f>
        <v>2.5</v>
      </c>
      <c r="K17" s="109" cm="1">
        <f t="array" aca="1" ref="K17" ca="1">IFERROR(INDEX(_xlfn._xlws.FILTER(INDIRECT(K$1&amp;"!$E1:$E10000"),INDIRECT(K$1&amp;"!$a1:$a10000")=汇总!$A17),COUNTIF(INDIRECT(K$1&amp;"!$a1:$a10000"),汇总!$A17)),K16)</f>
        <v>15.8</v>
      </c>
      <c r="L17" s="109" cm="1">
        <f t="array" aca="1" ref="L17" ca="1">IFERROR(INDEX(_xlfn._xlws.FILTER(INDIRECT(L$1&amp;"!$E1:$E10000"),INDIRECT(L$1&amp;"!$a1:$a10000")=汇总!$A17),COUNTIF(INDIRECT(L$1&amp;"!$a1:$a10000"),汇总!$A17)),L16)</f>
        <v>97</v>
      </c>
      <c r="M17" s="109" cm="1">
        <f t="array" aca="1" ref="M17" ca="1">IFERROR(INDEX(_xlfn._xlws.FILTER(INDIRECT(M$1&amp;"!$E1:$E10000"),INDIRECT(M$1&amp;"!$a1:$a10000")=汇总!$A17),COUNTIF(INDIRECT(M$1&amp;"!$a1:$a10000"),汇总!$A17)),M16)</f>
        <v>429.21000000000004</v>
      </c>
      <c r="N17" s="109" cm="1">
        <f t="array" aca="1" ref="N17" ca="1">IFERROR(INDEX(_xlfn._xlws.FILTER(INDIRECT(N$1&amp;"!$E1:$E10000"),INDIRECT(N$1&amp;"!$a1:$a10000")=汇总!$A17),COUNTIF(INDIRECT(N$1&amp;"!$a1:$a10000"),汇总!$A17)),N16)</f>
        <v>5472</v>
      </c>
      <c r="O17" s="109" t="e" cm="1" vm="2">
        <f t="array" aca="1" ref="O17" ca="1">IFERROR(INDEX(_xlfn._xlws.FILTER(INDIRECT(O$1&amp;"!$E1:$E10000"),INDIRECT(O$1&amp;"!$a1:$a10000")=汇总!$A17),COUNTIF(INDIRECT(O$1&amp;"!$a1:$a10000"),汇总!$A17)),O16)</f>
        <v>#VALUE!</v>
      </c>
      <c r="P17" s="109" t="e" cm="1" vm="2">
        <f t="array" aca="1" ref="P17" ca="1">IFERROR(INDEX(_xlfn._xlws.FILTER(INDIRECT(P$1&amp;"!$E1:$E10000"),INDIRECT(P$1&amp;"!$a1:$a10000")=汇总!$A17),COUNTIF(INDIRECT(P$1&amp;"!$a1:$a10000"),汇总!$A17)),P16)</f>
        <v>#VALUE!</v>
      </c>
      <c r="Q17" s="109" t="e" cm="1" vm="2">
        <f t="array" aca="1" ref="Q17" ca="1">IFERROR(INDEX(_xlfn._xlws.FILTER(INDIRECT(Q$1&amp;"!$E1:$E10000"),INDIRECT(Q$1&amp;"!$a1:$a10000")=汇总!$A17),COUNTIF(INDIRECT(Q$1&amp;"!$a1:$a10000"),汇总!$A17)),Q16)</f>
        <v>#VALUE!</v>
      </c>
      <c r="R17" s="109" t="e" cm="1" vm="2">
        <f t="array" aca="1" ref="R17" ca="1">IFERROR(INDEX(_xlfn._xlws.FILTER(INDIRECT(R$1&amp;"!$E1:$E10000"),INDIRECT(R$1&amp;"!$a1:$a10000")=汇总!$A17),COUNTIF(INDIRECT(R$1&amp;"!$a1:$a10000"),汇总!$A17)),R16)</f>
        <v>#VALUE!</v>
      </c>
      <c r="S17" s="109" t="e" cm="1" vm="2">
        <f t="array" aca="1" ref="S17" ca="1">IFERROR(INDEX(_xlfn._xlws.FILTER(INDIRECT(S$1&amp;"!$E1:$E10000"),INDIRECT(S$1&amp;"!$a1:$a10000")=汇总!$A17),COUNTIF(INDIRECT(S$1&amp;"!$a1:$a10000"),汇总!$A17)),S16)</f>
        <v>#VALUE!</v>
      </c>
    </row>
    <row r="18" spans="1:19" hidden="1">
      <c r="A18" s="1">
        <f t="shared" si="0"/>
        <v>46039</v>
      </c>
      <c r="B18" s="109" cm="1">
        <f t="array" aca="1" ref="B18" ca="1">IFERROR(INDEX(_xlfn._xlws.FILTER(INDIRECT(B$1&amp;"!$E1:$E10000"),INDIRECT(B$1&amp;"!$a1:$a10000")=汇总!$A18),COUNTIF(INDIRECT(B$1&amp;"!$a1:$a10000"),汇总!$A18)),B17)</f>
        <v>5132.3999999999996</v>
      </c>
      <c r="C18" s="109" cm="1">
        <f t="array" aca="1" ref="C18" ca="1">IFERROR(INDEX(_xlfn._xlws.FILTER(INDIRECT(C$1&amp;"!$E1:$E10000"),INDIRECT(C$1&amp;"!$a1:$a10000")=汇总!$A18),COUNTIF(INDIRECT(C$1&amp;"!$a1:$a10000"),汇总!$A18)),C17)</f>
        <v>2950</v>
      </c>
      <c r="D18" s="109" cm="1">
        <f t="array" aca="1" ref="D18" ca="1">IFERROR(INDEX(_xlfn._xlws.FILTER(INDIRECT(D$1&amp;"!$E1:$E10000"),INDIRECT(D$1&amp;"!$a1:$a10000")=汇总!$A18),COUNTIF(INDIRECT(D$1&amp;"!$a1:$a10000"),汇总!$A18)),D17)</f>
        <v>934.02099999999996</v>
      </c>
      <c r="E18" s="109" cm="1">
        <f t="array" aca="1" ref="E18" ca="1">IFERROR(INDEX(_xlfn._xlws.FILTER(INDIRECT(E$1&amp;"!$E1:$E10000"),INDIRECT(E$1&amp;"!$a1:$a10000")=汇总!$A18),COUNTIF(INDIRECT(E$1&amp;"!$a1:$a10000"),汇总!$A18)),E17)</f>
        <v>1561.9</v>
      </c>
      <c r="F18" s="109" cm="1">
        <f t="array" aca="1" ref="F18" ca="1">IFERROR(INDEX(_xlfn._xlws.FILTER(INDIRECT(F$1&amp;"!$E1:$E10000"),INDIRECT(F$1&amp;"!$a1:$a10000")=汇总!$A18),COUNTIF(INDIRECT(F$1&amp;"!$a1:$a10000"),汇总!$A18)),F17)</f>
        <v>5260</v>
      </c>
      <c r="G18" s="109" cm="1">
        <f t="array" aca="1" ref="G18" ca="1">IFERROR(INDEX(_xlfn._xlws.FILTER(INDIRECT(G$1&amp;"!$E1:$E10000"),INDIRECT(G$1&amp;"!$a1:$a10000")=汇总!$A18),COUNTIF(INDIRECT(G$1&amp;"!$a1:$a10000"),汇总!$A18)),G17)</f>
        <v>9434</v>
      </c>
      <c r="H18" s="109" cm="1">
        <f t="array" aca="1" ref="H18" ca="1">IFERROR(INDEX(_xlfn._xlws.FILTER(INDIRECT(H$1&amp;"!$E1:$E10000"),INDIRECT(H$1&amp;"!$a1:$a10000")=汇总!$A18),COUNTIF(INDIRECT(H$1&amp;"!$a1:$a10000"),汇总!$A18)),H17)</f>
        <v>1048.7</v>
      </c>
      <c r="I18" s="109" cm="1">
        <f t="array" aca="1" ref="I18" ca="1">IFERROR(INDEX(_xlfn._xlws.FILTER(INDIRECT(I$1&amp;"!$E1:$E10000"),INDIRECT(I$1&amp;"!$a1:$a10000")=汇总!$A18),COUNTIF(INDIRECT(I$1&amp;"!$a1:$a10000"),汇总!$A18)),I17)</f>
        <v>61</v>
      </c>
      <c r="J18" s="109" cm="1">
        <f t="array" aca="1" ref="J18" ca="1">IFERROR(INDEX(_xlfn._xlws.FILTER(INDIRECT(J$1&amp;"!$E1:$E10000"),INDIRECT(J$1&amp;"!$a1:$a10000")=汇总!$A18),COUNTIF(INDIRECT(J$1&amp;"!$a1:$a10000"),汇总!$A18)),J17)</f>
        <v>2.5</v>
      </c>
      <c r="K18" s="109" cm="1">
        <f t="array" aca="1" ref="K18" ca="1">IFERROR(INDEX(_xlfn._xlws.FILTER(INDIRECT(K$1&amp;"!$E1:$E10000"),INDIRECT(K$1&amp;"!$a1:$a10000")=汇总!$A18),COUNTIF(INDIRECT(K$1&amp;"!$a1:$a10000"),汇总!$A18)),K17)</f>
        <v>15.8</v>
      </c>
      <c r="L18" s="109" cm="1">
        <f t="array" aca="1" ref="L18" ca="1">IFERROR(INDEX(_xlfn._xlws.FILTER(INDIRECT(L$1&amp;"!$E1:$E10000"),INDIRECT(L$1&amp;"!$a1:$a10000")=汇总!$A18),COUNTIF(INDIRECT(L$1&amp;"!$a1:$a10000"),汇总!$A18)),L17)</f>
        <v>97</v>
      </c>
      <c r="M18" s="109" cm="1">
        <f t="array" aca="1" ref="M18" ca="1">IFERROR(INDEX(_xlfn._xlws.FILTER(INDIRECT(M$1&amp;"!$E1:$E10000"),INDIRECT(M$1&amp;"!$a1:$a10000")=汇总!$A18),COUNTIF(INDIRECT(M$1&amp;"!$a1:$a10000"),汇总!$A18)),M17)</f>
        <v>429.21000000000004</v>
      </c>
      <c r="N18" s="109" cm="1">
        <f t="array" aca="1" ref="N18" ca="1">IFERROR(INDEX(_xlfn._xlws.FILTER(INDIRECT(N$1&amp;"!$E1:$E10000"),INDIRECT(N$1&amp;"!$a1:$a10000")=汇总!$A18),COUNTIF(INDIRECT(N$1&amp;"!$a1:$a10000"),汇总!$A18)),N17)</f>
        <v>5472</v>
      </c>
      <c r="O18" s="109" t="e" cm="1" vm="2">
        <f t="array" aca="1" ref="O18" ca="1">IFERROR(INDEX(_xlfn._xlws.FILTER(INDIRECT(O$1&amp;"!$E1:$E10000"),INDIRECT(O$1&amp;"!$a1:$a10000")=汇总!$A18),COUNTIF(INDIRECT(O$1&amp;"!$a1:$a10000"),汇总!$A18)),O17)</f>
        <v>#VALUE!</v>
      </c>
      <c r="P18" s="109" t="e" cm="1" vm="2">
        <f t="array" aca="1" ref="P18" ca="1">IFERROR(INDEX(_xlfn._xlws.FILTER(INDIRECT(P$1&amp;"!$E1:$E10000"),INDIRECT(P$1&amp;"!$a1:$a10000")=汇总!$A18),COUNTIF(INDIRECT(P$1&amp;"!$a1:$a10000"),汇总!$A18)),P17)</f>
        <v>#VALUE!</v>
      </c>
      <c r="Q18" s="109" t="e" cm="1" vm="2">
        <f t="array" aca="1" ref="Q18" ca="1">IFERROR(INDEX(_xlfn._xlws.FILTER(INDIRECT(Q$1&amp;"!$E1:$E10000"),INDIRECT(Q$1&amp;"!$a1:$a10000")=汇总!$A18),COUNTIF(INDIRECT(Q$1&amp;"!$a1:$a10000"),汇总!$A18)),Q17)</f>
        <v>#VALUE!</v>
      </c>
      <c r="R18" s="109" t="e" cm="1" vm="2">
        <f t="array" aca="1" ref="R18" ca="1">IFERROR(INDEX(_xlfn._xlws.FILTER(INDIRECT(R$1&amp;"!$E1:$E10000"),INDIRECT(R$1&amp;"!$a1:$a10000")=汇总!$A18),COUNTIF(INDIRECT(R$1&amp;"!$a1:$a10000"),汇总!$A18)),R17)</f>
        <v>#VALUE!</v>
      </c>
      <c r="S18" s="109" t="e" cm="1" vm="2">
        <f t="array" aca="1" ref="S18" ca="1">IFERROR(INDEX(_xlfn._xlws.FILTER(INDIRECT(S$1&amp;"!$E1:$E10000"),INDIRECT(S$1&amp;"!$a1:$a10000")=汇总!$A18),COUNTIF(INDIRECT(S$1&amp;"!$a1:$a10000"),汇总!$A18)),S17)</f>
        <v>#VALUE!</v>
      </c>
    </row>
    <row r="19" spans="1:19" hidden="1">
      <c r="A19" s="1">
        <f t="shared" si="0"/>
        <v>46040</v>
      </c>
      <c r="B19" s="109" cm="1">
        <f t="array" aca="1" ref="B19" ca="1">IFERROR(INDEX(_xlfn._xlws.FILTER(INDIRECT(B$1&amp;"!$E1:$E10000"),INDIRECT(B$1&amp;"!$a1:$a10000")=汇总!$A19),COUNTIF(INDIRECT(B$1&amp;"!$a1:$a10000"),汇总!$A19)),B18)</f>
        <v>5132.3999999999996</v>
      </c>
      <c r="C19" s="109" cm="1">
        <f t="array" aca="1" ref="C19" ca="1">IFERROR(INDEX(_xlfn._xlws.FILTER(INDIRECT(C$1&amp;"!$E1:$E10000"),INDIRECT(C$1&amp;"!$a1:$a10000")=汇总!$A19),COUNTIF(INDIRECT(C$1&amp;"!$a1:$a10000"),汇总!$A19)),C18)</f>
        <v>2950</v>
      </c>
      <c r="D19" s="109" cm="1">
        <f t="array" aca="1" ref="D19" ca="1">IFERROR(INDEX(_xlfn._xlws.FILTER(INDIRECT(D$1&amp;"!$E1:$E10000"),INDIRECT(D$1&amp;"!$a1:$a10000")=汇总!$A19),COUNTIF(INDIRECT(D$1&amp;"!$a1:$a10000"),汇总!$A19)),D18)</f>
        <v>934.02099999999996</v>
      </c>
      <c r="E19" s="109" cm="1">
        <f t="array" aca="1" ref="E19" ca="1">IFERROR(INDEX(_xlfn._xlws.FILTER(INDIRECT(E$1&amp;"!$E1:$E10000"),INDIRECT(E$1&amp;"!$a1:$a10000")=汇总!$A19),COUNTIF(INDIRECT(E$1&amp;"!$a1:$a10000"),汇总!$A19)),E18)</f>
        <v>1561.9</v>
      </c>
      <c r="F19" s="109" cm="1">
        <f t="array" aca="1" ref="F19" ca="1">IFERROR(INDEX(_xlfn._xlws.FILTER(INDIRECT(F$1&amp;"!$E1:$E10000"),INDIRECT(F$1&amp;"!$a1:$a10000")=汇总!$A19),COUNTIF(INDIRECT(F$1&amp;"!$a1:$a10000"),汇总!$A19)),F18)</f>
        <v>5260</v>
      </c>
      <c r="G19" s="109" cm="1">
        <f t="array" aca="1" ref="G19" ca="1">IFERROR(INDEX(_xlfn._xlws.FILTER(INDIRECT(G$1&amp;"!$E1:$E10000"),INDIRECT(G$1&amp;"!$a1:$a10000")=汇总!$A19),COUNTIF(INDIRECT(G$1&amp;"!$a1:$a10000"),汇总!$A19)),G18)</f>
        <v>9434</v>
      </c>
      <c r="H19" s="109" cm="1">
        <f t="array" aca="1" ref="H19" ca="1">IFERROR(INDEX(_xlfn._xlws.FILTER(INDIRECT(H$1&amp;"!$E1:$E10000"),INDIRECT(H$1&amp;"!$a1:$a10000")=汇总!$A19),COUNTIF(INDIRECT(H$1&amp;"!$a1:$a10000"),汇总!$A19)),H18)</f>
        <v>1048.7</v>
      </c>
      <c r="I19" s="109" cm="1">
        <f t="array" aca="1" ref="I19" ca="1">IFERROR(INDEX(_xlfn._xlws.FILTER(INDIRECT(I$1&amp;"!$E1:$E10000"),INDIRECT(I$1&amp;"!$a1:$a10000")=汇总!$A19),COUNTIF(INDIRECT(I$1&amp;"!$a1:$a10000"),汇总!$A19)),I18)</f>
        <v>61</v>
      </c>
      <c r="J19" s="109" cm="1">
        <f t="array" aca="1" ref="J19" ca="1">IFERROR(INDEX(_xlfn._xlws.FILTER(INDIRECT(J$1&amp;"!$E1:$E10000"),INDIRECT(J$1&amp;"!$a1:$a10000")=汇总!$A19),COUNTIF(INDIRECT(J$1&amp;"!$a1:$a10000"),汇总!$A19)),J18)</f>
        <v>2.5</v>
      </c>
      <c r="K19" s="109" cm="1">
        <f t="array" aca="1" ref="K19" ca="1">IFERROR(INDEX(_xlfn._xlws.FILTER(INDIRECT(K$1&amp;"!$E1:$E10000"),INDIRECT(K$1&amp;"!$a1:$a10000")=汇总!$A19),COUNTIF(INDIRECT(K$1&amp;"!$a1:$a10000"),汇总!$A19)),K18)</f>
        <v>15.8</v>
      </c>
      <c r="L19" s="109" cm="1">
        <f t="array" aca="1" ref="L19" ca="1">IFERROR(INDEX(_xlfn._xlws.FILTER(INDIRECT(L$1&amp;"!$E1:$E10000"),INDIRECT(L$1&amp;"!$a1:$a10000")=汇总!$A19),COUNTIF(INDIRECT(L$1&amp;"!$a1:$a10000"),汇总!$A19)),L18)</f>
        <v>97</v>
      </c>
      <c r="M19" s="109" cm="1">
        <f t="array" aca="1" ref="M19" ca="1">IFERROR(INDEX(_xlfn._xlws.FILTER(INDIRECT(M$1&amp;"!$E1:$E10000"),INDIRECT(M$1&amp;"!$a1:$a10000")=汇总!$A19),COUNTIF(INDIRECT(M$1&amp;"!$a1:$a10000"),汇总!$A19)),M18)</f>
        <v>429.21000000000004</v>
      </c>
      <c r="N19" s="109" cm="1">
        <f t="array" aca="1" ref="N19" ca="1">IFERROR(INDEX(_xlfn._xlws.FILTER(INDIRECT(N$1&amp;"!$E1:$E10000"),INDIRECT(N$1&amp;"!$a1:$a10000")=汇总!$A19),COUNTIF(INDIRECT(N$1&amp;"!$a1:$a10000"),汇总!$A19)),N18)</f>
        <v>5472</v>
      </c>
      <c r="O19" s="109" t="e" cm="1" vm="2">
        <f t="array" aca="1" ref="O19" ca="1">IFERROR(INDEX(_xlfn._xlws.FILTER(INDIRECT(O$1&amp;"!$E1:$E10000"),INDIRECT(O$1&amp;"!$a1:$a10000")=汇总!$A19),COUNTIF(INDIRECT(O$1&amp;"!$a1:$a10000"),汇总!$A19)),O18)</f>
        <v>#VALUE!</v>
      </c>
      <c r="P19" s="109" t="e" cm="1" vm="2">
        <f t="array" aca="1" ref="P19" ca="1">IFERROR(INDEX(_xlfn._xlws.FILTER(INDIRECT(P$1&amp;"!$E1:$E10000"),INDIRECT(P$1&amp;"!$a1:$a10000")=汇总!$A19),COUNTIF(INDIRECT(P$1&amp;"!$a1:$a10000"),汇总!$A19)),P18)</f>
        <v>#VALUE!</v>
      </c>
      <c r="Q19" s="109" t="e" cm="1" vm="2">
        <f t="array" aca="1" ref="Q19" ca="1">IFERROR(INDEX(_xlfn._xlws.FILTER(INDIRECT(Q$1&amp;"!$E1:$E10000"),INDIRECT(Q$1&amp;"!$a1:$a10000")=汇总!$A19),COUNTIF(INDIRECT(Q$1&amp;"!$a1:$a10000"),汇总!$A19)),Q18)</f>
        <v>#VALUE!</v>
      </c>
      <c r="R19" s="109" t="e" cm="1" vm="2">
        <f t="array" aca="1" ref="R19" ca="1">IFERROR(INDEX(_xlfn._xlws.FILTER(INDIRECT(R$1&amp;"!$E1:$E10000"),INDIRECT(R$1&amp;"!$a1:$a10000")=汇总!$A19),COUNTIF(INDIRECT(R$1&amp;"!$a1:$a10000"),汇总!$A19)),R18)</f>
        <v>#VALUE!</v>
      </c>
      <c r="S19" s="109" t="e" cm="1" vm="2">
        <f t="array" aca="1" ref="S19" ca="1">IFERROR(INDEX(_xlfn._xlws.FILTER(INDIRECT(S$1&amp;"!$E1:$E10000"),INDIRECT(S$1&amp;"!$a1:$a10000")=汇总!$A19),COUNTIF(INDIRECT(S$1&amp;"!$a1:$a10000"),汇总!$A19)),S18)</f>
        <v>#VALUE!</v>
      </c>
    </row>
    <row r="20" spans="1:19" hidden="1">
      <c r="A20" s="1">
        <f t="shared" si="0"/>
        <v>46041</v>
      </c>
      <c r="B20" s="109" cm="1">
        <f t="array" aca="1" ref="B20" ca="1">IFERROR(INDEX(_xlfn._xlws.FILTER(INDIRECT(B$1&amp;"!$E1:$E10000"),INDIRECT(B$1&amp;"!$a1:$a10000")=汇总!$A20),COUNTIF(INDIRECT(B$1&amp;"!$a1:$a10000"),汇总!$A20)),B19)</f>
        <v>3446</v>
      </c>
      <c r="C20" s="109" cm="1">
        <f t="array" aca="1" ref="C20" ca="1">IFERROR(INDEX(_xlfn._xlws.FILTER(INDIRECT(C$1&amp;"!$E1:$E10000"),INDIRECT(C$1&amp;"!$a1:$a10000")=汇总!$A20),COUNTIF(INDIRECT(C$1&amp;"!$a1:$a10000"),汇总!$A20)),C19)</f>
        <v>319</v>
      </c>
      <c r="D20" s="109" cm="1">
        <f t="array" aca="1" ref="D20" ca="1">IFERROR(INDEX(_xlfn._xlws.FILTER(INDIRECT(D$1&amp;"!$E1:$E10000"),INDIRECT(D$1&amp;"!$a1:$a10000")=汇总!$A20),COUNTIF(INDIRECT(D$1&amp;"!$a1:$a10000"),汇总!$A20)),D19)</f>
        <v>298</v>
      </c>
      <c r="E20" s="109" cm="1">
        <f t="array" aca="1" ref="E20" ca="1">IFERROR(INDEX(_xlfn._xlws.FILTER(INDIRECT(E$1&amp;"!$E1:$E10000"),INDIRECT(E$1&amp;"!$a1:$a10000")=汇总!$A20),COUNTIF(INDIRECT(E$1&amp;"!$a1:$a10000"),汇总!$A20)),E19)</f>
        <v>556.90000000000009</v>
      </c>
      <c r="F20" s="109" cm="1">
        <f t="array" aca="1" ref="F20" ca="1">IFERROR(INDEX(_xlfn._xlws.FILTER(INDIRECT(F$1&amp;"!$E1:$E10000"),INDIRECT(F$1&amp;"!$a1:$a10000")=汇总!$A20),COUNTIF(INDIRECT(F$1&amp;"!$a1:$a10000"),汇总!$A20)),F19)</f>
        <v>4658</v>
      </c>
      <c r="G20" s="109" cm="1">
        <f t="array" aca="1" ref="G20" ca="1">IFERROR(INDEX(_xlfn._xlws.FILTER(INDIRECT(G$1&amp;"!$E1:$E10000"),INDIRECT(G$1&amp;"!$a1:$a10000")=汇总!$A20),COUNTIF(INDIRECT(G$1&amp;"!$a1:$a10000"),汇总!$A20)),G19)</f>
        <v>6357.5630915753409</v>
      </c>
      <c r="H20" s="109" cm="1">
        <f t="array" aca="1" ref="H20" ca="1">IFERROR(INDEX(_xlfn._xlws.FILTER(INDIRECT(H$1&amp;"!$E1:$E10000"),INDIRECT(H$1&amp;"!$a1:$a10000")=汇总!$A20),COUNTIF(INDIRECT(H$1&amp;"!$a1:$a10000"),汇总!$A20)),H19)</f>
        <v>1048.7</v>
      </c>
      <c r="I20" s="109" cm="1">
        <f t="array" aca="1" ref="I20" ca="1">IFERROR(INDEX(_xlfn._xlws.FILTER(INDIRECT(I$1&amp;"!$E1:$E10000"),INDIRECT(I$1&amp;"!$a1:$a10000")=汇总!$A20),COUNTIF(INDIRECT(I$1&amp;"!$a1:$a10000"),汇总!$A20)),I19)</f>
        <v>61</v>
      </c>
      <c r="J20" s="109" cm="1">
        <f t="array" aca="1" ref="J20" ca="1">IFERROR(INDEX(_xlfn._xlws.FILTER(INDIRECT(J$1&amp;"!$E1:$E10000"),INDIRECT(J$1&amp;"!$a1:$a10000")=汇总!$A20),COUNTIF(INDIRECT(J$1&amp;"!$a1:$a10000"),汇总!$A20)),J19)</f>
        <v>2.5</v>
      </c>
      <c r="K20" s="109" cm="1">
        <f t="array" aca="1" ref="K20" ca="1">IFERROR(INDEX(_xlfn._xlws.FILTER(INDIRECT(K$1&amp;"!$E1:$E10000"),INDIRECT(K$1&amp;"!$a1:$a10000")=汇总!$A20),COUNTIF(INDIRECT(K$1&amp;"!$a1:$a10000"),汇总!$A20)),K19)</f>
        <v>15.8</v>
      </c>
      <c r="L20" s="109" cm="1">
        <f t="array" aca="1" ref="L20" ca="1">IFERROR(INDEX(_xlfn._xlws.FILTER(INDIRECT(L$1&amp;"!$E1:$E10000"),INDIRECT(L$1&amp;"!$a1:$a10000")=汇总!$A20),COUNTIF(INDIRECT(L$1&amp;"!$a1:$a10000"),汇总!$A20)),L19)</f>
        <v>548.55000000000018</v>
      </c>
      <c r="M20" s="109" cm="1">
        <f t="array" aca="1" ref="M20" ca="1">IFERROR(INDEX(_xlfn._xlws.FILTER(INDIRECT(M$1&amp;"!$E1:$E10000"),INDIRECT(M$1&amp;"!$a1:$a10000")=汇总!$A20),COUNTIF(INDIRECT(M$1&amp;"!$a1:$a10000"),汇总!$A20)),M19)</f>
        <v>357</v>
      </c>
      <c r="N20" s="109" cm="1">
        <f t="array" aca="1" ref="N20" ca="1">IFERROR(INDEX(_xlfn._xlws.FILTER(INDIRECT(N$1&amp;"!$E1:$E10000"),INDIRECT(N$1&amp;"!$a1:$a10000")=汇总!$A20),COUNTIF(INDIRECT(N$1&amp;"!$a1:$a10000"),汇总!$A20)),N19)</f>
        <v>5472</v>
      </c>
      <c r="O20" s="109" t="e" cm="1" vm="2">
        <f t="array" aca="1" ref="O20" ca="1">IFERROR(INDEX(_xlfn._xlws.FILTER(INDIRECT(O$1&amp;"!$E1:$E10000"),INDIRECT(O$1&amp;"!$a1:$a10000")=汇总!$A20),COUNTIF(INDIRECT(O$1&amp;"!$a1:$a10000"),汇总!$A20)),O19)</f>
        <v>#VALUE!</v>
      </c>
      <c r="P20" s="109" t="e" cm="1" vm="2">
        <f t="array" aca="1" ref="P20" ca="1">IFERROR(INDEX(_xlfn._xlws.FILTER(INDIRECT(P$1&amp;"!$E1:$E10000"),INDIRECT(P$1&amp;"!$a1:$a10000")=汇总!$A20),COUNTIF(INDIRECT(P$1&amp;"!$a1:$a10000"),汇总!$A20)),P19)</f>
        <v>#VALUE!</v>
      </c>
      <c r="Q20" s="109" t="e" cm="1" vm="2">
        <f t="array" aca="1" ref="Q20" ca="1">IFERROR(INDEX(_xlfn._xlws.FILTER(INDIRECT(Q$1&amp;"!$E1:$E10000"),INDIRECT(Q$1&amp;"!$a1:$a10000")=汇总!$A20),COUNTIF(INDIRECT(Q$1&amp;"!$a1:$a10000"),汇总!$A20)),Q19)</f>
        <v>#VALUE!</v>
      </c>
      <c r="R20" s="109" t="e" cm="1" vm="2">
        <f t="array" aca="1" ref="R20" ca="1">IFERROR(INDEX(_xlfn._xlws.FILTER(INDIRECT(R$1&amp;"!$E1:$E10000"),INDIRECT(R$1&amp;"!$a1:$a10000")=汇总!$A20),COUNTIF(INDIRECT(R$1&amp;"!$a1:$a10000"),汇总!$A20)),R19)</f>
        <v>#VALUE!</v>
      </c>
      <c r="S20" s="109" t="e" cm="1" vm="2">
        <f t="array" aca="1" ref="S20" ca="1">IFERROR(INDEX(_xlfn._xlws.FILTER(INDIRECT(S$1&amp;"!$E1:$E10000"),INDIRECT(S$1&amp;"!$a1:$a10000")=汇总!$A20),COUNTIF(INDIRECT(S$1&amp;"!$a1:$a10000"),汇总!$A20)),S19)</f>
        <v>#VALUE!</v>
      </c>
    </row>
    <row r="21" spans="1:19" hidden="1">
      <c r="A21" s="1">
        <f t="shared" si="0"/>
        <v>46042</v>
      </c>
      <c r="B21" s="109" cm="1">
        <f t="array" aca="1" ref="B21" ca="1">IFERROR(INDEX(_xlfn._xlws.FILTER(INDIRECT(B$1&amp;"!$E1:$E10000"),INDIRECT(B$1&amp;"!$a1:$a10000")=汇总!$A21),COUNTIF(INDIRECT(B$1&amp;"!$a1:$a10000"),汇总!$A21)),B20)</f>
        <v>3446</v>
      </c>
      <c r="C21" s="109" cm="1">
        <f t="array" aca="1" ref="C21" ca="1">IFERROR(INDEX(_xlfn._xlws.FILTER(INDIRECT(C$1&amp;"!$E1:$E10000"),INDIRECT(C$1&amp;"!$a1:$a10000")=汇总!$A21),COUNTIF(INDIRECT(C$1&amp;"!$a1:$a10000"),汇总!$A21)),C20)</f>
        <v>499</v>
      </c>
      <c r="D21" s="109" cm="1">
        <f t="array" aca="1" ref="D21" ca="1">IFERROR(INDEX(_xlfn._xlws.FILTER(INDIRECT(D$1&amp;"!$E1:$E10000"),INDIRECT(D$1&amp;"!$a1:$a10000")=汇总!$A21),COUNTIF(INDIRECT(D$1&amp;"!$a1:$a10000"),汇总!$A21)),D20)</f>
        <v>298</v>
      </c>
      <c r="E21" s="109" cm="1">
        <f t="array" aca="1" ref="E21" ca="1">IFERROR(INDEX(_xlfn._xlws.FILTER(INDIRECT(E$1&amp;"!$E1:$E10000"),INDIRECT(E$1&amp;"!$a1:$a10000")=汇总!$A21),COUNTIF(INDIRECT(E$1&amp;"!$a1:$a10000"),汇总!$A21)),E20)</f>
        <v>231.60000000000008</v>
      </c>
      <c r="F21" s="109" cm="1">
        <f t="array" aca="1" ref="F21" ca="1">IFERROR(INDEX(_xlfn._xlws.FILTER(INDIRECT(F$1&amp;"!$E1:$E10000"),INDIRECT(F$1&amp;"!$a1:$a10000")=汇总!$A21),COUNTIF(INDIRECT(F$1&amp;"!$a1:$a10000"),汇总!$A21)),F20)</f>
        <v>4658</v>
      </c>
      <c r="G21" s="109" cm="1">
        <f t="array" aca="1" ref="G21" ca="1">IFERROR(INDEX(_xlfn._xlws.FILTER(INDIRECT(G$1&amp;"!$E1:$E10000"),INDIRECT(G$1&amp;"!$a1:$a10000")=汇总!$A21),COUNTIF(INDIRECT(G$1&amp;"!$a1:$a10000"),汇总!$A21)),G20)</f>
        <v>6226.6807029671218</v>
      </c>
      <c r="H21" s="109" cm="1">
        <f t="array" aca="1" ref="H21" ca="1">IFERROR(INDEX(_xlfn._xlws.FILTER(INDIRECT(H$1&amp;"!$E1:$E10000"),INDIRECT(H$1&amp;"!$a1:$a10000")=汇总!$A21),COUNTIF(INDIRECT(H$1&amp;"!$a1:$a10000"),汇总!$A21)),H20)</f>
        <v>1048.7</v>
      </c>
      <c r="I21" s="109" cm="1">
        <f t="array" aca="1" ref="I21" ca="1">IFERROR(INDEX(_xlfn._xlws.FILTER(INDIRECT(I$1&amp;"!$E1:$E10000"),INDIRECT(I$1&amp;"!$a1:$a10000")=汇总!$A21),COUNTIF(INDIRECT(I$1&amp;"!$a1:$a10000"),汇总!$A21)),I20)</f>
        <v>161</v>
      </c>
      <c r="J21" s="109" cm="1">
        <f t="array" aca="1" ref="J21" ca="1">IFERROR(INDEX(_xlfn._xlws.FILTER(INDIRECT(J$1&amp;"!$E1:$E10000"),INDIRECT(J$1&amp;"!$a1:$a10000")=汇总!$A21),COUNTIF(INDIRECT(J$1&amp;"!$a1:$a10000"),汇总!$A21)),J20)</f>
        <v>2.5</v>
      </c>
      <c r="K21" s="109" cm="1">
        <f t="array" aca="1" ref="K21" ca="1">IFERROR(INDEX(_xlfn._xlws.FILTER(INDIRECT(K$1&amp;"!$E1:$E10000"),INDIRECT(K$1&amp;"!$a1:$a10000")=汇总!$A21),COUNTIF(INDIRECT(K$1&amp;"!$a1:$a10000"),汇总!$A21)),K20)</f>
        <v>365.8</v>
      </c>
      <c r="L21" s="109" cm="1">
        <f t="array" aca="1" ref="L21" ca="1">IFERROR(INDEX(_xlfn._xlws.FILTER(INDIRECT(L$1&amp;"!$E1:$E10000"),INDIRECT(L$1&amp;"!$a1:$a10000")=汇总!$A21),COUNTIF(INDIRECT(L$1&amp;"!$a1:$a10000"),汇总!$A21)),L20)</f>
        <v>579.25000000000023</v>
      </c>
      <c r="M21" s="109" cm="1">
        <f t="array" aca="1" ref="M21" ca="1">IFERROR(INDEX(_xlfn._xlws.FILTER(INDIRECT(M$1&amp;"!$E1:$E10000"),INDIRECT(M$1&amp;"!$a1:$a10000")=汇总!$A21),COUNTIF(INDIRECT(M$1&amp;"!$a1:$a10000"),汇总!$A21)),M20)</f>
        <v>357</v>
      </c>
      <c r="N21" s="109" cm="1">
        <f t="array" aca="1" ref="N21" ca="1">IFERROR(INDEX(_xlfn._xlws.FILTER(INDIRECT(N$1&amp;"!$E1:$E10000"),INDIRECT(N$1&amp;"!$a1:$a10000")=汇总!$A21),COUNTIF(INDIRECT(N$1&amp;"!$a1:$a10000"),汇总!$A21)),N20)</f>
        <v>5472</v>
      </c>
      <c r="O21" s="109" t="e" cm="1" vm="2">
        <f t="array" aca="1" ref="O21" ca="1">IFERROR(INDEX(_xlfn._xlws.FILTER(INDIRECT(O$1&amp;"!$E1:$E10000"),INDIRECT(O$1&amp;"!$a1:$a10000")=汇总!$A21),COUNTIF(INDIRECT(O$1&amp;"!$a1:$a10000"),汇总!$A21)),O20)</f>
        <v>#VALUE!</v>
      </c>
      <c r="P21" s="109" t="e" cm="1" vm="2">
        <f t="array" aca="1" ref="P21" ca="1">IFERROR(INDEX(_xlfn._xlws.FILTER(INDIRECT(P$1&amp;"!$E1:$E10000"),INDIRECT(P$1&amp;"!$a1:$a10000")=汇总!$A21),COUNTIF(INDIRECT(P$1&amp;"!$a1:$a10000"),汇总!$A21)),P20)</f>
        <v>#VALUE!</v>
      </c>
      <c r="Q21" s="109" t="e" cm="1" vm="2">
        <f t="array" aca="1" ref="Q21" ca="1">IFERROR(INDEX(_xlfn._xlws.FILTER(INDIRECT(Q$1&amp;"!$E1:$E10000"),INDIRECT(Q$1&amp;"!$a1:$a10000")=汇总!$A21),COUNTIF(INDIRECT(Q$1&amp;"!$a1:$a10000"),汇总!$A21)),Q20)</f>
        <v>#VALUE!</v>
      </c>
      <c r="R21" s="109" t="e" cm="1" vm="2">
        <f t="array" aca="1" ref="R21" ca="1">IFERROR(INDEX(_xlfn._xlws.FILTER(INDIRECT(R$1&amp;"!$E1:$E10000"),INDIRECT(R$1&amp;"!$a1:$a10000")=汇总!$A21),COUNTIF(INDIRECT(R$1&amp;"!$a1:$a10000"),汇总!$A21)),R20)</f>
        <v>#VALUE!</v>
      </c>
      <c r="S21" s="109" t="e" cm="1" vm="2">
        <f t="array" aca="1" ref="S21" ca="1">IFERROR(INDEX(_xlfn._xlws.FILTER(INDIRECT(S$1&amp;"!$E1:$E10000"),INDIRECT(S$1&amp;"!$a1:$a10000")=汇总!$A21),COUNTIF(INDIRECT(S$1&amp;"!$a1:$a10000"),汇总!$A21)),S20)</f>
        <v>#VALUE!</v>
      </c>
    </row>
    <row r="22" spans="1:19" hidden="1">
      <c r="A22" s="1">
        <f t="shared" si="0"/>
        <v>46043</v>
      </c>
      <c r="B22" s="109" cm="1">
        <f t="array" aca="1" ref="B22" ca="1">IFERROR(INDEX(_xlfn._xlws.FILTER(INDIRECT(B$1&amp;"!$E1:$E10000"),INDIRECT(B$1&amp;"!$a1:$a10000")=汇总!$A22),COUNTIF(INDIRECT(B$1&amp;"!$a1:$a10000"),汇总!$A22)),B21)</f>
        <v>1909</v>
      </c>
      <c r="C22" s="109" cm="1">
        <f t="array" aca="1" ref="C22" ca="1">IFERROR(INDEX(_xlfn._xlws.FILTER(INDIRECT(C$1&amp;"!$E1:$E10000"),INDIRECT(C$1&amp;"!$a1:$a10000")=汇总!$A22),COUNTIF(INDIRECT(C$1&amp;"!$a1:$a10000"),汇总!$A22)),C21)</f>
        <v>499</v>
      </c>
      <c r="D22" s="109" cm="1">
        <f t="array" aca="1" ref="D22" ca="1">IFERROR(INDEX(_xlfn._xlws.FILTER(INDIRECT(D$1&amp;"!$E1:$E10000"),INDIRECT(D$1&amp;"!$a1:$a10000")=汇总!$A22),COUNTIF(INDIRECT(D$1&amp;"!$a1:$a10000"),汇总!$A22)),D21)</f>
        <v>105.67079999999987</v>
      </c>
      <c r="E22" s="109" cm="1">
        <f t="array" aca="1" ref="E22" ca="1">IFERROR(INDEX(_xlfn._xlws.FILTER(INDIRECT(E$1&amp;"!$E1:$E10000"),INDIRECT(E$1&amp;"!$a1:$a10000")=汇总!$A22),COUNTIF(INDIRECT(E$1&amp;"!$a1:$a10000"),汇总!$A22)),E21)</f>
        <v>231.60000000000008</v>
      </c>
      <c r="F22" s="109" cm="1">
        <f t="array" aca="1" ref="F22" ca="1">IFERROR(INDEX(_xlfn._xlws.FILTER(INDIRECT(F$1&amp;"!$E1:$E10000"),INDIRECT(F$1&amp;"!$a1:$a10000")=汇总!$A22),COUNTIF(INDIRECT(F$1&amp;"!$a1:$a10000"),汇总!$A22)),F21)</f>
        <v>4658</v>
      </c>
      <c r="G22" s="109" cm="1">
        <f t="array" aca="1" ref="G22" ca="1">IFERROR(INDEX(_xlfn._xlws.FILTER(INDIRECT(G$1&amp;"!$E1:$E10000"),INDIRECT(G$1&amp;"!$a1:$a10000")=汇总!$A22),COUNTIF(INDIRECT(G$1&amp;"!$a1:$a10000"),汇总!$A22)),G21)</f>
        <v>6226.6807029671218</v>
      </c>
      <c r="H22" s="109" cm="1">
        <f t="array" aca="1" ref="H22" ca="1">IFERROR(INDEX(_xlfn._xlws.FILTER(INDIRECT(H$1&amp;"!$E1:$E10000"),INDIRECT(H$1&amp;"!$a1:$a10000")=汇总!$A22),COUNTIF(INDIRECT(H$1&amp;"!$a1:$a10000"),汇总!$A22)),H21)</f>
        <v>1048.7</v>
      </c>
      <c r="I22" s="109" cm="1">
        <f t="array" aca="1" ref="I22" ca="1">IFERROR(INDEX(_xlfn._xlws.FILTER(INDIRECT(I$1&amp;"!$E1:$E10000"),INDIRECT(I$1&amp;"!$a1:$a10000")=汇总!$A22),COUNTIF(INDIRECT(I$1&amp;"!$a1:$a10000"),汇总!$A22)),I21)</f>
        <v>161</v>
      </c>
      <c r="J22" s="109" cm="1">
        <f t="array" aca="1" ref="J22" ca="1">IFERROR(INDEX(_xlfn._xlws.FILTER(INDIRECT(J$1&amp;"!$E1:$E10000"),INDIRECT(J$1&amp;"!$a1:$a10000")=汇总!$A22),COUNTIF(INDIRECT(J$1&amp;"!$a1:$a10000"),汇总!$A22)),J21)</f>
        <v>2.5</v>
      </c>
      <c r="K22" s="109" cm="1">
        <f t="array" aca="1" ref="K22" ca="1">IFERROR(INDEX(_xlfn._xlws.FILTER(INDIRECT(K$1&amp;"!$E1:$E10000"),INDIRECT(K$1&amp;"!$a1:$a10000")=汇总!$A22),COUNTIF(INDIRECT(K$1&amp;"!$a1:$a10000"),汇总!$A22)),K21)</f>
        <v>365.8</v>
      </c>
      <c r="L22" s="109" cm="1">
        <f t="array" aca="1" ref="L22" ca="1">IFERROR(INDEX(_xlfn._xlws.FILTER(INDIRECT(L$1&amp;"!$E1:$E10000"),INDIRECT(L$1&amp;"!$a1:$a10000")=汇总!$A22),COUNTIF(INDIRECT(L$1&amp;"!$a1:$a10000"),汇总!$A22)),L21)</f>
        <v>579.25000000000023</v>
      </c>
      <c r="M22" s="109" cm="1">
        <f t="array" aca="1" ref="M22" ca="1">IFERROR(INDEX(_xlfn._xlws.FILTER(INDIRECT(M$1&amp;"!$E1:$E10000"),INDIRECT(M$1&amp;"!$a1:$a10000")=汇总!$A22),COUNTIF(INDIRECT(M$1&amp;"!$a1:$a10000"),汇总!$A22)),M21)</f>
        <v>357</v>
      </c>
      <c r="N22" s="109" cm="1">
        <f t="array" aca="1" ref="N22" ca="1">IFERROR(INDEX(_xlfn._xlws.FILTER(INDIRECT(N$1&amp;"!$E1:$E10000"),INDIRECT(N$1&amp;"!$a1:$a10000")=汇总!$A22),COUNTIF(INDIRECT(N$1&amp;"!$a1:$a10000"),汇总!$A22)),N21)</f>
        <v>5472</v>
      </c>
      <c r="O22" s="109" t="e" cm="1" vm="2">
        <f t="array" aca="1" ref="O22" ca="1">IFERROR(INDEX(_xlfn._xlws.FILTER(INDIRECT(O$1&amp;"!$E1:$E10000"),INDIRECT(O$1&amp;"!$a1:$a10000")=汇总!$A22),COUNTIF(INDIRECT(O$1&amp;"!$a1:$a10000"),汇总!$A22)),O21)</f>
        <v>#VALUE!</v>
      </c>
      <c r="P22" s="109" t="e" cm="1" vm="2">
        <f t="array" aca="1" ref="P22" ca="1">IFERROR(INDEX(_xlfn._xlws.FILTER(INDIRECT(P$1&amp;"!$E1:$E10000"),INDIRECT(P$1&amp;"!$a1:$a10000")=汇总!$A22),COUNTIF(INDIRECT(P$1&amp;"!$a1:$a10000"),汇总!$A22)),P21)</f>
        <v>#VALUE!</v>
      </c>
      <c r="Q22" s="109" t="e" cm="1" vm="2">
        <f t="array" aca="1" ref="Q22" ca="1">IFERROR(INDEX(_xlfn._xlws.FILTER(INDIRECT(Q$1&amp;"!$E1:$E10000"),INDIRECT(Q$1&amp;"!$a1:$a10000")=汇总!$A22),COUNTIF(INDIRECT(Q$1&amp;"!$a1:$a10000"),汇总!$A22)),Q21)</f>
        <v>#VALUE!</v>
      </c>
      <c r="R22" s="109" t="e" cm="1" vm="2">
        <f t="array" aca="1" ref="R22" ca="1">IFERROR(INDEX(_xlfn._xlws.FILTER(INDIRECT(R$1&amp;"!$E1:$E10000"),INDIRECT(R$1&amp;"!$a1:$a10000")=汇总!$A22),COUNTIF(INDIRECT(R$1&amp;"!$a1:$a10000"),汇总!$A22)),R21)</f>
        <v>#VALUE!</v>
      </c>
      <c r="S22" s="109" t="e" cm="1" vm="2">
        <f t="array" aca="1" ref="S22" ca="1">IFERROR(INDEX(_xlfn._xlws.FILTER(INDIRECT(S$1&amp;"!$E1:$E10000"),INDIRECT(S$1&amp;"!$a1:$a10000")=汇总!$A22),COUNTIF(INDIRECT(S$1&amp;"!$a1:$a10000"),汇总!$A22)),S21)</f>
        <v>#VALUE!</v>
      </c>
    </row>
    <row r="23" spans="1:19" hidden="1">
      <c r="A23" s="1">
        <f t="shared" si="0"/>
        <v>46044</v>
      </c>
      <c r="B23" s="109" cm="1">
        <f t="array" aca="1" ref="B23" ca="1">IFERROR(INDEX(_xlfn._xlws.FILTER(INDIRECT(B$1&amp;"!$E1:$E10000"),INDIRECT(B$1&amp;"!$a1:$a10000")=汇总!$A23),COUNTIF(INDIRECT(B$1&amp;"!$a1:$a10000"),汇总!$A23)),B22)</f>
        <v>2912</v>
      </c>
      <c r="C23" s="109" cm="1">
        <f t="array" aca="1" ref="C23" ca="1">IFERROR(INDEX(_xlfn._xlws.FILTER(INDIRECT(C$1&amp;"!$E1:$E10000"),INDIRECT(C$1&amp;"!$a1:$a10000")=汇总!$A23),COUNTIF(INDIRECT(C$1&amp;"!$a1:$a10000"),汇总!$A23)),C22)</f>
        <v>961</v>
      </c>
      <c r="D23" s="109" cm="1">
        <f t="array" aca="1" ref="D23" ca="1">IFERROR(INDEX(_xlfn._xlws.FILTER(INDIRECT(D$1&amp;"!$E1:$E10000"),INDIRECT(D$1&amp;"!$a1:$a10000")=汇总!$A23),COUNTIF(INDIRECT(D$1&amp;"!$a1:$a10000"),汇总!$A23)),D22)</f>
        <v>2310.6707999999999</v>
      </c>
      <c r="E23" s="109" cm="1">
        <f t="array" aca="1" ref="E23" ca="1">IFERROR(INDEX(_xlfn._xlws.FILTER(INDIRECT(E$1&amp;"!$E1:$E10000"),INDIRECT(E$1&amp;"!$a1:$a10000")=汇总!$A23),COUNTIF(INDIRECT(E$1&amp;"!$a1:$a10000"),汇总!$A23)),E22)</f>
        <v>356.60247000000015</v>
      </c>
      <c r="F23" s="109" cm="1">
        <f t="array" aca="1" ref="F23" ca="1">IFERROR(INDEX(_xlfn._xlws.FILTER(INDIRECT(F$1&amp;"!$E1:$E10000"),INDIRECT(F$1&amp;"!$a1:$a10000")=汇总!$A23),COUNTIF(INDIRECT(F$1&amp;"!$a1:$a10000"),汇总!$A23)),F22)</f>
        <v>4658</v>
      </c>
      <c r="G23" s="109" cm="1">
        <f t="array" aca="1" ref="G23" ca="1">IFERROR(INDEX(_xlfn._xlws.FILTER(INDIRECT(G$1&amp;"!$E1:$E10000"),INDIRECT(G$1&amp;"!$a1:$a10000")=汇总!$A23),COUNTIF(INDIRECT(G$1&amp;"!$a1:$a10000"),汇总!$A23)),G22)</f>
        <v>6226.6807029671218</v>
      </c>
      <c r="H23" s="109" cm="1">
        <f t="array" aca="1" ref="H23" ca="1">IFERROR(INDEX(_xlfn._xlws.FILTER(INDIRECT(H$1&amp;"!$E1:$E10000"),INDIRECT(H$1&amp;"!$a1:$a10000")=汇总!$A23),COUNTIF(INDIRECT(H$1&amp;"!$a1:$a10000"),汇总!$A23)),H22)</f>
        <v>1048.7</v>
      </c>
      <c r="I23" s="109" cm="1">
        <f t="array" aca="1" ref="I23" ca="1">IFERROR(INDEX(_xlfn._xlws.FILTER(INDIRECT(I$1&amp;"!$E1:$E10000"),INDIRECT(I$1&amp;"!$a1:$a10000")=汇总!$A23),COUNTIF(INDIRECT(I$1&amp;"!$a1:$a10000"),汇总!$A23)),I22)</f>
        <v>161</v>
      </c>
      <c r="J23" s="109" cm="1">
        <f t="array" aca="1" ref="J23" ca="1">IFERROR(INDEX(_xlfn._xlws.FILTER(INDIRECT(J$1&amp;"!$E1:$E10000"),INDIRECT(J$1&amp;"!$a1:$a10000")=汇总!$A23),COUNTIF(INDIRECT(J$1&amp;"!$a1:$a10000"),汇总!$A23)),J22)</f>
        <v>2.5</v>
      </c>
      <c r="K23" s="109" cm="1">
        <f t="array" aca="1" ref="K23" ca="1">IFERROR(INDEX(_xlfn._xlws.FILTER(INDIRECT(K$1&amp;"!$E1:$E10000"),INDIRECT(K$1&amp;"!$a1:$a10000")=汇总!$A23),COUNTIF(INDIRECT(K$1&amp;"!$a1:$a10000"),汇总!$A23)),K22)</f>
        <v>365.8</v>
      </c>
      <c r="L23" s="109" cm="1">
        <f t="array" aca="1" ref="L23" ca="1">IFERROR(INDEX(_xlfn._xlws.FILTER(INDIRECT(L$1&amp;"!$E1:$E10000"),INDIRECT(L$1&amp;"!$a1:$a10000")=汇总!$A23),COUNTIF(INDIRECT(L$1&amp;"!$a1:$a10000"),汇总!$A23)),L22)</f>
        <v>585.95000000000027</v>
      </c>
      <c r="M23" s="109" cm="1">
        <f t="array" aca="1" ref="M23" ca="1">IFERROR(INDEX(_xlfn._xlws.FILTER(INDIRECT(M$1&amp;"!$E1:$E10000"),INDIRECT(M$1&amp;"!$a1:$a10000")=汇总!$A23),COUNTIF(INDIRECT(M$1&amp;"!$a1:$a10000"),汇总!$A23)),M22)</f>
        <v>350</v>
      </c>
      <c r="N23" s="109" cm="1">
        <f t="array" aca="1" ref="N23" ca="1">IFERROR(INDEX(_xlfn._xlws.FILTER(INDIRECT(N$1&amp;"!$E1:$E10000"),INDIRECT(N$1&amp;"!$a1:$a10000")=汇总!$A23),COUNTIF(INDIRECT(N$1&amp;"!$a1:$a10000"),汇总!$A23)),N22)</f>
        <v>2172</v>
      </c>
      <c r="O23" s="109" t="e" cm="1" vm="2">
        <f t="array" aca="1" ref="O23" ca="1">IFERROR(INDEX(_xlfn._xlws.FILTER(INDIRECT(O$1&amp;"!$E1:$E10000"),INDIRECT(O$1&amp;"!$a1:$a10000")=汇总!$A23),COUNTIF(INDIRECT(O$1&amp;"!$a1:$a10000"),汇总!$A23)),O22)</f>
        <v>#VALUE!</v>
      </c>
      <c r="P23" s="109" t="e" cm="1" vm="2">
        <f t="array" aca="1" ref="P23" ca="1">IFERROR(INDEX(_xlfn._xlws.FILTER(INDIRECT(P$1&amp;"!$E1:$E10000"),INDIRECT(P$1&amp;"!$a1:$a10000")=汇总!$A23),COUNTIF(INDIRECT(P$1&amp;"!$a1:$a10000"),汇总!$A23)),P22)</f>
        <v>#VALUE!</v>
      </c>
      <c r="Q23" s="109" t="e" cm="1" vm="2">
        <f t="array" aca="1" ref="Q23" ca="1">IFERROR(INDEX(_xlfn._xlws.FILTER(INDIRECT(Q$1&amp;"!$E1:$E10000"),INDIRECT(Q$1&amp;"!$a1:$a10000")=汇总!$A23),COUNTIF(INDIRECT(Q$1&amp;"!$a1:$a10000"),汇总!$A23)),Q22)</f>
        <v>#VALUE!</v>
      </c>
      <c r="R23" s="109" t="e" cm="1" vm="2">
        <f t="array" aca="1" ref="R23" ca="1">IFERROR(INDEX(_xlfn._xlws.FILTER(INDIRECT(R$1&amp;"!$E1:$E10000"),INDIRECT(R$1&amp;"!$a1:$a10000")=汇总!$A23),COUNTIF(INDIRECT(R$1&amp;"!$a1:$a10000"),汇总!$A23)),R22)</f>
        <v>#VALUE!</v>
      </c>
      <c r="S23" s="109" t="e" cm="1" vm="2">
        <f t="array" aca="1" ref="S23" ca="1">IFERROR(INDEX(_xlfn._xlws.FILTER(INDIRECT(S$1&amp;"!$E1:$E10000"),INDIRECT(S$1&amp;"!$a1:$a10000")=汇总!$A23),COUNTIF(INDIRECT(S$1&amp;"!$a1:$a10000"),汇总!$A23)),S22)</f>
        <v>#VALUE!</v>
      </c>
    </row>
    <row r="24" spans="1:19" hidden="1">
      <c r="A24" s="1">
        <f t="shared" si="0"/>
        <v>46045</v>
      </c>
      <c r="B24" s="109" cm="1">
        <f t="array" aca="1" ref="B24" ca="1">IFERROR(INDEX(_xlfn._xlws.FILTER(INDIRECT(B$1&amp;"!$E1:$E10000"),INDIRECT(B$1&amp;"!$a1:$a10000")=汇总!$A24),COUNTIF(INDIRECT(B$1&amp;"!$a1:$a10000"),汇总!$A24)),B23)</f>
        <v>4567</v>
      </c>
      <c r="C24" s="109" cm="1">
        <f t="array" aca="1" ref="C24" ca="1">IFERROR(INDEX(_xlfn._xlws.FILTER(INDIRECT(C$1&amp;"!$E1:$E10000"),INDIRECT(C$1&amp;"!$a1:$a10000")=汇总!$A24),COUNTIF(INDIRECT(C$1&amp;"!$a1:$a10000"),汇总!$A24)),C23)</f>
        <v>989</v>
      </c>
      <c r="D24" s="109" cm="1">
        <f t="array" aca="1" ref="D24" ca="1">IFERROR(INDEX(_xlfn._xlws.FILTER(INDIRECT(D$1&amp;"!$E1:$E10000"),INDIRECT(D$1&amp;"!$a1:$a10000")=汇总!$A24),COUNTIF(INDIRECT(D$1&amp;"!$a1:$a10000"),汇总!$A24)),D23)</f>
        <v>1424.6344999999997</v>
      </c>
      <c r="E24" s="109" cm="1">
        <f t="array" aca="1" ref="E24" ca="1">IFERROR(INDEX(_xlfn._xlws.FILTER(INDIRECT(E$1&amp;"!$E1:$E10000"),INDIRECT(E$1&amp;"!$a1:$a10000")=汇总!$A24),COUNTIF(INDIRECT(E$1&amp;"!$a1:$a10000"),汇总!$A24)),E23)</f>
        <v>1256.6024700000003</v>
      </c>
      <c r="F24" s="109" cm="1">
        <f t="array" aca="1" ref="F24" ca="1">IFERROR(INDEX(_xlfn._xlws.FILTER(INDIRECT(F$1&amp;"!$E1:$E10000"),INDIRECT(F$1&amp;"!$a1:$a10000")=汇总!$A24),COUNTIF(INDIRECT(F$1&amp;"!$a1:$a10000"),汇总!$A24)),F23)</f>
        <v>5016</v>
      </c>
      <c r="G24" s="109" cm="1">
        <f t="array" aca="1" ref="G24" ca="1">IFERROR(INDEX(_xlfn._xlws.FILTER(INDIRECT(G$1&amp;"!$E1:$E10000"),INDIRECT(G$1&amp;"!$a1:$a10000")=汇总!$A24),COUNTIF(INDIRECT(G$1&amp;"!$a1:$a10000"),汇总!$A24)),G23)</f>
        <v>3793.4877029671215</v>
      </c>
      <c r="H24" s="109" cm="1">
        <f t="array" aca="1" ref="H24" ca="1">IFERROR(INDEX(_xlfn._xlws.FILTER(INDIRECT(H$1&amp;"!$E1:$E10000"),INDIRECT(H$1&amp;"!$a1:$a10000")=汇总!$A24),COUNTIF(INDIRECT(H$1&amp;"!$a1:$a10000"),汇总!$A24)),H23)</f>
        <v>148.70000000000005</v>
      </c>
      <c r="I24" s="109" cm="1">
        <f t="array" aca="1" ref="I24" ca="1">IFERROR(INDEX(_xlfn._xlws.FILTER(INDIRECT(I$1&amp;"!$E1:$E10000"),INDIRECT(I$1&amp;"!$a1:$a10000")=汇总!$A24),COUNTIF(INDIRECT(I$1&amp;"!$a1:$a10000"),汇总!$A24)),I23)</f>
        <v>161</v>
      </c>
      <c r="J24" s="109" cm="1">
        <f t="array" aca="1" ref="J24" ca="1">IFERROR(INDEX(_xlfn._xlws.FILTER(INDIRECT(J$1&amp;"!$E1:$E10000"),INDIRECT(J$1&amp;"!$a1:$a10000")=汇总!$A24),COUNTIF(INDIRECT(J$1&amp;"!$a1:$a10000"),汇总!$A24)),J23)</f>
        <v>2.5</v>
      </c>
      <c r="K24" s="109" cm="1">
        <f t="array" aca="1" ref="K24" ca="1">IFERROR(INDEX(_xlfn._xlws.FILTER(INDIRECT(K$1&amp;"!$E1:$E10000"),INDIRECT(K$1&amp;"!$a1:$a10000")=汇总!$A24),COUNTIF(INDIRECT(K$1&amp;"!$a1:$a10000"),汇总!$A24)),K23)</f>
        <v>517.79999999999995</v>
      </c>
      <c r="L24" s="109" cm="1">
        <f t="array" aca="1" ref="L24" ca="1">IFERROR(INDEX(_xlfn._xlws.FILTER(INDIRECT(L$1&amp;"!$E1:$E10000"),INDIRECT(L$1&amp;"!$a1:$a10000")=汇总!$A24),COUNTIF(INDIRECT(L$1&amp;"!$a1:$a10000"),汇总!$A24)),L23)</f>
        <v>585.95000000000027</v>
      </c>
      <c r="M24" s="109" cm="1">
        <f t="array" aca="1" ref="M24" ca="1">IFERROR(INDEX(_xlfn._xlws.FILTER(INDIRECT(M$1&amp;"!$E1:$E10000"),INDIRECT(M$1&amp;"!$a1:$a10000")=汇总!$A24),COUNTIF(INDIRECT(M$1&amp;"!$a1:$a10000"),汇总!$A24)),M23)</f>
        <v>741.78620000000001</v>
      </c>
      <c r="N24" s="109" cm="1">
        <f t="array" aca="1" ref="N24" ca="1">IFERROR(INDEX(_xlfn._xlws.FILTER(INDIRECT(N$1&amp;"!$E1:$E10000"),INDIRECT(N$1&amp;"!$a1:$a10000")=汇总!$A24),COUNTIF(INDIRECT(N$1&amp;"!$a1:$a10000"),汇总!$A24)),N23)</f>
        <v>2856.1</v>
      </c>
      <c r="O24" s="109" t="e" cm="1" vm="2">
        <f t="array" aca="1" ref="O24" ca="1">IFERROR(INDEX(_xlfn._xlws.FILTER(INDIRECT(O$1&amp;"!$E1:$E10000"),INDIRECT(O$1&amp;"!$a1:$a10000")=汇总!$A24),COUNTIF(INDIRECT(O$1&amp;"!$a1:$a10000"),汇总!$A24)),O23)</f>
        <v>#VALUE!</v>
      </c>
      <c r="P24" s="109" t="e" cm="1" vm="2">
        <f t="array" aca="1" ref="P24" ca="1">IFERROR(INDEX(_xlfn._xlws.FILTER(INDIRECT(P$1&amp;"!$E1:$E10000"),INDIRECT(P$1&amp;"!$a1:$a10000")=汇总!$A24),COUNTIF(INDIRECT(P$1&amp;"!$a1:$a10000"),汇总!$A24)),P23)</f>
        <v>#VALUE!</v>
      </c>
      <c r="Q24" s="109" t="e" cm="1" vm="2">
        <f t="array" aca="1" ref="Q24" ca="1">IFERROR(INDEX(_xlfn._xlws.FILTER(INDIRECT(Q$1&amp;"!$E1:$E10000"),INDIRECT(Q$1&amp;"!$a1:$a10000")=汇总!$A24),COUNTIF(INDIRECT(Q$1&amp;"!$a1:$a10000"),汇总!$A24)),Q23)</f>
        <v>#VALUE!</v>
      </c>
      <c r="R24" s="109" t="e" cm="1" vm="2">
        <f t="array" aca="1" ref="R24" ca="1">IFERROR(INDEX(_xlfn._xlws.FILTER(INDIRECT(R$1&amp;"!$E1:$E10000"),INDIRECT(R$1&amp;"!$a1:$a10000")=汇总!$A24),COUNTIF(INDIRECT(R$1&amp;"!$a1:$a10000"),汇总!$A24)),R23)</f>
        <v>#VALUE!</v>
      </c>
      <c r="S24" s="109" t="e" cm="1" vm="2">
        <f t="array" aca="1" ref="S24" ca="1">IFERROR(INDEX(_xlfn._xlws.FILTER(INDIRECT(S$1&amp;"!$E1:$E10000"),INDIRECT(S$1&amp;"!$a1:$a10000")=汇总!$A24),COUNTIF(INDIRECT(S$1&amp;"!$a1:$a10000"),汇总!$A24)),S23)</f>
        <v>#VALUE!</v>
      </c>
    </row>
    <row r="25" spans="1:19" hidden="1">
      <c r="A25" s="1">
        <f t="shared" si="0"/>
        <v>46046</v>
      </c>
      <c r="B25" s="109" cm="1">
        <f t="array" aca="1" ref="B25" ca="1">IFERROR(INDEX(_xlfn._xlws.FILTER(INDIRECT(B$1&amp;"!$E1:$E10000"),INDIRECT(B$1&amp;"!$a1:$a10000")=汇总!$A25),COUNTIF(INDIRECT(B$1&amp;"!$a1:$a10000"),汇总!$A25)),B24)</f>
        <v>4567</v>
      </c>
      <c r="C25" s="109" cm="1">
        <f t="array" aca="1" ref="C25" ca="1">IFERROR(INDEX(_xlfn._xlws.FILTER(INDIRECT(C$1&amp;"!$E1:$E10000"),INDIRECT(C$1&amp;"!$a1:$a10000")=汇总!$A25),COUNTIF(INDIRECT(C$1&amp;"!$a1:$a10000"),汇总!$A25)),C24)</f>
        <v>989</v>
      </c>
      <c r="D25" s="109" cm="1">
        <f t="array" aca="1" ref="D25" ca="1">IFERROR(INDEX(_xlfn._xlws.FILTER(INDIRECT(D$1&amp;"!$E1:$E10000"),INDIRECT(D$1&amp;"!$a1:$a10000")=汇总!$A25),COUNTIF(INDIRECT(D$1&amp;"!$a1:$a10000"),汇总!$A25)),D24)</f>
        <v>1424.6344999999997</v>
      </c>
      <c r="E25" s="109" cm="1">
        <f t="array" aca="1" ref="E25" ca="1">IFERROR(INDEX(_xlfn._xlws.FILTER(INDIRECT(E$1&amp;"!$E1:$E10000"),INDIRECT(E$1&amp;"!$a1:$a10000")=汇总!$A25),COUNTIF(INDIRECT(E$1&amp;"!$a1:$a10000"),汇总!$A25)),E24)</f>
        <v>1256.6024700000003</v>
      </c>
      <c r="F25" s="109" cm="1">
        <f t="array" aca="1" ref="F25" ca="1">IFERROR(INDEX(_xlfn._xlws.FILTER(INDIRECT(F$1&amp;"!$E1:$E10000"),INDIRECT(F$1&amp;"!$a1:$a10000")=汇总!$A25),COUNTIF(INDIRECT(F$1&amp;"!$a1:$a10000"),汇总!$A25)),F24)</f>
        <v>5016</v>
      </c>
      <c r="G25" s="109" cm="1">
        <f t="array" aca="1" ref="G25" ca="1">IFERROR(INDEX(_xlfn._xlws.FILTER(INDIRECT(G$1&amp;"!$E1:$E10000"),INDIRECT(G$1&amp;"!$a1:$a10000")=汇总!$A25),COUNTIF(INDIRECT(G$1&amp;"!$a1:$a10000"),汇总!$A25)),G24)</f>
        <v>3793.4877029671215</v>
      </c>
      <c r="H25" s="109" cm="1">
        <f t="array" aca="1" ref="H25" ca="1">IFERROR(INDEX(_xlfn._xlws.FILTER(INDIRECT(H$1&amp;"!$E1:$E10000"),INDIRECT(H$1&amp;"!$a1:$a10000")=汇总!$A25),COUNTIF(INDIRECT(H$1&amp;"!$a1:$a10000"),汇总!$A25)),H24)</f>
        <v>148.70000000000005</v>
      </c>
      <c r="I25" s="109" cm="1">
        <f t="array" aca="1" ref="I25" ca="1">IFERROR(INDEX(_xlfn._xlws.FILTER(INDIRECT(I$1&amp;"!$E1:$E10000"),INDIRECT(I$1&amp;"!$a1:$a10000")=汇总!$A25),COUNTIF(INDIRECT(I$1&amp;"!$a1:$a10000"),汇总!$A25)),I24)</f>
        <v>161</v>
      </c>
      <c r="J25" s="109" cm="1">
        <f t="array" aca="1" ref="J25" ca="1">IFERROR(INDEX(_xlfn._xlws.FILTER(INDIRECT(J$1&amp;"!$E1:$E10000"),INDIRECT(J$1&amp;"!$a1:$a10000")=汇总!$A25),COUNTIF(INDIRECT(J$1&amp;"!$a1:$a10000"),汇总!$A25)),J24)</f>
        <v>2.5</v>
      </c>
      <c r="K25" s="109" cm="1">
        <f t="array" aca="1" ref="K25" ca="1">IFERROR(INDEX(_xlfn._xlws.FILTER(INDIRECT(K$1&amp;"!$E1:$E10000"),INDIRECT(K$1&amp;"!$a1:$a10000")=汇总!$A25),COUNTIF(INDIRECT(K$1&amp;"!$a1:$a10000"),汇总!$A25)),K24)</f>
        <v>517.79999999999995</v>
      </c>
      <c r="L25" s="109" cm="1">
        <f t="array" aca="1" ref="L25" ca="1">IFERROR(INDEX(_xlfn._xlws.FILTER(INDIRECT(L$1&amp;"!$E1:$E10000"),INDIRECT(L$1&amp;"!$a1:$a10000")=汇总!$A25),COUNTIF(INDIRECT(L$1&amp;"!$a1:$a10000"),汇总!$A25)),L24)</f>
        <v>585.95000000000027</v>
      </c>
      <c r="M25" s="109" cm="1">
        <f t="array" aca="1" ref="M25" ca="1">IFERROR(INDEX(_xlfn._xlws.FILTER(INDIRECT(M$1&amp;"!$E1:$E10000"),INDIRECT(M$1&amp;"!$a1:$a10000")=汇总!$A25),COUNTIF(INDIRECT(M$1&amp;"!$a1:$a10000"),汇总!$A25)),M24)</f>
        <v>741.78620000000001</v>
      </c>
      <c r="N25" s="109" cm="1">
        <f t="array" aca="1" ref="N25" ca="1">IFERROR(INDEX(_xlfn._xlws.FILTER(INDIRECT(N$1&amp;"!$E1:$E10000"),INDIRECT(N$1&amp;"!$a1:$a10000")=汇总!$A25),COUNTIF(INDIRECT(N$1&amp;"!$a1:$a10000"),汇总!$A25)),N24)</f>
        <v>2856.1</v>
      </c>
      <c r="O25" s="109" t="e" cm="1" vm="2">
        <f t="array" aca="1" ref="O25" ca="1">IFERROR(INDEX(_xlfn._xlws.FILTER(INDIRECT(O$1&amp;"!$E1:$E10000"),INDIRECT(O$1&amp;"!$a1:$a10000")=汇总!$A25),COUNTIF(INDIRECT(O$1&amp;"!$a1:$a10000"),汇总!$A25)),O24)</f>
        <v>#VALUE!</v>
      </c>
      <c r="P25" s="109" t="e" cm="1" vm="2">
        <f t="array" aca="1" ref="P25" ca="1">IFERROR(INDEX(_xlfn._xlws.FILTER(INDIRECT(P$1&amp;"!$E1:$E10000"),INDIRECT(P$1&amp;"!$a1:$a10000")=汇总!$A25),COUNTIF(INDIRECT(P$1&amp;"!$a1:$a10000"),汇总!$A25)),P24)</f>
        <v>#VALUE!</v>
      </c>
      <c r="Q25" s="109" t="e" cm="1" vm="2">
        <f t="array" aca="1" ref="Q25" ca="1">IFERROR(INDEX(_xlfn._xlws.FILTER(INDIRECT(Q$1&amp;"!$E1:$E10000"),INDIRECT(Q$1&amp;"!$a1:$a10000")=汇总!$A25),COUNTIF(INDIRECT(Q$1&amp;"!$a1:$a10000"),汇总!$A25)),Q24)</f>
        <v>#VALUE!</v>
      </c>
      <c r="R25" s="109" t="e" cm="1" vm="2">
        <f t="array" aca="1" ref="R25" ca="1">IFERROR(INDEX(_xlfn._xlws.FILTER(INDIRECT(R$1&amp;"!$E1:$E10000"),INDIRECT(R$1&amp;"!$a1:$a10000")=汇总!$A25),COUNTIF(INDIRECT(R$1&amp;"!$a1:$a10000"),汇总!$A25)),R24)</f>
        <v>#VALUE!</v>
      </c>
      <c r="S25" s="109" t="e" cm="1" vm="2">
        <f t="array" aca="1" ref="S25" ca="1">IFERROR(INDEX(_xlfn._xlws.FILTER(INDIRECT(S$1&amp;"!$E1:$E10000"),INDIRECT(S$1&amp;"!$a1:$a10000")=汇总!$A25),COUNTIF(INDIRECT(S$1&amp;"!$a1:$a10000"),汇总!$A25)),S24)</f>
        <v>#VALUE!</v>
      </c>
    </row>
    <row r="26" spans="1:19" hidden="1">
      <c r="A26" s="1">
        <f t="shared" si="0"/>
        <v>46047</v>
      </c>
      <c r="B26" s="109" cm="1">
        <f t="array" aca="1" ref="B26" ca="1">IFERROR(INDEX(_xlfn._xlws.FILTER(INDIRECT(B$1&amp;"!$E1:$E10000"),INDIRECT(B$1&amp;"!$a1:$a10000")=汇总!$A26),COUNTIF(INDIRECT(B$1&amp;"!$a1:$a10000"),汇总!$A26)),B25)</f>
        <v>4567</v>
      </c>
      <c r="C26" s="109" cm="1">
        <f t="array" aca="1" ref="C26" ca="1">IFERROR(INDEX(_xlfn._xlws.FILTER(INDIRECT(C$1&amp;"!$E1:$E10000"),INDIRECT(C$1&amp;"!$a1:$a10000")=汇总!$A26),COUNTIF(INDIRECT(C$1&amp;"!$a1:$a10000"),汇总!$A26)),C25)</f>
        <v>989</v>
      </c>
      <c r="D26" s="109" cm="1">
        <f t="array" aca="1" ref="D26" ca="1">IFERROR(INDEX(_xlfn._xlws.FILTER(INDIRECT(D$1&amp;"!$E1:$E10000"),INDIRECT(D$1&amp;"!$a1:$a10000")=汇总!$A26),COUNTIF(INDIRECT(D$1&amp;"!$a1:$a10000"),汇总!$A26)),D25)</f>
        <v>1424.6344999999997</v>
      </c>
      <c r="E26" s="109" cm="1">
        <f t="array" aca="1" ref="E26" ca="1">IFERROR(INDEX(_xlfn._xlws.FILTER(INDIRECT(E$1&amp;"!$E1:$E10000"),INDIRECT(E$1&amp;"!$a1:$a10000")=汇总!$A26),COUNTIF(INDIRECT(E$1&amp;"!$a1:$a10000"),汇总!$A26)),E25)</f>
        <v>1256.6024700000003</v>
      </c>
      <c r="F26" s="109" cm="1">
        <f t="array" aca="1" ref="F26" ca="1">IFERROR(INDEX(_xlfn._xlws.FILTER(INDIRECT(F$1&amp;"!$E1:$E10000"),INDIRECT(F$1&amp;"!$a1:$a10000")=汇总!$A26),COUNTIF(INDIRECT(F$1&amp;"!$a1:$a10000"),汇总!$A26)),F25)</f>
        <v>5016</v>
      </c>
      <c r="G26" s="109" cm="1">
        <f t="array" aca="1" ref="G26" ca="1">IFERROR(INDEX(_xlfn._xlws.FILTER(INDIRECT(G$1&amp;"!$E1:$E10000"),INDIRECT(G$1&amp;"!$a1:$a10000")=汇总!$A26),COUNTIF(INDIRECT(G$1&amp;"!$a1:$a10000"),汇总!$A26)),G25)</f>
        <v>3793.4877029671215</v>
      </c>
      <c r="H26" s="109" cm="1">
        <f t="array" aca="1" ref="H26" ca="1">IFERROR(INDEX(_xlfn._xlws.FILTER(INDIRECT(H$1&amp;"!$E1:$E10000"),INDIRECT(H$1&amp;"!$a1:$a10000")=汇总!$A26),COUNTIF(INDIRECT(H$1&amp;"!$a1:$a10000"),汇总!$A26)),H25)</f>
        <v>148.70000000000005</v>
      </c>
      <c r="I26" s="109" cm="1">
        <f t="array" aca="1" ref="I26" ca="1">IFERROR(INDEX(_xlfn._xlws.FILTER(INDIRECT(I$1&amp;"!$E1:$E10000"),INDIRECT(I$1&amp;"!$a1:$a10000")=汇总!$A26),COUNTIF(INDIRECT(I$1&amp;"!$a1:$a10000"),汇总!$A26)),I25)</f>
        <v>161</v>
      </c>
      <c r="J26" s="109" cm="1">
        <f t="array" aca="1" ref="J26" ca="1">IFERROR(INDEX(_xlfn._xlws.FILTER(INDIRECT(J$1&amp;"!$E1:$E10000"),INDIRECT(J$1&amp;"!$a1:$a10000")=汇总!$A26),COUNTIF(INDIRECT(J$1&amp;"!$a1:$a10000"),汇总!$A26)),J25)</f>
        <v>2.5</v>
      </c>
      <c r="K26" s="109" cm="1">
        <f t="array" aca="1" ref="K26" ca="1">IFERROR(INDEX(_xlfn._xlws.FILTER(INDIRECT(K$1&amp;"!$E1:$E10000"),INDIRECT(K$1&amp;"!$a1:$a10000")=汇总!$A26),COUNTIF(INDIRECT(K$1&amp;"!$a1:$a10000"),汇总!$A26)),K25)</f>
        <v>517.79999999999995</v>
      </c>
      <c r="L26" s="109" cm="1">
        <f t="array" aca="1" ref="L26" ca="1">IFERROR(INDEX(_xlfn._xlws.FILTER(INDIRECT(L$1&amp;"!$E1:$E10000"),INDIRECT(L$1&amp;"!$a1:$a10000")=汇总!$A26),COUNTIF(INDIRECT(L$1&amp;"!$a1:$a10000"),汇总!$A26)),L25)</f>
        <v>585.95000000000027</v>
      </c>
      <c r="M26" s="109" cm="1">
        <f t="array" aca="1" ref="M26" ca="1">IFERROR(INDEX(_xlfn._xlws.FILTER(INDIRECT(M$1&amp;"!$E1:$E10000"),INDIRECT(M$1&amp;"!$a1:$a10000")=汇总!$A26),COUNTIF(INDIRECT(M$1&amp;"!$a1:$a10000"),汇总!$A26)),M25)</f>
        <v>741.78620000000001</v>
      </c>
      <c r="N26" s="109" cm="1">
        <f t="array" aca="1" ref="N26" ca="1">IFERROR(INDEX(_xlfn._xlws.FILTER(INDIRECT(N$1&amp;"!$E1:$E10000"),INDIRECT(N$1&amp;"!$a1:$a10000")=汇总!$A26),COUNTIF(INDIRECT(N$1&amp;"!$a1:$a10000"),汇总!$A26)),N25)</f>
        <v>2856.1</v>
      </c>
      <c r="O26" s="109" t="e" cm="1" vm="2">
        <f t="array" aca="1" ref="O26" ca="1">IFERROR(INDEX(_xlfn._xlws.FILTER(INDIRECT(O$1&amp;"!$E1:$E10000"),INDIRECT(O$1&amp;"!$a1:$a10000")=汇总!$A26),COUNTIF(INDIRECT(O$1&amp;"!$a1:$a10000"),汇总!$A26)),O25)</f>
        <v>#VALUE!</v>
      </c>
      <c r="P26" s="109" t="e" cm="1" vm="2">
        <f t="array" aca="1" ref="P26" ca="1">IFERROR(INDEX(_xlfn._xlws.FILTER(INDIRECT(P$1&amp;"!$E1:$E10000"),INDIRECT(P$1&amp;"!$a1:$a10000")=汇总!$A26),COUNTIF(INDIRECT(P$1&amp;"!$a1:$a10000"),汇总!$A26)),P25)</f>
        <v>#VALUE!</v>
      </c>
      <c r="Q26" s="109" t="e" cm="1" vm="2">
        <f t="array" aca="1" ref="Q26" ca="1">IFERROR(INDEX(_xlfn._xlws.FILTER(INDIRECT(Q$1&amp;"!$E1:$E10000"),INDIRECT(Q$1&amp;"!$a1:$a10000")=汇总!$A26),COUNTIF(INDIRECT(Q$1&amp;"!$a1:$a10000"),汇总!$A26)),Q25)</f>
        <v>#VALUE!</v>
      </c>
      <c r="R26" s="109" t="e" cm="1" vm="2">
        <f t="array" aca="1" ref="R26" ca="1">IFERROR(INDEX(_xlfn._xlws.FILTER(INDIRECT(R$1&amp;"!$E1:$E10000"),INDIRECT(R$1&amp;"!$a1:$a10000")=汇总!$A26),COUNTIF(INDIRECT(R$1&amp;"!$a1:$a10000"),汇总!$A26)),R25)</f>
        <v>#VALUE!</v>
      </c>
      <c r="S26" s="109" t="e" cm="1" vm="2">
        <f t="array" aca="1" ref="S26" ca="1">IFERROR(INDEX(_xlfn._xlws.FILTER(INDIRECT(S$1&amp;"!$E1:$E10000"),INDIRECT(S$1&amp;"!$a1:$a10000")=汇总!$A26),COUNTIF(INDIRECT(S$1&amp;"!$a1:$a10000"),汇总!$A26)),S25)</f>
        <v>#VALUE!</v>
      </c>
    </row>
    <row r="27" spans="1:19" hidden="1">
      <c r="A27" s="1">
        <f t="shared" si="0"/>
        <v>46048</v>
      </c>
      <c r="B27" s="109" cm="1">
        <f t="array" aca="1" ref="B27" ca="1">IFERROR(INDEX(_xlfn._xlws.FILTER(INDIRECT(B$1&amp;"!$E1:$E10000"),INDIRECT(B$1&amp;"!$a1:$a10000")=汇总!$A27),COUNTIF(INDIRECT(B$1&amp;"!$a1:$a10000"),汇总!$A27)),B26)</f>
        <v>5100</v>
      </c>
      <c r="C27" s="109" cm="1">
        <f t="array" aca="1" ref="C27" ca="1">IFERROR(INDEX(_xlfn._xlws.FILTER(INDIRECT(C$1&amp;"!$E1:$E10000"),INDIRECT(C$1&amp;"!$a1:$a10000")=汇总!$A27),COUNTIF(INDIRECT(C$1&amp;"!$a1:$a10000"),汇总!$A27)),C26)</f>
        <v>1235</v>
      </c>
      <c r="D27" s="109" cm="1">
        <f t="array" aca="1" ref="D27" ca="1">IFERROR(INDEX(_xlfn._xlws.FILTER(INDIRECT(D$1&amp;"!$E1:$E10000"),INDIRECT(D$1&amp;"!$a1:$a10000")=汇总!$A27),COUNTIF(INDIRECT(D$1&amp;"!$a1:$a10000"),汇总!$A27)),D26)</f>
        <v>837.60400000000004</v>
      </c>
      <c r="E27" s="109" cm="1">
        <f t="array" aca="1" ref="E27" ca="1">IFERROR(INDEX(_xlfn._xlws.FILTER(INDIRECT(E$1&amp;"!$E1:$E10000"),INDIRECT(E$1&amp;"!$a1:$a10000")=汇总!$A27),COUNTIF(INDIRECT(E$1&amp;"!$a1:$a10000"),汇总!$A27)),E26)</f>
        <v>376</v>
      </c>
      <c r="F27" s="109" cm="1">
        <f t="array" aca="1" ref="F27" ca="1">IFERROR(INDEX(_xlfn._xlws.FILTER(INDIRECT(F$1&amp;"!$E1:$E10000"),INDIRECT(F$1&amp;"!$a1:$a10000")=汇总!$A27),COUNTIF(INDIRECT(F$1&amp;"!$a1:$a10000"),汇总!$A27)),F26)</f>
        <v>5670</v>
      </c>
      <c r="G27" s="109" cm="1">
        <f t="array" aca="1" ref="G27" ca="1">IFERROR(INDEX(_xlfn._xlws.FILTER(INDIRECT(G$1&amp;"!$E1:$E10000"),INDIRECT(G$1&amp;"!$a1:$a10000")=汇总!$A27),COUNTIF(INDIRECT(G$1&amp;"!$a1:$a10000"),汇总!$A27)),G26)</f>
        <v>3793.4877029671215</v>
      </c>
      <c r="H27" s="109" cm="1">
        <f t="array" aca="1" ref="H27" ca="1">IFERROR(INDEX(_xlfn._xlws.FILTER(INDIRECT(H$1&amp;"!$E1:$E10000"),INDIRECT(H$1&amp;"!$a1:$a10000")=汇总!$A27),COUNTIF(INDIRECT(H$1&amp;"!$a1:$a10000"),汇总!$A27)),H26)</f>
        <v>148.70000000000005</v>
      </c>
      <c r="I27" s="109" cm="1">
        <f t="array" aca="1" ref="I27" ca="1">IFERROR(INDEX(_xlfn._xlws.FILTER(INDIRECT(I$1&amp;"!$E1:$E10000"),INDIRECT(I$1&amp;"!$a1:$a10000")=汇总!$A27),COUNTIF(INDIRECT(I$1&amp;"!$a1:$a10000"),汇总!$A27)),I26)</f>
        <v>161</v>
      </c>
      <c r="J27" s="109" cm="1">
        <f t="array" aca="1" ref="J27" ca="1">IFERROR(INDEX(_xlfn._xlws.FILTER(INDIRECT(J$1&amp;"!$E1:$E10000"),INDIRECT(J$1&amp;"!$a1:$a10000")=汇总!$A27),COUNTIF(INDIRECT(J$1&amp;"!$a1:$a10000"),汇总!$A27)),J26)</f>
        <v>2.5</v>
      </c>
      <c r="K27" s="109" cm="1">
        <f t="array" aca="1" ref="K27" ca="1">IFERROR(INDEX(_xlfn._xlws.FILTER(INDIRECT(K$1&amp;"!$E1:$E10000"),INDIRECT(K$1&amp;"!$a1:$a10000")=汇总!$A27),COUNTIF(INDIRECT(K$1&amp;"!$a1:$a10000"),汇总!$A27)),K26)</f>
        <v>329.79999999999995</v>
      </c>
      <c r="L27" s="109" cm="1">
        <f t="array" aca="1" ref="L27" ca="1">IFERROR(INDEX(_xlfn._xlws.FILTER(INDIRECT(L$1&amp;"!$E1:$E10000"),INDIRECT(L$1&amp;"!$a1:$a10000")=汇总!$A27),COUNTIF(INDIRECT(L$1&amp;"!$a1:$a10000"),汇总!$A27)),L26)</f>
        <v>2176.9745000000003</v>
      </c>
      <c r="M27" s="109" cm="1">
        <f t="array" aca="1" ref="M27" ca="1">IFERROR(INDEX(_xlfn._xlws.FILTER(INDIRECT(M$1&amp;"!$E1:$E10000"),INDIRECT(M$1&amp;"!$a1:$a10000")=汇总!$A27),COUNTIF(INDIRECT(M$1&amp;"!$a1:$a10000"),汇总!$A27)),M26)</f>
        <v>4442.7862000000005</v>
      </c>
      <c r="N27" s="109" cm="1">
        <f t="array" aca="1" ref="N27" ca="1">IFERROR(INDEX(_xlfn._xlws.FILTER(INDIRECT(N$1&amp;"!$E1:$E10000"),INDIRECT(N$1&amp;"!$a1:$a10000")=汇总!$A27),COUNTIF(INDIRECT(N$1&amp;"!$a1:$a10000"),汇总!$A27)),N26)</f>
        <v>2856.1</v>
      </c>
      <c r="O27" s="109" t="e" cm="1" vm="2">
        <f t="array" aca="1" ref="O27" ca="1">IFERROR(INDEX(_xlfn._xlws.FILTER(INDIRECT(O$1&amp;"!$E1:$E10000"),INDIRECT(O$1&amp;"!$a1:$a10000")=汇总!$A27),COUNTIF(INDIRECT(O$1&amp;"!$a1:$a10000"),汇总!$A27)),O26)</f>
        <v>#VALUE!</v>
      </c>
      <c r="P27" s="109" t="e" cm="1" vm="2">
        <f t="array" aca="1" ref="P27" ca="1">IFERROR(INDEX(_xlfn._xlws.FILTER(INDIRECT(P$1&amp;"!$E1:$E10000"),INDIRECT(P$1&amp;"!$a1:$a10000")=汇总!$A27),COUNTIF(INDIRECT(P$1&amp;"!$a1:$a10000"),汇总!$A27)),P26)</f>
        <v>#VALUE!</v>
      </c>
      <c r="Q27" s="109" t="e" cm="1" vm="2">
        <f t="array" aca="1" ref="Q27" ca="1">IFERROR(INDEX(_xlfn._xlws.FILTER(INDIRECT(Q$1&amp;"!$E1:$E10000"),INDIRECT(Q$1&amp;"!$a1:$a10000")=汇总!$A27),COUNTIF(INDIRECT(Q$1&amp;"!$a1:$a10000"),汇总!$A27)),Q26)</f>
        <v>#VALUE!</v>
      </c>
      <c r="R27" s="109" t="e" cm="1" vm="2">
        <f t="array" aca="1" ref="R27" ca="1">IFERROR(INDEX(_xlfn._xlws.FILTER(INDIRECT(R$1&amp;"!$E1:$E10000"),INDIRECT(R$1&amp;"!$a1:$a10000")=汇总!$A27),COUNTIF(INDIRECT(R$1&amp;"!$a1:$a10000"),汇总!$A27)),R26)</f>
        <v>#VALUE!</v>
      </c>
      <c r="S27" s="109" t="e" cm="1" vm="2">
        <f t="array" aca="1" ref="S27" ca="1">IFERROR(INDEX(_xlfn._xlws.FILTER(INDIRECT(S$1&amp;"!$E1:$E10000"),INDIRECT(S$1&amp;"!$a1:$a10000")=汇总!$A27),COUNTIF(INDIRECT(S$1&amp;"!$a1:$a10000"),汇总!$A27)),S26)</f>
        <v>#VALUE!</v>
      </c>
    </row>
    <row r="28" spans="1:19" hidden="1">
      <c r="A28" s="1">
        <f t="shared" si="0"/>
        <v>46049</v>
      </c>
      <c r="B28" s="109" cm="1">
        <f t="array" aca="1" ref="B28" ca="1">IFERROR(INDEX(_xlfn._xlws.FILTER(INDIRECT(B$1&amp;"!$E1:$E10000"),INDIRECT(B$1&amp;"!$a1:$a10000")=汇总!$A28),COUNTIF(INDIRECT(B$1&amp;"!$a1:$a10000"),汇总!$A28)),B27)</f>
        <v>5207</v>
      </c>
      <c r="C28" s="109" cm="1">
        <f t="array" aca="1" ref="C28" ca="1">IFERROR(INDEX(_xlfn._xlws.FILTER(INDIRECT(C$1&amp;"!$E1:$E10000"),INDIRECT(C$1&amp;"!$a1:$a10000")=汇总!$A28),COUNTIF(INDIRECT(C$1&amp;"!$a1:$a10000"),汇总!$A28)),C27)</f>
        <v>2305</v>
      </c>
      <c r="D28" s="109" cm="1">
        <f t="array" aca="1" ref="D28" ca="1">IFERROR(INDEX(_xlfn._xlws.FILTER(INDIRECT(D$1&amp;"!$E1:$E10000"),INDIRECT(D$1&amp;"!$a1:$a10000")=汇总!$A28),COUNTIF(INDIRECT(D$1&amp;"!$a1:$a10000"),汇总!$A28)),D27)</f>
        <v>837.60400000000004</v>
      </c>
      <c r="E28" s="109" cm="1">
        <f t="array" aca="1" ref="E28" ca="1">IFERROR(INDEX(_xlfn._xlws.FILTER(INDIRECT(E$1&amp;"!$E1:$E10000"),INDIRECT(E$1&amp;"!$a1:$a10000")=汇总!$A28),COUNTIF(INDIRECT(E$1&amp;"!$a1:$a10000"),汇总!$A28)),E27)</f>
        <v>376</v>
      </c>
      <c r="F28" s="109" cm="1">
        <f t="array" aca="1" ref="F28" ca="1">IFERROR(INDEX(_xlfn._xlws.FILTER(INDIRECT(F$1&amp;"!$E1:$E10000"),INDIRECT(F$1&amp;"!$a1:$a10000")=汇总!$A28),COUNTIF(INDIRECT(F$1&amp;"!$a1:$a10000"),汇总!$A28)),F27)</f>
        <v>6187</v>
      </c>
      <c r="G28" s="109" cm="1">
        <f t="array" aca="1" ref="G28" ca="1">IFERROR(INDEX(_xlfn._xlws.FILTER(INDIRECT(G$1&amp;"!$E1:$E10000"),INDIRECT(G$1&amp;"!$a1:$a10000")=汇总!$A28),COUNTIF(INDIRECT(G$1&amp;"!$a1:$a10000"),汇总!$A28)),G27)</f>
        <v>3793.4877029671215</v>
      </c>
      <c r="H28" s="109" cm="1">
        <f t="array" aca="1" ref="H28" ca="1">IFERROR(INDEX(_xlfn._xlws.FILTER(INDIRECT(H$1&amp;"!$E1:$E10000"),INDIRECT(H$1&amp;"!$a1:$a10000")=汇总!$A28),COUNTIF(INDIRECT(H$1&amp;"!$a1:$a10000"),汇总!$A28)),H27)</f>
        <v>148.70000000000005</v>
      </c>
      <c r="I28" s="109" cm="1">
        <f t="array" aca="1" ref="I28" ca="1">IFERROR(INDEX(_xlfn._xlws.FILTER(INDIRECT(I$1&amp;"!$E1:$E10000"),INDIRECT(I$1&amp;"!$a1:$a10000")=汇总!$A28),COUNTIF(INDIRECT(I$1&amp;"!$a1:$a10000"),汇总!$A28)),I27)</f>
        <v>394.77733599999999</v>
      </c>
      <c r="J28" s="109" cm="1">
        <f t="array" aca="1" ref="J28" ca="1">IFERROR(INDEX(_xlfn._xlws.FILTER(INDIRECT(J$1&amp;"!$E1:$E10000"),INDIRECT(J$1&amp;"!$a1:$a10000")=汇总!$A28),COUNTIF(INDIRECT(J$1&amp;"!$a1:$a10000"),汇总!$A28)),J27)</f>
        <v>2.5</v>
      </c>
      <c r="K28" s="109" cm="1">
        <f t="array" aca="1" ref="K28" ca="1">IFERROR(INDEX(_xlfn._xlws.FILTER(INDIRECT(K$1&amp;"!$E1:$E10000"),INDIRECT(K$1&amp;"!$a1:$a10000")=汇总!$A28),COUNTIF(INDIRECT(K$1&amp;"!$a1:$a10000"),汇总!$A28)),K27)</f>
        <v>329.79999999999995</v>
      </c>
      <c r="L28" s="109" cm="1">
        <f t="array" aca="1" ref="L28" ca="1">IFERROR(INDEX(_xlfn._xlws.FILTER(INDIRECT(L$1&amp;"!$E1:$E10000"),INDIRECT(L$1&amp;"!$a1:$a10000")=汇总!$A28),COUNTIF(INDIRECT(L$1&amp;"!$a1:$a10000"),汇总!$A28)),L27)</f>
        <v>2554.9745000000003</v>
      </c>
      <c r="M28" s="109" cm="1">
        <f t="array" aca="1" ref="M28" ca="1">IFERROR(INDEX(_xlfn._xlws.FILTER(INDIRECT(M$1&amp;"!$E1:$E10000"),INDIRECT(M$1&amp;"!$a1:$a10000")=汇总!$A28),COUNTIF(INDIRECT(M$1&amp;"!$a1:$a10000"),汇总!$A28)),M27)</f>
        <v>4442.7862000000005</v>
      </c>
      <c r="N28" s="109" cm="1">
        <f t="array" aca="1" ref="N28" ca="1">IFERROR(INDEX(_xlfn._xlws.FILTER(INDIRECT(N$1&amp;"!$E1:$E10000"),INDIRECT(N$1&amp;"!$a1:$a10000")=汇总!$A28),COUNTIF(INDIRECT(N$1&amp;"!$a1:$a10000"),汇总!$A28)),N27)</f>
        <v>2856.1</v>
      </c>
      <c r="O28" s="109" cm="1">
        <f t="array" aca="1" ref="O28" ca="1">IFERROR(INDEX(_xlfn._xlws.FILTER(INDIRECT(O$1&amp;"!$E1:$E10000"),INDIRECT(O$1&amp;"!$a1:$a10000")=汇总!$A28),COUNTIF(INDIRECT(O$1&amp;"!$a1:$a10000"),汇总!$A28)),O27)</f>
        <v>1920</v>
      </c>
      <c r="P28" s="109" t="e" cm="1" vm="2">
        <f t="array" aca="1" ref="P28" ca="1">IFERROR(INDEX(_xlfn._xlws.FILTER(INDIRECT(P$1&amp;"!$E1:$E10000"),INDIRECT(P$1&amp;"!$a1:$a10000")=汇总!$A28),COUNTIF(INDIRECT(P$1&amp;"!$a1:$a10000"),汇总!$A28)),P27)</f>
        <v>#VALUE!</v>
      </c>
      <c r="Q28" s="109" t="e" cm="1" vm="2">
        <f t="array" aca="1" ref="Q28" ca="1">IFERROR(INDEX(_xlfn._xlws.FILTER(INDIRECT(Q$1&amp;"!$E1:$E10000"),INDIRECT(Q$1&amp;"!$a1:$a10000")=汇总!$A28),COUNTIF(INDIRECT(Q$1&amp;"!$a1:$a10000"),汇总!$A28)),Q27)</f>
        <v>#VALUE!</v>
      </c>
      <c r="R28" s="109" t="e" cm="1" vm="2">
        <f t="array" aca="1" ref="R28" ca="1">IFERROR(INDEX(_xlfn._xlws.FILTER(INDIRECT(R$1&amp;"!$E1:$E10000"),INDIRECT(R$1&amp;"!$a1:$a10000")=汇总!$A28),COUNTIF(INDIRECT(R$1&amp;"!$a1:$a10000"),汇总!$A28)),R27)</f>
        <v>#VALUE!</v>
      </c>
      <c r="S28" s="109" t="e" cm="1" vm="2">
        <f t="array" aca="1" ref="S28" ca="1">IFERROR(INDEX(_xlfn._xlws.FILTER(INDIRECT(S$1&amp;"!$E1:$E10000"),INDIRECT(S$1&amp;"!$a1:$a10000")=汇总!$A28),COUNTIF(INDIRECT(S$1&amp;"!$a1:$a10000"),汇总!$A28)),S27)</f>
        <v>#VALUE!</v>
      </c>
    </row>
    <row r="29" spans="1:19" hidden="1">
      <c r="A29" s="1">
        <f t="shared" si="0"/>
        <v>46050</v>
      </c>
      <c r="B29" s="109" cm="1">
        <f t="array" aca="1" ref="B29" ca="1">IFERROR(INDEX(_xlfn._xlws.FILTER(INDIRECT(B$1&amp;"!$E1:$E10000"),INDIRECT(B$1&amp;"!$a1:$a10000")=汇总!$A29),COUNTIF(INDIRECT(B$1&amp;"!$a1:$a10000"),汇总!$A29)),B28)</f>
        <v>5407</v>
      </c>
      <c r="C29" s="109" cm="1">
        <f t="array" aca="1" ref="C29" ca="1">IFERROR(INDEX(_xlfn._xlws.FILTER(INDIRECT(C$1&amp;"!$E1:$E10000"),INDIRECT(C$1&amp;"!$a1:$a10000")=汇总!$A29),COUNTIF(INDIRECT(C$1&amp;"!$a1:$a10000"),汇总!$A29)),C28)</f>
        <v>2305</v>
      </c>
      <c r="D29" s="109" cm="1">
        <f t="array" aca="1" ref="D29" ca="1">IFERROR(INDEX(_xlfn._xlws.FILTER(INDIRECT(D$1&amp;"!$E1:$E10000"),INDIRECT(D$1&amp;"!$a1:$a10000")=汇总!$A29),COUNTIF(INDIRECT(D$1&amp;"!$a1:$a10000"),汇总!$A29)),D28)</f>
        <v>947.74526000000037</v>
      </c>
      <c r="E29" s="109" cm="1">
        <f t="array" aca="1" ref="E29" ca="1">IFERROR(INDEX(_xlfn._xlws.FILTER(INDIRECT(E$1&amp;"!$E1:$E10000"),INDIRECT(E$1&amp;"!$a1:$a10000")=汇总!$A29),COUNTIF(INDIRECT(E$1&amp;"!$a1:$a10000"),汇总!$A29)),E28)</f>
        <v>376</v>
      </c>
      <c r="F29" s="109" cm="1">
        <f t="array" aca="1" ref="F29" ca="1">IFERROR(INDEX(_xlfn._xlws.FILTER(INDIRECT(F$1&amp;"!$E1:$E10000"),INDIRECT(F$1&amp;"!$a1:$a10000")=汇总!$A29),COUNTIF(INDIRECT(F$1&amp;"!$a1:$a10000"),汇总!$A29)),F28)</f>
        <v>6363</v>
      </c>
      <c r="G29" s="109" cm="1">
        <f t="array" aca="1" ref="G29" ca="1">IFERROR(INDEX(_xlfn._xlws.FILTER(INDIRECT(G$1&amp;"!$E1:$E10000"),INDIRECT(G$1&amp;"!$a1:$a10000")=汇总!$A29),COUNTIF(INDIRECT(G$1&amp;"!$a1:$a10000"),汇总!$A29)),G28)</f>
        <v>3793.4877029671215</v>
      </c>
      <c r="H29" s="109" cm="1">
        <f t="array" aca="1" ref="H29" ca="1">IFERROR(INDEX(_xlfn._xlws.FILTER(INDIRECT(H$1&amp;"!$E1:$E10000"),INDIRECT(H$1&amp;"!$a1:$a10000")=汇总!$A29),COUNTIF(INDIRECT(H$1&amp;"!$a1:$a10000"),汇总!$A29)),H28)</f>
        <v>148.70000000000005</v>
      </c>
      <c r="I29" s="109" cm="1">
        <f t="array" aca="1" ref="I29" ca="1">IFERROR(INDEX(_xlfn._xlws.FILTER(INDIRECT(I$1&amp;"!$E1:$E10000"),INDIRECT(I$1&amp;"!$a1:$a10000")=汇总!$A29),COUNTIF(INDIRECT(I$1&amp;"!$a1:$a10000"),汇总!$A29)),I28)</f>
        <v>394.77733599999999</v>
      </c>
      <c r="J29" s="109" cm="1">
        <f t="array" aca="1" ref="J29" ca="1">IFERROR(INDEX(_xlfn._xlws.FILTER(INDIRECT(J$1&amp;"!$E1:$E10000"),INDIRECT(J$1&amp;"!$a1:$a10000")=汇总!$A29),COUNTIF(INDIRECT(J$1&amp;"!$a1:$a10000"),汇总!$A29)),J28)</f>
        <v>2.5</v>
      </c>
      <c r="K29" s="109" cm="1">
        <f t="array" aca="1" ref="K29" ca="1">IFERROR(INDEX(_xlfn._xlws.FILTER(INDIRECT(K$1&amp;"!$E1:$E10000"),INDIRECT(K$1&amp;"!$a1:$a10000")=汇总!$A29),COUNTIF(INDIRECT(K$1&amp;"!$a1:$a10000"),汇总!$A29)),K28)</f>
        <v>329.79999999999995</v>
      </c>
      <c r="L29" s="109" cm="1">
        <f t="array" aca="1" ref="L29" ca="1">IFERROR(INDEX(_xlfn._xlws.FILTER(INDIRECT(L$1&amp;"!$E1:$E10000"),INDIRECT(L$1&amp;"!$a1:$a10000")=汇总!$A29),COUNTIF(INDIRECT(L$1&amp;"!$a1:$a10000"),汇总!$A29)),L28)</f>
        <v>2554.9745000000003</v>
      </c>
      <c r="M29" s="109" cm="1">
        <f t="array" aca="1" ref="M29" ca="1">IFERROR(INDEX(_xlfn._xlws.FILTER(INDIRECT(M$1&amp;"!$E1:$E10000"),INDIRECT(M$1&amp;"!$a1:$a10000")=汇总!$A29),COUNTIF(INDIRECT(M$1&amp;"!$a1:$a10000"),汇总!$A29)),M28)</f>
        <v>4723.7862000000005</v>
      </c>
      <c r="N29" s="109" cm="1">
        <f t="array" aca="1" ref="N29" ca="1">IFERROR(INDEX(_xlfn._xlws.FILTER(INDIRECT(N$1&amp;"!$E1:$E10000"),INDIRECT(N$1&amp;"!$a1:$a10000")=汇总!$A29),COUNTIF(INDIRECT(N$1&amp;"!$a1:$a10000"),汇总!$A29)),N28)</f>
        <v>2856.1</v>
      </c>
      <c r="O29" s="109" cm="1">
        <f t="array" aca="1" ref="O29" ca="1">IFERROR(INDEX(_xlfn._xlws.FILTER(INDIRECT(O$1&amp;"!$E1:$E10000"),INDIRECT(O$1&amp;"!$a1:$a10000")=汇总!$A29),COUNTIF(INDIRECT(O$1&amp;"!$a1:$a10000"),汇总!$A29)),O28)</f>
        <v>0</v>
      </c>
      <c r="P29" s="109" t="e" cm="1" vm="2">
        <f t="array" aca="1" ref="P29" ca="1">IFERROR(INDEX(_xlfn._xlws.FILTER(INDIRECT(P$1&amp;"!$E1:$E10000"),INDIRECT(P$1&amp;"!$a1:$a10000")=汇总!$A29),COUNTIF(INDIRECT(P$1&amp;"!$a1:$a10000"),汇总!$A29)),P28)</f>
        <v>#VALUE!</v>
      </c>
      <c r="Q29" s="109" t="e" cm="1" vm="2">
        <f t="array" aca="1" ref="Q29" ca="1">IFERROR(INDEX(_xlfn._xlws.FILTER(INDIRECT(Q$1&amp;"!$E1:$E10000"),INDIRECT(Q$1&amp;"!$a1:$a10000")=汇总!$A29),COUNTIF(INDIRECT(Q$1&amp;"!$a1:$a10000"),汇总!$A29)),Q28)</f>
        <v>#VALUE!</v>
      </c>
      <c r="R29" s="109" t="e" cm="1" vm="2">
        <f t="array" aca="1" ref="R29" ca="1">IFERROR(INDEX(_xlfn._xlws.FILTER(INDIRECT(R$1&amp;"!$E1:$E10000"),INDIRECT(R$1&amp;"!$a1:$a10000")=汇总!$A29),COUNTIF(INDIRECT(R$1&amp;"!$a1:$a10000"),汇总!$A29)),R28)</f>
        <v>#VALUE!</v>
      </c>
      <c r="S29" s="109" t="e" cm="1" vm="2">
        <f t="array" aca="1" ref="S29" ca="1">IFERROR(INDEX(_xlfn._xlws.FILTER(INDIRECT(S$1&amp;"!$E1:$E10000"),INDIRECT(S$1&amp;"!$a1:$a10000")=汇总!$A29),COUNTIF(INDIRECT(S$1&amp;"!$a1:$a10000"),汇总!$A29)),S28)</f>
        <v>#VALUE!</v>
      </c>
    </row>
    <row r="30" spans="1:19" hidden="1">
      <c r="A30" s="1">
        <f t="shared" si="0"/>
        <v>46051</v>
      </c>
      <c r="B30" s="109" cm="1">
        <f t="array" aca="1" ref="B30" ca="1">IFERROR(INDEX(_xlfn._xlws.FILTER(INDIRECT(B$1&amp;"!$E1:$E10000"),INDIRECT(B$1&amp;"!$a1:$a10000")=汇总!$A30),COUNTIF(INDIRECT(B$1&amp;"!$a1:$a10000"),汇总!$A30)),B29)</f>
        <v>662.30479999999989</v>
      </c>
      <c r="C30" s="109" cm="1">
        <f t="array" aca="1" ref="C30" ca="1">IFERROR(INDEX(_xlfn._xlws.FILTER(INDIRECT(C$1&amp;"!$E1:$E10000"),INDIRECT(C$1&amp;"!$a1:$a10000")=汇总!$A30),COUNTIF(INDIRECT(C$1&amp;"!$a1:$a10000"),汇总!$A30)),C29)</f>
        <v>2305</v>
      </c>
      <c r="D30" s="109" cm="1">
        <f t="array" aca="1" ref="D30" ca="1">IFERROR(INDEX(_xlfn._xlws.FILTER(INDIRECT(D$1&amp;"!$E1:$E10000"),INDIRECT(D$1&amp;"!$a1:$a10000")=汇总!$A30),COUNTIF(INDIRECT(D$1&amp;"!$a1:$a10000"),汇总!$A30)),D29)</f>
        <v>947.74526000000037</v>
      </c>
      <c r="E30" s="109" cm="1">
        <f t="array" aca="1" ref="E30" ca="1">IFERROR(INDEX(_xlfn._xlws.FILTER(INDIRECT(E$1&amp;"!$E1:$E10000"),INDIRECT(E$1&amp;"!$a1:$a10000")=汇总!$A30),COUNTIF(INDIRECT(E$1&amp;"!$a1:$a10000"),汇总!$A30)),E29)</f>
        <v>376</v>
      </c>
      <c r="F30" s="109" cm="1">
        <f t="array" aca="1" ref="F30" ca="1">IFERROR(INDEX(_xlfn._xlws.FILTER(INDIRECT(F$1&amp;"!$E1:$E10000"),INDIRECT(F$1&amp;"!$a1:$a10000")=汇总!$A30),COUNTIF(INDIRECT(F$1&amp;"!$a1:$a10000"),汇总!$A30)),F29)</f>
        <v>6367</v>
      </c>
      <c r="G30" s="109" cm="1">
        <f t="array" aca="1" ref="G30" ca="1">IFERROR(INDEX(_xlfn._xlws.FILTER(INDIRECT(G$1&amp;"!$E1:$E10000"),INDIRECT(G$1&amp;"!$a1:$a10000")=汇总!$A30),COUNTIF(INDIRECT(G$1&amp;"!$a1:$a10000"),汇总!$A30)),G29)</f>
        <v>3793.4877029671215</v>
      </c>
      <c r="H30" s="109" cm="1">
        <f t="array" aca="1" ref="H30" ca="1">IFERROR(INDEX(_xlfn._xlws.FILTER(INDIRECT(H$1&amp;"!$E1:$E10000"),INDIRECT(H$1&amp;"!$a1:$a10000")=汇总!$A30),COUNTIF(INDIRECT(H$1&amp;"!$a1:$a10000"),汇总!$A30)),H29)</f>
        <v>148.70000000000005</v>
      </c>
      <c r="I30" s="109" cm="1">
        <f t="array" aca="1" ref="I30" ca="1">IFERROR(INDEX(_xlfn._xlws.FILTER(INDIRECT(I$1&amp;"!$E1:$E10000"),INDIRECT(I$1&amp;"!$a1:$a10000")=汇总!$A30),COUNTIF(INDIRECT(I$1&amp;"!$a1:$a10000"),汇总!$A30)),I29)</f>
        <v>394.77733599999999</v>
      </c>
      <c r="J30" s="109" cm="1">
        <f t="array" aca="1" ref="J30" ca="1">IFERROR(INDEX(_xlfn._xlws.FILTER(INDIRECT(J$1&amp;"!$E1:$E10000"),INDIRECT(J$1&amp;"!$a1:$a10000")=汇总!$A30),COUNTIF(INDIRECT(J$1&amp;"!$a1:$a10000"),汇总!$A30)),J29)</f>
        <v>2.5</v>
      </c>
      <c r="K30" s="109" cm="1">
        <f t="array" aca="1" ref="K30" ca="1">IFERROR(INDEX(_xlfn._xlws.FILTER(INDIRECT(K$1&amp;"!$E1:$E10000"),INDIRECT(K$1&amp;"!$a1:$a10000")=汇总!$A30),COUNTIF(INDIRECT(K$1&amp;"!$a1:$a10000"),汇总!$A30)),K29)</f>
        <v>329.79999999999995</v>
      </c>
      <c r="L30" s="109" cm="1">
        <f t="array" aca="1" ref="L30" ca="1">IFERROR(INDEX(_xlfn._xlws.FILTER(INDIRECT(L$1&amp;"!$E1:$E10000"),INDIRECT(L$1&amp;"!$a1:$a10000")=汇总!$A30),COUNTIF(INDIRECT(L$1&amp;"!$a1:$a10000"),汇总!$A30)),L29)</f>
        <v>1444.9745000000003</v>
      </c>
      <c r="M30" s="109" cm="1">
        <f t="array" aca="1" ref="M30" ca="1">IFERROR(INDEX(_xlfn._xlws.FILTER(INDIRECT(M$1&amp;"!$E1:$E10000"),INDIRECT(M$1&amp;"!$a1:$a10000")=汇总!$A30),COUNTIF(INDIRECT(M$1&amp;"!$a1:$a10000"),汇总!$A30)),M29)</f>
        <v>4983.7862000000005</v>
      </c>
      <c r="N30" s="109" cm="1">
        <f t="array" aca="1" ref="N30" ca="1">IFERROR(INDEX(_xlfn._xlws.FILTER(INDIRECT(N$1&amp;"!$E1:$E10000"),INDIRECT(N$1&amp;"!$a1:$a10000")=汇总!$A30),COUNTIF(INDIRECT(N$1&amp;"!$a1:$a10000"),汇总!$A30)),N29)</f>
        <v>3363.1</v>
      </c>
      <c r="O30" s="109" cm="1">
        <f t="array" aca="1" ref="O30" ca="1">IFERROR(INDEX(_xlfn._xlws.FILTER(INDIRECT(O$1&amp;"!$E1:$E10000"),INDIRECT(O$1&amp;"!$a1:$a10000")=汇总!$A30),COUNTIF(INDIRECT(O$1&amp;"!$a1:$a10000"),汇总!$A30)),O29)</f>
        <v>0</v>
      </c>
      <c r="P30" s="109" t="e" cm="1" vm="2">
        <f t="array" aca="1" ref="P30" ca="1">IFERROR(INDEX(_xlfn._xlws.FILTER(INDIRECT(P$1&amp;"!$E1:$E10000"),INDIRECT(P$1&amp;"!$a1:$a10000")=汇总!$A30),COUNTIF(INDIRECT(P$1&amp;"!$a1:$a10000"),汇总!$A30)),P29)</f>
        <v>#VALUE!</v>
      </c>
      <c r="Q30" s="109" t="e" cm="1" vm="2">
        <f t="array" aca="1" ref="Q30" ca="1">IFERROR(INDEX(_xlfn._xlws.FILTER(INDIRECT(Q$1&amp;"!$E1:$E10000"),INDIRECT(Q$1&amp;"!$a1:$a10000")=汇总!$A30),COUNTIF(INDIRECT(Q$1&amp;"!$a1:$a10000"),汇总!$A30)),Q29)</f>
        <v>#VALUE!</v>
      </c>
      <c r="R30" s="109" t="e" cm="1" vm="2">
        <f t="array" aca="1" ref="R30" ca="1">IFERROR(INDEX(_xlfn._xlws.FILTER(INDIRECT(R$1&amp;"!$E1:$E10000"),INDIRECT(R$1&amp;"!$a1:$a10000")=汇总!$A30),COUNTIF(INDIRECT(R$1&amp;"!$a1:$a10000"),汇总!$A30)),R29)</f>
        <v>#VALUE!</v>
      </c>
      <c r="S30" s="109" t="e" cm="1" vm="2">
        <f t="array" aca="1" ref="S30" ca="1">IFERROR(INDEX(_xlfn._xlws.FILTER(INDIRECT(S$1&amp;"!$E1:$E10000"),INDIRECT(S$1&amp;"!$a1:$a10000")=汇总!$A30),COUNTIF(INDIRECT(S$1&amp;"!$a1:$a10000"),汇总!$A30)),S29)</f>
        <v>#VALUE!</v>
      </c>
    </row>
    <row r="31" spans="1:19" hidden="1">
      <c r="A31" s="1">
        <f t="shared" ref="A31:A57" si="1">+A30+1</f>
        <v>46052</v>
      </c>
      <c r="B31" s="109" cm="1">
        <f t="array" aca="1" ref="B31" ca="1">IFERROR(INDEX(_xlfn._xlws.FILTER(INDIRECT(B$1&amp;"!$E1:$E10000"),INDIRECT(B$1&amp;"!$a1:$a10000")=汇总!$A31),COUNTIF(INDIRECT(B$1&amp;"!$a1:$a10000"),汇总!$A31)),B30)</f>
        <v>1267</v>
      </c>
      <c r="C31" s="109" cm="1">
        <f t="array" aca="1" ref="C31" ca="1">IFERROR(INDEX(_xlfn._xlws.FILTER(INDIRECT(C$1&amp;"!$E1:$E10000"),INDIRECT(C$1&amp;"!$a1:$a10000")=汇总!$A31),COUNTIF(INDIRECT(C$1&amp;"!$a1:$a10000"),汇总!$A31)),C30)</f>
        <v>1850</v>
      </c>
      <c r="D31" s="109" cm="1">
        <f t="array" aca="1" ref="D31" ca="1">IFERROR(INDEX(_xlfn._xlws.FILTER(INDIRECT(D$1&amp;"!$E1:$E10000"),INDIRECT(D$1&amp;"!$a1:$a10000")=汇总!$A31),COUNTIF(INDIRECT(D$1&amp;"!$a1:$a10000"),汇总!$A31)),D30)</f>
        <v>947.74526000000037</v>
      </c>
      <c r="E31" s="109" cm="1">
        <f t="array" aca="1" ref="E31" ca="1">IFERROR(INDEX(_xlfn._xlws.FILTER(INDIRECT(E$1&amp;"!$E1:$E10000"),INDIRECT(E$1&amp;"!$a1:$a10000")=汇总!$A31),COUNTIF(INDIRECT(E$1&amp;"!$a1:$a10000"),汇总!$A31)),E30)</f>
        <v>376</v>
      </c>
      <c r="F31" s="109" cm="1">
        <f t="array" aca="1" ref="F31" ca="1">IFERROR(INDEX(_xlfn._xlws.FILTER(INDIRECT(F$1&amp;"!$E1:$E10000"),INDIRECT(F$1&amp;"!$a1:$a10000")=汇总!$A31),COUNTIF(INDIRECT(F$1&amp;"!$a1:$a10000"),汇总!$A31)),F30)</f>
        <v>6367</v>
      </c>
      <c r="G31" s="109" cm="1">
        <f t="array" aca="1" ref="G31" ca="1">IFERROR(INDEX(_xlfn._xlws.FILTER(INDIRECT(G$1&amp;"!$E1:$E10000"),INDIRECT(G$1&amp;"!$a1:$a10000")=汇总!$A31),COUNTIF(INDIRECT(G$1&amp;"!$a1:$a10000"),汇总!$A31)),G30)</f>
        <v>3793.4877029671215</v>
      </c>
      <c r="H31" s="109" cm="1">
        <f t="array" aca="1" ref="H31" ca="1">IFERROR(INDEX(_xlfn._xlws.FILTER(INDIRECT(H$1&amp;"!$E1:$E10000"),INDIRECT(H$1&amp;"!$a1:$a10000")=汇总!$A31),COUNTIF(INDIRECT(H$1&amp;"!$a1:$a10000"),汇总!$A31)),H30)</f>
        <v>98.700000000000045</v>
      </c>
      <c r="I31" s="109" cm="1">
        <f t="array" aca="1" ref="I31" ca="1">IFERROR(INDEX(_xlfn._xlws.FILTER(INDIRECT(I$1&amp;"!$E1:$E10000"),INDIRECT(I$1&amp;"!$a1:$a10000")=汇总!$A31),COUNTIF(INDIRECT(I$1&amp;"!$a1:$a10000"),汇总!$A31)),I30)</f>
        <v>244.77733599999999</v>
      </c>
      <c r="J31" s="109" cm="1">
        <f t="array" aca="1" ref="J31" ca="1">IFERROR(INDEX(_xlfn._xlws.FILTER(INDIRECT(J$1&amp;"!$E1:$E10000"),INDIRECT(J$1&amp;"!$a1:$a10000")=汇总!$A31),COUNTIF(INDIRECT(J$1&amp;"!$a1:$a10000"),汇总!$A31)),J30)</f>
        <v>2.5</v>
      </c>
      <c r="K31" s="109" cm="1">
        <f t="array" aca="1" ref="K31" ca="1">IFERROR(INDEX(_xlfn._xlws.FILTER(INDIRECT(K$1&amp;"!$E1:$E10000"),INDIRECT(K$1&amp;"!$a1:$a10000")=汇总!$A31),COUNTIF(INDIRECT(K$1&amp;"!$a1:$a10000"),汇总!$A31)),K30)</f>
        <v>455.79999999999995</v>
      </c>
      <c r="L31" s="109" cm="1">
        <f t="array" aca="1" ref="L31" ca="1">IFERROR(INDEX(_xlfn._xlws.FILTER(INDIRECT(L$1&amp;"!$E1:$E10000"),INDIRECT(L$1&amp;"!$a1:$a10000")=汇总!$A31),COUNTIF(INDIRECT(L$1&amp;"!$a1:$a10000"),汇总!$A31)),L30)</f>
        <v>1444.9745000000003</v>
      </c>
      <c r="M31" s="109" cm="1">
        <f t="array" aca="1" ref="M31" ca="1">IFERROR(INDEX(_xlfn._xlws.FILTER(INDIRECT(M$1&amp;"!$E1:$E10000"),INDIRECT(M$1&amp;"!$a1:$a10000")=汇总!$A31),COUNTIF(INDIRECT(M$1&amp;"!$a1:$a10000"),汇总!$A31)),M30)</f>
        <v>3545.7404570000003</v>
      </c>
      <c r="N31" s="109" cm="1">
        <f t="array" aca="1" ref="N31" ca="1">IFERROR(INDEX(_xlfn._xlws.FILTER(INDIRECT(N$1&amp;"!$E1:$E10000"),INDIRECT(N$1&amp;"!$a1:$a10000")=汇总!$A31),COUNTIF(INDIRECT(N$1&amp;"!$a1:$a10000"),汇总!$A31)),N30)</f>
        <v>3063.1</v>
      </c>
      <c r="O31" s="109" cm="1">
        <f t="array" aca="1" ref="O31" ca="1">IFERROR(INDEX(_xlfn._xlws.FILTER(INDIRECT(O$1&amp;"!$E1:$E10000"),INDIRECT(O$1&amp;"!$a1:$a10000")=汇总!$A31),COUNTIF(INDIRECT(O$1&amp;"!$a1:$a10000"),汇总!$A31)),O30)</f>
        <v>0</v>
      </c>
      <c r="P31" s="109" cm="1">
        <f t="array" aca="1" ref="P31" ca="1">IFERROR(INDEX(_xlfn._xlws.FILTER(INDIRECT(P$1&amp;"!$E1:$E10000"),INDIRECT(P$1&amp;"!$a1:$a10000")=汇总!$A31),COUNTIF(INDIRECT(P$1&amp;"!$a1:$a10000"),汇总!$A31)),P30)</f>
        <v>50</v>
      </c>
      <c r="Q31" s="109" cm="1">
        <f t="array" aca="1" ref="Q31" ca="1">IFERROR(INDEX(_xlfn._xlws.FILTER(INDIRECT(Q$1&amp;"!$E1:$E10000"),INDIRECT(Q$1&amp;"!$a1:$a10000")=汇总!$A31),COUNTIF(INDIRECT(Q$1&amp;"!$a1:$a10000"),汇总!$A31)),Q30)</f>
        <v>330</v>
      </c>
      <c r="R31" s="109" t="e" cm="1" vm="2">
        <f t="array" aca="1" ref="R31" ca="1">IFERROR(INDEX(_xlfn._xlws.FILTER(INDIRECT(R$1&amp;"!$E1:$E10000"),INDIRECT(R$1&amp;"!$a1:$a10000")=汇总!$A31),COUNTIF(INDIRECT(R$1&amp;"!$a1:$a10000"),汇总!$A31)),R30)</f>
        <v>#VALUE!</v>
      </c>
      <c r="S31" s="109" t="e" cm="1" vm="2">
        <f t="array" aca="1" ref="S31" ca="1">IFERROR(INDEX(_xlfn._xlws.FILTER(INDIRECT(S$1&amp;"!$E1:$E10000"),INDIRECT(S$1&amp;"!$a1:$a10000")=汇总!$A31),COUNTIF(INDIRECT(S$1&amp;"!$a1:$a10000"),汇总!$A31)),S30)</f>
        <v>#VALUE!</v>
      </c>
    </row>
    <row r="32" spans="1:19" hidden="1">
      <c r="A32" s="1">
        <f t="shared" si="1"/>
        <v>46053</v>
      </c>
      <c r="B32" s="109" cm="1">
        <f t="array" aca="1" ref="B32" ca="1">IFERROR(INDEX(_xlfn._xlws.FILTER(INDIRECT(B$1&amp;"!$E1:$E10000"),INDIRECT(B$1&amp;"!$a1:$a10000")=汇总!$A32),COUNTIF(INDIRECT(B$1&amp;"!$a1:$a10000"),汇总!$A32)),B31)</f>
        <v>1267</v>
      </c>
      <c r="C32" s="109" cm="1">
        <f t="array" aca="1" ref="C32" ca="1">IFERROR(INDEX(_xlfn._xlws.FILTER(INDIRECT(C$1&amp;"!$E1:$E10000"),INDIRECT(C$1&amp;"!$a1:$a10000")=汇总!$A32),COUNTIF(INDIRECT(C$1&amp;"!$a1:$a10000"),汇总!$A32)),C31)</f>
        <v>1850</v>
      </c>
      <c r="D32" s="109" cm="1">
        <f t="array" aca="1" ref="D32" ca="1">IFERROR(INDEX(_xlfn._xlws.FILTER(INDIRECT(D$1&amp;"!$E1:$E10000"),INDIRECT(D$1&amp;"!$a1:$a10000")=汇总!$A32),COUNTIF(INDIRECT(D$1&amp;"!$a1:$a10000"),汇总!$A32)),D31)</f>
        <v>947.74526000000037</v>
      </c>
      <c r="E32" s="109" cm="1">
        <f t="array" aca="1" ref="E32" ca="1">IFERROR(INDEX(_xlfn._xlws.FILTER(INDIRECT(E$1&amp;"!$E1:$E10000"),INDIRECT(E$1&amp;"!$a1:$a10000")=汇总!$A32),COUNTIF(INDIRECT(E$1&amp;"!$a1:$a10000"),汇总!$A32)),E31)</f>
        <v>376</v>
      </c>
      <c r="F32" s="109" cm="1">
        <f t="array" aca="1" ref="F32" ca="1">IFERROR(INDEX(_xlfn._xlws.FILTER(INDIRECT(F$1&amp;"!$E1:$E10000"),INDIRECT(F$1&amp;"!$a1:$a10000")=汇总!$A32),COUNTIF(INDIRECT(F$1&amp;"!$a1:$a10000"),汇总!$A32)),F31)</f>
        <v>6367</v>
      </c>
      <c r="G32" s="109" cm="1">
        <f t="array" aca="1" ref="G32" ca="1">IFERROR(INDEX(_xlfn._xlws.FILTER(INDIRECT(G$1&amp;"!$E1:$E10000"),INDIRECT(G$1&amp;"!$a1:$a10000")=汇总!$A32),COUNTIF(INDIRECT(G$1&amp;"!$a1:$a10000"),汇总!$A32)),G31)</f>
        <v>3793.4877029671215</v>
      </c>
      <c r="H32" s="109" cm="1">
        <f t="array" aca="1" ref="H32" ca="1">IFERROR(INDEX(_xlfn._xlws.FILTER(INDIRECT(H$1&amp;"!$E1:$E10000"),INDIRECT(H$1&amp;"!$a1:$a10000")=汇总!$A32),COUNTIF(INDIRECT(H$1&amp;"!$a1:$a10000"),汇总!$A32)),H31)</f>
        <v>98.700000000000045</v>
      </c>
      <c r="I32" s="109" cm="1">
        <f t="array" aca="1" ref="I32" ca="1">IFERROR(INDEX(_xlfn._xlws.FILTER(INDIRECT(I$1&amp;"!$E1:$E10000"),INDIRECT(I$1&amp;"!$a1:$a10000")=汇总!$A32),COUNTIF(INDIRECT(I$1&amp;"!$a1:$a10000"),汇总!$A32)),I31)</f>
        <v>244.77733599999999</v>
      </c>
      <c r="J32" s="109" cm="1">
        <f t="array" aca="1" ref="J32" ca="1">IFERROR(INDEX(_xlfn._xlws.FILTER(INDIRECT(J$1&amp;"!$E1:$E10000"),INDIRECT(J$1&amp;"!$a1:$a10000")=汇总!$A32),COUNTIF(INDIRECT(J$1&amp;"!$a1:$a10000"),汇总!$A32)),J31)</f>
        <v>2.5</v>
      </c>
      <c r="K32" s="109" cm="1">
        <f t="array" aca="1" ref="K32" ca="1">IFERROR(INDEX(_xlfn._xlws.FILTER(INDIRECT(K$1&amp;"!$E1:$E10000"),INDIRECT(K$1&amp;"!$a1:$a10000")=汇总!$A32),COUNTIF(INDIRECT(K$1&amp;"!$a1:$a10000"),汇总!$A32)),K31)</f>
        <v>455.79999999999995</v>
      </c>
      <c r="L32" s="109" cm="1">
        <f t="array" aca="1" ref="L32" ca="1">IFERROR(INDEX(_xlfn._xlws.FILTER(INDIRECT(L$1&amp;"!$E1:$E10000"),INDIRECT(L$1&amp;"!$a1:$a10000")=汇总!$A32),COUNTIF(INDIRECT(L$1&amp;"!$a1:$a10000"),汇总!$A32)),L31)</f>
        <v>1444.9745000000003</v>
      </c>
      <c r="M32" s="109" cm="1">
        <f t="array" aca="1" ref="M32" ca="1">IFERROR(INDEX(_xlfn._xlws.FILTER(INDIRECT(M$1&amp;"!$E1:$E10000"),INDIRECT(M$1&amp;"!$a1:$a10000")=汇总!$A32),COUNTIF(INDIRECT(M$1&amp;"!$a1:$a10000"),汇总!$A32)),M31)</f>
        <v>3545.7404570000003</v>
      </c>
      <c r="N32" s="109" cm="1">
        <f t="array" aca="1" ref="N32" ca="1">IFERROR(INDEX(_xlfn._xlws.FILTER(INDIRECT(N$1&amp;"!$E1:$E10000"),INDIRECT(N$1&amp;"!$a1:$a10000")=汇总!$A32),COUNTIF(INDIRECT(N$1&amp;"!$a1:$a10000"),汇总!$A32)),N31)</f>
        <v>3063.1</v>
      </c>
      <c r="O32" s="109" cm="1">
        <f t="array" aca="1" ref="O32" ca="1">IFERROR(INDEX(_xlfn._xlws.FILTER(INDIRECT(O$1&amp;"!$E1:$E10000"),INDIRECT(O$1&amp;"!$a1:$a10000")=汇总!$A32),COUNTIF(INDIRECT(O$1&amp;"!$a1:$a10000"),汇总!$A32)),O31)</f>
        <v>0</v>
      </c>
      <c r="P32" s="109" cm="1">
        <f t="array" aca="1" ref="P32" ca="1">IFERROR(INDEX(_xlfn._xlws.FILTER(INDIRECT(P$1&amp;"!$E1:$E10000"),INDIRECT(P$1&amp;"!$a1:$a10000")=汇总!$A32),COUNTIF(INDIRECT(P$1&amp;"!$a1:$a10000"),汇总!$A32)),P31)</f>
        <v>50</v>
      </c>
      <c r="Q32" s="109" cm="1">
        <f t="array" aca="1" ref="Q32" ca="1">IFERROR(INDEX(_xlfn._xlws.FILTER(INDIRECT(Q$1&amp;"!$E1:$E10000"),INDIRECT(Q$1&amp;"!$a1:$a10000")=汇总!$A32),COUNTIF(INDIRECT(Q$1&amp;"!$a1:$a10000"),汇总!$A32)),Q31)</f>
        <v>330</v>
      </c>
      <c r="R32" s="109" t="e" cm="1" vm="2">
        <f t="array" aca="1" ref="R32" ca="1">IFERROR(INDEX(_xlfn._xlws.FILTER(INDIRECT(R$1&amp;"!$E1:$E10000"),INDIRECT(R$1&amp;"!$a1:$a10000")=汇总!$A32),COUNTIF(INDIRECT(R$1&amp;"!$a1:$a10000"),汇总!$A32)),R31)</f>
        <v>#VALUE!</v>
      </c>
      <c r="S32" s="109" t="e" cm="1" vm="2">
        <f t="array" aca="1" ref="S32" ca="1">IFERROR(INDEX(_xlfn._xlws.FILTER(INDIRECT(S$1&amp;"!$E1:$E10000"),INDIRECT(S$1&amp;"!$a1:$a10000")=汇总!$A32),COUNTIF(INDIRECT(S$1&amp;"!$a1:$a10000"),汇总!$A32)),S31)</f>
        <v>#VALUE!</v>
      </c>
    </row>
    <row r="33" spans="1:19" hidden="1">
      <c r="A33" s="1">
        <f t="shared" si="1"/>
        <v>46054</v>
      </c>
      <c r="B33" s="109" cm="1">
        <f t="array" aca="1" ref="B33" ca="1">IFERROR(INDEX(_xlfn._xlws.FILTER(INDIRECT(B$1&amp;"!$E1:$E10000"),INDIRECT(B$1&amp;"!$a1:$a10000")=汇总!$A33),COUNTIF(INDIRECT(B$1&amp;"!$a1:$a10000"),汇总!$A33)),B32)</f>
        <v>1267</v>
      </c>
      <c r="C33" s="109" cm="1">
        <f t="array" aca="1" ref="C33" ca="1">IFERROR(INDEX(_xlfn._xlws.FILTER(INDIRECT(C$1&amp;"!$E1:$E10000"),INDIRECT(C$1&amp;"!$a1:$a10000")=汇总!$A33),COUNTIF(INDIRECT(C$1&amp;"!$a1:$a10000"),汇总!$A33)),C32)</f>
        <v>1850</v>
      </c>
      <c r="D33" s="109" cm="1">
        <f t="array" aca="1" ref="D33" ca="1">IFERROR(INDEX(_xlfn._xlws.FILTER(INDIRECT(D$1&amp;"!$E1:$E10000"),INDIRECT(D$1&amp;"!$a1:$a10000")=汇总!$A33),COUNTIF(INDIRECT(D$1&amp;"!$a1:$a10000"),汇总!$A33)),D32)</f>
        <v>947.74526000000037</v>
      </c>
      <c r="E33" s="109" cm="1">
        <f t="array" aca="1" ref="E33" ca="1">IFERROR(INDEX(_xlfn._xlws.FILTER(INDIRECT(E$1&amp;"!$E1:$E10000"),INDIRECT(E$1&amp;"!$a1:$a10000")=汇总!$A33),COUNTIF(INDIRECT(E$1&amp;"!$a1:$a10000"),汇总!$A33)),E32)</f>
        <v>376</v>
      </c>
      <c r="F33" s="109" cm="1">
        <f t="array" aca="1" ref="F33" ca="1">IFERROR(INDEX(_xlfn._xlws.FILTER(INDIRECT(F$1&amp;"!$E1:$E10000"),INDIRECT(F$1&amp;"!$a1:$a10000")=汇总!$A33),COUNTIF(INDIRECT(F$1&amp;"!$a1:$a10000"),汇总!$A33)),F32)</f>
        <v>6367</v>
      </c>
      <c r="G33" s="109" cm="1">
        <f t="array" aca="1" ref="G33" ca="1">IFERROR(INDEX(_xlfn._xlws.FILTER(INDIRECT(G$1&amp;"!$E1:$E10000"),INDIRECT(G$1&amp;"!$a1:$a10000")=汇总!$A33),COUNTIF(INDIRECT(G$1&amp;"!$a1:$a10000"),汇总!$A33)),G32)</f>
        <v>3793.4877029671215</v>
      </c>
      <c r="H33" s="109" cm="1">
        <f t="array" aca="1" ref="H33" ca="1">IFERROR(INDEX(_xlfn._xlws.FILTER(INDIRECT(H$1&amp;"!$E1:$E10000"),INDIRECT(H$1&amp;"!$a1:$a10000")=汇总!$A33),COUNTIF(INDIRECT(H$1&amp;"!$a1:$a10000"),汇总!$A33)),H32)</f>
        <v>98.700000000000045</v>
      </c>
      <c r="I33" s="109" cm="1">
        <f t="array" aca="1" ref="I33" ca="1">IFERROR(INDEX(_xlfn._xlws.FILTER(INDIRECT(I$1&amp;"!$E1:$E10000"),INDIRECT(I$1&amp;"!$a1:$a10000")=汇总!$A33),COUNTIF(INDIRECT(I$1&amp;"!$a1:$a10000"),汇总!$A33)),I32)</f>
        <v>244.77733599999999</v>
      </c>
      <c r="J33" s="109" cm="1">
        <f t="array" aca="1" ref="J33" ca="1">IFERROR(INDEX(_xlfn._xlws.FILTER(INDIRECT(J$1&amp;"!$E1:$E10000"),INDIRECT(J$1&amp;"!$a1:$a10000")=汇总!$A33),COUNTIF(INDIRECT(J$1&amp;"!$a1:$a10000"),汇总!$A33)),J32)</f>
        <v>2.5</v>
      </c>
      <c r="K33" s="109" cm="1">
        <f t="array" aca="1" ref="K33" ca="1">IFERROR(INDEX(_xlfn._xlws.FILTER(INDIRECT(K$1&amp;"!$E1:$E10000"),INDIRECT(K$1&amp;"!$a1:$a10000")=汇总!$A33),COUNTIF(INDIRECT(K$1&amp;"!$a1:$a10000"),汇总!$A33)),K32)</f>
        <v>455.79999999999995</v>
      </c>
      <c r="L33" s="109" cm="1">
        <f t="array" aca="1" ref="L33" ca="1">IFERROR(INDEX(_xlfn._xlws.FILTER(INDIRECT(L$1&amp;"!$E1:$E10000"),INDIRECT(L$1&amp;"!$a1:$a10000")=汇总!$A33),COUNTIF(INDIRECT(L$1&amp;"!$a1:$a10000"),汇总!$A33)),L32)</f>
        <v>1444.9745000000003</v>
      </c>
      <c r="M33" s="109" cm="1">
        <f t="array" aca="1" ref="M33" ca="1">IFERROR(INDEX(_xlfn._xlws.FILTER(INDIRECT(M$1&amp;"!$E1:$E10000"),INDIRECT(M$1&amp;"!$a1:$a10000")=汇总!$A33),COUNTIF(INDIRECT(M$1&amp;"!$a1:$a10000"),汇总!$A33)),M32)</f>
        <v>3545.7404570000003</v>
      </c>
      <c r="N33" s="109" cm="1">
        <f t="array" aca="1" ref="N33" ca="1">IFERROR(INDEX(_xlfn._xlws.FILTER(INDIRECT(N$1&amp;"!$E1:$E10000"),INDIRECT(N$1&amp;"!$a1:$a10000")=汇总!$A33),COUNTIF(INDIRECT(N$1&amp;"!$a1:$a10000"),汇总!$A33)),N32)</f>
        <v>3063.1</v>
      </c>
      <c r="O33" s="109" cm="1">
        <f t="array" aca="1" ref="O33" ca="1">IFERROR(INDEX(_xlfn._xlws.FILTER(INDIRECT(O$1&amp;"!$E1:$E10000"),INDIRECT(O$1&amp;"!$a1:$a10000")=汇总!$A33),COUNTIF(INDIRECT(O$1&amp;"!$a1:$a10000"),汇总!$A33)),O32)</f>
        <v>0</v>
      </c>
      <c r="P33" s="109" cm="1">
        <f t="array" aca="1" ref="P33" ca="1">IFERROR(INDEX(_xlfn._xlws.FILTER(INDIRECT(P$1&amp;"!$E1:$E10000"),INDIRECT(P$1&amp;"!$a1:$a10000")=汇总!$A33),COUNTIF(INDIRECT(P$1&amp;"!$a1:$a10000"),汇总!$A33)),P32)</f>
        <v>50</v>
      </c>
      <c r="Q33" s="109" cm="1">
        <f t="array" aca="1" ref="Q33" ca="1">IFERROR(INDEX(_xlfn._xlws.FILTER(INDIRECT(Q$1&amp;"!$E1:$E10000"),INDIRECT(Q$1&amp;"!$a1:$a10000")=汇总!$A33),COUNTIF(INDIRECT(Q$1&amp;"!$a1:$a10000"),汇总!$A33)),Q32)</f>
        <v>330</v>
      </c>
      <c r="R33" s="109" t="e" cm="1" vm="2">
        <f t="array" aca="1" ref="R33" ca="1">IFERROR(INDEX(_xlfn._xlws.FILTER(INDIRECT(R$1&amp;"!$E1:$E10000"),INDIRECT(R$1&amp;"!$a1:$a10000")=汇总!$A33),COUNTIF(INDIRECT(R$1&amp;"!$a1:$a10000"),汇总!$A33)),R32)</f>
        <v>#VALUE!</v>
      </c>
      <c r="S33" s="109" t="e" cm="1" vm="2">
        <f t="array" aca="1" ref="S33" ca="1">IFERROR(INDEX(_xlfn._xlws.FILTER(INDIRECT(S$1&amp;"!$E1:$E10000"),INDIRECT(S$1&amp;"!$a1:$a10000")=汇总!$A33),COUNTIF(INDIRECT(S$1&amp;"!$a1:$a10000"),汇总!$A33)),S32)</f>
        <v>#VALUE!</v>
      </c>
    </row>
    <row r="34" spans="1:19" hidden="1">
      <c r="A34" s="1">
        <f t="shared" si="1"/>
        <v>46055</v>
      </c>
      <c r="B34" s="109" cm="1">
        <f t="array" aca="1" ref="B34" ca="1">IFERROR(INDEX(_xlfn._xlws.FILTER(INDIRECT(B$1&amp;"!$E1:$E10000"),INDIRECT(B$1&amp;"!$a1:$a10000")=汇总!$A34),COUNTIF(INDIRECT(B$1&amp;"!$a1:$a10000"),汇总!$A34)),B33)</f>
        <v>148</v>
      </c>
      <c r="C34" s="109" cm="1">
        <f t="array" aca="1" ref="C34" ca="1">IFERROR(INDEX(_xlfn._xlws.FILTER(INDIRECT(C$1&amp;"!$E1:$E10000"),INDIRECT(C$1&amp;"!$a1:$a10000")=汇总!$A34),COUNTIF(INDIRECT(C$1&amp;"!$a1:$a10000"),汇总!$A34)),C33)</f>
        <v>1850</v>
      </c>
      <c r="D34" s="109" cm="1">
        <f t="array" aca="1" ref="D34" ca="1">IFERROR(INDEX(_xlfn._xlws.FILTER(INDIRECT(D$1&amp;"!$E1:$E10000"),INDIRECT(D$1&amp;"!$a1:$a10000")=汇总!$A34),COUNTIF(INDIRECT(D$1&amp;"!$a1:$a10000"),汇总!$A34)),D33)</f>
        <v>1952.3052600000003</v>
      </c>
      <c r="E34" s="109" cm="1">
        <f t="array" aca="1" ref="E34" ca="1">IFERROR(INDEX(_xlfn._xlws.FILTER(INDIRECT(E$1&amp;"!$E1:$E10000"),INDIRECT(E$1&amp;"!$a1:$a10000")=汇总!$A34),COUNTIF(INDIRECT(E$1&amp;"!$a1:$a10000"),汇总!$A34)),E33)</f>
        <v>376</v>
      </c>
      <c r="F34" s="109" cm="1">
        <f t="array" aca="1" ref="F34" ca="1">IFERROR(INDEX(_xlfn._xlws.FILTER(INDIRECT(F$1&amp;"!$E1:$E10000"),INDIRECT(F$1&amp;"!$a1:$a10000")=汇总!$A34),COUNTIF(INDIRECT(F$1&amp;"!$a1:$a10000"),汇总!$A34)),F33)</f>
        <v>6367</v>
      </c>
      <c r="G34" s="109" cm="1">
        <f t="array" aca="1" ref="G34" ca="1">IFERROR(INDEX(_xlfn._xlws.FILTER(INDIRECT(G$1&amp;"!$E1:$E10000"),INDIRECT(G$1&amp;"!$a1:$a10000")=汇总!$A34),COUNTIF(INDIRECT(G$1&amp;"!$a1:$a10000"),汇总!$A34)),G33)</f>
        <v>2930</v>
      </c>
      <c r="H34" s="109" cm="1">
        <f t="array" aca="1" ref="H34" ca="1">IFERROR(INDEX(_xlfn._xlws.FILTER(INDIRECT(H$1&amp;"!$E1:$E10000"),INDIRECT(H$1&amp;"!$a1:$a10000")=汇总!$A34),COUNTIF(INDIRECT(H$1&amp;"!$a1:$a10000"),汇总!$A34)),H33)</f>
        <v>73.700000000000045</v>
      </c>
      <c r="I34" s="109" cm="1">
        <f t="array" aca="1" ref="I34" ca="1">IFERROR(INDEX(_xlfn._xlws.FILTER(INDIRECT(I$1&amp;"!$E1:$E10000"),INDIRECT(I$1&amp;"!$a1:$a10000")=汇总!$A34),COUNTIF(INDIRECT(I$1&amp;"!$a1:$a10000"),汇总!$A34)),I33)</f>
        <v>244.77733599999999</v>
      </c>
      <c r="J34" s="109" cm="1">
        <f t="array" aca="1" ref="J34" ca="1">IFERROR(INDEX(_xlfn._xlws.FILTER(INDIRECT(J$1&amp;"!$E1:$E10000"),INDIRECT(J$1&amp;"!$a1:$a10000")=汇总!$A34),COUNTIF(INDIRECT(J$1&amp;"!$a1:$a10000"),汇总!$A34)),J33)</f>
        <v>2.5</v>
      </c>
      <c r="K34" s="109" cm="1">
        <f t="array" aca="1" ref="K34" ca="1">IFERROR(INDEX(_xlfn._xlws.FILTER(INDIRECT(K$1&amp;"!$E1:$E10000"),INDIRECT(K$1&amp;"!$a1:$a10000")=汇总!$A34),COUNTIF(INDIRECT(K$1&amp;"!$a1:$a10000"),汇总!$A34)),K33)</f>
        <v>355.79999999999995</v>
      </c>
      <c r="L34" s="109" cm="1">
        <f t="array" aca="1" ref="L34" ca="1">IFERROR(INDEX(_xlfn._xlws.FILTER(INDIRECT(L$1&amp;"!$E1:$E10000"),INDIRECT(L$1&amp;"!$a1:$a10000")=汇总!$A34),COUNTIF(INDIRECT(L$1&amp;"!$a1:$a10000"),汇总!$A34)),L33)</f>
        <v>1544.9745000000003</v>
      </c>
      <c r="M34" s="109" cm="1">
        <f t="array" aca="1" ref="M34" ca="1">IFERROR(INDEX(_xlfn._xlws.FILTER(INDIRECT(M$1&amp;"!$E1:$E10000"),INDIRECT(M$1&amp;"!$a1:$a10000")=汇总!$A34),COUNTIF(INDIRECT(M$1&amp;"!$a1:$a10000"),汇总!$A34)),M33)</f>
        <v>3344.3584570000003</v>
      </c>
      <c r="N34" s="109" cm="1">
        <f t="array" aca="1" ref="N34" ca="1">IFERROR(INDEX(_xlfn._xlws.FILTER(INDIRECT(N$1&amp;"!$E1:$E10000"),INDIRECT(N$1&amp;"!$a1:$a10000")=汇总!$A34),COUNTIF(INDIRECT(N$1&amp;"!$a1:$a10000"),汇总!$A34)),N33)</f>
        <v>3154.1</v>
      </c>
      <c r="O34" s="109" cm="1">
        <f t="array" aca="1" ref="O34" ca="1">IFERROR(INDEX(_xlfn._xlws.FILTER(INDIRECT(O$1&amp;"!$E1:$E10000"),INDIRECT(O$1&amp;"!$a1:$a10000")=汇总!$A34),COUNTIF(INDIRECT(O$1&amp;"!$a1:$a10000"),汇总!$A34)),O33)</f>
        <v>0</v>
      </c>
      <c r="P34" s="109" cm="1">
        <f t="array" aca="1" ref="P34" ca="1">IFERROR(INDEX(_xlfn._xlws.FILTER(INDIRECT(P$1&amp;"!$E1:$E10000"),INDIRECT(P$1&amp;"!$a1:$a10000")=汇总!$A34),COUNTIF(INDIRECT(P$1&amp;"!$a1:$a10000"),汇总!$A34)),P33)</f>
        <v>50</v>
      </c>
      <c r="Q34" s="109" cm="1">
        <f t="array" aca="1" ref="Q34" ca="1">IFERROR(INDEX(_xlfn._xlws.FILTER(INDIRECT(Q$1&amp;"!$E1:$E10000"),INDIRECT(Q$1&amp;"!$a1:$a10000")=汇总!$A34),COUNTIF(INDIRECT(Q$1&amp;"!$a1:$a10000"),汇总!$A34)),Q33)</f>
        <v>330</v>
      </c>
      <c r="R34" s="109" t="e" cm="1" vm="2">
        <f t="array" aca="1" ref="R34" ca="1">IFERROR(INDEX(_xlfn._xlws.FILTER(INDIRECT(R$1&amp;"!$E1:$E10000"),INDIRECT(R$1&amp;"!$a1:$a10000")=汇总!$A34),COUNTIF(INDIRECT(R$1&amp;"!$a1:$a10000"),汇总!$A34)),R33)</f>
        <v>#VALUE!</v>
      </c>
      <c r="S34" s="109" t="e" cm="1" vm="2">
        <f t="array" aca="1" ref="S34" ca="1">IFERROR(INDEX(_xlfn._xlws.FILTER(INDIRECT(S$1&amp;"!$E1:$E10000"),INDIRECT(S$1&amp;"!$a1:$a10000")=汇总!$A34),COUNTIF(INDIRECT(S$1&amp;"!$a1:$a10000"),汇总!$A34)),S33)</f>
        <v>#VALUE!</v>
      </c>
    </row>
    <row r="35" spans="1:19" hidden="1">
      <c r="A35" s="1">
        <f t="shared" si="1"/>
        <v>46056</v>
      </c>
      <c r="B35" s="109" cm="1">
        <f t="array" aca="1" ref="B35" ca="1">IFERROR(INDEX(_xlfn._xlws.FILTER(INDIRECT(B$1&amp;"!$E1:$E10000"),INDIRECT(B$1&amp;"!$a1:$a10000")=汇总!$A35),COUNTIF(INDIRECT(B$1&amp;"!$a1:$a10000"),汇总!$A35)),B34)</f>
        <v>348</v>
      </c>
      <c r="C35" s="109" cm="1">
        <f t="array" aca="1" ref="C35" ca="1">IFERROR(INDEX(_xlfn._xlws.FILTER(INDIRECT(C$1&amp;"!$E1:$E10000"),INDIRECT(C$1&amp;"!$a1:$a10000")=汇总!$A35),COUNTIF(INDIRECT(C$1&amp;"!$a1:$a10000"),汇总!$A35)),C34)</f>
        <v>1850</v>
      </c>
      <c r="D35" s="109" cm="1">
        <f t="array" aca="1" ref="D35" ca="1">IFERROR(INDEX(_xlfn._xlws.FILTER(INDIRECT(D$1&amp;"!$E1:$E10000"),INDIRECT(D$1&amp;"!$a1:$a10000")=汇总!$A35),COUNTIF(INDIRECT(D$1&amp;"!$a1:$a10000"),汇总!$A35)),D34)</f>
        <v>1952.3052600000003</v>
      </c>
      <c r="E35" s="109" cm="1">
        <f t="array" aca="1" ref="E35" ca="1">IFERROR(INDEX(_xlfn._xlws.FILTER(INDIRECT(E$1&amp;"!$E1:$E10000"),INDIRECT(E$1&amp;"!$a1:$a10000")=汇总!$A35),COUNTIF(INDIRECT(E$1&amp;"!$a1:$a10000"),汇总!$A35)),E34)</f>
        <v>376</v>
      </c>
      <c r="F35" s="109" cm="1">
        <f t="array" aca="1" ref="F35" ca="1">IFERROR(INDEX(_xlfn._xlws.FILTER(INDIRECT(F$1&amp;"!$E1:$E10000"),INDIRECT(F$1&amp;"!$a1:$a10000")=汇总!$A35),COUNTIF(INDIRECT(F$1&amp;"!$a1:$a10000"),汇总!$A35)),F34)</f>
        <v>6367</v>
      </c>
      <c r="G35" s="109" cm="1">
        <f t="array" aca="1" ref="G35" ca="1">IFERROR(INDEX(_xlfn._xlws.FILTER(INDIRECT(G$1&amp;"!$E1:$E10000"),INDIRECT(G$1&amp;"!$a1:$a10000")=汇总!$A35),COUNTIF(INDIRECT(G$1&amp;"!$a1:$a10000"),汇总!$A35)),G34)</f>
        <v>2930</v>
      </c>
      <c r="H35" s="109" cm="1">
        <f t="array" aca="1" ref="H35" ca="1">IFERROR(INDEX(_xlfn._xlws.FILTER(INDIRECT(H$1&amp;"!$E1:$E10000"),INDIRECT(H$1&amp;"!$a1:$a10000")=汇总!$A35),COUNTIF(INDIRECT(H$1&amp;"!$a1:$a10000"),汇总!$A35)),H34)</f>
        <v>73.700000000000045</v>
      </c>
      <c r="I35" s="109" cm="1">
        <f t="array" aca="1" ref="I35" ca="1">IFERROR(INDEX(_xlfn._xlws.FILTER(INDIRECT(I$1&amp;"!$E1:$E10000"),INDIRECT(I$1&amp;"!$a1:$a10000")=汇总!$A35),COUNTIF(INDIRECT(I$1&amp;"!$a1:$a10000"),汇总!$A35)),I34)</f>
        <v>244.77733599999999</v>
      </c>
      <c r="J35" s="109" cm="1">
        <f t="array" aca="1" ref="J35" ca="1">IFERROR(INDEX(_xlfn._xlws.FILTER(INDIRECT(J$1&amp;"!$E1:$E10000"),INDIRECT(J$1&amp;"!$a1:$a10000")=汇总!$A35),COUNTIF(INDIRECT(J$1&amp;"!$a1:$a10000"),汇总!$A35)),J34)</f>
        <v>2.5</v>
      </c>
      <c r="K35" s="109" cm="1">
        <f t="array" aca="1" ref="K35" ca="1">IFERROR(INDEX(_xlfn._xlws.FILTER(INDIRECT(K$1&amp;"!$E1:$E10000"),INDIRECT(K$1&amp;"!$a1:$a10000")=汇总!$A35),COUNTIF(INDIRECT(K$1&amp;"!$a1:$a10000"),汇总!$A35)),K34)</f>
        <v>256.79999999999995</v>
      </c>
      <c r="L35" s="109" cm="1">
        <f t="array" aca="1" ref="L35" ca="1">IFERROR(INDEX(_xlfn._xlws.FILTER(INDIRECT(L$1&amp;"!$E1:$E10000"),INDIRECT(L$1&amp;"!$a1:$a10000")=汇总!$A35),COUNTIF(INDIRECT(L$1&amp;"!$a1:$a10000"),汇总!$A35)),L34)</f>
        <v>1344.9745000000003</v>
      </c>
      <c r="M35" s="109" cm="1">
        <f t="array" aca="1" ref="M35" ca="1">IFERROR(INDEX(_xlfn._xlws.FILTER(INDIRECT(M$1&amp;"!$E1:$E10000"),INDIRECT(M$1&amp;"!$a1:$a10000")=汇总!$A35),COUNTIF(INDIRECT(M$1&amp;"!$a1:$a10000"),汇总!$A35)),M34)</f>
        <v>3344.3584570000003</v>
      </c>
      <c r="N35" s="109" cm="1">
        <f t="array" aca="1" ref="N35" ca="1">IFERROR(INDEX(_xlfn._xlws.FILTER(INDIRECT(N$1&amp;"!$E1:$E10000"),INDIRECT(N$1&amp;"!$a1:$a10000")=汇总!$A35),COUNTIF(INDIRECT(N$1&amp;"!$a1:$a10000"),汇总!$A35)),N34)</f>
        <v>1154.0999999999999</v>
      </c>
      <c r="O35" s="109" cm="1">
        <f t="array" aca="1" ref="O35" ca="1">IFERROR(INDEX(_xlfn._xlws.FILTER(INDIRECT(O$1&amp;"!$E1:$E10000"),INDIRECT(O$1&amp;"!$a1:$a10000")=汇总!$A35),COUNTIF(INDIRECT(O$1&amp;"!$a1:$a10000"),汇总!$A35)),O34)</f>
        <v>0</v>
      </c>
      <c r="P35" s="109" cm="1">
        <f t="array" aca="1" ref="P35" ca="1">IFERROR(INDEX(_xlfn._xlws.FILTER(INDIRECT(P$1&amp;"!$E1:$E10000"),INDIRECT(P$1&amp;"!$a1:$a10000")=汇总!$A35),COUNTIF(INDIRECT(P$1&amp;"!$a1:$a10000"),汇总!$A35)),P34)</f>
        <v>3.8</v>
      </c>
      <c r="Q35" s="109" cm="1">
        <f t="array" aca="1" ref="Q35" ca="1">IFERROR(INDEX(_xlfn._xlws.FILTER(INDIRECT(Q$1&amp;"!$E1:$E10000"),INDIRECT(Q$1&amp;"!$a1:$a10000")=汇总!$A35),COUNTIF(INDIRECT(Q$1&amp;"!$a1:$a10000"),汇总!$A35)),Q34)</f>
        <v>123.58524599999998</v>
      </c>
      <c r="R35" s="109" t="e" cm="1" vm="2">
        <f t="array" aca="1" ref="R35" ca="1">IFERROR(INDEX(_xlfn._xlws.FILTER(INDIRECT(R$1&amp;"!$E1:$E10000"),INDIRECT(R$1&amp;"!$a1:$a10000")=汇总!$A35),COUNTIF(INDIRECT(R$1&amp;"!$a1:$a10000"),汇总!$A35)),R34)</f>
        <v>#VALUE!</v>
      </c>
      <c r="S35" s="109" t="e" cm="1" vm="2">
        <f t="array" aca="1" ref="S35" ca="1">IFERROR(INDEX(_xlfn._xlws.FILTER(INDIRECT(S$1&amp;"!$E1:$E10000"),INDIRECT(S$1&amp;"!$a1:$a10000")=汇总!$A35),COUNTIF(INDIRECT(S$1&amp;"!$a1:$a10000"),汇总!$A35)),S34)</f>
        <v>#VALUE!</v>
      </c>
    </row>
    <row r="36" spans="1:19" hidden="1">
      <c r="A36" s="1">
        <f t="shared" si="1"/>
        <v>46057</v>
      </c>
      <c r="B36" s="109" cm="1">
        <f t="array" aca="1" ref="B36" ca="1">IFERROR(INDEX(_xlfn._xlws.FILTER(INDIRECT(B$1&amp;"!$E1:$E10000"),INDIRECT(B$1&amp;"!$a1:$a10000")=汇总!$A36),COUNTIF(INDIRECT(B$1&amp;"!$a1:$a10000"),汇总!$A36)),B35)</f>
        <v>65</v>
      </c>
      <c r="C36" s="109" cm="1">
        <f t="array" aca="1" ref="C36" ca="1">IFERROR(INDEX(_xlfn._xlws.FILTER(INDIRECT(C$1&amp;"!$E1:$E10000"),INDIRECT(C$1&amp;"!$a1:$a10000")=汇总!$A36),COUNTIF(INDIRECT(C$1&amp;"!$a1:$a10000"),汇总!$A36)),C35)</f>
        <v>1850</v>
      </c>
      <c r="D36" s="109" cm="1">
        <f t="array" aca="1" ref="D36" ca="1">IFERROR(INDEX(_xlfn._xlws.FILTER(INDIRECT(D$1&amp;"!$E1:$E10000"),INDIRECT(D$1&amp;"!$a1:$a10000")=汇总!$A36),COUNTIF(INDIRECT(D$1&amp;"!$a1:$a10000"),汇总!$A36)),D35)</f>
        <v>3510.4350600000007</v>
      </c>
      <c r="E36" s="109" cm="1">
        <f t="array" aca="1" ref="E36" ca="1">IFERROR(INDEX(_xlfn._xlws.FILTER(INDIRECT(E$1&amp;"!$E1:$E10000"),INDIRECT(E$1&amp;"!$a1:$a10000")=汇总!$A36),COUNTIF(INDIRECT(E$1&amp;"!$a1:$a10000"),汇总!$A36)),E35)</f>
        <v>376</v>
      </c>
      <c r="F36" s="109" cm="1">
        <f t="array" aca="1" ref="F36" ca="1">IFERROR(INDEX(_xlfn._xlws.FILTER(INDIRECT(F$1&amp;"!$E1:$E10000"),INDIRECT(F$1&amp;"!$a1:$a10000")=汇总!$A36),COUNTIF(INDIRECT(F$1&amp;"!$a1:$a10000"),汇总!$A36)),F35)</f>
        <v>6367</v>
      </c>
      <c r="G36" s="109" cm="1">
        <f t="array" aca="1" ref="G36" ca="1">IFERROR(INDEX(_xlfn._xlws.FILTER(INDIRECT(G$1&amp;"!$E1:$E10000"),INDIRECT(G$1&amp;"!$a1:$a10000")=汇总!$A36),COUNTIF(INDIRECT(G$1&amp;"!$a1:$a10000"),汇总!$A36)),G35)</f>
        <v>2930</v>
      </c>
      <c r="H36" s="109" cm="1">
        <f t="array" aca="1" ref="H36" ca="1">IFERROR(INDEX(_xlfn._xlws.FILTER(INDIRECT(H$1&amp;"!$E1:$E10000"),INDIRECT(H$1&amp;"!$a1:$a10000")=汇总!$A36),COUNTIF(INDIRECT(H$1&amp;"!$a1:$a10000"),汇总!$A36)),H35)</f>
        <v>73.700000000000045</v>
      </c>
      <c r="I36" s="109" cm="1">
        <f t="array" aca="1" ref="I36" ca="1">IFERROR(INDEX(_xlfn._xlws.FILTER(INDIRECT(I$1&amp;"!$E1:$E10000"),INDIRECT(I$1&amp;"!$a1:$a10000")=汇总!$A36),COUNTIF(INDIRECT(I$1&amp;"!$a1:$a10000"),汇总!$A36)),I35)</f>
        <v>244.77733599999999</v>
      </c>
      <c r="J36" s="109" cm="1">
        <f t="array" aca="1" ref="J36" ca="1">IFERROR(INDEX(_xlfn._xlws.FILTER(INDIRECT(J$1&amp;"!$E1:$E10000"),INDIRECT(J$1&amp;"!$a1:$a10000")=汇总!$A36),COUNTIF(INDIRECT(J$1&amp;"!$a1:$a10000"),汇总!$A36)),J35)</f>
        <v>2.5</v>
      </c>
      <c r="K36" s="109" cm="1">
        <f t="array" aca="1" ref="K36" ca="1">IFERROR(INDEX(_xlfn._xlws.FILTER(INDIRECT(K$1&amp;"!$E1:$E10000"),INDIRECT(K$1&amp;"!$a1:$a10000")=汇总!$A36),COUNTIF(INDIRECT(K$1&amp;"!$a1:$a10000"),汇总!$A36)),K35)</f>
        <v>256.79999999999995</v>
      </c>
      <c r="L36" s="109" cm="1">
        <f t="array" aca="1" ref="L36" ca="1">IFERROR(INDEX(_xlfn._xlws.FILTER(INDIRECT(L$1&amp;"!$E1:$E10000"),INDIRECT(L$1&amp;"!$a1:$a10000")=汇总!$A36),COUNTIF(INDIRECT(L$1&amp;"!$a1:$a10000"),汇总!$A36)),L35)</f>
        <v>1344.9745000000003</v>
      </c>
      <c r="M36" s="109" cm="1">
        <f t="array" aca="1" ref="M36" ca="1">IFERROR(INDEX(_xlfn._xlws.FILTER(INDIRECT(M$1&amp;"!$E1:$E10000"),INDIRECT(M$1&amp;"!$a1:$a10000")=汇总!$A36),COUNTIF(INDIRECT(M$1&amp;"!$a1:$a10000"),汇总!$A36)),M35)</f>
        <v>491.04545700000017</v>
      </c>
      <c r="N36" s="109" cm="1">
        <f t="array" aca="1" ref="N36" ca="1">IFERROR(INDEX(_xlfn._xlws.FILTER(INDIRECT(N$1&amp;"!$E1:$E10000"),INDIRECT(N$1&amp;"!$a1:$a10000")=汇总!$A36),COUNTIF(INDIRECT(N$1&amp;"!$a1:$a10000"),汇总!$A36)),N35)</f>
        <v>1154.0999999999999</v>
      </c>
      <c r="O36" s="109" cm="1">
        <f t="array" aca="1" ref="O36" ca="1">IFERROR(INDEX(_xlfn._xlws.FILTER(INDIRECT(O$1&amp;"!$E1:$E10000"),INDIRECT(O$1&amp;"!$a1:$a10000")=汇总!$A36),COUNTIF(INDIRECT(O$1&amp;"!$a1:$a10000"),汇总!$A36)),O35)</f>
        <v>0</v>
      </c>
      <c r="P36" s="109" cm="1">
        <f t="array" aca="1" ref="P36" ca="1">IFERROR(INDEX(_xlfn._xlws.FILTER(INDIRECT(P$1&amp;"!$E1:$E10000"),INDIRECT(P$1&amp;"!$a1:$a10000")=汇总!$A36),COUNTIF(INDIRECT(P$1&amp;"!$a1:$a10000"),汇总!$A36)),P35)</f>
        <v>3.8</v>
      </c>
      <c r="Q36" s="109" cm="1">
        <f t="array" aca="1" ref="Q36" ca="1">IFERROR(INDEX(_xlfn._xlws.FILTER(INDIRECT(Q$1&amp;"!$E1:$E10000"),INDIRECT(Q$1&amp;"!$a1:$a10000")=汇总!$A36),COUNTIF(INDIRECT(Q$1&amp;"!$a1:$a10000"),汇总!$A36)),Q35)</f>
        <v>123.58524599999998</v>
      </c>
      <c r="R36" s="109" t="e" cm="1" vm="2">
        <f t="array" aca="1" ref="R36" ca="1">IFERROR(INDEX(_xlfn._xlws.FILTER(INDIRECT(R$1&amp;"!$E1:$E10000"),INDIRECT(R$1&amp;"!$a1:$a10000")=汇总!$A36),COUNTIF(INDIRECT(R$1&amp;"!$a1:$a10000"),汇总!$A36)),R35)</f>
        <v>#VALUE!</v>
      </c>
      <c r="S36" s="109" t="e" cm="1" vm="2">
        <f t="array" aca="1" ref="S36" ca="1">IFERROR(INDEX(_xlfn._xlws.FILTER(INDIRECT(S$1&amp;"!$E1:$E10000"),INDIRECT(S$1&amp;"!$a1:$a10000")=汇总!$A36),COUNTIF(INDIRECT(S$1&amp;"!$a1:$a10000"),汇总!$A36)),S35)</f>
        <v>#VALUE!</v>
      </c>
    </row>
    <row r="37" spans="1:19" hidden="1">
      <c r="A37" s="1">
        <f t="shared" si="1"/>
        <v>46058</v>
      </c>
      <c r="B37" s="109" cm="1">
        <f t="array" aca="1" ref="B37" ca="1">IFERROR(INDEX(_xlfn._xlws.FILTER(INDIRECT(B$1&amp;"!$E1:$E10000"),INDIRECT(B$1&amp;"!$a1:$a10000")=汇总!$A37),COUNTIF(INDIRECT(B$1&amp;"!$a1:$a10000"),汇总!$A37)),B36)</f>
        <v>65</v>
      </c>
      <c r="C37" s="109" cm="1">
        <f t="array" aca="1" ref="C37" ca="1">IFERROR(INDEX(_xlfn._xlws.FILTER(INDIRECT(C$1&amp;"!$E1:$E10000"),INDIRECT(C$1&amp;"!$a1:$a10000")=汇总!$A37),COUNTIF(INDIRECT(C$1&amp;"!$a1:$a10000"),汇总!$A37)),C36)</f>
        <v>350</v>
      </c>
      <c r="D37" s="109" cm="1">
        <f t="array" aca="1" ref="D37" ca="1">IFERROR(INDEX(_xlfn._xlws.FILTER(INDIRECT(D$1&amp;"!$E1:$E10000"),INDIRECT(D$1&amp;"!$a1:$a10000")=汇总!$A37),COUNTIF(INDIRECT(D$1&amp;"!$a1:$a10000"),汇总!$A37)),D36)</f>
        <v>3240.5281600000003</v>
      </c>
      <c r="E37" s="109" cm="1">
        <f t="array" aca="1" ref="E37" ca="1">IFERROR(INDEX(_xlfn._xlws.FILTER(INDIRECT(E$1&amp;"!$E1:$E10000"),INDIRECT(E$1&amp;"!$a1:$a10000")=汇总!$A37),COUNTIF(INDIRECT(E$1&amp;"!$a1:$a10000"),汇总!$A37)),E36)</f>
        <v>376</v>
      </c>
      <c r="F37" s="109" cm="1">
        <f t="array" aca="1" ref="F37" ca="1">IFERROR(INDEX(_xlfn._xlws.FILTER(INDIRECT(F$1&amp;"!$E1:$E10000"),INDIRECT(F$1&amp;"!$a1:$a10000")=汇总!$A37),COUNTIF(INDIRECT(F$1&amp;"!$a1:$a10000"),汇总!$A37)),F36)</f>
        <v>6367</v>
      </c>
      <c r="G37" s="109" cm="1">
        <f t="array" aca="1" ref="G37" ca="1">IFERROR(INDEX(_xlfn._xlws.FILTER(INDIRECT(G$1&amp;"!$E1:$E10000"),INDIRECT(G$1&amp;"!$a1:$a10000")=汇总!$A37),COUNTIF(INDIRECT(G$1&amp;"!$a1:$a10000"),汇总!$A37)),G36)</f>
        <v>2930</v>
      </c>
      <c r="H37" s="109" cm="1">
        <f t="array" aca="1" ref="H37" ca="1">IFERROR(INDEX(_xlfn._xlws.FILTER(INDIRECT(H$1&amp;"!$E1:$E10000"),INDIRECT(H$1&amp;"!$a1:$a10000")=汇总!$A37),COUNTIF(INDIRECT(H$1&amp;"!$a1:$a10000"),汇总!$A37)),H36)</f>
        <v>1273.7</v>
      </c>
      <c r="I37" s="109" cm="1">
        <f t="array" aca="1" ref="I37" ca="1">IFERROR(INDEX(_xlfn._xlws.FILTER(INDIRECT(I$1&amp;"!$E1:$E10000"),INDIRECT(I$1&amp;"!$a1:$a10000")=汇总!$A37),COUNTIF(INDIRECT(I$1&amp;"!$a1:$a10000"),汇总!$A37)),I36)</f>
        <v>244.77733599999999</v>
      </c>
      <c r="J37" s="109" cm="1">
        <f t="array" aca="1" ref="J37" ca="1">IFERROR(INDEX(_xlfn._xlws.FILTER(INDIRECT(J$1&amp;"!$E1:$E10000"),INDIRECT(J$1&amp;"!$a1:$a10000")=汇总!$A37),COUNTIF(INDIRECT(J$1&amp;"!$a1:$a10000"),汇总!$A37)),J36)</f>
        <v>2.5</v>
      </c>
      <c r="K37" s="109" cm="1">
        <f t="array" aca="1" ref="K37" ca="1">IFERROR(INDEX(_xlfn._xlws.FILTER(INDIRECT(K$1&amp;"!$E1:$E10000"),INDIRECT(K$1&amp;"!$a1:$a10000")=汇总!$A37),COUNTIF(INDIRECT(K$1&amp;"!$a1:$a10000"),汇总!$A37)),K36)</f>
        <v>256.79999999999995</v>
      </c>
      <c r="L37" s="109" cm="1">
        <f t="array" aca="1" ref="L37" ca="1">IFERROR(INDEX(_xlfn._xlws.FILTER(INDIRECT(L$1&amp;"!$E1:$E10000"),INDIRECT(L$1&amp;"!$a1:$a10000")=汇总!$A37),COUNTIF(INDIRECT(L$1&amp;"!$a1:$a10000"),汇总!$A37)),L36)</f>
        <v>1344.9745000000003</v>
      </c>
      <c r="M37" s="109" cm="1">
        <f t="array" aca="1" ref="M37" ca="1">IFERROR(INDEX(_xlfn._xlws.FILTER(INDIRECT(M$1&amp;"!$E1:$E10000"),INDIRECT(M$1&amp;"!$a1:$a10000")=汇总!$A37),COUNTIF(INDIRECT(M$1&amp;"!$a1:$a10000"),汇总!$A37)),M36)</f>
        <v>491.04545700000017</v>
      </c>
      <c r="N37" s="109" cm="1">
        <f t="array" aca="1" ref="N37" ca="1">IFERROR(INDEX(_xlfn._xlws.FILTER(INDIRECT(N$1&amp;"!$E1:$E10000"),INDIRECT(N$1&amp;"!$a1:$a10000")=汇总!$A37),COUNTIF(INDIRECT(N$1&amp;"!$a1:$a10000"),汇总!$A37)),N36)</f>
        <v>1154.0999999999999</v>
      </c>
      <c r="O37" s="109" cm="1">
        <f t="array" aca="1" ref="O37" ca="1">IFERROR(INDEX(_xlfn._xlws.FILTER(INDIRECT(O$1&amp;"!$E1:$E10000"),INDIRECT(O$1&amp;"!$a1:$a10000")=汇总!$A37),COUNTIF(INDIRECT(O$1&amp;"!$a1:$a10000"),汇总!$A37)),O36)</f>
        <v>0</v>
      </c>
      <c r="P37" s="109" cm="1">
        <f t="array" aca="1" ref="P37" ca="1">IFERROR(INDEX(_xlfn._xlws.FILTER(INDIRECT(P$1&amp;"!$E1:$E10000"),INDIRECT(P$1&amp;"!$a1:$a10000")=汇总!$A37),COUNTIF(INDIRECT(P$1&amp;"!$a1:$a10000"),汇总!$A37)),P36)</f>
        <v>3.8</v>
      </c>
      <c r="Q37" s="109" cm="1">
        <f t="array" aca="1" ref="Q37" ca="1">IFERROR(INDEX(_xlfn._xlws.FILTER(INDIRECT(Q$1&amp;"!$E1:$E10000"),INDIRECT(Q$1&amp;"!$a1:$a10000")=汇总!$A37),COUNTIF(INDIRECT(Q$1&amp;"!$a1:$a10000"),汇总!$A37)),Q36)</f>
        <v>123.58524599999998</v>
      </c>
      <c r="R37" s="109" t="e" cm="1" vm="2">
        <f t="array" aca="1" ref="R37" ca="1">IFERROR(INDEX(_xlfn._xlws.FILTER(INDIRECT(R$1&amp;"!$E1:$E10000"),INDIRECT(R$1&amp;"!$a1:$a10000")=汇总!$A37),COUNTIF(INDIRECT(R$1&amp;"!$a1:$a10000"),汇总!$A37)),R36)</f>
        <v>#VALUE!</v>
      </c>
      <c r="S37" s="109" t="e" cm="1" vm="2">
        <f t="array" aca="1" ref="S37" ca="1">IFERROR(INDEX(_xlfn._xlws.FILTER(INDIRECT(S$1&amp;"!$E1:$E10000"),INDIRECT(S$1&amp;"!$a1:$a10000")=汇总!$A37),COUNTIF(INDIRECT(S$1&amp;"!$a1:$a10000"),汇总!$A37)),S36)</f>
        <v>#VALUE!</v>
      </c>
    </row>
    <row r="38" spans="1:19" hidden="1">
      <c r="A38" s="1">
        <f t="shared" si="1"/>
        <v>46059</v>
      </c>
      <c r="B38" s="109" cm="1">
        <f t="array" aca="1" ref="B38" ca="1">IFERROR(INDEX(_xlfn._xlws.FILTER(INDIRECT(B$1&amp;"!$E1:$E10000"),INDIRECT(B$1&amp;"!$a1:$a10000")=汇总!$A38),COUNTIF(INDIRECT(B$1&amp;"!$a1:$a10000"),汇总!$A38)),B37)</f>
        <v>65</v>
      </c>
      <c r="C38" s="109" cm="1">
        <f t="array" aca="1" ref="C38" ca="1">IFERROR(INDEX(_xlfn._xlws.FILTER(INDIRECT(C$1&amp;"!$E1:$E10000"),INDIRECT(C$1&amp;"!$a1:$a10000")=汇总!$A38),COUNTIF(INDIRECT(C$1&amp;"!$a1:$a10000"),汇总!$A38)),C37)</f>
        <v>2437</v>
      </c>
      <c r="D38" s="109" cm="1">
        <f t="array" aca="1" ref="D38" ca="1">IFERROR(INDEX(_xlfn._xlws.FILTER(INDIRECT(D$1&amp;"!$E1:$E10000"),INDIRECT(D$1&amp;"!$a1:$a10000")=汇总!$A38),COUNTIF(INDIRECT(D$1&amp;"!$a1:$a10000"),汇总!$A38)),D37)</f>
        <v>5429.3281600000009</v>
      </c>
      <c r="E38" s="109" cm="1">
        <f t="array" aca="1" ref="E38" ca="1">IFERROR(INDEX(_xlfn._xlws.FILTER(INDIRECT(E$1&amp;"!$E1:$E10000"),INDIRECT(E$1&amp;"!$a1:$a10000")=汇总!$A38),COUNTIF(INDIRECT(E$1&amp;"!$a1:$a10000"),汇总!$A38)),E37)</f>
        <v>376</v>
      </c>
      <c r="F38" s="109" cm="1">
        <f t="array" aca="1" ref="F38" ca="1">IFERROR(INDEX(_xlfn._xlws.FILTER(INDIRECT(F$1&amp;"!$E1:$E10000"),INDIRECT(F$1&amp;"!$a1:$a10000")=汇总!$A38),COUNTIF(INDIRECT(F$1&amp;"!$a1:$a10000"),汇总!$A38)),F37)</f>
        <v>6367</v>
      </c>
      <c r="G38" s="109" cm="1">
        <f t="array" aca="1" ref="G38" ca="1">IFERROR(INDEX(_xlfn._xlws.FILTER(INDIRECT(G$1&amp;"!$E1:$E10000"),INDIRECT(G$1&amp;"!$a1:$a10000")=汇总!$A38),COUNTIF(INDIRECT(G$1&amp;"!$a1:$a10000"),汇总!$A38)),G37)</f>
        <v>2930</v>
      </c>
      <c r="H38" s="109" cm="1">
        <f t="array" aca="1" ref="H38" ca="1">IFERROR(INDEX(_xlfn._xlws.FILTER(INDIRECT(H$1&amp;"!$E1:$E10000"),INDIRECT(H$1&amp;"!$a1:$a10000")=汇总!$A38),COUNTIF(INDIRECT(H$1&amp;"!$a1:$a10000"),汇总!$A38)),H37)</f>
        <v>353.47397430000012</v>
      </c>
      <c r="I38" s="109" cm="1">
        <f t="array" aca="1" ref="I38" ca="1">IFERROR(INDEX(_xlfn._xlws.FILTER(INDIRECT(I$1&amp;"!$E1:$E10000"),INDIRECT(I$1&amp;"!$a1:$a10000")=汇总!$A38),COUNTIF(INDIRECT(I$1&amp;"!$a1:$a10000"),汇总!$A38)),I37)</f>
        <v>140.02982100000008</v>
      </c>
      <c r="J38" s="109" cm="1">
        <f t="array" aca="1" ref="J38" ca="1">IFERROR(INDEX(_xlfn._xlws.FILTER(INDIRECT(J$1&amp;"!$E1:$E10000"),INDIRECT(J$1&amp;"!$a1:$a10000")=汇总!$A38),COUNTIF(INDIRECT(J$1&amp;"!$a1:$a10000"),汇总!$A38)),J37)</f>
        <v>2.5</v>
      </c>
      <c r="K38" s="109" cm="1">
        <f t="array" aca="1" ref="K38" ca="1">IFERROR(INDEX(_xlfn._xlws.FILTER(INDIRECT(K$1&amp;"!$E1:$E10000"),INDIRECT(K$1&amp;"!$a1:$a10000")=汇总!$A38),COUNTIF(INDIRECT(K$1&amp;"!$a1:$a10000"),汇总!$A38)),K37)</f>
        <v>217.79999999999995</v>
      </c>
      <c r="L38" s="109" cm="1">
        <f t="array" aca="1" ref="L38" ca="1">IFERROR(INDEX(_xlfn._xlws.FILTER(INDIRECT(L$1&amp;"!$E1:$E10000"),INDIRECT(L$1&amp;"!$a1:$a10000")=汇总!$A38),COUNTIF(INDIRECT(L$1&amp;"!$a1:$a10000"),汇总!$A38)),L37)</f>
        <v>1866.3232500000004</v>
      </c>
      <c r="M38" s="109" cm="1">
        <f t="array" aca="1" ref="M38" ca="1">IFERROR(INDEX(_xlfn._xlws.FILTER(INDIRECT(M$1&amp;"!$E1:$E10000"),INDIRECT(M$1&amp;"!$a1:$a10000")=汇总!$A38),COUNTIF(INDIRECT(M$1&amp;"!$a1:$a10000"),汇总!$A38)),M37)</f>
        <v>217.04545700000017</v>
      </c>
      <c r="N38" s="109" cm="1">
        <f t="array" aca="1" ref="N38" ca="1">IFERROR(INDEX(_xlfn._xlws.FILTER(INDIRECT(N$1&amp;"!$E1:$E10000"),INDIRECT(N$1&amp;"!$a1:$a10000")=汇总!$A38),COUNTIF(INDIRECT(N$1&amp;"!$a1:$a10000"),汇总!$A38)),N37)</f>
        <v>1154.0999999999999</v>
      </c>
      <c r="O38" s="109" cm="1">
        <f t="array" aca="1" ref="O38" ca="1">IFERROR(INDEX(_xlfn._xlws.FILTER(INDIRECT(O$1&amp;"!$E1:$E10000"),INDIRECT(O$1&amp;"!$a1:$a10000")=汇总!$A38),COUNTIF(INDIRECT(O$1&amp;"!$a1:$a10000"),汇总!$A38)),O37)</f>
        <v>0</v>
      </c>
      <c r="P38" s="109" cm="1">
        <f t="array" aca="1" ref="P38" ca="1">IFERROR(INDEX(_xlfn._xlws.FILTER(INDIRECT(P$1&amp;"!$E1:$E10000"),INDIRECT(P$1&amp;"!$a1:$a10000")=汇总!$A38),COUNTIF(INDIRECT(P$1&amp;"!$a1:$a10000"),汇总!$A38)),P37)</f>
        <v>3.8</v>
      </c>
      <c r="Q38" s="109" cm="1">
        <f t="array" aca="1" ref="Q38" ca="1">IFERROR(INDEX(_xlfn._xlws.FILTER(INDIRECT(Q$1&amp;"!$E1:$E10000"),INDIRECT(Q$1&amp;"!$a1:$a10000")=汇总!$A38),COUNTIF(INDIRECT(Q$1&amp;"!$a1:$a10000"),汇总!$A38)),Q37)</f>
        <v>123.58524599999998</v>
      </c>
      <c r="R38" s="109" t="e" cm="1" vm="2">
        <f t="array" aca="1" ref="R38" ca="1">IFERROR(INDEX(_xlfn._xlws.FILTER(INDIRECT(R$1&amp;"!$E1:$E10000"),INDIRECT(R$1&amp;"!$a1:$a10000")=汇总!$A38),COUNTIF(INDIRECT(R$1&amp;"!$a1:$a10000"),汇总!$A38)),R37)</f>
        <v>#VALUE!</v>
      </c>
      <c r="S38" s="109" t="e" cm="1" vm="2">
        <f t="array" aca="1" ref="S38" ca="1">IFERROR(INDEX(_xlfn._xlws.FILTER(INDIRECT(S$1&amp;"!$E1:$E10000"),INDIRECT(S$1&amp;"!$a1:$a10000")=汇总!$A38),COUNTIF(INDIRECT(S$1&amp;"!$a1:$a10000"),汇总!$A38)),S37)</f>
        <v>#VALUE!</v>
      </c>
    </row>
    <row r="39" spans="1:19" hidden="1">
      <c r="A39" s="1">
        <f t="shared" si="1"/>
        <v>46060</v>
      </c>
      <c r="B39" s="109" cm="1">
        <f t="array" aca="1" ref="B39" ca="1">IFERROR(INDEX(_xlfn._xlws.FILTER(INDIRECT(B$1&amp;"!$E1:$E10000"),INDIRECT(B$1&amp;"!$a1:$a10000")=汇总!$A39),COUNTIF(INDIRECT(B$1&amp;"!$a1:$a10000"),汇总!$A39)),B38)</f>
        <v>65</v>
      </c>
      <c r="C39" s="109" cm="1">
        <f t="array" aca="1" ref="C39" ca="1">IFERROR(INDEX(_xlfn._xlws.FILTER(INDIRECT(C$1&amp;"!$E1:$E10000"),INDIRECT(C$1&amp;"!$a1:$a10000")=汇总!$A39),COUNTIF(INDIRECT(C$1&amp;"!$a1:$a10000"),汇总!$A39)),C38)</f>
        <v>2437</v>
      </c>
      <c r="D39" s="109" cm="1">
        <f t="array" aca="1" ref="D39" ca="1">IFERROR(INDEX(_xlfn._xlws.FILTER(INDIRECT(D$1&amp;"!$E1:$E10000"),INDIRECT(D$1&amp;"!$a1:$a10000")=汇总!$A39),COUNTIF(INDIRECT(D$1&amp;"!$a1:$a10000"),汇总!$A39)),D38)</f>
        <v>5429.3281600000009</v>
      </c>
      <c r="E39" s="109" cm="1">
        <f t="array" aca="1" ref="E39" ca="1">IFERROR(INDEX(_xlfn._xlws.FILTER(INDIRECT(E$1&amp;"!$E1:$E10000"),INDIRECT(E$1&amp;"!$a1:$a10000")=汇总!$A39),COUNTIF(INDIRECT(E$1&amp;"!$a1:$a10000"),汇总!$A39)),E38)</f>
        <v>376</v>
      </c>
      <c r="F39" s="109" cm="1">
        <f t="array" aca="1" ref="F39" ca="1">IFERROR(INDEX(_xlfn._xlws.FILTER(INDIRECT(F$1&amp;"!$E1:$E10000"),INDIRECT(F$1&amp;"!$a1:$a10000")=汇总!$A39),COUNTIF(INDIRECT(F$1&amp;"!$a1:$a10000"),汇总!$A39)),F38)</f>
        <v>6367</v>
      </c>
      <c r="G39" s="109" cm="1">
        <f t="array" aca="1" ref="G39" ca="1">IFERROR(INDEX(_xlfn._xlws.FILTER(INDIRECT(G$1&amp;"!$E1:$E10000"),INDIRECT(G$1&amp;"!$a1:$a10000")=汇总!$A39),COUNTIF(INDIRECT(G$1&amp;"!$a1:$a10000"),汇总!$A39)),G38)</f>
        <v>2930</v>
      </c>
      <c r="H39" s="109" cm="1">
        <f t="array" aca="1" ref="H39" ca="1">IFERROR(INDEX(_xlfn._xlws.FILTER(INDIRECT(H$1&amp;"!$E1:$E10000"),INDIRECT(H$1&amp;"!$a1:$a10000")=汇总!$A39),COUNTIF(INDIRECT(H$1&amp;"!$a1:$a10000"),汇总!$A39)),H38)</f>
        <v>353.47397430000012</v>
      </c>
      <c r="I39" s="109" cm="1">
        <f t="array" aca="1" ref="I39" ca="1">IFERROR(INDEX(_xlfn._xlws.FILTER(INDIRECT(I$1&amp;"!$E1:$E10000"),INDIRECT(I$1&amp;"!$a1:$a10000")=汇总!$A39),COUNTIF(INDIRECT(I$1&amp;"!$a1:$a10000"),汇总!$A39)),I38)</f>
        <v>140.02982100000008</v>
      </c>
      <c r="J39" s="109" cm="1">
        <f t="array" aca="1" ref="J39" ca="1">IFERROR(INDEX(_xlfn._xlws.FILTER(INDIRECT(J$1&amp;"!$E1:$E10000"),INDIRECT(J$1&amp;"!$a1:$a10000")=汇总!$A39),COUNTIF(INDIRECT(J$1&amp;"!$a1:$a10000"),汇总!$A39)),J38)</f>
        <v>2.5</v>
      </c>
      <c r="K39" s="109" cm="1">
        <f t="array" aca="1" ref="K39" ca="1">IFERROR(INDEX(_xlfn._xlws.FILTER(INDIRECT(K$1&amp;"!$E1:$E10000"),INDIRECT(K$1&amp;"!$a1:$a10000")=汇总!$A39),COUNTIF(INDIRECT(K$1&amp;"!$a1:$a10000"),汇总!$A39)),K38)</f>
        <v>217.79999999999995</v>
      </c>
      <c r="L39" s="109" cm="1">
        <f t="array" aca="1" ref="L39" ca="1">IFERROR(INDEX(_xlfn._xlws.FILTER(INDIRECT(L$1&amp;"!$E1:$E10000"),INDIRECT(L$1&amp;"!$a1:$a10000")=汇总!$A39),COUNTIF(INDIRECT(L$1&amp;"!$a1:$a10000"),汇总!$A39)),L38)</f>
        <v>1866.3232500000004</v>
      </c>
      <c r="M39" s="109" cm="1">
        <f t="array" aca="1" ref="M39" ca="1">IFERROR(INDEX(_xlfn._xlws.FILTER(INDIRECT(M$1&amp;"!$E1:$E10000"),INDIRECT(M$1&amp;"!$a1:$a10000")=汇总!$A39),COUNTIF(INDIRECT(M$1&amp;"!$a1:$a10000"),汇总!$A39)),M38)</f>
        <v>217.04545700000017</v>
      </c>
      <c r="N39" s="109" cm="1">
        <f t="array" aca="1" ref="N39" ca="1">IFERROR(INDEX(_xlfn._xlws.FILTER(INDIRECT(N$1&amp;"!$E1:$E10000"),INDIRECT(N$1&amp;"!$a1:$a10000")=汇总!$A39),COUNTIF(INDIRECT(N$1&amp;"!$a1:$a10000"),汇总!$A39)),N38)</f>
        <v>1154.0999999999999</v>
      </c>
      <c r="O39" s="109" cm="1">
        <f t="array" aca="1" ref="O39" ca="1">IFERROR(INDEX(_xlfn._xlws.FILTER(INDIRECT(O$1&amp;"!$E1:$E10000"),INDIRECT(O$1&amp;"!$a1:$a10000")=汇总!$A39),COUNTIF(INDIRECT(O$1&amp;"!$a1:$a10000"),汇总!$A39)),O38)</f>
        <v>0</v>
      </c>
      <c r="P39" s="109" cm="1">
        <f t="array" aca="1" ref="P39" ca="1">IFERROR(INDEX(_xlfn._xlws.FILTER(INDIRECT(P$1&amp;"!$E1:$E10000"),INDIRECT(P$1&amp;"!$a1:$a10000")=汇总!$A39),COUNTIF(INDIRECT(P$1&amp;"!$a1:$a10000"),汇总!$A39)),P38)</f>
        <v>3.8</v>
      </c>
      <c r="Q39" s="109" cm="1">
        <f t="array" aca="1" ref="Q39" ca="1">IFERROR(INDEX(_xlfn._xlws.FILTER(INDIRECT(Q$1&amp;"!$E1:$E10000"),INDIRECT(Q$1&amp;"!$a1:$a10000")=汇总!$A39),COUNTIF(INDIRECT(Q$1&amp;"!$a1:$a10000"),汇总!$A39)),Q38)</f>
        <v>123.58524599999998</v>
      </c>
      <c r="R39" s="109" t="e" cm="1" vm="2">
        <f t="array" aca="1" ref="R39" ca="1">IFERROR(INDEX(_xlfn._xlws.FILTER(INDIRECT(R$1&amp;"!$E1:$E10000"),INDIRECT(R$1&amp;"!$a1:$a10000")=汇总!$A39),COUNTIF(INDIRECT(R$1&amp;"!$a1:$a10000"),汇总!$A39)),R38)</f>
        <v>#VALUE!</v>
      </c>
      <c r="S39" s="109" t="e" cm="1" vm="2">
        <f t="array" aca="1" ref="S39" ca="1">IFERROR(INDEX(_xlfn._xlws.FILTER(INDIRECT(S$1&amp;"!$E1:$E10000"),INDIRECT(S$1&amp;"!$a1:$a10000")=汇总!$A39),COUNTIF(INDIRECT(S$1&amp;"!$a1:$a10000"),汇总!$A39)),S38)</f>
        <v>#VALUE!</v>
      </c>
    </row>
    <row r="40" spans="1:19" hidden="1">
      <c r="A40" s="1">
        <f t="shared" si="1"/>
        <v>46061</v>
      </c>
      <c r="B40" s="109" cm="1">
        <f t="array" aca="1" ref="B40" ca="1">IFERROR(INDEX(_xlfn._xlws.FILTER(INDIRECT(B$1&amp;"!$E1:$E10000"),INDIRECT(B$1&amp;"!$a1:$a10000")=汇总!$A40),COUNTIF(INDIRECT(B$1&amp;"!$a1:$a10000"),汇总!$A40)),B39)</f>
        <v>65</v>
      </c>
      <c r="C40" s="109" cm="1">
        <f t="array" aca="1" ref="C40" ca="1">IFERROR(INDEX(_xlfn._xlws.FILTER(INDIRECT(C$1&amp;"!$E1:$E10000"),INDIRECT(C$1&amp;"!$a1:$a10000")=汇总!$A40),COUNTIF(INDIRECT(C$1&amp;"!$a1:$a10000"),汇总!$A40)),C39)</f>
        <v>2437</v>
      </c>
      <c r="D40" s="109" cm="1">
        <f t="array" aca="1" ref="D40" ca="1">IFERROR(INDEX(_xlfn._xlws.FILTER(INDIRECT(D$1&amp;"!$E1:$E10000"),INDIRECT(D$1&amp;"!$a1:$a10000")=汇总!$A40),COUNTIF(INDIRECT(D$1&amp;"!$a1:$a10000"),汇总!$A40)),D39)</f>
        <v>5429.3281600000009</v>
      </c>
      <c r="E40" s="109" cm="1">
        <f t="array" aca="1" ref="E40" ca="1">IFERROR(INDEX(_xlfn._xlws.FILTER(INDIRECT(E$1&amp;"!$E1:$E10000"),INDIRECT(E$1&amp;"!$a1:$a10000")=汇总!$A40),COUNTIF(INDIRECT(E$1&amp;"!$a1:$a10000"),汇总!$A40)),E39)</f>
        <v>376</v>
      </c>
      <c r="F40" s="109" cm="1">
        <f t="array" aca="1" ref="F40" ca="1">IFERROR(INDEX(_xlfn._xlws.FILTER(INDIRECT(F$1&amp;"!$E1:$E10000"),INDIRECT(F$1&amp;"!$a1:$a10000")=汇总!$A40),COUNTIF(INDIRECT(F$1&amp;"!$a1:$a10000"),汇总!$A40)),F39)</f>
        <v>6367</v>
      </c>
      <c r="G40" s="109" cm="1">
        <f t="array" aca="1" ref="G40" ca="1">IFERROR(INDEX(_xlfn._xlws.FILTER(INDIRECT(G$1&amp;"!$E1:$E10000"),INDIRECT(G$1&amp;"!$a1:$a10000")=汇总!$A40),COUNTIF(INDIRECT(G$1&amp;"!$a1:$a10000"),汇总!$A40)),G39)</f>
        <v>2930</v>
      </c>
      <c r="H40" s="109" cm="1">
        <f t="array" aca="1" ref="H40" ca="1">IFERROR(INDEX(_xlfn._xlws.FILTER(INDIRECT(H$1&amp;"!$E1:$E10000"),INDIRECT(H$1&amp;"!$a1:$a10000")=汇总!$A40),COUNTIF(INDIRECT(H$1&amp;"!$a1:$a10000"),汇总!$A40)),H39)</f>
        <v>353.47397430000012</v>
      </c>
      <c r="I40" s="109" cm="1">
        <f t="array" aca="1" ref="I40" ca="1">IFERROR(INDEX(_xlfn._xlws.FILTER(INDIRECT(I$1&amp;"!$E1:$E10000"),INDIRECT(I$1&amp;"!$a1:$a10000")=汇总!$A40),COUNTIF(INDIRECT(I$1&amp;"!$a1:$a10000"),汇总!$A40)),I39)</f>
        <v>140.02982100000008</v>
      </c>
      <c r="J40" s="109" cm="1">
        <f t="array" aca="1" ref="J40" ca="1">IFERROR(INDEX(_xlfn._xlws.FILTER(INDIRECT(J$1&amp;"!$E1:$E10000"),INDIRECT(J$1&amp;"!$a1:$a10000")=汇总!$A40),COUNTIF(INDIRECT(J$1&amp;"!$a1:$a10000"),汇总!$A40)),J39)</f>
        <v>2.5</v>
      </c>
      <c r="K40" s="109" cm="1">
        <f t="array" aca="1" ref="K40" ca="1">IFERROR(INDEX(_xlfn._xlws.FILTER(INDIRECT(K$1&amp;"!$E1:$E10000"),INDIRECT(K$1&amp;"!$a1:$a10000")=汇总!$A40),COUNTIF(INDIRECT(K$1&amp;"!$a1:$a10000"),汇总!$A40)),K39)</f>
        <v>217.79999999999995</v>
      </c>
      <c r="L40" s="109" cm="1">
        <f t="array" aca="1" ref="L40" ca="1">IFERROR(INDEX(_xlfn._xlws.FILTER(INDIRECT(L$1&amp;"!$E1:$E10000"),INDIRECT(L$1&amp;"!$a1:$a10000")=汇总!$A40),COUNTIF(INDIRECT(L$1&amp;"!$a1:$a10000"),汇总!$A40)),L39)</f>
        <v>1866.3232500000004</v>
      </c>
      <c r="M40" s="109" cm="1">
        <f t="array" aca="1" ref="M40" ca="1">IFERROR(INDEX(_xlfn._xlws.FILTER(INDIRECT(M$1&amp;"!$E1:$E10000"),INDIRECT(M$1&amp;"!$a1:$a10000")=汇总!$A40),COUNTIF(INDIRECT(M$1&amp;"!$a1:$a10000"),汇总!$A40)),M39)</f>
        <v>217.04545700000017</v>
      </c>
      <c r="N40" s="109" cm="1">
        <f t="array" aca="1" ref="N40" ca="1">IFERROR(INDEX(_xlfn._xlws.FILTER(INDIRECT(N$1&amp;"!$E1:$E10000"),INDIRECT(N$1&amp;"!$a1:$a10000")=汇总!$A40),COUNTIF(INDIRECT(N$1&amp;"!$a1:$a10000"),汇总!$A40)),N39)</f>
        <v>1154.0999999999999</v>
      </c>
      <c r="O40" s="109" cm="1">
        <f t="array" aca="1" ref="O40" ca="1">IFERROR(INDEX(_xlfn._xlws.FILTER(INDIRECT(O$1&amp;"!$E1:$E10000"),INDIRECT(O$1&amp;"!$a1:$a10000")=汇总!$A40),COUNTIF(INDIRECT(O$1&amp;"!$a1:$a10000"),汇总!$A40)),O39)</f>
        <v>0</v>
      </c>
      <c r="P40" s="109" cm="1">
        <f t="array" aca="1" ref="P40" ca="1">IFERROR(INDEX(_xlfn._xlws.FILTER(INDIRECT(P$1&amp;"!$E1:$E10000"),INDIRECT(P$1&amp;"!$a1:$a10000")=汇总!$A40),COUNTIF(INDIRECT(P$1&amp;"!$a1:$a10000"),汇总!$A40)),P39)</f>
        <v>3.8</v>
      </c>
      <c r="Q40" s="109" cm="1">
        <f t="array" aca="1" ref="Q40" ca="1">IFERROR(INDEX(_xlfn._xlws.FILTER(INDIRECT(Q$1&amp;"!$E1:$E10000"),INDIRECT(Q$1&amp;"!$a1:$a10000")=汇总!$A40),COUNTIF(INDIRECT(Q$1&amp;"!$a1:$a10000"),汇总!$A40)),Q39)</f>
        <v>123.58524599999998</v>
      </c>
      <c r="R40" s="109" t="e" cm="1" vm="2">
        <f t="array" aca="1" ref="R40" ca="1">IFERROR(INDEX(_xlfn._xlws.FILTER(INDIRECT(R$1&amp;"!$E1:$E10000"),INDIRECT(R$1&amp;"!$a1:$a10000")=汇总!$A40),COUNTIF(INDIRECT(R$1&amp;"!$a1:$a10000"),汇总!$A40)),R39)</f>
        <v>#VALUE!</v>
      </c>
      <c r="S40" s="109" t="e" cm="1" vm="2">
        <f t="array" aca="1" ref="S40" ca="1">IFERROR(INDEX(_xlfn._xlws.FILTER(INDIRECT(S$1&amp;"!$E1:$E10000"),INDIRECT(S$1&amp;"!$a1:$a10000")=汇总!$A40),COUNTIF(INDIRECT(S$1&amp;"!$a1:$a10000"),汇总!$A40)),S39)</f>
        <v>#VALUE!</v>
      </c>
    </row>
    <row r="41" spans="1:19" hidden="1">
      <c r="A41" s="1">
        <f t="shared" si="1"/>
        <v>46062</v>
      </c>
      <c r="B41" s="109" cm="1">
        <f t="array" aca="1" ref="B41" ca="1">IFERROR(INDEX(_xlfn._xlws.FILTER(INDIRECT(B$1&amp;"!$E1:$E10000"),INDIRECT(B$1&amp;"!$a1:$a10000")=汇总!$A41),COUNTIF(INDIRECT(B$1&amp;"!$a1:$a10000"),汇总!$A41)),B40)</f>
        <v>81</v>
      </c>
      <c r="C41" s="109" cm="1">
        <f t="array" aca="1" ref="C41" ca="1">IFERROR(INDEX(_xlfn._xlws.FILTER(INDIRECT(C$1&amp;"!$E1:$E10000"),INDIRECT(C$1&amp;"!$a1:$a10000")=汇总!$A41),COUNTIF(INDIRECT(C$1&amp;"!$a1:$a10000"),汇总!$A41)),C40)</f>
        <v>2437</v>
      </c>
      <c r="D41" s="109" cm="1">
        <f t="array" aca="1" ref="D41" ca="1">IFERROR(INDEX(_xlfn._xlws.FILTER(INDIRECT(D$1&amp;"!$E1:$E10000"),INDIRECT(D$1&amp;"!$a1:$a10000")=汇总!$A41),COUNTIF(INDIRECT(D$1&amp;"!$a1:$a10000"),汇总!$A41)),D40)</f>
        <v>5429.3281600000009</v>
      </c>
      <c r="E41" s="109" cm="1">
        <f t="array" aca="1" ref="E41" ca="1">IFERROR(INDEX(_xlfn._xlws.FILTER(INDIRECT(E$1&amp;"!$E1:$E10000"),INDIRECT(E$1&amp;"!$a1:$a10000")=汇总!$A41),COUNTIF(INDIRECT(E$1&amp;"!$a1:$a10000"),汇总!$A41)),E40)</f>
        <v>1936</v>
      </c>
      <c r="F41" s="109" cm="1">
        <f t="array" aca="1" ref="F41" ca="1">IFERROR(INDEX(_xlfn._xlws.FILTER(INDIRECT(F$1&amp;"!$E1:$E10000"),INDIRECT(F$1&amp;"!$a1:$a10000")=汇总!$A41),COUNTIF(INDIRECT(F$1&amp;"!$a1:$a10000"),汇总!$A41)),F40)</f>
        <v>6367</v>
      </c>
      <c r="G41" s="109" cm="1">
        <f t="array" aca="1" ref="G41" ca="1">IFERROR(INDEX(_xlfn._xlws.FILTER(INDIRECT(G$1&amp;"!$E1:$E10000"),INDIRECT(G$1&amp;"!$a1:$a10000")=汇总!$A41),COUNTIF(INDIRECT(G$1&amp;"!$a1:$a10000"),汇总!$A41)),G40)</f>
        <v>2930</v>
      </c>
      <c r="H41" s="109" cm="1">
        <f t="array" aca="1" ref="H41" ca="1">IFERROR(INDEX(_xlfn._xlws.FILTER(INDIRECT(H$1&amp;"!$E1:$E10000"),INDIRECT(H$1&amp;"!$a1:$a10000")=汇总!$A41),COUNTIF(INDIRECT(H$1&amp;"!$a1:$a10000"),汇总!$A41)),H40)</f>
        <v>153.47397430000012</v>
      </c>
      <c r="I41" s="109" cm="1">
        <f t="array" aca="1" ref="I41" ca="1">IFERROR(INDEX(_xlfn._xlws.FILTER(INDIRECT(I$1&amp;"!$E1:$E10000"),INDIRECT(I$1&amp;"!$a1:$a10000")=汇总!$A41),COUNTIF(INDIRECT(I$1&amp;"!$a1:$a10000"),汇总!$A41)),I40)</f>
        <v>140.02982100000008</v>
      </c>
      <c r="J41" s="109" cm="1">
        <f t="array" aca="1" ref="J41" ca="1">IFERROR(INDEX(_xlfn._xlws.FILTER(INDIRECT(J$1&amp;"!$E1:$E10000"),INDIRECT(J$1&amp;"!$a1:$a10000")=汇总!$A41),COUNTIF(INDIRECT(J$1&amp;"!$a1:$a10000"),汇总!$A41)),J40)</f>
        <v>2.5</v>
      </c>
      <c r="K41" s="109" cm="1">
        <f t="array" aca="1" ref="K41" ca="1">IFERROR(INDEX(_xlfn._xlws.FILTER(INDIRECT(K$1&amp;"!$E1:$E10000"),INDIRECT(K$1&amp;"!$a1:$a10000")=汇总!$A41),COUNTIF(INDIRECT(K$1&amp;"!$a1:$a10000"),汇总!$A41)),K40)</f>
        <v>217.79999999999995</v>
      </c>
      <c r="L41" s="109" cm="1">
        <f t="array" aca="1" ref="L41" ca="1">IFERROR(INDEX(_xlfn._xlws.FILTER(INDIRECT(L$1&amp;"!$E1:$E10000"),INDIRECT(L$1&amp;"!$a1:$a10000")=汇总!$A41),COUNTIF(INDIRECT(L$1&amp;"!$a1:$a10000"),汇总!$A41)),L40)</f>
        <v>99.263050000000021</v>
      </c>
      <c r="M41" s="109" cm="1">
        <f t="array" aca="1" ref="M41" ca="1">IFERROR(INDEX(_xlfn._xlws.FILTER(INDIRECT(M$1&amp;"!$E1:$E10000"),INDIRECT(M$1&amp;"!$a1:$a10000")=汇总!$A41),COUNTIF(INDIRECT(M$1&amp;"!$a1:$a10000"),汇总!$A41)),M40)</f>
        <v>217.04545700000017</v>
      </c>
      <c r="N41" s="109" cm="1">
        <f t="array" aca="1" ref="N41" ca="1">IFERROR(INDEX(_xlfn._xlws.FILTER(INDIRECT(N$1&amp;"!$E1:$E10000"),INDIRECT(N$1&amp;"!$a1:$a10000")=汇总!$A41),COUNTIF(INDIRECT(N$1&amp;"!$a1:$a10000"),汇总!$A41)),N40)</f>
        <v>750</v>
      </c>
      <c r="O41" s="109" cm="1">
        <f t="array" aca="1" ref="O41" ca="1">IFERROR(INDEX(_xlfn._xlws.FILTER(INDIRECT(O$1&amp;"!$E1:$E10000"),INDIRECT(O$1&amp;"!$a1:$a10000")=汇总!$A41),COUNTIF(INDIRECT(O$1&amp;"!$a1:$a10000"),汇总!$A41)),O40)</f>
        <v>0</v>
      </c>
      <c r="P41" s="109" cm="1">
        <f t="array" aca="1" ref="P41" ca="1">IFERROR(INDEX(_xlfn._xlws.FILTER(INDIRECT(P$1&amp;"!$E1:$E10000"),INDIRECT(P$1&amp;"!$a1:$a10000")=汇总!$A41),COUNTIF(INDIRECT(P$1&amp;"!$a1:$a10000"),汇总!$A41)),P40)</f>
        <v>3.8</v>
      </c>
      <c r="Q41" s="109" cm="1">
        <f t="array" aca="1" ref="Q41" ca="1">IFERROR(INDEX(_xlfn._xlws.FILTER(INDIRECT(Q$1&amp;"!$E1:$E10000"),INDIRECT(Q$1&amp;"!$a1:$a10000")=汇总!$A41),COUNTIF(INDIRECT(Q$1&amp;"!$a1:$a10000"),汇总!$A41)),Q40)</f>
        <v>1973.5852460000001</v>
      </c>
      <c r="R41" s="109" t="e" cm="1" vm="2">
        <f t="array" aca="1" ref="R41" ca="1">IFERROR(INDEX(_xlfn._xlws.FILTER(INDIRECT(R$1&amp;"!$E1:$E10000"),INDIRECT(R$1&amp;"!$a1:$a10000")=汇总!$A41),COUNTIF(INDIRECT(R$1&amp;"!$a1:$a10000"),汇总!$A41)),R40)</f>
        <v>#VALUE!</v>
      </c>
      <c r="S41" s="109" t="e" cm="1" vm="2">
        <f t="array" aca="1" ref="S41" ca="1">IFERROR(INDEX(_xlfn._xlws.FILTER(INDIRECT(S$1&amp;"!$E1:$E10000"),INDIRECT(S$1&amp;"!$a1:$a10000")=汇总!$A41),COUNTIF(INDIRECT(S$1&amp;"!$a1:$a10000"),汇总!$A41)),S40)</f>
        <v>#VALUE!</v>
      </c>
    </row>
    <row r="42" spans="1:19" hidden="1">
      <c r="A42" s="1">
        <f t="shared" si="1"/>
        <v>46063</v>
      </c>
      <c r="B42" s="109" cm="1">
        <f t="array" aca="1" ref="B42" ca="1">IFERROR(INDEX(_xlfn._xlws.FILTER(INDIRECT(B$1&amp;"!$E1:$E10000"),INDIRECT(B$1&amp;"!$a1:$a10000")=汇总!$A42),COUNTIF(INDIRECT(B$1&amp;"!$a1:$a10000"),汇总!$A42)),B41)</f>
        <v>281</v>
      </c>
      <c r="C42" s="109" cm="1">
        <f t="array" aca="1" ref="C42" ca="1">IFERROR(INDEX(_xlfn._xlws.FILTER(INDIRECT(C$1&amp;"!$E1:$E10000"),INDIRECT(C$1&amp;"!$a1:$a10000")=汇总!$A42),COUNTIF(INDIRECT(C$1&amp;"!$a1:$a10000"),汇总!$A42)),C41)</f>
        <v>2114.1999999999998</v>
      </c>
      <c r="D42" s="109" cm="1">
        <f t="array" aca="1" ref="D42" ca="1">IFERROR(INDEX(_xlfn._xlws.FILTER(INDIRECT(D$1&amp;"!$E1:$E10000"),INDIRECT(D$1&amp;"!$a1:$a10000")=汇总!$A42),COUNTIF(INDIRECT(D$1&amp;"!$a1:$a10000"),汇总!$A42)),D41)</f>
        <v>6389</v>
      </c>
      <c r="E42" s="109" cm="1">
        <f t="array" aca="1" ref="E42" ca="1">IFERROR(INDEX(_xlfn._xlws.FILTER(INDIRECT(E$1&amp;"!$E1:$E10000"),INDIRECT(E$1&amp;"!$a1:$a10000")=汇总!$A42),COUNTIF(INDIRECT(E$1&amp;"!$a1:$a10000"),汇总!$A42)),E41)</f>
        <v>300.83346999999998</v>
      </c>
      <c r="F42" s="109" cm="1">
        <f t="array" aca="1" ref="F42" ca="1">IFERROR(INDEX(_xlfn._xlws.FILTER(INDIRECT(F$1&amp;"!$E1:$E10000"),INDIRECT(F$1&amp;"!$a1:$a10000")=汇总!$A42),COUNTIF(INDIRECT(F$1&amp;"!$a1:$a10000"),汇总!$A42)),F41)</f>
        <v>6367</v>
      </c>
      <c r="G42" s="109" cm="1">
        <f t="array" aca="1" ref="G42" ca="1">IFERROR(INDEX(_xlfn._xlws.FILTER(INDIRECT(G$1&amp;"!$E1:$E10000"),INDIRECT(G$1&amp;"!$a1:$a10000")=汇总!$A42),COUNTIF(INDIRECT(G$1&amp;"!$a1:$a10000"),汇总!$A42)),G41)</f>
        <v>2930</v>
      </c>
      <c r="H42" s="109" cm="1">
        <f t="array" aca="1" ref="H42" ca="1">IFERROR(INDEX(_xlfn._xlws.FILTER(INDIRECT(H$1&amp;"!$E1:$E10000"),INDIRECT(H$1&amp;"!$a1:$a10000")=汇总!$A42),COUNTIF(INDIRECT(H$1&amp;"!$a1:$a10000"),汇总!$A42)),H41)</f>
        <v>153.47397430000012</v>
      </c>
      <c r="I42" s="109" cm="1">
        <f t="array" aca="1" ref="I42" ca="1">IFERROR(INDEX(_xlfn._xlws.FILTER(INDIRECT(I$1&amp;"!$E1:$E10000"),INDIRECT(I$1&amp;"!$a1:$a10000")=汇总!$A42),COUNTIF(INDIRECT(I$1&amp;"!$a1:$a10000"),汇总!$A42)),I41)</f>
        <v>140.02982100000008</v>
      </c>
      <c r="J42" s="109" cm="1">
        <f t="array" aca="1" ref="J42" ca="1">IFERROR(INDEX(_xlfn._xlws.FILTER(INDIRECT(J$1&amp;"!$E1:$E10000"),INDIRECT(J$1&amp;"!$a1:$a10000")=汇总!$A42),COUNTIF(INDIRECT(J$1&amp;"!$a1:$a10000"),汇总!$A42)),J41)</f>
        <v>2.5</v>
      </c>
      <c r="K42" s="109" cm="1">
        <f t="array" aca="1" ref="K42" ca="1">IFERROR(INDEX(_xlfn._xlws.FILTER(INDIRECT(K$1&amp;"!$E1:$E10000"),INDIRECT(K$1&amp;"!$a1:$a10000")=汇总!$A42),COUNTIF(INDIRECT(K$1&amp;"!$a1:$a10000"),汇总!$A42)),K41)</f>
        <v>217.79999999999995</v>
      </c>
      <c r="L42" s="109" cm="1">
        <f t="array" aca="1" ref="L42" ca="1">IFERROR(INDEX(_xlfn._xlws.FILTER(INDIRECT(L$1&amp;"!$E1:$E10000"),INDIRECT(L$1&amp;"!$a1:$a10000")=汇总!$A42),COUNTIF(INDIRECT(L$1&amp;"!$a1:$a10000"),汇总!$A42)),L41)</f>
        <v>99.263050000000021</v>
      </c>
      <c r="M42" s="109" cm="1">
        <f t="array" aca="1" ref="M42" ca="1">IFERROR(INDEX(_xlfn._xlws.FILTER(INDIRECT(M$1&amp;"!$E1:$E10000"),INDIRECT(M$1&amp;"!$a1:$a10000")=汇总!$A42),COUNTIF(INDIRECT(M$1&amp;"!$a1:$a10000"),汇总!$A42)),M41)</f>
        <v>217.04545700000017</v>
      </c>
      <c r="N42" s="109" cm="1">
        <f t="array" aca="1" ref="N42" ca="1">IFERROR(INDEX(_xlfn._xlws.FILTER(INDIRECT(N$1&amp;"!$E1:$E10000"),INDIRECT(N$1&amp;"!$a1:$a10000")=汇总!$A42),COUNTIF(INDIRECT(N$1&amp;"!$a1:$a10000"),汇总!$A42)),N41)</f>
        <v>750</v>
      </c>
      <c r="O42" s="109" cm="1">
        <f t="array" aca="1" ref="O42" ca="1">IFERROR(INDEX(_xlfn._xlws.FILTER(INDIRECT(O$1&amp;"!$E1:$E10000"),INDIRECT(O$1&amp;"!$a1:$a10000")=汇总!$A42),COUNTIF(INDIRECT(O$1&amp;"!$a1:$a10000"),汇总!$A42)),O41)</f>
        <v>0</v>
      </c>
      <c r="P42" s="109" cm="1">
        <f t="array" aca="1" ref="P42" ca="1">IFERROR(INDEX(_xlfn._xlws.FILTER(INDIRECT(P$1&amp;"!$E1:$E10000"),INDIRECT(P$1&amp;"!$a1:$a10000")=汇总!$A42),COUNTIF(INDIRECT(P$1&amp;"!$a1:$a10000"),汇总!$A42)),P41)</f>
        <v>3.8</v>
      </c>
      <c r="Q42" s="109" cm="1">
        <f t="array" aca="1" ref="Q42" ca="1">IFERROR(INDEX(_xlfn._xlws.FILTER(INDIRECT(Q$1&amp;"!$E1:$E10000"),INDIRECT(Q$1&amp;"!$a1:$a10000")=汇总!$A42),COUNTIF(INDIRECT(Q$1&amp;"!$a1:$a10000"),汇总!$A42)),Q41)</f>
        <v>55.985646000000315</v>
      </c>
      <c r="R42" s="109" t="e" cm="1" vm="2">
        <f t="array" aca="1" ref="R42" ca="1">IFERROR(INDEX(_xlfn._xlws.FILTER(INDIRECT(R$1&amp;"!$E1:$E10000"),INDIRECT(R$1&amp;"!$a1:$a10000")=汇总!$A42),COUNTIF(INDIRECT(R$1&amp;"!$a1:$a10000"),汇总!$A42)),R41)</f>
        <v>#VALUE!</v>
      </c>
      <c r="S42" s="109" t="e" cm="1" vm="2">
        <f t="array" aca="1" ref="S42" ca="1">IFERROR(INDEX(_xlfn._xlws.FILTER(INDIRECT(S$1&amp;"!$E1:$E10000"),INDIRECT(S$1&amp;"!$a1:$a10000")=汇总!$A42),COUNTIF(INDIRECT(S$1&amp;"!$a1:$a10000"),汇总!$A42)),S41)</f>
        <v>#VALUE!</v>
      </c>
    </row>
    <row r="43" spans="1:19" hidden="1">
      <c r="A43" s="1">
        <f t="shared" si="1"/>
        <v>46064</v>
      </c>
      <c r="B43" s="109" cm="1">
        <f t="array" aca="1" ref="B43" ca="1">IFERROR(INDEX(_xlfn._xlws.FILTER(INDIRECT(B$1&amp;"!$E1:$E10000"),INDIRECT(B$1&amp;"!$a1:$a10000")=汇总!$A43),COUNTIF(INDIRECT(B$1&amp;"!$a1:$a10000"),汇总!$A43)),B42)</f>
        <v>281</v>
      </c>
      <c r="C43" s="109" cm="1">
        <f t="array" aca="1" ref="C43" ca="1">IFERROR(INDEX(_xlfn._xlws.FILTER(INDIRECT(C$1&amp;"!$E1:$E10000"),INDIRECT(C$1&amp;"!$a1:$a10000")=汇总!$A43),COUNTIF(INDIRECT(C$1&amp;"!$a1:$a10000"),汇总!$A43)),C42)</f>
        <v>2114.1999999999998</v>
      </c>
      <c r="D43" s="109" cm="1">
        <f t="array" aca="1" ref="D43" ca="1">IFERROR(INDEX(_xlfn._xlws.FILTER(INDIRECT(D$1&amp;"!$E1:$E10000"),INDIRECT(D$1&amp;"!$a1:$a10000")=汇总!$A43),COUNTIF(INDIRECT(D$1&amp;"!$a1:$a10000"),汇总!$A43)),D42)</f>
        <v>166.77999999999975</v>
      </c>
      <c r="E43" s="109" cm="1">
        <f t="array" aca="1" ref="E43" ca="1">IFERROR(INDEX(_xlfn._xlws.FILTER(INDIRECT(E$1&amp;"!$E1:$E10000"),INDIRECT(E$1&amp;"!$a1:$a10000")=汇总!$A43),COUNTIF(INDIRECT(E$1&amp;"!$a1:$a10000"),汇总!$A43)),E42)</f>
        <v>318.83346999999998</v>
      </c>
      <c r="F43" s="109" cm="1">
        <f t="array" aca="1" ref="F43" ca="1">IFERROR(INDEX(_xlfn._xlws.FILTER(INDIRECT(F$1&amp;"!$E1:$E10000"),INDIRECT(F$1&amp;"!$a1:$a10000")=汇总!$A43),COUNTIF(INDIRECT(F$1&amp;"!$a1:$a10000"),汇总!$A43)),F42)</f>
        <v>6367</v>
      </c>
      <c r="G43" s="109" cm="1">
        <f t="array" aca="1" ref="G43" ca="1">IFERROR(INDEX(_xlfn._xlws.FILTER(INDIRECT(G$1&amp;"!$E1:$E10000"),INDIRECT(G$1&amp;"!$a1:$a10000")=汇总!$A43),COUNTIF(INDIRECT(G$1&amp;"!$a1:$a10000"),汇总!$A43)),G42)</f>
        <v>2930</v>
      </c>
      <c r="H43" s="109" cm="1">
        <f t="array" aca="1" ref="H43" ca="1">IFERROR(INDEX(_xlfn._xlws.FILTER(INDIRECT(H$1&amp;"!$E1:$E10000"),INDIRECT(H$1&amp;"!$a1:$a10000")=汇总!$A43),COUNTIF(INDIRECT(H$1&amp;"!$a1:$a10000"),汇总!$A43)),H42)</f>
        <v>28.473974300000123</v>
      </c>
      <c r="I43" s="109" cm="1">
        <f t="array" aca="1" ref="I43" ca="1">IFERROR(INDEX(_xlfn._xlws.FILTER(INDIRECT(I$1&amp;"!$E1:$E10000"),INDIRECT(I$1&amp;"!$a1:$a10000")=汇总!$A43),COUNTIF(INDIRECT(I$1&amp;"!$a1:$a10000"),汇总!$A43)),I42)</f>
        <v>140.02982100000008</v>
      </c>
      <c r="J43" s="109" cm="1">
        <f t="array" aca="1" ref="J43" ca="1">IFERROR(INDEX(_xlfn._xlws.FILTER(INDIRECT(J$1&amp;"!$E1:$E10000"),INDIRECT(J$1&amp;"!$a1:$a10000")=汇总!$A43),COUNTIF(INDIRECT(J$1&amp;"!$a1:$a10000"),汇总!$A43)),J42)</f>
        <v>2.5</v>
      </c>
      <c r="K43" s="109" cm="1">
        <f t="array" aca="1" ref="K43" ca="1">IFERROR(INDEX(_xlfn._xlws.FILTER(INDIRECT(K$1&amp;"!$E1:$E10000"),INDIRECT(K$1&amp;"!$a1:$a10000")=汇总!$A43),COUNTIF(INDIRECT(K$1&amp;"!$a1:$a10000"),汇总!$A43)),K42)</f>
        <v>217.79999999999995</v>
      </c>
      <c r="L43" s="109" cm="1">
        <f t="array" aca="1" ref="L43" ca="1">IFERROR(INDEX(_xlfn._xlws.FILTER(INDIRECT(L$1&amp;"!$E1:$E10000"),INDIRECT(L$1&amp;"!$a1:$a10000")=汇总!$A43),COUNTIF(INDIRECT(L$1&amp;"!$a1:$a10000"),汇总!$A43)),L42)</f>
        <v>99.263050000000021</v>
      </c>
      <c r="M43" s="109" cm="1">
        <f t="array" aca="1" ref="M43" ca="1">IFERROR(INDEX(_xlfn._xlws.FILTER(INDIRECT(M$1&amp;"!$E1:$E10000"),INDIRECT(M$1&amp;"!$a1:$a10000")=汇总!$A43),COUNTIF(INDIRECT(M$1&amp;"!$a1:$a10000"),汇总!$A43)),M42)</f>
        <v>217.04545700000017</v>
      </c>
      <c r="N43" s="109" cm="1">
        <f t="array" aca="1" ref="N43" ca="1">IFERROR(INDEX(_xlfn._xlws.FILTER(INDIRECT(N$1&amp;"!$E1:$E10000"),INDIRECT(N$1&amp;"!$a1:$a10000")=汇总!$A43),COUNTIF(INDIRECT(N$1&amp;"!$a1:$a10000"),汇总!$A43)),N42)</f>
        <v>750</v>
      </c>
      <c r="O43" s="109" cm="1">
        <f t="array" aca="1" ref="O43" ca="1">IFERROR(INDEX(_xlfn._xlws.FILTER(INDIRECT(O$1&amp;"!$E1:$E10000"),INDIRECT(O$1&amp;"!$a1:$a10000")=汇总!$A43),COUNTIF(INDIRECT(O$1&amp;"!$a1:$a10000"),汇总!$A43)),O42)</f>
        <v>0</v>
      </c>
      <c r="P43" s="109" cm="1">
        <f t="array" aca="1" ref="P43" ca="1">IFERROR(INDEX(_xlfn._xlws.FILTER(INDIRECT(P$1&amp;"!$E1:$E10000"),INDIRECT(P$1&amp;"!$a1:$a10000")=汇总!$A43),COUNTIF(INDIRECT(P$1&amp;"!$a1:$a10000"),汇总!$A43)),P42)</f>
        <v>3.8</v>
      </c>
      <c r="Q43" s="109" cm="1">
        <f t="array" aca="1" ref="Q43" ca="1">IFERROR(INDEX(_xlfn._xlws.FILTER(INDIRECT(Q$1&amp;"!$E1:$E10000"),INDIRECT(Q$1&amp;"!$a1:$a10000")=汇总!$A43),COUNTIF(INDIRECT(Q$1&amp;"!$a1:$a10000"),汇总!$A43)),Q42)</f>
        <v>55.985646000000315</v>
      </c>
      <c r="R43" s="109" t="e" cm="1" vm="2">
        <f t="array" aca="1" ref="R43" ca="1">IFERROR(INDEX(_xlfn._xlws.FILTER(INDIRECT(R$1&amp;"!$E1:$E10000"),INDIRECT(R$1&amp;"!$a1:$a10000")=汇总!$A43),COUNTIF(INDIRECT(R$1&amp;"!$a1:$a10000"),汇总!$A43)),R42)</f>
        <v>#VALUE!</v>
      </c>
      <c r="S43" s="109" t="e" cm="1" vm="2">
        <f t="array" aca="1" ref="S43" ca="1">IFERROR(INDEX(_xlfn._xlws.FILTER(INDIRECT(S$1&amp;"!$E1:$E10000"),INDIRECT(S$1&amp;"!$a1:$a10000")=汇总!$A43),COUNTIF(INDIRECT(S$1&amp;"!$a1:$a10000"),汇总!$A43)),S42)</f>
        <v>#VALUE!</v>
      </c>
    </row>
    <row r="44" spans="1:19" hidden="1">
      <c r="A44" s="1">
        <f t="shared" si="1"/>
        <v>46065</v>
      </c>
      <c r="B44" s="109" cm="1">
        <f t="array" aca="1" ref="B44" ca="1">IFERROR(INDEX(_xlfn._xlws.FILTER(INDIRECT(B$1&amp;"!$E1:$E10000"),INDIRECT(B$1&amp;"!$a1:$a10000")=汇总!$A44),COUNTIF(INDIRECT(B$1&amp;"!$a1:$a10000"),汇总!$A44)),B43)</f>
        <v>361.25799999999998</v>
      </c>
      <c r="C44" s="109" cm="1">
        <f t="array" aca="1" ref="C44" ca="1">IFERROR(INDEX(_xlfn._xlws.FILTER(INDIRECT(C$1&amp;"!$E1:$E10000"),INDIRECT(C$1&amp;"!$a1:$a10000")=汇总!$A44),COUNTIF(INDIRECT(C$1&amp;"!$a1:$a10000"),汇总!$A44)),C43)</f>
        <v>96.199999999999818</v>
      </c>
      <c r="D44" s="109" cm="1">
        <f t="array" aca="1" ref="D44" ca="1">IFERROR(INDEX(_xlfn._xlws.FILTER(INDIRECT(D$1&amp;"!$E1:$E10000"),INDIRECT(D$1&amp;"!$a1:$a10000")=汇总!$A44),COUNTIF(INDIRECT(D$1&amp;"!$a1:$a10000"),汇总!$A44)),D43)</f>
        <v>168.77999999999975</v>
      </c>
      <c r="E44" s="109" cm="1">
        <f t="array" aca="1" ref="E44" ca="1">IFERROR(INDEX(_xlfn._xlws.FILTER(INDIRECT(E$1&amp;"!$E1:$E10000"),INDIRECT(E$1&amp;"!$a1:$a10000")=汇总!$A44),COUNTIF(INDIRECT(E$1&amp;"!$a1:$a10000"),汇总!$A44)),E43)</f>
        <v>190.10466999999997</v>
      </c>
      <c r="F44" s="109" cm="1">
        <f t="array" aca="1" ref="F44" ca="1">IFERROR(INDEX(_xlfn._xlws.FILTER(INDIRECT(F$1&amp;"!$E1:$E10000"),INDIRECT(F$1&amp;"!$a1:$a10000")=汇总!$A44),COUNTIF(INDIRECT(F$1&amp;"!$a1:$a10000"),汇总!$A44)),F43)</f>
        <v>6367</v>
      </c>
      <c r="G44" s="109" cm="1">
        <f t="array" aca="1" ref="G44" ca="1">IFERROR(INDEX(_xlfn._xlws.FILTER(INDIRECT(G$1&amp;"!$E1:$E10000"),INDIRECT(G$1&amp;"!$a1:$a10000")=汇总!$A44),COUNTIF(INDIRECT(G$1&amp;"!$a1:$a10000"),汇总!$A44)),G43)</f>
        <v>2930</v>
      </c>
      <c r="H44" s="109" cm="1">
        <f t="array" aca="1" ref="H44" ca="1">IFERROR(INDEX(_xlfn._xlws.FILTER(INDIRECT(H$1&amp;"!$E1:$E10000"),INDIRECT(H$1&amp;"!$a1:$a10000")=汇总!$A44),COUNTIF(INDIRECT(H$1&amp;"!$a1:$a10000"),汇总!$A44)),H43)</f>
        <v>28.473974300000123</v>
      </c>
      <c r="I44" s="109" cm="1">
        <f t="array" aca="1" ref="I44" ca="1">IFERROR(INDEX(_xlfn._xlws.FILTER(INDIRECT(I$1&amp;"!$E1:$E10000"),INDIRECT(I$1&amp;"!$a1:$a10000")=汇总!$A44),COUNTIF(INDIRECT(I$1&amp;"!$a1:$a10000"),汇总!$A44)),I43)</f>
        <v>140.02982100000008</v>
      </c>
      <c r="J44" s="109" cm="1">
        <f t="array" aca="1" ref="J44" ca="1">IFERROR(INDEX(_xlfn._xlws.FILTER(INDIRECT(J$1&amp;"!$E1:$E10000"),INDIRECT(J$1&amp;"!$a1:$a10000")=汇总!$A44),COUNTIF(INDIRECT(J$1&amp;"!$a1:$a10000"),汇总!$A44)),J43)</f>
        <v>2.5</v>
      </c>
      <c r="K44" s="109" cm="1">
        <f t="array" aca="1" ref="K44" ca="1">IFERROR(INDEX(_xlfn._xlws.FILTER(INDIRECT(K$1&amp;"!$E1:$E10000"),INDIRECT(K$1&amp;"!$a1:$a10000")=汇总!$A44),COUNTIF(INDIRECT(K$1&amp;"!$a1:$a10000"),汇总!$A44)),K43)</f>
        <v>217.79999999999995</v>
      </c>
      <c r="L44" s="109" cm="1">
        <f t="array" aca="1" ref="L44" ca="1">IFERROR(INDEX(_xlfn._xlws.FILTER(INDIRECT(L$1&amp;"!$E1:$E10000"),INDIRECT(L$1&amp;"!$a1:$a10000")=汇总!$A44),COUNTIF(INDIRECT(L$1&amp;"!$a1:$a10000"),汇总!$A44)),L43)</f>
        <v>99.263050000000021</v>
      </c>
      <c r="M44" s="109" cm="1">
        <f t="array" aca="1" ref="M44" ca="1">IFERROR(INDEX(_xlfn._xlws.FILTER(INDIRECT(M$1&amp;"!$E1:$E10000"),INDIRECT(M$1&amp;"!$a1:$a10000")=汇总!$A44),COUNTIF(INDIRECT(M$1&amp;"!$a1:$a10000"),汇总!$A44)),M43)</f>
        <v>217.04545700000017</v>
      </c>
      <c r="N44" s="109" cm="1">
        <f t="array" aca="1" ref="N44" ca="1">IFERROR(INDEX(_xlfn._xlws.FILTER(INDIRECT(N$1&amp;"!$E1:$E10000"),INDIRECT(N$1&amp;"!$a1:$a10000")=汇总!$A44),COUNTIF(INDIRECT(N$1&amp;"!$a1:$a10000"),汇总!$A44)),N43)</f>
        <v>806</v>
      </c>
      <c r="O44" s="109" cm="1">
        <f t="array" aca="1" ref="O44" ca="1">IFERROR(INDEX(_xlfn._xlws.FILTER(INDIRECT(O$1&amp;"!$E1:$E10000"),INDIRECT(O$1&amp;"!$a1:$a10000")=汇总!$A44),COUNTIF(INDIRECT(O$1&amp;"!$a1:$a10000"),汇总!$A44)),O43)</f>
        <v>0</v>
      </c>
      <c r="P44" s="109" cm="1">
        <f t="array" aca="1" ref="P44" ca="1">IFERROR(INDEX(_xlfn._xlws.FILTER(INDIRECT(P$1&amp;"!$E1:$E10000"),INDIRECT(P$1&amp;"!$a1:$a10000")=汇总!$A44),COUNTIF(INDIRECT(P$1&amp;"!$a1:$a10000"),汇总!$A44)),P43)</f>
        <v>3.8</v>
      </c>
      <c r="Q44" s="109" cm="1">
        <f t="array" aca="1" ref="Q44" ca="1">IFERROR(INDEX(_xlfn._xlws.FILTER(INDIRECT(Q$1&amp;"!$E1:$E10000"),INDIRECT(Q$1&amp;"!$a1:$a10000")=汇总!$A44),COUNTIF(INDIRECT(Q$1&amp;"!$a1:$a10000"),汇总!$A44)),Q43)</f>
        <v>55.985646000000315</v>
      </c>
      <c r="R44" s="109" t="e" cm="1" vm="2">
        <f t="array" aca="1" ref="R44" ca="1">IFERROR(INDEX(_xlfn._xlws.FILTER(INDIRECT(R$1&amp;"!$E1:$E10000"),INDIRECT(R$1&amp;"!$a1:$a10000")=汇总!$A44),COUNTIF(INDIRECT(R$1&amp;"!$a1:$a10000"),汇总!$A44)),R43)</f>
        <v>#VALUE!</v>
      </c>
      <c r="S44" s="109" t="e" cm="1" vm="2">
        <f t="array" aca="1" ref="S44" ca="1">IFERROR(INDEX(_xlfn._xlws.FILTER(INDIRECT(S$1&amp;"!$E1:$E10000"),INDIRECT(S$1&amp;"!$a1:$a10000")=汇总!$A44),COUNTIF(INDIRECT(S$1&amp;"!$a1:$a10000"),汇总!$A44)),S43)</f>
        <v>#VALUE!</v>
      </c>
    </row>
    <row r="45" spans="1:19" hidden="1">
      <c r="A45" s="1">
        <f t="shared" si="1"/>
        <v>46066</v>
      </c>
      <c r="B45" s="109" cm="1">
        <f t="array" aca="1" ref="B45" ca="1">IFERROR(INDEX(_xlfn._xlws.FILTER(INDIRECT(B$1&amp;"!$E1:$E10000"),INDIRECT(B$1&amp;"!$a1:$a10000")=汇总!$A45),COUNTIF(INDIRECT(B$1&amp;"!$a1:$a10000"),汇总!$A45)),B44)</f>
        <v>361.25799999999998</v>
      </c>
      <c r="C45" s="109" cm="1">
        <f t="array" aca="1" ref="C45" ca="1">IFERROR(INDEX(_xlfn._xlws.FILTER(INDIRECT(C$1&amp;"!$E1:$E10000"),INDIRECT(C$1&amp;"!$a1:$a10000")=汇总!$A45),COUNTIF(INDIRECT(C$1&amp;"!$a1:$a10000"),汇总!$A45)),C44)</f>
        <v>98.899999999999821</v>
      </c>
      <c r="D45" s="109" cm="1">
        <f t="array" aca="1" ref="D45" ca="1">IFERROR(INDEX(_xlfn._xlws.FILTER(INDIRECT(D$1&amp;"!$E1:$E10000"),INDIRECT(D$1&amp;"!$a1:$a10000")=汇总!$A45),COUNTIF(INDIRECT(D$1&amp;"!$a1:$a10000"),汇总!$A45)),D44)</f>
        <v>168.77999999999975</v>
      </c>
      <c r="E45" s="109" cm="1">
        <f t="array" aca="1" ref="E45" ca="1">IFERROR(INDEX(_xlfn._xlws.FILTER(INDIRECT(E$1&amp;"!$E1:$E10000"),INDIRECT(E$1&amp;"!$a1:$a10000")=汇总!$A45),COUNTIF(INDIRECT(E$1&amp;"!$a1:$a10000"),汇总!$A45)),E44)</f>
        <v>190.10466999999997</v>
      </c>
      <c r="F45" s="109" cm="1">
        <f t="array" aca="1" ref="F45" ca="1">IFERROR(INDEX(_xlfn._xlws.FILTER(INDIRECT(F$1&amp;"!$E1:$E10000"),INDIRECT(F$1&amp;"!$a1:$a10000")=汇总!$A45),COUNTIF(INDIRECT(F$1&amp;"!$a1:$a10000"),汇总!$A45)),F44)</f>
        <v>6580</v>
      </c>
      <c r="G45" s="109" cm="1">
        <f t="array" aca="1" ref="G45" ca="1">IFERROR(INDEX(_xlfn._xlws.FILTER(INDIRECT(G$1&amp;"!$E1:$E10000"),INDIRECT(G$1&amp;"!$a1:$a10000")=汇总!$A45),COUNTIF(INDIRECT(G$1&amp;"!$a1:$a10000"),汇总!$A45)),G44)</f>
        <v>2930</v>
      </c>
      <c r="H45" s="109" cm="1">
        <f t="array" aca="1" ref="H45" ca="1">IFERROR(INDEX(_xlfn._xlws.FILTER(INDIRECT(H$1&amp;"!$E1:$E10000"),INDIRECT(H$1&amp;"!$a1:$a10000")=汇总!$A45),COUNTIF(INDIRECT(H$1&amp;"!$a1:$a10000"),汇总!$A45)),H44)</f>
        <v>127.47397430000012</v>
      </c>
      <c r="I45" s="109" cm="1">
        <f t="array" aca="1" ref="I45" ca="1">IFERROR(INDEX(_xlfn._xlws.FILTER(INDIRECT(I$1&amp;"!$E1:$E10000"),INDIRECT(I$1&amp;"!$a1:$a10000")=汇总!$A45),COUNTIF(INDIRECT(I$1&amp;"!$a1:$a10000"),汇总!$A45)),I44)</f>
        <v>587.52982100000008</v>
      </c>
      <c r="J45" s="109" cm="1">
        <f t="array" aca="1" ref="J45" ca="1">IFERROR(INDEX(_xlfn._xlws.FILTER(INDIRECT(J$1&amp;"!$E1:$E10000"),INDIRECT(J$1&amp;"!$a1:$a10000")=汇总!$A45),COUNTIF(INDIRECT(J$1&amp;"!$a1:$a10000"),汇总!$A45)),J44)</f>
        <v>2.5</v>
      </c>
      <c r="K45" s="109" cm="1">
        <f t="array" aca="1" ref="K45" ca="1">IFERROR(INDEX(_xlfn._xlws.FILTER(INDIRECT(K$1&amp;"!$E1:$E10000"),INDIRECT(K$1&amp;"!$a1:$a10000")=汇总!$A45),COUNTIF(INDIRECT(K$1&amp;"!$a1:$a10000"),汇总!$A45)),K44)</f>
        <v>109</v>
      </c>
      <c r="L45" s="109" cm="1">
        <f t="array" aca="1" ref="L45" ca="1">IFERROR(INDEX(_xlfn._xlws.FILTER(INDIRECT(L$1&amp;"!$E1:$E10000"),INDIRECT(L$1&amp;"!$a1:$a10000")=汇总!$A45),COUNTIF(INDIRECT(L$1&amp;"!$a1:$a10000"),汇总!$A45)),L44)</f>
        <v>99.263050000000021</v>
      </c>
      <c r="M45" s="109" cm="1">
        <f t="array" aca="1" ref="M45" ca="1">IFERROR(INDEX(_xlfn._xlws.FILTER(INDIRECT(M$1&amp;"!$E1:$E10000"),INDIRECT(M$1&amp;"!$a1:$a10000")=汇总!$A45),COUNTIF(INDIRECT(M$1&amp;"!$a1:$a10000"),汇总!$A45)),M44)</f>
        <v>217.04545700000017</v>
      </c>
      <c r="N45" s="109" cm="1">
        <f t="array" aca="1" ref="N45" ca="1">IFERROR(INDEX(_xlfn._xlws.FILTER(INDIRECT(N$1&amp;"!$E1:$E10000"),INDIRECT(N$1&amp;"!$a1:$a10000")=汇总!$A45),COUNTIF(INDIRECT(N$1&amp;"!$a1:$a10000"),汇总!$A45)),N44)</f>
        <v>806</v>
      </c>
      <c r="O45" s="109" cm="1">
        <f t="array" aca="1" ref="O45" ca="1">IFERROR(INDEX(_xlfn._xlws.FILTER(INDIRECT(O$1&amp;"!$E1:$E10000"),INDIRECT(O$1&amp;"!$a1:$a10000")=汇总!$A45),COUNTIF(INDIRECT(O$1&amp;"!$a1:$a10000"),汇总!$A45)),O44)</f>
        <v>0</v>
      </c>
      <c r="P45" s="109" cm="1">
        <f t="array" aca="1" ref="P45" ca="1">IFERROR(INDEX(_xlfn._xlws.FILTER(INDIRECT(P$1&amp;"!$E1:$E10000"),INDIRECT(P$1&amp;"!$a1:$a10000")=汇总!$A45),COUNTIF(INDIRECT(P$1&amp;"!$a1:$a10000"),汇总!$A45)),P44)</f>
        <v>3.8</v>
      </c>
      <c r="Q45" s="109" cm="1">
        <f t="array" aca="1" ref="Q45" ca="1">IFERROR(INDEX(_xlfn._xlws.FILTER(INDIRECT(Q$1&amp;"!$E1:$E10000"),INDIRECT(Q$1&amp;"!$a1:$a10000")=汇总!$A45),COUNTIF(INDIRECT(Q$1&amp;"!$a1:$a10000"),汇总!$A45)),Q44)</f>
        <v>55.985646000000315</v>
      </c>
      <c r="R45" s="109" t="e" cm="1" vm="2">
        <f t="array" aca="1" ref="R45" ca="1">IFERROR(INDEX(_xlfn._xlws.FILTER(INDIRECT(R$1&amp;"!$E1:$E10000"),INDIRECT(R$1&amp;"!$a1:$a10000")=汇总!$A45),COUNTIF(INDIRECT(R$1&amp;"!$a1:$a10000"),汇总!$A45)),R44)</f>
        <v>#VALUE!</v>
      </c>
      <c r="S45" s="109" t="e" cm="1" vm="2">
        <f t="array" aca="1" ref="S45" ca="1">IFERROR(INDEX(_xlfn._xlws.FILTER(INDIRECT(S$1&amp;"!$E1:$E10000"),INDIRECT(S$1&amp;"!$a1:$a10000")=汇总!$A45),COUNTIF(INDIRECT(S$1&amp;"!$a1:$a10000"),汇总!$A45)),S44)</f>
        <v>#VALUE!</v>
      </c>
    </row>
    <row r="46" spans="1:19" hidden="1">
      <c r="A46" s="1">
        <f t="shared" si="1"/>
        <v>46067</v>
      </c>
      <c r="B46" s="109" cm="1">
        <f t="array" aca="1" ref="B46" ca="1">IFERROR(INDEX(_xlfn._xlws.FILTER(INDIRECT(B$1&amp;"!$E1:$E10000"),INDIRECT(B$1&amp;"!$a1:$a10000")=汇总!$A46),COUNTIF(INDIRECT(B$1&amp;"!$a1:$a10000"),汇总!$A46)),B45)</f>
        <v>361.25799999999998</v>
      </c>
      <c r="C46" s="109" cm="1">
        <f t="array" aca="1" ref="C46" ca="1">IFERROR(INDEX(_xlfn._xlws.FILTER(INDIRECT(C$1&amp;"!$E1:$E10000"),INDIRECT(C$1&amp;"!$a1:$a10000")=汇总!$A46),COUNTIF(INDIRECT(C$1&amp;"!$a1:$a10000"),汇总!$A46)),C45)</f>
        <v>98.899999999999821</v>
      </c>
      <c r="D46" s="109" cm="1">
        <f t="array" aca="1" ref="D46" ca="1">IFERROR(INDEX(_xlfn._xlws.FILTER(INDIRECT(D$1&amp;"!$E1:$E10000"),INDIRECT(D$1&amp;"!$a1:$a10000")=汇总!$A46),COUNTIF(INDIRECT(D$1&amp;"!$a1:$a10000"),汇总!$A46)),D45)</f>
        <v>168.77999999999975</v>
      </c>
      <c r="E46" s="109" cm="1">
        <f t="array" aca="1" ref="E46" ca="1">IFERROR(INDEX(_xlfn._xlws.FILTER(INDIRECT(E$1&amp;"!$E1:$E10000"),INDIRECT(E$1&amp;"!$a1:$a10000")=汇总!$A46),COUNTIF(INDIRECT(E$1&amp;"!$a1:$a10000"),汇总!$A46)),E45)</f>
        <v>193.28466999999998</v>
      </c>
      <c r="F46" s="109" cm="1">
        <f t="array" aca="1" ref="F46" ca="1">IFERROR(INDEX(_xlfn._xlws.FILTER(INDIRECT(F$1&amp;"!$E1:$E10000"),INDIRECT(F$1&amp;"!$a1:$a10000")=汇总!$A46),COUNTIF(INDIRECT(F$1&amp;"!$a1:$a10000"),汇总!$A46)),F45)</f>
        <v>6580</v>
      </c>
      <c r="G46" s="109" cm="1">
        <f t="array" aca="1" ref="G46" ca="1">IFERROR(INDEX(_xlfn._xlws.FILTER(INDIRECT(G$1&amp;"!$E1:$E10000"),INDIRECT(G$1&amp;"!$a1:$a10000")=汇总!$A46),COUNTIF(INDIRECT(G$1&amp;"!$a1:$a10000"),汇总!$A46)),G45)</f>
        <v>2930</v>
      </c>
      <c r="H46" s="109" cm="1">
        <f t="array" aca="1" ref="H46" ca="1">IFERROR(INDEX(_xlfn._xlws.FILTER(INDIRECT(H$1&amp;"!$E1:$E10000"),INDIRECT(H$1&amp;"!$a1:$a10000")=汇总!$A46),COUNTIF(INDIRECT(H$1&amp;"!$a1:$a10000"),汇总!$A46)),H45)</f>
        <v>127.47397430000012</v>
      </c>
      <c r="I46" s="109" cm="1">
        <f t="array" aca="1" ref="I46" ca="1">IFERROR(INDEX(_xlfn._xlws.FILTER(INDIRECT(I$1&amp;"!$E1:$E10000"),INDIRECT(I$1&amp;"!$a1:$a10000")=汇总!$A46),COUNTIF(INDIRECT(I$1&amp;"!$a1:$a10000"),汇总!$A46)),I45)</f>
        <v>587.52982100000008</v>
      </c>
      <c r="J46" s="109" cm="1">
        <f t="array" aca="1" ref="J46" ca="1">IFERROR(INDEX(_xlfn._xlws.FILTER(INDIRECT(J$1&amp;"!$E1:$E10000"),INDIRECT(J$1&amp;"!$a1:$a10000")=汇总!$A46),COUNTIF(INDIRECT(J$1&amp;"!$a1:$a10000"),汇总!$A46)),J45)</f>
        <v>2.5</v>
      </c>
      <c r="K46" s="109" cm="1">
        <f t="array" aca="1" ref="K46" ca="1">IFERROR(INDEX(_xlfn._xlws.FILTER(INDIRECT(K$1&amp;"!$E1:$E10000"),INDIRECT(K$1&amp;"!$a1:$a10000")=汇总!$A46),COUNTIF(INDIRECT(K$1&amp;"!$a1:$a10000"),汇总!$A46)),K45)</f>
        <v>109</v>
      </c>
      <c r="L46" s="109" cm="1">
        <f t="array" aca="1" ref="L46" ca="1">IFERROR(INDEX(_xlfn._xlws.FILTER(INDIRECT(L$1&amp;"!$E1:$E10000"),INDIRECT(L$1&amp;"!$a1:$a10000")=汇总!$A46),COUNTIF(INDIRECT(L$1&amp;"!$a1:$a10000"),汇总!$A46)),L45)</f>
        <v>99.263050000000021</v>
      </c>
      <c r="M46" s="109" cm="1">
        <f t="array" aca="1" ref="M46" ca="1">IFERROR(INDEX(_xlfn._xlws.FILTER(INDIRECT(M$1&amp;"!$E1:$E10000"),INDIRECT(M$1&amp;"!$a1:$a10000")=汇总!$A46),COUNTIF(INDIRECT(M$1&amp;"!$a1:$a10000"),汇总!$A46)),M45)</f>
        <v>217.04545700000017</v>
      </c>
      <c r="N46" s="109" cm="1">
        <f t="array" aca="1" ref="N46" ca="1">IFERROR(INDEX(_xlfn._xlws.FILTER(INDIRECT(N$1&amp;"!$E1:$E10000"),INDIRECT(N$1&amp;"!$a1:$a10000")=汇总!$A46),COUNTIF(INDIRECT(N$1&amp;"!$a1:$a10000"),汇总!$A46)),N45)</f>
        <v>806</v>
      </c>
      <c r="O46" s="109" cm="1">
        <f t="array" aca="1" ref="O46" ca="1">IFERROR(INDEX(_xlfn._xlws.FILTER(INDIRECT(O$1&amp;"!$E1:$E10000"),INDIRECT(O$1&amp;"!$a1:$a10000")=汇总!$A46),COUNTIF(INDIRECT(O$1&amp;"!$a1:$a10000"),汇总!$A46)),O45)</f>
        <v>0</v>
      </c>
      <c r="P46" s="109" cm="1">
        <f t="array" aca="1" ref="P46" ca="1">IFERROR(INDEX(_xlfn._xlws.FILTER(INDIRECT(P$1&amp;"!$E1:$E10000"),INDIRECT(P$1&amp;"!$a1:$a10000")=汇总!$A46),COUNTIF(INDIRECT(P$1&amp;"!$a1:$a10000"),汇总!$A46)),P45)</f>
        <v>3.8</v>
      </c>
      <c r="Q46" s="109" cm="1">
        <f t="array" aca="1" ref="Q46" ca="1">IFERROR(INDEX(_xlfn._xlws.FILTER(INDIRECT(Q$1&amp;"!$E1:$E10000"),INDIRECT(Q$1&amp;"!$a1:$a10000")=汇总!$A46),COUNTIF(INDIRECT(Q$1&amp;"!$a1:$a10000"),汇总!$A46)),Q45)</f>
        <v>55.985646000000315</v>
      </c>
      <c r="R46" s="109" t="e" cm="1" vm="2">
        <f t="array" aca="1" ref="R46" ca="1">IFERROR(INDEX(_xlfn._xlws.FILTER(INDIRECT(R$1&amp;"!$E1:$E10000"),INDIRECT(R$1&amp;"!$a1:$a10000")=汇总!$A46),COUNTIF(INDIRECT(R$1&amp;"!$a1:$a10000"),汇总!$A46)),R45)</f>
        <v>#VALUE!</v>
      </c>
      <c r="S46" s="109" t="e" cm="1" vm="2">
        <f t="array" aca="1" ref="S46" ca="1">IFERROR(INDEX(_xlfn._xlws.FILTER(INDIRECT(S$1&amp;"!$E1:$E10000"),INDIRECT(S$1&amp;"!$a1:$a10000")=汇总!$A46),COUNTIF(INDIRECT(S$1&amp;"!$a1:$a10000"),汇总!$A46)),S45)</f>
        <v>#VALUE!</v>
      </c>
    </row>
    <row r="47" spans="1:19" hidden="1">
      <c r="A47" s="1">
        <f t="shared" si="1"/>
        <v>46068</v>
      </c>
      <c r="B47" s="109" cm="1">
        <f t="array" aca="1" ref="B47" ca="1">IFERROR(INDEX(_xlfn._xlws.FILTER(INDIRECT(B$1&amp;"!$E1:$E10000"),INDIRECT(B$1&amp;"!$a1:$a10000")=汇总!$A47),COUNTIF(INDIRECT(B$1&amp;"!$a1:$a10000"),汇总!$A47)),B46)</f>
        <v>477.25799999999998</v>
      </c>
      <c r="C47" s="109" cm="1">
        <f t="array" aca="1" ref="C47" ca="1">IFERROR(INDEX(_xlfn._xlws.FILTER(INDIRECT(C$1&amp;"!$E1:$E10000"),INDIRECT(C$1&amp;"!$a1:$a10000")=汇总!$A47),COUNTIF(INDIRECT(C$1&amp;"!$a1:$a10000"),汇总!$A47)),C46)</f>
        <v>98.899999999999821</v>
      </c>
      <c r="D47" s="109" cm="1">
        <f t="array" aca="1" ref="D47" ca="1">IFERROR(INDEX(_xlfn._xlws.FILTER(INDIRECT(D$1&amp;"!$E1:$E10000"),INDIRECT(D$1&amp;"!$a1:$a10000")=汇总!$A47),COUNTIF(INDIRECT(D$1&amp;"!$a1:$a10000"),汇总!$A47)),D46)</f>
        <v>168.77999999999975</v>
      </c>
      <c r="E47" s="109" cm="1">
        <f t="array" aca="1" ref="E47" ca="1">IFERROR(INDEX(_xlfn._xlws.FILTER(INDIRECT(E$1&amp;"!$E1:$E10000"),INDIRECT(E$1&amp;"!$a1:$a10000")=汇总!$A47),COUNTIF(INDIRECT(E$1&amp;"!$a1:$a10000"),汇总!$A47)),E46)</f>
        <v>193.28466999999998</v>
      </c>
      <c r="F47" s="109" cm="1">
        <f t="array" aca="1" ref="F47" ca="1">IFERROR(INDEX(_xlfn._xlws.FILTER(INDIRECT(F$1&amp;"!$E1:$E10000"),INDIRECT(F$1&amp;"!$a1:$a10000")=汇总!$A47),COUNTIF(INDIRECT(F$1&amp;"!$a1:$a10000"),汇总!$A47)),F46)</f>
        <v>6580</v>
      </c>
      <c r="G47" s="109" cm="1">
        <f t="array" aca="1" ref="G47" ca="1">IFERROR(INDEX(_xlfn._xlws.FILTER(INDIRECT(G$1&amp;"!$E1:$E10000"),INDIRECT(G$1&amp;"!$a1:$a10000")=汇总!$A47),COUNTIF(INDIRECT(G$1&amp;"!$a1:$a10000"),汇总!$A47)),G46)</f>
        <v>2930</v>
      </c>
      <c r="H47" s="109" cm="1">
        <f t="array" aca="1" ref="H47" ca="1">IFERROR(INDEX(_xlfn._xlws.FILTER(INDIRECT(H$1&amp;"!$E1:$E10000"),INDIRECT(H$1&amp;"!$a1:$a10000")=汇总!$A47),COUNTIF(INDIRECT(H$1&amp;"!$a1:$a10000"),汇总!$A47)),H46)</f>
        <v>127.47397430000012</v>
      </c>
      <c r="I47" s="109" cm="1">
        <f t="array" aca="1" ref="I47" ca="1">IFERROR(INDEX(_xlfn._xlws.FILTER(INDIRECT(I$1&amp;"!$E1:$E10000"),INDIRECT(I$1&amp;"!$a1:$a10000")=汇总!$A47),COUNTIF(INDIRECT(I$1&amp;"!$a1:$a10000"),汇总!$A47)),I46)</f>
        <v>587.52982100000008</v>
      </c>
      <c r="J47" s="109" cm="1">
        <f t="array" aca="1" ref="J47" ca="1">IFERROR(INDEX(_xlfn._xlws.FILTER(INDIRECT(J$1&amp;"!$E1:$E10000"),INDIRECT(J$1&amp;"!$a1:$a10000")=汇总!$A47),COUNTIF(INDIRECT(J$1&amp;"!$a1:$a10000"),汇总!$A47)),J46)</f>
        <v>2.5</v>
      </c>
      <c r="K47" s="109" cm="1">
        <f t="array" aca="1" ref="K47" ca="1">IFERROR(INDEX(_xlfn._xlws.FILTER(INDIRECT(K$1&amp;"!$E1:$E10000"),INDIRECT(K$1&amp;"!$a1:$a10000")=汇总!$A47),COUNTIF(INDIRECT(K$1&amp;"!$a1:$a10000"),汇总!$A47)),K46)</f>
        <v>109</v>
      </c>
      <c r="L47" s="109" cm="1">
        <f t="array" aca="1" ref="L47" ca="1">IFERROR(INDEX(_xlfn._xlws.FILTER(INDIRECT(L$1&amp;"!$E1:$E10000"),INDIRECT(L$1&amp;"!$a1:$a10000")=汇总!$A47),COUNTIF(INDIRECT(L$1&amp;"!$a1:$a10000"),汇总!$A47)),L46)</f>
        <v>99.263050000000021</v>
      </c>
      <c r="M47" s="109" cm="1">
        <f t="array" aca="1" ref="M47" ca="1">IFERROR(INDEX(_xlfn._xlws.FILTER(INDIRECT(M$1&amp;"!$E1:$E10000"),INDIRECT(M$1&amp;"!$a1:$a10000")=汇总!$A47),COUNTIF(INDIRECT(M$1&amp;"!$a1:$a10000"),汇总!$A47)),M46)</f>
        <v>217.04545700000017</v>
      </c>
      <c r="N47" s="109" cm="1">
        <f t="array" aca="1" ref="N47" ca="1">IFERROR(INDEX(_xlfn._xlws.FILTER(INDIRECT(N$1&amp;"!$E1:$E10000"),INDIRECT(N$1&amp;"!$a1:$a10000")=汇总!$A47),COUNTIF(INDIRECT(N$1&amp;"!$a1:$a10000"),汇总!$A47)),N46)</f>
        <v>806</v>
      </c>
      <c r="O47" s="109" cm="1">
        <f t="array" aca="1" ref="O47" ca="1">IFERROR(INDEX(_xlfn._xlws.FILTER(INDIRECT(O$1&amp;"!$E1:$E10000"),INDIRECT(O$1&amp;"!$a1:$a10000")=汇总!$A47),COUNTIF(INDIRECT(O$1&amp;"!$a1:$a10000"),汇总!$A47)),O46)</f>
        <v>0</v>
      </c>
      <c r="P47" s="109" cm="1">
        <f t="array" aca="1" ref="P47" ca="1">IFERROR(INDEX(_xlfn._xlws.FILTER(INDIRECT(P$1&amp;"!$E1:$E10000"),INDIRECT(P$1&amp;"!$a1:$a10000")=汇总!$A47),COUNTIF(INDIRECT(P$1&amp;"!$a1:$a10000"),汇总!$A47)),P46)</f>
        <v>3.8</v>
      </c>
      <c r="Q47" s="109" cm="1">
        <f t="array" aca="1" ref="Q47" ca="1">IFERROR(INDEX(_xlfn._xlws.FILTER(INDIRECT(Q$1&amp;"!$E1:$E10000"),INDIRECT(Q$1&amp;"!$a1:$a10000")=汇总!$A47),COUNTIF(INDIRECT(Q$1&amp;"!$a1:$a10000"),汇总!$A47)),Q46)</f>
        <v>55.985646000000315</v>
      </c>
      <c r="R47" s="109" t="e" cm="1" vm="2">
        <f t="array" aca="1" ref="R47" ca="1">IFERROR(INDEX(_xlfn._xlws.FILTER(INDIRECT(R$1&amp;"!$E1:$E10000"),INDIRECT(R$1&amp;"!$a1:$a10000")=汇总!$A47),COUNTIF(INDIRECT(R$1&amp;"!$a1:$a10000"),汇总!$A47)),R46)</f>
        <v>#VALUE!</v>
      </c>
      <c r="S47" s="109" t="e" cm="1" vm="2">
        <f t="array" aca="1" ref="S47" ca="1">IFERROR(INDEX(_xlfn._xlws.FILTER(INDIRECT(S$1&amp;"!$E1:$E10000"),INDIRECT(S$1&amp;"!$a1:$a10000")=汇总!$A47),COUNTIF(INDIRECT(S$1&amp;"!$a1:$a10000"),汇总!$A47)),S46)</f>
        <v>#VALUE!</v>
      </c>
    </row>
    <row r="48" spans="1:19" hidden="1">
      <c r="A48" s="1">
        <f t="shared" si="1"/>
        <v>46069</v>
      </c>
      <c r="B48" s="109" cm="1">
        <f t="array" aca="1" ref="B48" ca="1">IFERROR(INDEX(_xlfn._xlws.FILTER(INDIRECT(B$1&amp;"!$E1:$E10000"),INDIRECT(B$1&amp;"!$a1:$a10000")=汇总!$A48),COUNTIF(INDIRECT(B$1&amp;"!$a1:$a10000"),汇总!$A48)),B47)</f>
        <v>477.25799999999998</v>
      </c>
      <c r="C48" s="109" cm="1">
        <f t="array" aca="1" ref="C48" ca="1">IFERROR(INDEX(_xlfn._xlws.FILTER(INDIRECT(C$1&amp;"!$E1:$E10000"),INDIRECT(C$1&amp;"!$a1:$a10000")=汇总!$A48),COUNTIF(INDIRECT(C$1&amp;"!$a1:$a10000"),汇总!$A48)),C47)</f>
        <v>98.899999999999821</v>
      </c>
      <c r="D48" s="109" cm="1">
        <f t="array" aca="1" ref="D48" ca="1">IFERROR(INDEX(_xlfn._xlws.FILTER(INDIRECT(D$1&amp;"!$E1:$E10000"),INDIRECT(D$1&amp;"!$a1:$a10000")=汇总!$A48),COUNTIF(INDIRECT(D$1&amp;"!$a1:$a10000"),汇总!$A48)),D47)</f>
        <v>168.77999999999975</v>
      </c>
      <c r="E48" s="109" cm="1">
        <f t="array" aca="1" ref="E48" ca="1">IFERROR(INDEX(_xlfn._xlws.FILTER(INDIRECT(E$1&amp;"!$E1:$E10000"),INDIRECT(E$1&amp;"!$a1:$a10000")=汇总!$A48),COUNTIF(INDIRECT(E$1&amp;"!$a1:$a10000"),汇总!$A48)),E47)</f>
        <v>193.28466999999998</v>
      </c>
      <c r="F48" s="109" cm="1">
        <f t="array" aca="1" ref="F48" ca="1">IFERROR(INDEX(_xlfn._xlws.FILTER(INDIRECT(F$1&amp;"!$E1:$E10000"),INDIRECT(F$1&amp;"!$a1:$a10000")=汇总!$A48),COUNTIF(INDIRECT(F$1&amp;"!$a1:$a10000"),汇总!$A48)),F47)</f>
        <v>6580</v>
      </c>
      <c r="G48" s="109" cm="1">
        <f t="array" aca="1" ref="G48" ca="1">IFERROR(INDEX(_xlfn._xlws.FILTER(INDIRECT(G$1&amp;"!$E1:$E10000"),INDIRECT(G$1&amp;"!$a1:$a10000")=汇总!$A48),COUNTIF(INDIRECT(G$1&amp;"!$a1:$a10000"),汇总!$A48)),G47)</f>
        <v>2930</v>
      </c>
      <c r="H48" s="109" cm="1">
        <f t="array" aca="1" ref="H48" ca="1">IFERROR(INDEX(_xlfn._xlws.FILTER(INDIRECT(H$1&amp;"!$E1:$E10000"),INDIRECT(H$1&amp;"!$a1:$a10000")=汇总!$A48),COUNTIF(INDIRECT(H$1&amp;"!$a1:$a10000"),汇总!$A48)),H47)</f>
        <v>127.47397430000012</v>
      </c>
      <c r="I48" s="109" cm="1">
        <f t="array" aca="1" ref="I48" ca="1">IFERROR(INDEX(_xlfn._xlws.FILTER(INDIRECT(I$1&amp;"!$E1:$E10000"),INDIRECT(I$1&amp;"!$a1:$a10000")=汇总!$A48),COUNTIF(INDIRECT(I$1&amp;"!$a1:$a10000"),汇总!$A48)),I47)</f>
        <v>587.52982100000008</v>
      </c>
      <c r="J48" s="109" cm="1">
        <f t="array" aca="1" ref="J48" ca="1">IFERROR(INDEX(_xlfn._xlws.FILTER(INDIRECT(J$1&amp;"!$E1:$E10000"),INDIRECT(J$1&amp;"!$a1:$a10000")=汇总!$A48),COUNTIF(INDIRECT(J$1&amp;"!$a1:$a10000"),汇总!$A48)),J47)</f>
        <v>2.5</v>
      </c>
      <c r="K48" s="109" cm="1">
        <f t="array" aca="1" ref="K48" ca="1">IFERROR(INDEX(_xlfn._xlws.FILTER(INDIRECT(K$1&amp;"!$E1:$E10000"),INDIRECT(K$1&amp;"!$a1:$a10000")=汇总!$A48),COUNTIF(INDIRECT(K$1&amp;"!$a1:$a10000"),汇总!$A48)),K47)</f>
        <v>109</v>
      </c>
      <c r="L48" s="109" cm="1">
        <f t="array" aca="1" ref="L48" ca="1">IFERROR(INDEX(_xlfn._xlws.FILTER(INDIRECT(L$1&amp;"!$E1:$E10000"),INDIRECT(L$1&amp;"!$a1:$a10000")=汇总!$A48),COUNTIF(INDIRECT(L$1&amp;"!$a1:$a10000"),汇总!$A48)),L47)</f>
        <v>99.263050000000021</v>
      </c>
      <c r="M48" s="109" cm="1">
        <f t="array" aca="1" ref="M48" ca="1">IFERROR(INDEX(_xlfn._xlws.FILTER(INDIRECT(M$1&amp;"!$E1:$E10000"),INDIRECT(M$1&amp;"!$a1:$a10000")=汇总!$A48),COUNTIF(INDIRECT(M$1&amp;"!$a1:$a10000"),汇总!$A48)),M47)</f>
        <v>217.04545700000017</v>
      </c>
      <c r="N48" s="109" cm="1">
        <f t="array" aca="1" ref="N48" ca="1">IFERROR(INDEX(_xlfn._xlws.FILTER(INDIRECT(N$1&amp;"!$E1:$E10000"),INDIRECT(N$1&amp;"!$a1:$a10000")=汇总!$A48),COUNTIF(INDIRECT(N$1&amp;"!$a1:$a10000"),汇总!$A48)),N47)</f>
        <v>806</v>
      </c>
      <c r="O48" s="109" cm="1">
        <f t="array" aca="1" ref="O48" ca="1">IFERROR(INDEX(_xlfn._xlws.FILTER(INDIRECT(O$1&amp;"!$E1:$E10000"),INDIRECT(O$1&amp;"!$a1:$a10000")=汇总!$A48),COUNTIF(INDIRECT(O$1&amp;"!$a1:$a10000"),汇总!$A48)),O47)</f>
        <v>0</v>
      </c>
      <c r="P48" s="109" cm="1">
        <f t="array" aca="1" ref="P48" ca="1">IFERROR(INDEX(_xlfn._xlws.FILTER(INDIRECT(P$1&amp;"!$E1:$E10000"),INDIRECT(P$1&amp;"!$a1:$a10000")=汇总!$A48),COUNTIF(INDIRECT(P$1&amp;"!$a1:$a10000"),汇总!$A48)),P47)</f>
        <v>3.8</v>
      </c>
      <c r="Q48" s="109" cm="1">
        <f t="array" aca="1" ref="Q48" ca="1">IFERROR(INDEX(_xlfn._xlws.FILTER(INDIRECT(Q$1&amp;"!$E1:$E10000"),INDIRECT(Q$1&amp;"!$a1:$a10000")=汇总!$A48),COUNTIF(INDIRECT(Q$1&amp;"!$a1:$a10000"),汇总!$A48)),Q47)</f>
        <v>55.985646000000315</v>
      </c>
      <c r="R48" s="109" t="e" cm="1" vm="2">
        <f t="array" aca="1" ref="R48" ca="1">IFERROR(INDEX(_xlfn._xlws.FILTER(INDIRECT(R$1&amp;"!$E1:$E10000"),INDIRECT(R$1&amp;"!$a1:$a10000")=汇总!$A48),COUNTIF(INDIRECT(R$1&amp;"!$a1:$a10000"),汇总!$A48)),R47)</f>
        <v>#VALUE!</v>
      </c>
      <c r="S48" s="109" t="e" cm="1" vm="2">
        <f t="array" aca="1" ref="S48" ca="1">IFERROR(INDEX(_xlfn._xlws.FILTER(INDIRECT(S$1&amp;"!$E1:$E10000"),INDIRECT(S$1&amp;"!$a1:$a10000")=汇总!$A48),COUNTIF(INDIRECT(S$1&amp;"!$a1:$a10000"),汇总!$A48)),S47)</f>
        <v>#VALUE!</v>
      </c>
    </row>
    <row r="49" spans="1:19" hidden="1">
      <c r="A49" s="1">
        <f t="shared" si="1"/>
        <v>46070</v>
      </c>
      <c r="B49" s="109" cm="1">
        <f t="array" aca="1" ref="B49" ca="1">IFERROR(INDEX(_xlfn._xlws.FILTER(INDIRECT(B$1&amp;"!$E1:$E10000"),INDIRECT(B$1&amp;"!$a1:$a10000")=汇总!$A49),COUNTIF(INDIRECT(B$1&amp;"!$a1:$a10000"),汇总!$A49)),B48)</f>
        <v>477.25799999999998</v>
      </c>
      <c r="C49" s="109" cm="1">
        <f t="array" aca="1" ref="C49" ca="1">IFERROR(INDEX(_xlfn._xlws.FILTER(INDIRECT(C$1&amp;"!$E1:$E10000"),INDIRECT(C$1&amp;"!$a1:$a10000")=汇总!$A49),COUNTIF(INDIRECT(C$1&amp;"!$a1:$a10000"),汇总!$A49)),C48)</f>
        <v>98.899999999999821</v>
      </c>
      <c r="D49" s="109" cm="1">
        <f t="array" aca="1" ref="D49" ca="1">IFERROR(INDEX(_xlfn._xlws.FILTER(INDIRECT(D$1&amp;"!$E1:$E10000"),INDIRECT(D$1&amp;"!$a1:$a10000")=汇总!$A49),COUNTIF(INDIRECT(D$1&amp;"!$a1:$a10000"),汇总!$A49)),D48)</f>
        <v>168.77999999999975</v>
      </c>
      <c r="E49" s="109" cm="1">
        <f t="array" aca="1" ref="E49" ca="1">IFERROR(INDEX(_xlfn._xlws.FILTER(INDIRECT(E$1&amp;"!$E1:$E10000"),INDIRECT(E$1&amp;"!$a1:$a10000")=汇总!$A49),COUNTIF(INDIRECT(E$1&amp;"!$a1:$a10000"),汇总!$A49)),E48)</f>
        <v>193.28466999999998</v>
      </c>
      <c r="F49" s="109" cm="1">
        <f t="array" aca="1" ref="F49" ca="1">IFERROR(INDEX(_xlfn._xlws.FILTER(INDIRECT(F$1&amp;"!$E1:$E10000"),INDIRECT(F$1&amp;"!$a1:$a10000")=汇总!$A49),COUNTIF(INDIRECT(F$1&amp;"!$a1:$a10000"),汇总!$A49)),F48)</f>
        <v>6580</v>
      </c>
      <c r="G49" s="109" cm="1">
        <f t="array" aca="1" ref="G49" ca="1">IFERROR(INDEX(_xlfn._xlws.FILTER(INDIRECT(G$1&amp;"!$E1:$E10000"),INDIRECT(G$1&amp;"!$a1:$a10000")=汇总!$A49),COUNTIF(INDIRECT(G$1&amp;"!$a1:$a10000"),汇总!$A49)),G48)</f>
        <v>2930</v>
      </c>
      <c r="H49" s="109" cm="1">
        <f t="array" aca="1" ref="H49" ca="1">IFERROR(INDEX(_xlfn._xlws.FILTER(INDIRECT(H$1&amp;"!$E1:$E10000"),INDIRECT(H$1&amp;"!$a1:$a10000")=汇总!$A49),COUNTIF(INDIRECT(H$1&amp;"!$a1:$a10000"),汇总!$A49)),H48)</f>
        <v>127.47397430000012</v>
      </c>
      <c r="I49" s="109" cm="1">
        <f t="array" aca="1" ref="I49" ca="1">IFERROR(INDEX(_xlfn._xlws.FILTER(INDIRECT(I$1&amp;"!$E1:$E10000"),INDIRECT(I$1&amp;"!$a1:$a10000")=汇总!$A49),COUNTIF(INDIRECT(I$1&amp;"!$a1:$a10000"),汇总!$A49)),I48)</f>
        <v>587.52982100000008</v>
      </c>
      <c r="J49" s="109" cm="1">
        <f t="array" aca="1" ref="J49" ca="1">IFERROR(INDEX(_xlfn._xlws.FILTER(INDIRECT(J$1&amp;"!$E1:$E10000"),INDIRECT(J$1&amp;"!$a1:$a10000")=汇总!$A49),COUNTIF(INDIRECT(J$1&amp;"!$a1:$a10000"),汇总!$A49)),J48)</f>
        <v>2.5</v>
      </c>
      <c r="K49" s="109" cm="1">
        <f t="array" aca="1" ref="K49" ca="1">IFERROR(INDEX(_xlfn._xlws.FILTER(INDIRECT(K$1&amp;"!$E1:$E10000"),INDIRECT(K$1&amp;"!$a1:$a10000")=汇总!$A49),COUNTIF(INDIRECT(K$1&amp;"!$a1:$a10000"),汇总!$A49)),K48)</f>
        <v>109</v>
      </c>
      <c r="L49" s="109" cm="1">
        <f t="array" aca="1" ref="L49" ca="1">IFERROR(INDEX(_xlfn._xlws.FILTER(INDIRECT(L$1&amp;"!$E1:$E10000"),INDIRECT(L$1&amp;"!$a1:$a10000")=汇总!$A49),COUNTIF(INDIRECT(L$1&amp;"!$a1:$a10000"),汇总!$A49)),L48)</f>
        <v>99.263050000000021</v>
      </c>
      <c r="M49" s="109" cm="1">
        <f t="array" aca="1" ref="M49" ca="1">IFERROR(INDEX(_xlfn._xlws.FILTER(INDIRECT(M$1&amp;"!$E1:$E10000"),INDIRECT(M$1&amp;"!$a1:$a10000")=汇总!$A49),COUNTIF(INDIRECT(M$1&amp;"!$a1:$a10000"),汇总!$A49)),M48)</f>
        <v>217.04545700000017</v>
      </c>
      <c r="N49" s="109" cm="1">
        <f t="array" aca="1" ref="N49" ca="1">IFERROR(INDEX(_xlfn._xlws.FILTER(INDIRECT(N$1&amp;"!$E1:$E10000"),INDIRECT(N$1&amp;"!$a1:$a10000")=汇总!$A49),COUNTIF(INDIRECT(N$1&amp;"!$a1:$a10000"),汇总!$A49)),N48)</f>
        <v>806</v>
      </c>
      <c r="O49" s="109" cm="1">
        <f t="array" aca="1" ref="O49" ca="1">IFERROR(INDEX(_xlfn._xlws.FILTER(INDIRECT(O$1&amp;"!$E1:$E10000"),INDIRECT(O$1&amp;"!$a1:$a10000")=汇总!$A49),COUNTIF(INDIRECT(O$1&amp;"!$a1:$a10000"),汇总!$A49)),O48)</f>
        <v>0</v>
      </c>
      <c r="P49" s="109" cm="1">
        <f t="array" aca="1" ref="P49" ca="1">IFERROR(INDEX(_xlfn._xlws.FILTER(INDIRECT(P$1&amp;"!$E1:$E10000"),INDIRECT(P$1&amp;"!$a1:$a10000")=汇总!$A49),COUNTIF(INDIRECT(P$1&amp;"!$a1:$a10000"),汇总!$A49)),P48)</f>
        <v>3.8</v>
      </c>
      <c r="Q49" s="109" cm="1">
        <f t="array" aca="1" ref="Q49" ca="1">IFERROR(INDEX(_xlfn._xlws.FILTER(INDIRECT(Q$1&amp;"!$E1:$E10000"),INDIRECT(Q$1&amp;"!$a1:$a10000")=汇总!$A49),COUNTIF(INDIRECT(Q$1&amp;"!$a1:$a10000"),汇总!$A49)),Q48)</f>
        <v>55.985646000000315</v>
      </c>
      <c r="R49" s="109" t="e" cm="1" vm="2">
        <f t="array" aca="1" ref="R49" ca="1">IFERROR(INDEX(_xlfn._xlws.FILTER(INDIRECT(R$1&amp;"!$E1:$E10000"),INDIRECT(R$1&amp;"!$a1:$a10000")=汇总!$A49),COUNTIF(INDIRECT(R$1&amp;"!$a1:$a10000"),汇总!$A49)),R48)</f>
        <v>#VALUE!</v>
      </c>
      <c r="S49" s="109" t="e" cm="1" vm="2">
        <f t="array" aca="1" ref="S49" ca="1">IFERROR(INDEX(_xlfn._xlws.FILTER(INDIRECT(S$1&amp;"!$E1:$E10000"),INDIRECT(S$1&amp;"!$a1:$a10000")=汇总!$A49),COUNTIF(INDIRECT(S$1&amp;"!$a1:$a10000"),汇总!$A49)),S48)</f>
        <v>#VALUE!</v>
      </c>
    </row>
    <row r="50" spans="1:19" hidden="1">
      <c r="A50" s="1">
        <f t="shared" si="1"/>
        <v>46071</v>
      </c>
      <c r="B50" s="109" cm="1">
        <f t="array" aca="1" ref="B50" ca="1">IFERROR(INDEX(_xlfn._xlws.FILTER(INDIRECT(B$1&amp;"!$E1:$E10000"),INDIRECT(B$1&amp;"!$a1:$a10000")=汇总!$A50),COUNTIF(INDIRECT(B$1&amp;"!$a1:$a10000"),汇总!$A50)),B49)</f>
        <v>477.25799999999998</v>
      </c>
      <c r="C50" s="109" cm="1">
        <f t="array" aca="1" ref="C50" ca="1">IFERROR(INDEX(_xlfn._xlws.FILTER(INDIRECT(C$1&amp;"!$E1:$E10000"),INDIRECT(C$1&amp;"!$a1:$a10000")=汇总!$A50),COUNTIF(INDIRECT(C$1&amp;"!$a1:$a10000"),汇总!$A50)),C49)</f>
        <v>98.899999999999821</v>
      </c>
      <c r="D50" s="109" cm="1">
        <f t="array" aca="1" ref="D50" ca="1">IFERROR(INDEX(_xlfn._xlws.FILTER(INDIRECT(D$1&amp;"!$E1:$E10000"),INDIRECT(D$1&amp;"!$a1:$a10000")=汇总!$A50),COUNTIF(INDIRECT(D$1&amp;"!$a1:$a10000"),汇总!$A50)),D49)</f>
        <v>168.77999999999975</v>
      </c>
      <c r="E50" s="109" cm="1">
        <f t="array" aca="1" ref="E50" ca="1">IFERROR(INDEX(_xlfn._xlws.FILTER(INDIRECT(E$1&amp;"!$E1:$E10000"),INDIRECT(E$1&amp;"!$a1:$a10000")=汇总!$A50),COUNTIF(INDIRECT(E$1&amp;"!$a1:$a10000"),汇总!$A50)),E49)</f>
        <v>193.28466999999998</v>
      </c>
      <c r="F50" s="109" cm="1">
        <f t="array" aca="1" ref="F50" ca="1">IFERROR(INDEX(_xlfn._xlws.FILTER(INDIRECT(F$1&amp;"!$E1:$E10000"),INDIRECT(F$1&amp;"!$a1:$a10000")=汇总!$A50),COUNTIF(INDIRECT(F$1&amp;"!$a1:$a10000"),汇总!$A50)),F49)</f>
        <v>6580</v>
      </c>
      <c r="G50" s="109" cm="1">
        <f t="array" aca="1" ref="G50" ca="1">IFERROR(INDEX(_xlfn._xlws.FILTER(INDIRECT(G$1&amp;"!$E1:$E10000"),INDIRECT(G$1&amp;"!$a1:$a10000")=汇总!$A50),COUNTIF(INDIRECT(G$1&amp;"!$a1:$a10000"),汇总!$A50)),G49)</f>
        <v>2930</v>
      </c>
      <c r="H50" s="109" cm="1">
        <f t="array" aca="1" ref="H50" ca="1">IFERROR(INDEX(_xlfn._xlws.FILTER(INDIRECT(H$1&amp;"!$E1:$E10000"),INDIRECT(H$1&amp;"!$a1:$a10000")=汇总!$A50),COUNTIF(INDIRECT(H$1&amp;"!$a1:$a10000"),汇总!$A50)),H49)</f>
        <v>127.47397430000012</v>
      </c>
      <c r="I50" s="109" cm="1">
        <f t="array" aca="1" ref="I50" ca="1">IFERROR(INDEX(_xlfn._xlws.FILTER(INDIRECT(I$1&amp;"!$E1:$E10000"),INDIRECT(I$1&amp;"!$a1:$a10000")=汇总!$A50),COUNTIF(INDIRECT(I$1&amp;"!$a1:$a10000"),汇总!$A50)),I49)</f>
        <v>587.52982100000008</v>
      </c>
      <c r="J50" s="109" cm="1">
        <f t="array" aca="1" ref="J50" ca="1">IFERROR(INDEX(_xlfn._xlws.FILTER(INDIRECT(J$1&amp;"!$E1:$E10000"),INDIRECT(J$1&amp;"!$a1:$a10000")=汇总!$A50),COUNTIF(INDIRECT(J$1&amp;"!$a1:$a10000"),汇总!$A50)),J49)</f>
        <v>2.5</v>
      </c>
      <c r="K50" s="109" cm="1">
        <f t="array" aca="1" ref="K50" ca="1">IFERROR(INDEX(_xlfn._xlws.FILTER(INDIRECT(K$1&amp;"!$E1:$E10000"),INDIRECT(K$1&amp;"!$a1:$a10000")=汇总!$A50),COUNTIF(INDIRECT(K$1&amp;"!$a1:$a10000"),汇总!$A50)),K49)</f>
        <v>109</v>
      </c>
      <c r="L50" s="109" cm="1">
        <f t="array" aca="1" ref="L50" ca="1">IFERROR(INDEX(_xlfn._xlws.FILTER(INDIRECT(L$1&amp;"!$E1:$E10000"),INDIRECT(L$1&amp;"!$a1:$a10000")=汇总!$A50),COUNTIF(INDIRECT(L$1&amp;"!$a1:$a10000"),汇总!$A50)),L49)</f>
        <v>99.263050000000021</v>
      </c>
      <c r="M50" s="109" cm="1">
        <f t="array" aca="1" ref="M50" ca="1">IFERROR(INDEX(_xlfn._xlws.FILTER(INDIRECT(M$1&amp;"!$E1:$E10000"),INDIRECT(M$1&amp;"!$a1:$a10000")=汇总!$A50),COUNTIF(INDIRECT(M$1&amp;"!$a1:$a10000"),汇总!$A50)),M49)</f>
        <v>217.04545700000017</v>
      </c>
      <c r="N50" s="109" cm="1">
        <f t="array" aca="1" ref="N50" ca="1">IFERROR(INDEX(_xlfn._xlws.FILTER(INDIRECT(N$1&amp;"!$E1:$E10000"),INDIRECT(N$1&amp;"!$a1:$a10000")=汇总!$A50),COUNTIF(INDIRECT(N$1&amp;"!$a1:$a10000"),汇总!$A50)),N49)</f>
        <v>806</v>
      </c>
      <c r="O50" s="109" cm="1">
        <f t="array" aca="1" ref="O50" ca="1">IFERROR(INDEX(_xlfn._xlws.FILTER(INDIRECT(O$1&amp;"!$E1:$E10000"),INDIRECT(O$1&amp;"!$a1:$a10000")=汇总!$A50),COUNTIF(INDIRECT(O$1&amp;"!$a1:$a10000"),汇总!$A50)),O49)</f>
        <v>0</v>
      </c>
      <c r="P50" s="109" cm="1">
        <f t="array" aca="1" ref="P50" ca="1">IFERROR(INDEX(_xlfn._xlws.FILTER(INDIRECT(P$1&amp;"!$E1:$E10000"),INDIRECT(P$1&amp;"!$a1:$a10000")=汇总!$A50),COUNTIF(INDIRECT(P$1&amp;"!$a1:$a10000"),汇总!$A50)),P49)</f>
        <v>3.8</v>
      </c>
      <c r="Q50" s="109" cm="1">
        <f t="array" aca="1" ref="Q50" ca="1">IFERROR(INDEX(_xlfn._xlws.FILTER(INDIRECT(Q$1&amp;"!$E1:$E10000"),INDIRECT(Q$1&amp;"!$a1:$a10000")=汇总!$A50),COUNTIF(INDIRECT(Q$1&amp;"!$a1:$a10000"),汇总!$A50)),Q49)</f>
        <v>55.985646000000315</v>
      </c>
      <c r="R50" s="109" t="e" cm="1" vm="2">
        <f t="array" aca="1" ref="R50" ca="1">IFERROR(INDEX(_xlfn._xlws.FILTER(INDIRECT(R$1&amp;"!$E1:$E10000"),INDIRECT(R$1&amp;"!$a1:$a10000")=汇总!$A50),COUNTIF(INDIRECT(R$1&amp;"!$a1:$a10000"),汇总!$A50)),R49)</f>
        <v>#VALUE!</v>
      </c>
      <c r="S50" s="109" t="e" cm="1" vm="2">
        <f t="array" aca="1" ref="S50" ca="1">IFERROR(INDEX(_xlfn._xlws.FILTER(INDIRECT(S$1&amp;"!$E1:$E10000"),INDIRECT(S$1&amp;"!$a1:$a10000")=汇总!$A50),COUNTIF(INDIRECT(S$1&amp;"!$a1:$a10000"),汇总!$A50)),S49)</f>
        <v>#VALUE!</v>
      </c>
    </row>
    <row r="51" spans="1:19" hidden="1">
      <c r="A51" s="1">
        <f t="shared" si="1"/>
        <v>46072</v>
      </c>
      <c r="B51" s="109" cm="1">
        <f t="array" aca="1" ref="B51" ca="1">IFERROR(INDEX(_xlfn._xlws.FILTER(INDIRECT(B$1&amp;"!$E1:$E10000"),INDIRECT(B$1&amp;"!$a1:$a10000")=汇总!$A51),COUNTIF(INDIRECT(B$1&amp;"!$a1:$a10000"),汇总!$A51)),B50)</f>
        <v>477.25799999999998</v>
      </c>
      <c r="C51" s="109" cm="1">
        <f t="array" aca="1" ref="C51" ca="1">IFERROR(INDEX(_xlfn._xlws.FILTER(INDIRECT(C$1&amp;"!$E1:$E10000"),INDIRECT(C$1&amp;"!$a1:$a10000")=汇总!$A51),COUNTIF(INDIRECT(C$1&amp;"!$a1:$a10000"),汇总!$A51)),C50)</f>
        <v>98.899999999999821</v>
      </c>
      <c r="D51" s="109" cm="1">
        <f t="array" aca="1" ref="D51" ca="1">IFERROR(INDEX(_xlfn._xlws.FILTER(INDIRECT(D$1&amp;"!$E1:$E10000"),INDIRECT(D$1&amp;"!$a1:$a10000")=汇总!$A51),COUNTIF(INDIRECT(D$1&amp;"!$a1:$a10000"),汇总!$A51)),D50)</f>
        <v>168.77999999999975</v>
      </c>
      <c r="E51" s="109" cm="1">
        <f t="array" aca="1" ref="E51" ca="1">IFERROR(INDEX(_xlfn._xlws.FILTER(INDIRECT(E$1&amp;"!$E1:$E10000"),INDIRECT(E$1&amp;"!$a1:$a10000")=汇总!$A51),COUNTIF(INDIRECT(E$1&amp;"!$a1:$a10000"),汇总!$A51)),E50)</f>
        <v>193.28466999999998</v>
      </c>
      <c r="F51" s="109" cm="1">
        <f t="array" aca="1" ref="F51" ca="1">IFERROR(INDEX(_xlfn._xlws.FILTER(INDIRECT(F$1&amp;"!$E1:$E10000"),INDIRECT(F$1&amp;"!$a1:$a10000")=汇总!$A51),COUNTIF(INDIRECT(F$1&amp;"!$a1:$a10000"),汇总!$A51)),F50)</f>
        <v>6580</v>
      </c>
      <c r="G51" s="109" cm="1">
        <f t="array" aca="1" ref="G51" ca="1">IFERROR(INDEX(_xlfn._xlws.FILTER(INDIRECT(G$1&amp;"!$E1:$E10000"),INDIRECT(G$1&amp;"!$a1:$a10000")=汇总!$A51),COUNTIF(INDIRECT(G$1&amp;"!$a1:$a10000"),汇总!$A51)),G50)</f>
        <v>2930</v>
      </c>
      <c r="H51" s="109" cm="1">
        <f t="array" aca="1" ref="H51" ca="1">IFERROR(INDEX(_xlfn._xlws.FILTER(INDIRECT(H$1&amp;"!$E1:$E10000"),INDIRECT(H$1&amp;"!$a1:$a10000")=汇总!$A51),COUNTIF(INDIRECT(H$1&amp;"!$a1:$a10000"),汇总!$A51)),H50)</f>
        <v>127.47397430000012</v>
      </c>
      <c r="I51" s="109" cm="1">
        <f t="array" aca="1" ref="I51" ca="1">IFERROR(INDEX(_xlfn._xlws.FILTER(INDIRECT(I$1&amp;"!$E1:$E10000"),INDIRECT(I$1&amp;"!$a1:$a10000")=汇总!$A51),COUNTIF(INDIRECT(I$1&amp;"!$a1:$a10000"),汇总!$A51)),I50)</f>
        <v>587.52982100000008</v>
      </c>
      <c r="J51" s="109" cm="1">
        <f t="array" aca="1" ref="J51" ca="1">IFERROR(INDEX(_xlfn._xlws.FILTER(INDIRECT(J$1&amp;"!$E1:$E10000"),INDIRECT(J$1&amp;"!$a1:$a10000")=汇总!$A51),COUNTIF(INDIRECT(J$1&amp;"!$a1:$a10000"),汇总!$A51)),J50)</f>
        <v>2.5</v>
      </c>
      <c r="K51" s="109" cm="1">
        <f t="array" aca="1" ref="K51" ca="1">IFERROR(INDEX(_xlfn._xlws.FILTER(INDIRECT(K$1&amp;"!$E1:$E10000"),INDIRECT(K$1&amp;"!$a1:$a10000")=汇总!$A51),COUNTIF(INDIRECT(K$1&amp;"!$a1:$a10000"),汇总!$A51)),K50)</f>
        <v>109</v>
      </c>
      <c r="L51" s="109" cm="1">
        <f t="array" aca="1" ref="L51" ca="1">IFERROR(INDEX(_xlfn._xlws.FILTER(INDIRECT(L$1&amp;"!$E1:$E10000"),INDIRECT(L$1&amp;"!$a1:$a10000")=汇总!$A51),COUNTIF(INDIRECT(L$1&amp;"!$a1:$a10000"),汇总!$A51)),L50)</f>
        <v>99.263050000000021</v>
      </c>
      <c r="M51" s="109" cm="1">
        <f t="array" aca="1" ref="M51" ca="1">IFERROR(INDEX(_xlfn._xlws.FILTER(INDIRECT(M$1&amp;"!$E1:$E10000"),INDIRECT(M$1&amp;"!$a1:$a10000")=汇总!$A51),COUNTIF(INDIRECT(M$1&amp;"!$a1:$a10000"),汇总!$A51)),M50)</f>
        <v>217.04545700000017</v>
      </c>
      <c r="N51" s="109" cm="1">
        <f t="array" aca="1" ref="N51" ca="1">IFERROR(INDEX(_xlfn._xlws.FILTER(INDIRECT(N$1&amp;"!$E1:$E10000"),INDIRECT(N$1&amp;"!$a1:$a10000")=汇总!$A51),COUNTIF(INDIRECT(N$1&amp;"!$a1:$a10000"),汇总!$A51)),N50)</f>
        <v>806</v>
      </c>
      <c r="O51" s="109" cm="1">
        <f t="array" aca="1" ref="O51" ca="1">IFERROR(INDEX(_xlfn._xlws.FILTER(INDIRECT(O$1&amp;"!$E1:$E10000"),INDIRECT(O$1&amp;"!$a1:$a10000")=汇总!$A51),COUNTIF(INDIRECT(O$1&amp;"!$a1:$a10000"),汇总!$A51)),O50)</f>
        <v>0</v>
      </c>
      <c r="P51" s="109" cm="1">
        <f t="array" aca="1" ref="P51" ca="1">IFERROR(INDEX(_xlfn._xlws.FILTER(INDIRECT(P$1&amp;"!$E1:$E10000"),INDIRECT(P$1&amp;"!$a1:$a10000")=汇总!$A51),COUNTIF(INDIRECT(P$1&amp;"!$a1:$a10000"),汇总!$A51)),P50)</f>
        <v>3.8</v>
      </c>
      <c r="Q51" s="109" cm="1">
        <f t="array" aca="1" ref="Q51" ca="1">IFERROR(INDEX(_xlfn._xlws.FILTER(INDIRECT(Q$1&amp;"!$E1:$E10000"),INDIRECT(Q$1&amp;"!$a1:$a10000")=汇总!$A51),COUNTIF(INDIRECT(Q$1&amp;"!$a1:$a10000"),汇总!$A51)),Q50)</f>
        <v>55.985646000000315</v>
      </c>
      <c r="R51" s="109" t="e" cm="1" vm="2">
        <f t="array" aca="1" ref="R51" ca="1">IFERROR(INDEX(_xlfn._xlws.FILTER(INDIRECT(R$1&amp;"!$E1:$E10000"),INDIRECT(R$1&amp;"!$a1:$a10000")=汇总!$A51),COUNTIF(INDIRECT(R$1&amp;"!$a1:$a10000"),汇总!$A51)),R50)</f>
        <v>#VALUE!</v>
      </c>
      <c r="S51" s="109" t="e" cm="1" vm="2">
        <f t="array" aca="1" ref="S51" ca="1">IFERROR(INDEX(_xlfn._xlws.FILTER(INDIRECT(S$1&amp;"!$E1:$E10000"),INDIRECT(S$1&amp;"!$a1:$a10000")=汇总!$A51),COUNTIF(INDIRECT(S$1&amp;"!$a1:$a10000"),汇总!$A51)),S50)</f>
        <v>#VALUE!</v>
      </c>
    </row>
    <row r="52" spans="1:19" hidden="1">
      <c r="A52" s="1">
        <f t="shared" si="1"/>
        <v>46073</v>
      </c>
      <c r="B52" s="109" cm="1">
        <f t="array" aca="1" ref="B52" ca="1">IFERROR(INDEX(_xlfn._xlws.FILTER(INDIRECT(B$1&amp;"!$E1:$E10000"),INDIRECT(B$1&amp;"!$a1:$a10000")=汇总!$A52),COUNTIF(INDIRECT(B$1&amp;"!$a1:$a10000"),汇总!$A52)),B51)</f>
        <v>477.25799999999998</v>
      </c>
      <c r="C52" s="109" cm="1">
        <f t="array" aca="1" ref="C52" ca="1">IFERROR(INDEX(_xlfn._xlws.FILTER(INDIRECT(C$1&amp;"!$E1:$E10000"),INDIRECT(C$1&amp;"!$a1:$a10000")=汇总!$A52),COUNTIF(INDIRECT(C$1&amp;"!$a1:$a10000"),汇总!$A52)),C51)</f>
        <v>98.899999999999821</v>
      </c>
      <c r="D52" s="109" cm="1">
        <f t="array" aca="1" ref="D52" ca="1">IFERROR(INDEX(_xlfn._xlws.FILTER(INDIRECT(D$1&amp;"!$E1:$E10000"),INDIRECT(D$1&amp;"!$a1:$a10000")=汇总!$A52),COUNTIF(INDIRECT(D$1&amp;"!$a1:$a10000"),汇总!$A52)),D51)</f>
        <v>168.77999999999975</v>
      </c>
      <c r="E52" s="109" cm="1">
        <f t="array" aca="1" ref="E52" ca="1">IFERROR(INDEX(_xlfn._xlws.FILTER(INDIRECT(E$1&amp;"!$E1:$E10000"),INDIRECT(E$1&amp;"!$a1:$a10000")=汇总!$A52),COUNTIF(INDIRECT(E$1&amp;"!$a1:$a10000"),汇总!$A52)),E51)</f>
        <v>193.28466999999998</v>
      </c>
      <c r="F52" s="109" cm="1">
        <f t="array" aca="1" ref="F52" ca="1">IFERROR(INDEX(_xlfn._xlws.FILTER(INDIRECT(F$1&amp;"!$E1:$E10000"),INDIRECT(F$1&amp;"!$a1:$a10000")=汇总!$A52),COUNTIF(INDIRECT(F$1&amp;"!$a1:$a10000"),汇总!$A52)),F51)</f>
        <v>6580</v>
      </c>
      <c r="G52" s="109" cm="1">
        <f t="array" aca="1" ref="G52" ca="1">IFERROR(INDEX(_xlfn._xlws.FILTER(INDIRECT(G$1&amp;"!$E1:$E10000"),INDIRECT(G$1&amp;"!$a1:$a10000")=汇总!$A52),COUNTIF(INDIRECT(G$1&amp;"!$a1:$a10000"),汇总!$A52)),G51)</f>
        <v>2930</v>
      </c>
      <c r="H52" s="109" cm="1">
        <f t="array" aca="1" ref="H52" ca="1">IFERROR(INDEX(_xlfn._xlws.FILTER(INDIRECT(H$1&amp;"!$E1:$E10000"),INDIRECT(H$1&amp;"!$a1:$a10000")=汇总!$A52),COUNTIF(INDIRECT(H$1&amp;"!$a1:$a10000"),汇总!$A52)),H51)</f>
        <v>127.47397430000012</v>
      </c>
      <c r="I52" s="109" cm="1">
        <f t="array" aca="1" ref="I52" ca="1">IFERROR(INDEX(_xlfn._xlws.FILTER(INDIRECT(I$1&amp;"!$E1:$E10000"),INDIRECT(I$1&amp;"!$a1:$a10000")=汇总!$A52),COUNTIF(INDIRECT(I$1&amp;"!$a1:$a10000"),汇总!$A52)),I51)</f>
        <v>587.52982100000008</v>
      </c>
      <c r="J52" s="109" cm="1">
        <f t="array" aca="1" ref="J52" ca="1">IFERROR(INDEX(_xlfn._xlws.FILTER(INDIRECT(J$1&amp;"!$E1:$E10000"),INDIRECT(J$1&amp;"!$a1:$a10000")=汇总!$A52),COUNTIF(INDIRECT(J$1&amp;"!$a1:$a10000"),汇总!$A52)),J51)</f>
        <v>2.5</v>
      </c>
      <c r="K52" s="109" cm="1">
        <f t="array" aca="1" ref="K52" ca="1">IFERROR(INDEX(_xlfn._xlws.FILTER(INDIRECT(K$1&amp;"!$E1:$E10000"),INDIRECT(K$1&amp;"!$a1:$a10000")=汇总!$A52),COUNTIF(INDIRECT(K$1&amp;"!$a1:$a10000"),汇总!$A52)),K51)</f>
        <v>109</v>
      </c>
      <c r="L52" s="109" cm="1">
        <f t="array" aca="1" ref="L52" ca="1">IFERROR(INDEX(_xlfn._xlws.FILTER(INDIRECT(L$1&amp;"!$E1:$E10000"),INDIRECT(L$1&amp;"!$a1:$a10000")=汇总!$A52),COUNTIF(INDIRECT(L$1&amp;"!$a1:$a10000"),汇总!$A52)),L51)</f>
        <v>99.263050000000021</v>
      </c>
      <c r="M52" s="109" cm="1">
        <f t="array" aca="1" ref="M52" ca="1">IFERROR(INDEX(_xlfn._xlws.FILTER(INDIRECT(M$1&amp;"!$E1:$E10000"),INDIRECT(M$1&amp;"!$a1:$a10000")=汇总!$A52),COUNTIF(INDIRECT(M$1&amp;"!$a1:$a10000"),汇总!$A52)),M51)</f>
        <v>217.04545700000017</v>
      </c>
      <c r="N52" s="109" cm="1">
        <f t="array" aca="1" ref="N52" ca="1">IFERROR(INDEX(_xlfn._xlws.FILTER(INDIRECT(N$1&amp;"!$E1:$E10000"),INDIRECT(N$1&amp;"!$a1:$a10000")=汇总!$A52),COUNTIF(INDIRECT(N$1&amp;"!$a1:$a10000"),汇总!$A52)),N51)</f>
        <v>806</v>
      </c>
      <c r="O52" s="109" cm="1">
        <f t="array" aca="1" ref="O52" ca="1">IFERROR(INDEX(_xlfn._xlws.FILTER(INDIRECT(O$1&amp;"!$E1:$E10000"),INDIRECT(O$1&amp;"!$a1:$a10000")=汇总!$A52),COUNTIF(INDIRECT(O$1&amp;"!$a1:$a10000"),汇总!$A52)),O51)</f>
        <v>0</v>
      </c>
      <c r="P52" s="109" cm="1">
        <f t="array" aca="1" ref="P52" ca="1">IFERROR(INDEX(_xlfn._xlws.FILTER(INDIRECT(P$1&amp;"!$E1:$E10000"),INDIRECT(P$1&amp;"!$a1:$a10000")=汇总!$A52),COUNTIF(INDIRECT(P$1&amp;"!$a1:$a10000"),汇总!$A52)),P51)</f>
        <v>3.8</v>
      </c>
      <c r="Q52" s="109" cm="1">
        <f t="array" aca="1" ref="Q52" ca="1">IFERROR(INDEX(_xlfn._xlws.FILTER(INDIRECT(Q$1&amp;"!$E1:$E10000"),INDIRECT(Q$1&amp;"!$a1:$a10000")=汇总!$A52),COUNTIF(INDIRECT(Q$1&amp;"!$a1:$a10000"),汇总!$A52)),Q51)</f>
        <v>55.985646000000315</v>
      </c>
      <c r="R52" s="109" t="e" cm="1" vm="2">
        <f t="array" aca="1" ref="R52" ca="1">IFERROR(INDEX(_xlfn._xlws.FILTER(INDIRECT(R$1&amp;"!$E1:$E10000"),INDIRECT(R$1&amp;"!$a1:$a10000")=汇总!$A52),COUNTIF(INDIRECT(R$1&amp;"!$a1:$a10000"),汇总!$A52)),R51)</f>
        <v>#VALUE!</v>
      </c>
      <c r="S52" s="109" t="e" cm="1" vm="2">
        <f t="array" aca="1" ref="S52" ca="1">IFERROR(INDEX(_xlfn._xlws.FILTER(INDIRECT(S$1&amp;"!$E1:$E10000"),INDIRECT(S$1&amp;"!$a1:$a10000")=汇总!$A52),COUNTIF(INDIRECT(S$1&amp;"!$a1:$a10000"),汇总!$A52)),S51)</f>
        <v>#VALUE!</v>
      </c>
    </row>
    <row r="53" spans="1:19" hidden="1">
      <c r="A53" s="1">
        <f t="shared" si="1"/>
        <v>46074</v>
      </c>
      <c r="B53" s="109" cm="1">
        <f t="array" aca="1" ref="B53" ca="1">IFERROR(INDEX(_xlfn._xlws.FILTER(INDIRECT(B$1&amp;"!$E1:$E10000"),INDIRECT(B$1&amp;"!$a1:$a10000")=汇总!$A53),COUNTIF(INDIRECT(B$1&amp;"!$a1:$a10000"),汇总!$A53)),B52)</f>
        <v>477.25799999999998</v>
      </c>
      <c r="C53" s="109" cm="1">
        <f t="array" aca="1" ref="C53" ca="1">IFERROR(INDEX(_xlfn._xlws.FILTER(INDIRECT(C$1&amp;"!$E1:$E10000"),INDIRECT(C$1&amp;"!$a1:$a10000")=汇总!$A53),COUNTIF(INDIRECT(C$1&amp;"!$a1:$a10000"),汇总!$A53)),C52)</f>
        <v>98.899999999999821</v>
      </c>
      <c r="D53" s="109" cm="1">
        <f t="array" aca="1" ref="D53" ca="1">IFERROR(INDEX(_xlfn._xlws.FILTER(INDIRECT(D$1&amp;"!$E1:$E10000"),INDIRECT(D$1&amp;"!$a1:$a10000")=汇总!$A53),COUNTIF(INDIRECT(D$1&amp;"!$a1:$a10000"),汇总!$A53)),D52)</f>
        <v>168.77999999999975</v>
      </c>
      <c r="E53" s="109" cm="1">
        <f t="array" aca="1" ref="E53" ca="1">IFERROR(INDEX(_xlfn._xlws.FILTER(INDIRECT(E$1&amp;"!$E1:$E10000"),INDIRECT(E$1&amp;"!$a1:$a10000")=汇总!$A53),COUNTIF(INDIRECT(E$1&amp;"!$a1:$a10000"),汇总!$A53)),E52)</f>
        <v>193.28466999999998</v>
      </c>
      <c r="F53" s="109" cm="1">
        <f t="array" aca="1" ref="F53" ca="1">IFERROR(INDEX(_xlfn._xlws.FILTER(INDIRECT(F$1&amp;"!$E1:$E10000"),INDIRECT(F$1&amp;"!$a1:$a10000")=汇总!$A53),COUNTIF(INDIRECT(F$1&amp;"!$a1:$a10000"),汇总!$A53)),F52)</f>
        <v>6580</v>
      </c>
      <c r="G53" s="109" cm="1">
        <f t="array" aca="1" ref="G53" ca="1">IFERROR(INDEX(_xlfn._xlws.FILTER(INDIRECT(G$1&amp;"!$E1:$E10000"),INDIRECT(G$1&amp;"!$a1:$a10000")=汇总!$A53),COUNTIF(INDIRECT(G$1&amp;"!$a1:$a10000"),汇总!$A53)),G52)</f>
        <v>2930</v>
      </c>
      <c r="H53" s="109" cm="1">
        <f t="array" aca="1" ref="H53" ca="1">IFERROR(INDEX(_xlfn._xlws.FILTER(INDIRECT(H$1&amp;"!$E1:$E10000"),INDIRECT(H$1&amp;"!$a1:$a10000")=汇总!$A53),COUNTIF(INDIRECT(H$1&amp;"!$a1:$a10000"),汇总!$A53)),H52)</f>
        <v>127.47397430000012</v>
      </c>
      <c r="I53" s="109" cm="1">
        <f t="array" aca="1" ref="I53" ca="1">IFERROR(INDEX(_xlfn._xlws.FILTER(INDIRECT(I$1&amp;"!$E1:$E10000"),INDIRECT(I$1&amp;"!$a1:$a10000")=汇总!$A53),COUNTIF(INDIRECT(I$1&amp;"!$a1:$a10000"),汇总!$A53)),I52)</f>
        <v>587.52982100000008</v>
      </c>
      <c r="J53" s="109" cm="1">
        <f t="array" aca="1" ref="J53" ca="1">IFERROR(INDEX(_xlfn._xlws.FILTER(INDIRECT(J$1&amp;"!$E1:$E10000"),INDIRECT(J$1&amp;"!$a1:$a10000")=汇总!$A53),COUNTIF(INDIRECT(J$1&amp;"!$a1:$a10000"),汇总!$A53)),J52)</f>
        <v>2.5</v>
      </c>
      <c r="K53" s="109" cm="1">
        <f t="array" aca="1" ref="K53" ca="1">IFERROR(INDEX(_xlfn._xlws.FILTER(INDIRECT(K$1&amp;"!$E1:$E10000"),INDIRECT(K$1&amp;"!$a1:$a10000")=汇总!$A53),COUNTIF(INDIRECT(K$1&amp;"!$a1:$a10000"),汇总!$A53)),K52)</f>
        <v>109</v>
      </c>
      <c r="L53" s="109" cm="1">
        <f t="array" aca="1" ref="L53" ca="1">IFERROR(INDEX(_xlfn._xlws.FILTER(INDIRECT(L$1&amp;"!$E1:$E10000"),INDIRECT(L$1&amp;"!$a1:$a10000")=汇总!$A53),COUNTIF(INDIRECT(L$1&amp;"!$a1:$a10000"),汇总!$A53)),L52)</f>
        <v>99.263050000000021</v>
      </c>
      <c r="M53" s="109" cm="1">
        <f t="array" aca="1" ref="M53" ca="1">IFERROR(INDEX(_xlfn._xlws.FILTER(INDIRECT(M$1&amp;"!$E1:$E10000"),INDIRECT(M$1&amp;"!$a1:$a10000")=汇总!$A53),COUNTIF(INDIRECT(M$1&amp;"!$a1:$a10000"),汇总!$A53)),M52)</f>
        <v>217.04545700000017</v>
      </c>
      <c r="N53" s="109" cm="1">
        <f t="array" aca="1" ref="N53" ca="1">IFERROR(INDEX(_xlfn._xlws.FILTER(INDIRECT(N$1&amp;"!$E1:$E10000"),INDIRECT(N$1&amp;"!$a1:$a10000")=汇总!$A53),COUNTIF(INDIRECT(N$1&amp;"!$a1:$a10000"),汇总!$A53)),N52)</f>
        <v>806</v>
      </c>
      <c r="O53" s="109" cm="1">
        <f t="array" aca="1" ref="O53" ca="1">IFERROR(INDEX(_xlfn._xlws.FILTER(INDIRECT(O$1&amp;"!$E1:$E10000"),INDIRECT(O$1&amp;"!$a1:$a10000")=汇总!$A53),COUNTIF(INDIRECT(O$1&amp;"!$a1:$a10000"),汇总!$A53)),O52)</f>
        <v>0</v>
      </c>
      <c r="P53" s="109" cm="1">
        <f t="array" aca="1" ref="P53" ca="1">IFERROR(INDEX(_xlfn._xlws.FILTER(INDIRECT(P$1&amp;"!$E1:$E10000"),INDIRECT(P$1&amp;"!$a1:$a10000")=汇总!$A53),COUNTIF(INDIRECT(P$1&amp;"!$a1:$a10000"),汇总!$A53)),P52)</f>
        <v>3.8</v>
      </c>
      <c r="Q53" s="109" cm="1">
        <f t="array" aca="1" ref="Q53" ca="1">IFERROR(INDEX(_xlfn._xlws.FILTER(INDIRECT(Q$1&amp;"!$E1:$E10000"),INDIRECT(Q$1&amp;"!$a1:$a10000")=汇总!$A53),COUNTIF(INDIRECT(Q$1&amp;"!$a1:$a10000"),汇总!$A53)),Q52)</f>
        <v>55.985646000000315</v>
      </c>
      <c r="R53" s="109" t="e" cm="1" vm="2">
        <f t="array" aca="1" ref="R53" ca="1">IFERROR(INDEX(_xlfn._xlws.FILTER(INDIRECT(R$1&amp;"!$E1:$E10000"),INDIRECT(R$1&amp;"!$a1:$a10000")=汇总!$A53),COUNTIF(INDIRECT(R$1&amp;"!$a1:$a10000"),汇总!$A53)),R52)</f>
        <v>#VALUE!</v>
      </c>
      <c r="S53" s="109" t="e" cm="1" vm="2">
        <f t="array" aca="1" ref="S53" ca="1">IFERROR(INDEX(_xlfn._xlws.FILTER(INDIRECT(S$1&amp;"!$E1:$E10000"),INDIRECT(S$1&amp;"!$a1:$a10000")=汇总!$A53),COUNTIF(INDIRECT(S$1&amp;"!$a1:$a10000"),汇总!$A53)),S52)</f>
        <v>#VALUE!</v>
      </c>
    </row>
    <row r="54" spans="1:19" hidden="1">
      <c r="A54" s="1">
        <f t="shared" si="1"/>
        <v>46075</v>
      </c>
      <c r="B54" s="109" cm="1">
        <f t="array" aca="1" ref="B54" ca="1">IFERROR(INDEX(_xlfn._xlws.FILTER(INDIRECT(B$1&amp;"!$E1:$E10000"),INDIRECT(B$1&amp;"!$a1:$a10000")=汇总!$A54),COUNTIF(INDIRECT(B$1&amp;"!$a1:$a10000"),汇总!$A54)),B53)</f>
        <v>477.25799999999998</v>
      </c>
      <c r="C54" s="109" cm="1">
        <f t="array" aca="1" ref="C54" ca="1">IFERROR(INDEX(_xlfn._xlws.FILTER(INDIRECT(C$1&amp;"!$E1:$E10000"),INDIRECT(C$1&amp;"!$a1:$a10000")=汇总!$A54),COUNTIF(INDIRECT(C$1&amp;"!$a1:$a10000"),汇总!$A54)),C53)</f>
        <v>98.899999999999821</v>
      </c>
      <c r="D54" s="109" cm="1">
        <f t="array" aca="1" ref="D54" ca="1">IFERROR(INDEX(_xlfn._xlws.FILTER(INDIRECT(D$1&amp;"!$E1:$E10000"),INDIRECT(D$1&amp;"!$a1:$a10000")=汇总!$A54),COUNTIF(INDIRECT(D$1&amp;"!$a1:$a10000"),汇总!$A54)),D53)</f>
        <v>168.77999999999975</v>
      </c>
      <c r="E54" s="109" cm="1">
        <f t="array" aca="1" ref="E54" ca="1">IFERROR(INDEX(_xlfn._xlws.FILTER(INDIRECT(E$1&amp;"!$E1:$E10000"),INDIRECT(E$1&amp;"!$a1:$a10000")=汇总!$A54),COUNTIF(INDIRECT(E$1&amp;"!$a1:$a10000"),汇总!$A54)),E53)</f>
        <v>193.28466999999998</v>
      </c>
      <c r="F54" s="109" cm="1">
        <f t="array" aca="1" ref="F54" ca="1">IFERROR(INDEX(_xlfn._xlws.FILTER(INDIRECT(F$1&amp;"!$E1:$E10000"),INDIRECT(F$1&amp;"!$a1:$a10000")=汇总!$A54),COUNTIF(INDIRECT(F$1&amp;"!$a1:$a10000"),汇总!$A54)),F53)</f>
        <v>6580</v>
      </c>
      <c r="G54" s="109" cm="1">
        <f t="array" aca="1" ref="G54" ca="1">IFERROR(INDEX(_xlfn._xlws.FILTER(INDIRECT(G$1&amp;"!$E1:$E10000"),INDIRECT(G$1&amp;"!$a1:$a10000")=汇总!$A54),COUNTIF(INDIRECT(G$1&amp;"!$a1:$a10000"),汇总!$A54)),G53)</f>
        <v>2930</v>
      </c>
      <c r="H54" s="109" cm="1">
        <f t="array" aca="1" ref="H54" ca="1">IFERROR(INDEX(_xlfn._xlws.FILTER(INDIRECT(H$1&amp;"!$E1:$E10000"),INDIRECT(H$1&amp;"!$a1:$a10000")=汇总!$A54),COUNTIF(INDIRECT(H$1&amp;"!$a1:$a10000"),汇总!$A54)),H53)</f>
        <v>127.47397430000012</v>
      </c>
      <c r="I54" s="109" cm="1">
        <f t="array" aca="1" ref="I54" ca="1">IFERROR(INDEX(_xlfn._xlws.FILTER(INDIRECT(I$1&amp;"!$E1:$E10000"),INDIRECT(I$1&amp;"!$a1:$a10000")=汇总!$A54),COUNTIF(INDIRECT(I$1&amp;"!$a1:$a10000"),汇总!$A54)),I53)</f>
        <v>587.52982100000008</v>
      </c>
      <c r="J54" s="109" cm="1">
        <f t="array" aca="1" ref="J54" ca="1">IFERROR(INDEX(_xlfn._xlws.FILTER(INDIRECT(J$1&amp;"!$E1:$E10000"),INDIRECT(J$1&amp;"!$a1:$a10000")=汇总!$A54),COUNTIF(INDIRECT(J$1&amp;"!$a1:$a10000"),汇总!$A54)),J53)</f>
        <v>2.5</v>
      </c>
      <c r="K54" s="109" cm="1">
        <f t="array" aca="1" ref="K54" ca="1">IFERROR(INDEX(_xlfn._xlws.FILTER(INDIRECT(K$1&amp;"!$E1:$E10000"),INDIRECT(K$1&amp;"!$a1:$a10000")=汇总!$A54),COUNTIF(INDIRECT(K$1&amp;"!$a1:$a10000"),汇总!$A54)),K53)</f>
        <v>109</v>
      </c>
      <c r="L54" s="109" cm="1">
        <f t="array" aca="1" ref="L54" ca="1">IFERROR(INDEX(_xlfn._xlws.FILTER(INDIRECT(L$1&amp;"!$E1:$E10000"),INDIRECT(L$1&amp;"!$a1:$a10000")=汇总!$A54),COUNTIF(INDIRECT(L$1&amp;"!$a1:$a10000"),汇总!$A54)),L53)</f>
        <v>99.263050000000021</v>
      </c>
      <c r="M54" s="109" cm="1">
        <f t="array" aca="1" ref="M54" ca="1">IFERROR(INDEX(_xlfn._xlws.FILTER(INDIRECT(M$1&amp;"!$E1:$E10000"),INDIRECT(M$1&amp;"!$a1:$a10000")=汇总!$A54),COUNTIF(INDIRECT(M$1&amp;"!$a1:$a10000"),汇总!$A54)),M53)</f>
        <v>217.04545700000017</v>
      </c>
      <c r="N54" s="109" cm="1">
        <f t="array" aca="1" ref="N54" ca="1">IFERROR(INDEX(_xlfn._xlws.FILTER(INDIRECT(N$1&amp;"!$E1:$E10000"),INDIRECT(N$1&amp;"!$a1:$a10000")=汇总!$A54),COUNTIF(INDIRECT(N$1&amp;"!$a1:$a10000"),汇总!$A54)),N53)</f>
        <v>806</v>
      </c>
      <c r="O54" s="109" cm="1">
        <f t="array" aca="1" ref="O54" ca="1">IFERROR(INDEX(_xlfn._xlws.FILTER(INDIRECT(O$1&amp;"!$E1:$E10000"),INDIRECT(O$1&amp;"!$a1:$a10000")=汇总!$A54),COUNTIF(INDIRECT(O$1&amp;"!$a1:$a10000"),汇总!$A54)),O53)</f>
        <v>0</v>
      </c>
      <c r="P54" s="109" cm="1">
        <f t="array" aca="1" ref="P54" ca="1">IFERROR(INDEX(_xlfn._xlws.FILTER(INDIRECT(P$1&amp;"!$E1:$E10000"),INDIRECT(P$1&amp;"!$a1:$a10000")=汇总!$A54),COUNTIF(INDIRECT(P$1&amp;"!$a1:$a10000"),汇总!$A54)),P53)</f>
        <v>3.8</v>
      </c>
      <c r="Q54" s="109" cm="1">
        <f t="array" aca="1" ref="Q54" ca="1">IFERROR(INDEX(_xlfn._xlws.FILTER(INDIRECT(Q$1&amp;"!$E1:$E10000"),INDIRECT(Q$1&amp;"!$a1:$a10000")=汇总!$A54),COUNTIF(INDIRECT(Q$1&amp;"!$a1:$a10000"),汇总!$A54)),Q53)</f>
        <v>55.985646000000315</v>
      </c>
      <c r="R54" s="109" t="e" cm="1" vm="2">
        <f t="array" aca="1" ref="R54" ca="1">IFERROR(INDEX(_xlfn._xlws.FILTER(INDIRECT(R$1&amp;"!$E1:$E10000"),INDIRECT(R$1&amp;"!$a1:$a10000")=汇总!$A54),COUNTIF(INDIRECT(R$1&amp;"!$a1:$a10000"),汇总!$A54)),R53)</f>
        <v>#VALUE!</v>
      </c>
      <c r="S54" s="109" t="e" cm="1" vm="2">
        <f t="array" aca="1" ref="S54" ca="1">IFERROR(INDEX(_xlfn._xlws.FILTER(INDIRECT(S$1&amp;"!$E1:$E10000"),INDIRECT(S$1&amp;"!$a1:$a10000")=汇总!$A54),COUNTIF(INDIRECT(S$1&amp;"!$a1:$a10000"),汇总!$A54)),S53)</f>
        <v>#VALUE!</v>
      </c>
    </row>
    <row r="55" spans="1:19" hidden="1">
      <c r="A55" s="1">
        <f t="shared" si="1"/>
        <v>46076</v>
      </c>
      <c r="B55" s="109" cm="1">
        <f t="array" aca="1" ref="B55" ca="1">IFERROR(INDEX(_xlfn._xlws.FILTER(INDIRECT(B$1&amp;"!$E1:$E10000"),INDIRECT(B$1&amp;"!$a1:$a10000")=汇总!$A55),COUNTIF(INDIRECT(B$1&amp;"!$a1:$a10000"),汇总!$A55)),B54)</f>
        <v>477.25799999999998</v>
      </c>
      <c r="C55" s="109" cm="1">
        <f t="array" aca="1" ref="C55" ca="1">IFERROR(INDEX(_xlfn._xlws.FILTER(INDIRECT(C$1&amp;"!$E1:$E10000"),INDIRECT(C$1&amp;"!$a1:$a10000")=汇总!$A55),COUNTIF(INDIRECT(C$1&amp;"!$a1:$a10000"),汇总!$A55)),C54)</f>
        <v>98.899999999999821</v>
      </c>
      <c r="D55" s="109" cm="1">
        <f t="array" aca="1" ref="D55" ca="1">IFERROR(INDEX(_xlfn._xlws.FILTER(INDIRECT(D$1&amp;"!$E1:$E10000"),INDIRECT(D$1&amp;"!$a1:$a10000")=汇总!$A55),COUNTIF(INDIRECT(D$1&amp;"!$a1:$a10000"),汇总!$A55)),D54)</f>
        <v>168.77999999999975</v>
      </c>
      <c r="E55" s="109" cm="1">
        <f t="array" aca="1" ref="E55" ca="1">IFERROR(INDEX(_xlfn._xlws.FILTER(INDIRECT(E$1&amp;"!$E1:$E10000"),INDIRECT(E$1&amp;"!$a1:$a10000")=汇总!$A55),COUNTIF(INDIRECT(E$1&amp;"!$a1:$a10000"),汇总!$A55)),E54)</f>
        <v>193.28466999999998</v>
      </c>
      <c r="F55" s="109" cm="1">
        <f t="array" aca="1" ref="F55" ca="1">IFERROR(INDEX(_xlfn._xlws.FILTER(INDIRECT(F$1&amp;"!$E1:$E10000"),INDIRECT(F$1&amp;"!$a1:$a10000")=汇总!$A55),COUNTIF(INDIRECT(F$1&amp;"!$a1:$a10000"),汇总!$A55)),F54)</f>
        <v>6580</v>
      </c>
      <c r="G55" s="109" cm="1">
        <f t="array" aca="1" ref="G55" ca="1">IFERROR(INDEX(_xlfn._xlws.FILTER(INDIRECT(G$1&amp;"!$E1:$E10000"),INDIRECT(G$1&amp;"!$a1:$a10000")=汇总!$A55),COUNTIF(INDIRECT(G$1&amp;"!$a1:$a10000"),汇总!$A55)),G54)</f>
        <v>2930</v>
      </c>
      <c r="H55" s="109" cm="1">
        <f t="array" aca="1" ref="H55" ca="1">IFERROR(INDEX(_xlfn._xlws.FILTER(INDIRECT(H$1&amp;"!$E1:$E10000"),INDIRECT(H$1&amp;"!$a1:$a10000")=汇总!$A55),COUNTIF(INDIRECT(H$1&amp;"!$a1:$a10000"),汇总!$A55)),H54)</f>
        <v>127.47397430000012</v>
      </c>
      <c r="I55" s="109" cm="1">
        <f t="array" aca="1" ref="I55" ca="1">IFERROR(INDEX(_xlfn._xlws.FILTER(INDIRECT(I$1&amp;"!$E1:$E10000"),INDIRECT(I$1&amp;"!$a1:$a10000")=汇总!$A55),COUNTIF(INDIRECT(I$1&amp;"!$a1:$a10000"),汇总!$A55)),I54)</f>
        <v>587.52982100000008</v>
      </c>
      <c r="J55" s="109" cm="1">
        <f t="array" aca="1" ref="J55" ca="1">IFERROR(INDEX(_xlfn._xlws.FILTER(INDIRECT(J$1&amp;"!$E1:$E10000"),INDIRECT(J$1&amp;"!$a1:$a10000")=汇总!$A55),COUNTIF(INDIRECT(J$1&amp;"!$a1:$a10000"),汇总!$A55)),J54)</f>
        <v>2.5</v>
      </c>
      <c r="K55" s="109" cm="1">
        <f t="array" aca="1" ref="K55" ca="1">IFERROR(INDEX(_xlfn._xlws.FILTER(INDIRECT(K$1&amp;"!$E1:$E10000"),INDIRECT(K$1&amp;"!$a1:$a10000")=汇总!$A55),COUNTIF(INDIRECT(K$1&amp;"!$a1:$a10000"),汇总!$A55)),K54)</f>
        <v>109</v>
      </c>
      <c r="L55" s="109" cm="1">
        <f t="array" aca="1" ref="L55" ca="1">IFERROR(INDEX(_xlfn._xlws.FILTER(INDIRECT(L$1&amp;"!$E1:$E10000"),INDIRECT(L$1&amp;"!$a1:$a10000")=汇总!$A55),COUNTIF(INDIRECT(L$1&amp;"!$a1:$a10000"),汇总!$A55)),L54)</f>
        <v>99.263050000000021</v>
      </c>
      <c r="M55" s="109" cm="1">
        <f t="array" aca="1" ref="M55" ca="1">IFERROR(INDEX(_xlfn._xlws.FILTER(INDIRECT(M$1&amp;"!$E1:$E10000"),INDIRECT(M$1&amp;"!$a1:$a10000")=汇总!$A55),COUNTIF(INDIRECT(M$1&amp;"!$a1:$a10000"),汇总!$A55)),M54)</f>
        <v>217.04545700000017</v>
      </c>
      <c r="N55" s="109" cm="1">
        <f t="array" aca="1" ref="N55" ca="1">IFERROR(INDEX(_xlfn._xlws.FILTER(INDIRECT(N$1&amp;"!$E1:$E10000"),INDIRECT(N$1&amp;"!$a1:$a10000")=汇总!$A55),COUNTIF(INDIRECT(N$1&amp;"!$a1:$a10000"),汇总!$A55)),N54)</f>
        <v>806</v>
      </c>
      <c r="O55" s="109" cm="1">
        <f t="array" aca="1" ref="O55" ca="1">IFERROR(INDEX(_xlfn._xlws.FILTER(INDIRECT(O$1&amp;"!$E1:$E10000"),INDIRECT(O$1&amp;"!$a1:$a10000")=汇总!$A55),COUNTIF(INDIRECT(O$1&amp;"!$a1:$a10000"),汇总!$A55)),O54)</f>
        <v>0</v>
      </c>
      <c r="P55" s="109" cm="1">
        <f t="array" aca="1" ref="P55" ca="1">IFERROR(INDEX(_xlfn._xlws.FILTER(INDIRECT(P$1&amp;"!$E1:$E10000"),INDIRECT(P$1&amp;"!$a1:$a10000")=汇总!$A55),COUNTIF(INDIRECT(P$1&amp;"!$a1:$a10000"),汇总!$A55)),P54)</f>
        <v>3.8</v>
      </c>
      <c r="Q55" s="109" cm="1">
        <f t="array" aca="1" ref="Q55" ca="1">IFERROR(INDEX(_xlfn._xlws.FILTER(INDIRECT(Q$1&amp;"!$E1:$E10000"),INDIRECT(Q$1&amp;"!$a1:$a10000")=汇总!$A55),COUNTIF(INDIRECT(Q$1&amp;"!$a1:$a10000"),汇总!$A55)),Q54)</f>
        <v>55.985646000000315</v>
      </c>
      <c r="R55" s="109" t="e" cm="1" vm="2">
        <f t="array" aca="1" ref="R55" ca="1">IFERROR(INDEX(_xlfn._xlws.FILTER(INDIRECT(R$1&amp;"!$E1:$E10000"),INDIRECT(R$1&amp;"!$a1:$a10000")=汇总!$A55),COUNTIF(INDIRECT(R$1&amp;"!$a1:$a10000"),汇总!$A55)),R54)</f>
        <v>#VALUE!</v>
      </c>
      <c r="S55" s="109" t="e" cm="1" vm="2">
        <f t="array" aca="1" ref="S55" ca="1">IFERROR(INDEX(_xlfn._xlws.FILTER(INDIRECT(S$1&amp;"!$E1:$E10000"),INDIRECT(S$1&amp;"!$a1:$a10000")=汇总!$A55),COUNTIF(INDIRECT(S$1&amp;"!$a1:$a10000"),汇总!$A55)),S54)</f>
        <v>#VALUE!</v>
      </c>
    </row>
    <row r="56" spans="1:19" hidden="1">
      <c r="A56" s="1">
        <f t="shared" si="1"/>
        <v>46077</v>
      </c>
      <c r="B56" s="109" cm="1">
        <f t="array" aca="1" ref="B56" ca="1">IFERROR(INDEX(_xlfn._xlws.FILTER(INDIRECT(B$1&amp;"!$E1:$E10000"),INDIRECT(B$1&amp;"!$a1:$a10000")=汇总!$A56),COUNTIF(INDIRECT(B$1&amp;"!$a1:$a10000"),汇总!$A56)),B55)</f>
        <v>892.25800000000004</v>
      </c>
      <c r="C56" s="109" cm="1">
        <f t="array" aca="1" ref="C56" ca="1">IFERROR(INDEX(_xlfn._xlws.FILTER(INDIRECT(C$1&amp;"!$E1:$E10000"),INDIRECT(C$1&amp;"!$a1:$a10000")=汇总!$A56),COUNTIF(INDIRECT(C$1&amp;"!$a1:$a10000"),汇总!$A56)),C55)</f>
        <v>825.89999999999986</v>
      </c>
      <c r="D56" s="109" cm="1">
        <f t="array" aca="1" ref="D56" ca="1">IFERROR(INDEX(_xlfn._xlws.FILTER(INDIRECT(D$1&amp;"!$E1:$E10000"),INDIRECT(D$1&amp;"!$a1:$a10000")=汇总!$A56),COUNTIF(INDIRECT(D$1&amp;"!$a1:$a10000"),汇总!$A56)),D55)</f>
        <v>602.24</v>
      </c>
      <c r="E56" s="109" cm="1">
        <f t="array" aca="1" ref="E56" ca="1">IFERROR(INDEX(_xlfn._xlws.FILTER(INDIRECT(E$1&amp;"!$E1:$E10000"),INDIRECT(E$1&amp;"!$a1:$a10000")=汇总!$A56),COUNTIF(INDIRECT(E$1&amp;"!$a1:$a10000"),汇总!$A56)),E55)</f>
        <v>305.28467000000001</v>
      </c>
      <c r="F56" s="109" cm="1">
        <f t="array" aca="1" ref="F56" ca="1">IFERROR(INDEX(_xlfn._xlws.FILTER(INDIRECT(F$1&amp;"!$E1:$E10000"),INDIRECT(F$1&amp;"!$a1:$a10000")=汇总!$A56),COUNTIF(INDIRECT(F$1&amp;"!$a1:$a10000"),汇总!$A56)),F55)</f>
        <v>11275</v>
      </c>
      <c r="G56" s="109" cm="1">
        <f t="array" aca="1" ref="G56" ca="1">IFERROR(INDEX(_xlfn._xlws.FILTER(INDIRECT(G$1&amp;"!$E1:$E10000"),INDIRECT(G$1&amp;"!$a1:$a10000")=汇总!$A56),COUNTIF(INDIRECT(G$1&amp;"!$a1:$a10000"),汇总!$A56)),G55)</f>
        <v>3815</v>
      </c>
      <c r="H56" s="109" cm="1">
        <f t="array" aca="1" ref="H56" ca="1">IFERROR(INDEX(_xlfn._xlws.FILTER(INDIRECT(H$1&amp;"!$E1:$E10000"),INDIRECT(H$1&amp;"!$a1:$a10000")=汇总!$A56),COUNTIF(INDIRECT(H$1&amp;"!$a1:$a10000"),汇总!$A56)),H55)</f>
        <v>127.47397430000012</v>
      </c>
      <c r="I56" s="109" cm="1">
        <f t="array" aca="1" ref="I56" ca="1">IFERROR(INDEX(_xlfn._xlws.FILTER(INDIRECT(I$1&amp;"!$E1:$E10000"),INDIRECT(I$1&amp;"!$a1:$a10000")=汇总!$A56),COUNTIF(INDIRECT(I$1&amp;"!$a1:$a10000"),汇总!$A56)),I55)</f>
        <v>587.52982100000008</v>
      </c>
      <c r="J56" s="109" cm="1">
        <f t="array" aca="1" ref="J56" ca="1">IFERROR(INDEX(_xlfn._xlws.FILTER(INDIRECT(J$1&amp;"!$E1:$E10000"),INDIRECT(J$1&amp;"!$a1:$a10000")=汇总!$A56),COUNTIF(INDIRECT(J$1&amp;"!$a1:$a10000"),汇总!$A56)),J55)</f>
        <v>2.5</v>
      </c>
      <c r="K56" s="109" cm="1">
        <f t="array" aca="1" ref="K56" ca="1">IFERROR(INDEX(_xlfn._xlws.FILTER(INDIRECT(K$1&amp;"!$E1:$E10000"),INDIRECT(K$1&amp;"!$a1:$a10000")=汇总!$A56),COUNTIF(INDIRECT(K$1&amp;"!$a1:$a10000"),汇总!$A56)),K55)</f>
        <v>432</v>
      </c>
      <c r="L56" s="109" cm="1">
        <f t="array" aca="1" ref="L56" ca="1">IFERROR(INDEX(_xlfn._xlws.FILTER(INDIRECT(L$1&amp;"!$E1:$E10000"),INDIRECT(L$1&amp;"!$a1:$a10000")=汇总!$A56),COUNTIF(INDIRECT(L$1&amp;"!$a1:$a10000"),汇总!$A56)),L55)</f>
        <v>103.51305000000002</v>
      </c>
      <c r="M56" s="109" cm="1">
        <f t="array" aca="1" ref="M56" ca="1">IFERROR(INDEX(_xlfn._xlws.FILTER(INDIRECT(M$1&amp;"!$E1:$E10000"),INDIRECT(M$1&amp;"!$a1:$a10000")=汇总!$A56),COUNTIF(INDIRECT(M$1&amp;"!$a1:$a10000"),汇总!$A56)),M55)</f>
        <v>338.04545700000017</v>
      </c>
      <c r="N56" s="109" cm="1">
        <f t="array" aca="1" ref="N56" ca="1">IFERROR(INDEX(_xlfn._xlws.FILTER(INDIRECT(N$1&amp;"!$E1:$E10000"),INDIRECT(N$1&amp;"!$a1:$a10000")=汇总!$A56),COUNTIF(INDIRECT(N$1&amp;"!$a1:$a10000"),汇总!$A56)),N55)</f>
        <v>806</v>
      </c>
      <c r="O56" s="109" cm="1">
        <f t="array" aca="1" ref="O56" ca="1">IFERROR(INDEX(_xlfn._xlws.FILTER(INDIRECT(O$1&amp;"!$E1:$E10000"),INDIRECT(O$1&amp;"!$a1:$a10000")=汇总!$A56),COUNTIF(INDIRECT(O$1&amp;"!$a1:$a10000"),汇总!$A56)),O55)</f>
        <v>0</v>
      </c>
      <c r="P56" s="109" cm="1">
        <f t="array" aca="1" ref="P56" ca="1">IFERROR(INDEX(_xlfn._xlws.FILTER(INDIRECT(P$1&amp;"!$E1:$E10000"),INDIRECT(P$1&amp;"!$a1:$a10000")=汇总!$A56),COUNTIF(INDIRECT(P$1&amp;"!$a1:$a10000"),汇总!$A56)),P55)</f>
        <v>3.8</v>
      </c>
      <c r="Q56" s="109" cm="1">
        <f t="array" aca="1" ref="Q56" ca="1">IFERROR(INDEX(_xlfn._xlws.FILTER(INDIRECT(Q$1&amp;"!$E1:$E10000"),INDIRECT(Q$1&amp;"!$a1:$a10000")=汇总!$A56),COUNTIF(INDIRECT(Q$1&amp;"!$a1:$a10000"),汇总!$A56)),Q55)</f>
        <v>55.985646000000315</v>
      </c>
      <c r="R56" s="109" t="e" cm="1" vm="2">
        <f t="array" aca="1" ref="R56" ca="1">IFERROR(INDEX(_xlfn._xlws.FILTER(INDIRECT(R$1&amp;"!$E1:$E10000"),INDIRECT(R$1&amp;"!$a1:$a10000")=汇总!$A56),COUNTIF(INDIRECT(R$1&amp;"!$a1:$a10000"),汇总!$A56)),R55)</f>
        <v>#VALUE!</v>
      </c>
      <c r="S56" s="109" t="e" cm="1" vm="2">
        <f t="array" aca="1" ref="S56" ca="1">IFERROR(INDEX(_xlfn._xlws.FILTER(INDIRECT(S$1&amp;"!$E1:$E10000"),INDIRECT(S$1&amp;"!$a1:$a10000")=汇总!$A56),COUNTIF(INDIRECT(S$1&amp;"!$a1:$a10000"),汇总!$A56)),S55)</f>
        <v>#VALUE!</v>
      </c>
    </row>
    <row r="57" spans="1:19" hidden="1">
      <c r="A57" s="1">
        <f t="shared" si="1"/>
        <v>46078</v>
      </c>
      <c r="B57" s="109" cm="1">
        <f t="array" aca="1" ref="B57" ca="1">IFERROR(INDEX(_xlfn._xlws.FILTER(INDIRECT(B$1&amp;"!$E1:$E10000"),INDIRECT(B$1&amp;"!$a1:$a10000")=汇总!$A57),COUNTIF(INDIRECT(B$1&amp;"!$a1:$a10000"),汇总!$A57)),B56)</f>
        <v>892.25800000000004</v>
      </c>
      <c r="C57" s="109" cm="1">
        <f t="array" aca="1" ref="C57" ca="1">IFERROR(INDEX(_xlfn._xlws.FILTER(INDIRECT(C$1&amp;"!$E1:$E10000"),INDIRECT(C$1&amp;"!$a1:$a10000")=汇总!$A57),COUNTIF(INDIRECT(C$1&amp;"!$a1:$a10000"),汇总!$A57)),C56)</f>
        <v>1435.1</v>
      </c>
      <c r="D57" s="109" cm="1">
        <f t="array" aca="1" ref="D57" ca="1">IFERROR(INDEX(_xlfn._xlws.FILTER(INDIRECT(D$1&amp;"!$E1:$E10000"),INDIRECT(D$1&amp;"!$a1:$a10000")=汇总!$A57),COUNTIF(INDIRECT(D$1&amp;"!$a1:$a10000"),汇总!$A57)),D56)</f>
        <v>341</v>
      </c>
      <c r="E57" s="109" cm="1">
        <f t="array" aca="1" ref="E57" ca="1">IFERROR(INDEX(_xlfn._xlws.FILTER(INDIRECT(E$1&amp;"!$E1:$E10000"),INDIRECT(E$1&amp;"!$a1:$a10000")=汇总!$A57),COUNTIF(INDIRECT(E$1&amp;"!$a1:$a10000"),汇总!$A57)),E56)</f>
        <v>331.28467000000001</v>
      </c>
      <c r="F57" s="109" cm="1">
        <f t="array" aca="1" ref="F57" ca="1">IFERROR(INDEX(_xlfn._xlws.FILTER(INDIRECT(F$1&amp;"!$E1:$E10000"),INDIRECT(F$1&amp;"!$a1:$a10000")=汇总!$A57),COUNTIF(INDIRECT(F$1&amp;"!$a1:$a10000"),汇总!$A57)),F56)</f>
        <v>11275</v>
      </c>
      <c r="G57" s="109" cm="1">
        <f t="array" aca="1" ref="G57" ca="1">IFERROR(INDEX(_xlfn._xlws.FILTER(INDIRECT(G$1&amp;"!$E1:$E10000"),INDIRECT(G$1&amp;"!$a1:$a10000")=汇总!$A57),COUNTIF(INDIRECT(G$1&amp;"!$a1:$a10000"),汇总!$A57)),G56)</f>
        <v>3815</v>
      </c>
      <c r="H57" s="109" cm="1">
        <f t="array" aca="1" ref="H57" ca="1">IFERROR(INDEX(_xlfn._xlws.FILTER(INDIRECT(H$1&amp;"!$E1:$E10000"),INDIRECT(H$1&amp;"!$a1:$a10000")=汇总!$A57),COUNTIF(INDIRECT(H$1&amp;"!$a1:$a10000"),汇总!$A57)),H56)</f>
        <v>127.47397430000012</v>
      </c>
      <c r="I57" s="109" cm="1">
        <f t="array" aca="1" ref="I57" ca="1">IFERROR(INDEX(_xlfn._xlws.FILTER(INDIRECT(I$1&amp;"!$E1:$E10000"),INDIRECT(I$1&amp;"!$a1:$a10000")=汇总!$A57),COUNTIF(INDIRECT(I$1&amp;"!$a1:$a10000"),汇总!$A57)),I56)</f>
        <v>587.52982100000008</v>
      </c>
      <c r="J57" s="109" cm="1">
        <f t="array" aca="1" ref="J57" ca="1">IFERROR(INDEX(_xlfn._xlws.FILTER(INDIRECT(J$1&amp;"!$E1:$E10000"),INDIRECT(J$1&amp;"!$a1:$a10000")=汇总!$A57),COUNTIF(INDIRECT(J$1&amp;"!$a1:$a10000"),汇总!$A57)),J56)</f>
        <v>2.5</v>
      </c>
      <c r="K57" s="109" cm="1">
        <f t="array" aca="1" ref="K57" ca="1">IFERROR(INDEX(_xlfn._xlws.FILTER(INDIRECT(K$1&amp;"!$E1:$E10000"),INDIRECT(K$1&amp;"!$a1:$a10000")=汇总!$A57),COUNTIF(INDIRECT(K$1&amp;"!$a1:$a10000"),汇总!$A57)),K56)</f>
        <v>432</v>
      </c>
      <c r="L57" s="109" cm="1">
        <f t="array" aca="1" ref="L57" ca="1">IFERROR(INDEX(_xlfn._xlws.FILTER(INDIRECT(L$1&amp;"!$E1:$E10000"),INDIRECT(L$1&amp;"!$a1:$a10000")=汇总!$A57),COUNTIF(INDIRECT(L$1&amp;"!$a1:$a10000"),汇总!$A57)),L56)</f>
        <v>136.01305000000002</v>
      </c>
      <c r="M57" s="109" cm="1">
        <f t="array" aca="1" ref="M57" ca="1">IFERROR(INDEX(_xlfn._xlws.FILTER(INDIRECT(M$1&amp;"!$E1:$E10000"),INDIRECT(M$1&amp;"!$a1:$a10000")=汇总!$A57),COUNTIF(INDIRECT(M$1&amp;"!$a1:$a10000"),汇总!$A57)),M56)</f>
        <v>338.04545700000017</v>
      </c>
      <c r="N57" s="109" cm="1">
        <f t="array" aca="1" ref="N57" ca="1">IFERROR(INDEX(_xlfn._xlws.FILTER(INDIRECT(N$1&amp;"!$E1:$E10000"),INDIRECT(N$1&amp;"!$a1:$a10000")=汇总!$A57),COUNTIF(INDIRECT(N$1&amp;"!$a1:$a10000"),汇总!$A57)),N56)</f>
        <v>1154.2</v>
      </c>
      <c r="O57" s="109" cm="1">
        <f t="array" aca="1" ref="O57" ca="1">IFERROR(INDEX(_xlfn._xlws.FILTER(INDIRECT(O$1&amp;"!$E1:$E10000"),INDIRECT(O$1&amp;"!$a1:$a10000")=汇总!$A57),COUNTIF(INDIRECT(O$1&amp;"!$a1:$a10000"),汇总!$A57)),O56)</f>
        <v>0</v>
      </c>
      <c r="P57" s="109" cm="1">
        <f t="array" aca="1" ref="P57" ca="1">IFERROR(INDEX(_xlfn._xlws.FILTER(INDIRECT(P$1&amp;"!$E1:$E10000"),INDIRECT(P$1&amp;"!$a1:$a10000")=汇总!$A57),COUNTIF(INDIRECT(P$1&amp;"!$a1:$a10000"),汇总!$A57)),P56)</f>
        <v>3.8</v>
      </c>
      <c r="Q57" s="109" cm="1">
        <f t="array" aca="1" ref="Q57" ca="1">IFERROR(INDEX(_xlfn._xlws.FILTER(INDIRECT(Q$1&amp;"!$E1:$E10000"),INDIRECT(Q$1&amp;"!$a1:$a10000")=汇总!$A57),COUNTIF(INDIRECT(Q$1&amp;"!$a1:$a10000"),汇总!$A57)),Q56)</f>
        <v>55.985646000000315</v>
      </c>
      <c r="R57" s="109" t="e" cm="1" vm="2">
        <f t="array" aca="1" ref="R57" ca="1">IFERROR(INDEX(_xlfn._xlws.FILTER(INDIRECT(R$1&amp;"!$E1:$E10000"),INDIRECT(R$1&amp;"!$a1:$a10000")=汇总!$A57),COUNTIF(INDIRECT(R$1&amp;"!$a1:$a10000"),汇总!$A57)),R56)</f>
        <v>#VALUE!</v>
      </c>
      <c r="S57" s="109" t="e" cm="1" vm="2">
        <f t="array" aca="1" ref="S57" ca="1">IFERROR(INDEX(_xlfn._xlws.FILTER(INDIRECT(S$1&amp;"!$E1:$E10000"),INDIRECT(S$1&amp;"!$a1:$a10000")=汇总!$A57),COUNTIF(INDIRECT(S$1&amp;"!$a1:$a10000"),汇总!$A57)),S56)</f>
        <v>#VALUE!</v>
      </c>
    </row>
    <row r="58" spans="1:19" hidden="1">
      <c r="A58" s="1">
        <f t="shared" ref="A58:A89" si="2">+A57+1</f>
        <v>46079</v>
      </c>
      <c r="B58" s="109" cm="1">
        <f t="array" aca="1" ref="B58" ca="1">IFERROR(INDEX(_xlfn._xlws.FILTER(INDIRECT(B$1&amp;"!$E1:$E10000"),INDIRECT(B$1&amp;"!$a1:$a10000")=汇总!$A58),COUNTIF(INDIRECT(B$1&amp;"!$a1:$a10000"),汇总!$A58)),B57)</f>
        <v>892.25800000000004</v>
      </c>
      <c r="C58" s="109" cm="1">
        <f t="array" aca="1" ref="C58" ca="1">IFERROR(INDEX(_xlfn._xlws.FILTER(INDIRECT(C$1&amp;"!$E1:$E10000"),INDIRECT(C$1&amp;"!$a1:$a10000")=汇总!$A58),COUNTIF(INDIRECT(C$1&amp;"!$a1:$a10000"),汇总!$A58)),C57)</f>
        <v>1998</v>
      </c>
      <c r="D58" s="109" cm="1">
        <f t="array" aca="1" ref="D58" ca="1">IFERROR(INDEX(_xlfn._xlws.FILTER(INDIRECT(D$1&amp;"!$E1:$E10000"),INDIRECT(D$1&amp;"!$a1:$a10000")=汇总!$A58),COUNTIF(INDIRECT(D$1&amp;"!$a1:$a10000"),汇总!$A58)),D57)</f>
        <v>341</v>
      </c>
      <c r="E58" s="109" cm="1">
        <f t="array" aca="1" ref="E58" ca="1">IFERROR(INDEX(_xlfn._xlws.FILTER(INDIRECT(E$1&amp;"!$E1:$E10000"),INDIRECT(E$1&amp;"!$a1:$a10000")=汇总!$A58),COUNTIF(INDIRECT(E$1&amp;"!$a1:$a10000"),汇总!$A58)),E57)</f>
        <v>689.28467000000001</v>
      </c>
      <c r="F58" s="109" cm="1">
        <f t="array" aca="1" ref="F58" ca="1">IFERROR(INDEX(_xlfn._xlws.FILTER(INDIRECT(F$1&amp;"!$E1:$E10000"),INDIRECT(F$1&amp;"!$a1:$a10000")=汇总!$A58),COUNTIF(INDIRECT(F$1&amp;"!$a1:$a10000"),汇总!$A58)),F57)</f>
        <v>4842</v>
      </c>
      <c r="G58" s="109" cm="1">
        <f t="array" aca="1" ref="G58" ca="1">IFERROR(INDEX(_xlfn._xlws.FILTER(INDIRECT(G$1&amp;"!$E1:$E10000"),INDIRECT(G$1&amp;"!$a1:$a10000")=汇总!$A58),COUNTIF(INDIRECT(G$1&amp;"!$a1:$a10000"),汇总!$A58)),G57)</f>
        <v>3815</v>
      </c>
      <c r="H58" s="109" cm="1">
        <f t="array" aca="1" ref="H58" ca="1">IFERROR(INDEX(_xlfn._xlws.FILTER(INDIRECT(H$1&amp;"!$E1:$E10000"),INDIRECT(H$1&amp;"!$a1:$a10000")=汇总!$A58),COUNTIF(INDIRECT(H$1&amp;"!$a1:$a10000"),汇总!$A58)),H57)</f>
        <v>127.47397430000012</v>
      </c>
      <c r="I58" s="109" cm="1">
        <f t="array" aca="1" ref="I58" ca="1">IFERROR(INDEX(_xlfn._xlws.FILTER(INDIRECT(I$1&amp;"!$E1:$E10000"),INDIRECT(I$1&amp;"!$a1:$a10000")=汇总!$A58),COUNTIF(INDIRECT(I$1&amp;"!$a1:$a10000"),汇总!$A58)),I57)</f>
        <v>455.27529700000008</v>
      </c>
      <c r="J58" s="109" cm="1">
        <f t="array" aca="1" ref="J58" ca="1">IFERROR(INDEX(_xlfn._xlws.FILTER(INDIRECT(J$1&amp;"!$E1:$E10000"),INDIRECT(J$1&amp;"!$a1:$a10000")=汇总!$A58),COUNTIF(INDIRECT(J$1&amp;"!$a1:$a10000"),汇总!$A58)),J57)</f>
        <v>2.5</v>
      </c>
      <c r="K58" s="109" cm="1">
        <f t="array" aca="1" ref="K58" ca="1">IFERROR(INDEX(_xlfn._xlws.FILTER(INDIRECT(K$1&amp;"!$E1:$E10000"),INDIRECT(K$1&amp;"!$a1:$a10000")=汇总!$A58),COUNTIF(INDIRECT(K$1&amp;"!$a1:$a10000"),汇总!$A58)),K57)</f>
        <v>432</v>
      </c>
      <c r="L58" s="109" cm="1">
        <f t="array" aca="1" ref="L58" ca="1">IFERROR(INDEX(_xlfn._xlws.FILTER(INDIRECT(L$1&amp;"!$E1:$E10000"),INDIRECT(L$1&amp;"!$a1:$a10000")=汇总!$A58),COUNTIF(INDIRECT(L$1&amp;"!$a1:$a10000"),汇总!$A58)),L57)</f>
        <v>2571.01305</v>
      </c>
      <c r="M58" s="109" cm="1">
        <f t="array" aca="1" ref="M58" ca="1">IFERROR(INDEX(_xlfn._xlws.FILTER(INDIRECT(M$1&amp;"!$E1:$E10000"),INDIRECT(M$1&amp;"!$a1:$a10000")=汇总!$A58),COUNTIF(INDIRECT(M$1&amp;"!$a1:$a10000"),汇总!$A58)),M57)</f>
        <v>1589.1454570000001</v>
      </c>
      <c r="N58" s="109" cm="1">
        <f t="array" aca="1" ref="N58" ca="1">IFERROR(INDEX(_xlfn._xlws.FILTER(INDIRECT(N$1&amp;"!$E1:$E10000"),INDIRECT(N$1&amp;"!$a1:$a10000")=汇总!$A58),COUNTIF(INDIRECT(N$1&amp;"!$a1:$a10000"),汇总!$A58)),N57)</f>
        <v>1143.607</v>
      </c>
      <c r="O58" s="109" cm="1">
        <f t="array" aca="1" ref="O58" ca="1">IFERROR(INDEX(_xlfn._xlws.FILTER(INDIRECT(O$1&amp;"!$E1:$E10000"),INDIRECT(O$1&amp;"!$a1:$a10000")=汇总!$A58),COUNTIF(INDIRECT(O$1&amp;"!$a1:$a10000"),汇总!$A58)),O57)</f>
        <v>1920</v>
      </c>
      <c r="P58" s="109" cm="1">
        <f t="array" aca="1" ref="P58" ca="1">IFERROR(INDEX(_xlfn._xlws.FILTER(INDIRECT(P$1&amp;"!$E1:$E10000"),INDIRECT(P$1&amp;"!$a1:$a10000")=汇总!$A58),COUNTIF(INDIRECT(P$1&amp;"!$a1:$a10000"),汇总!$A58)),P57)</f>
        <v>3.8</v>
      </c>
      <c r="Q58" s="109" cm="1">
        <f t="array" aca="1" ref="Q58" ca="1">IFERROR(INDEX(_xlfn._xlws.FILTER(INDIRECT(Q$1&amp;"!$E1:$E10000"),INDIRECT(Q$1&amp;"!$a1:$a10000")=汇总!$A58),COUNTIF(INDIRECT(Q$1&amp;"!$a1:$a10000"),汇总!$A58)),Q57)</f>
        <v>679.98564600000032</v>
      </c>
      <c r="R58" s="109" t="e" cm="1" vm="2">
        <f t="array" aca="1" ref="R58" ca="1">IFERROR(INDEX(_xlfn._xlws.FILTER(INDIRECT(R$1&amp;"!$E1:$E10000"),INDIRECT(R$1&amp;"!$a1:$a10000")=汇总!$A58),COUNTIF(INDIRECT(R$1&amp;"!$a1:$a10000"),汇总!$A58)),R57)</f>
        <v>#VALUE!</v>
      </c>
      <c r="S58" s="109" t="e" cm="1" vm="2">
        <f t="array" aca="1" ref="S58" ca="1">IFERROR(INDEX(_xlfn._xlws.FILTER(INDIRECT(S$1&amp;"!$E1:$E10000"),INDIRECT(S$1&amp;"!$a1:$a10000")=汇总!$A58),COUNTIF(INDIRECT(S$1&amp;"!$a1:$a10000"),汇总!$A58)),S57)</f>
        <v>#VALUE!</v>
      </c>
    </row>
    <row r="59" spans="1:19" hidden="1">
      <c r="A59" s="1">
        <f t="shared" si="2"/>
        <v>46080</v>
      </c>
      <c r="B59" s="109" cm="1">
        <f t="array" aca="1" ref="B59" ca="1">IFERROR(INDEX(_xlfn._xlws.FILTER(INDIRECT(B$1&amp;"!$E1:$E10000"),INDIRECT(B$1&amp;"!$a1:$a10000")=汇总!$A59),COUNTIF(INDIRECT(B$1&amp;"!$a1:$a10000"),汇总!$A59)),B58)</f>
        <v>1197.258</v>
      </c>
      <c r="C59" s="109" cm="1">
        <f t="array" aca="1" ref="C59" ca="1">IFERROR(INDEX(_xlfn._xlws.FILTER(INDIRECT(C$1&amp;"!$E1:$E10000"),INDIRECT(C$1&amp;"!$a1:$a10000")=汇总!$A59),COUNTIF(INDIRECT(C$1&amp;"!$a1:$a10000"),汇总!$A59)),C58)</f>
        <v>1413.4</v>
      </c>
      <c r="D59" s="109" cm="1">
        <f t="array" aca="1" ref="D59" ca="1">IFERROR(INDEX(_xlfn._xlws.FILTER(INDIRECT(D$1&amp;"!$E1:$E10000"),INDIRECT(D$1&amp;"!$a1:$a10000")=汇总!$A59),COUNTIF(INDIRECT(D$1&amp;"!$a1:$a10000"),汇总!$A59)),D58)</f>
        <v>3939.2030500000001</v>
      </c>
      <c r="E59" s="109" cm="1">
        <f t="array" aca="1" ref="E59" ca="1">IFERROR(INDEX(_xlfn._xlws.FILTER(INDIRECT(E$1&amp;"!$E1:$E10000"),INDIRECT(E$1&amp;"!$a1:$a10000")=汇总!$A59),COUNTIF(INDIRECT(E$1&amp;"!$a1:$a10000"),汇总!$A59)),E58)</f>
        <v>1109.28467</v>
      </c>
      <c r="F59" s="109" cm="1">
        <f t="array" aca="1" ref="F59" ca="1">IFERROR(INDEX(_xlfn._xlws.FILTER(INDIRECT(F$1&amp;"!$E1:$E10000"),INDIRECT(F$1&amp;"!$a1:$a10000")=汇总!$A59),COUNTIF(INDIRECT(F$1&amp;"!$a1:$a10000"),汇总!$A59)),F58)</f>
        <v>5133</v>
      </c>
      <c r="G59" s="109" cm="1">
        <f t="array" aca="1" ref="G59" ca="1">IFERROR(INDEX(_xlfn._xlws.FILTER(INDIRECT(G$1&amp;"!$E1:$E10000"),INDIRECT(G$1&amp;"!$a1:$a10000")=汇总!$A59),COUNTIF(INDIRECT(G$1&amp;"!$a1:$a10000"),汇总!$A59)),G58)</f>
        <v>10350</v>
      </c>
      <c r="H59" s="109" cm="1">
        <f t="array" aca="1" ref="H59" ca="1">IFERROR(INDEX(_xlfn._xlws.FILTER(INDIRECT(H$1&amp;"!$E1:$E10000"),INDIRECT(H$1&amp;"!$a1:$a10000")=汇总!$A59),COUNTIF(INDIRECT(H$1&amp;"!$a1:$a10000"),汇总!$A59)),H58)</f>
        <v>51.92997430000014</v>
      </c>
      <c r="I59" s="109" cm="1">
        <f t="array" aca="1" ref="I59" ca="1">IFERROR(INDEX(_xlfn._xlws.FILTER(INDIRECT(I$1&amp;"!$E1:$E10000"),INDIRECT(I$1&amp;"!$a1:$a10000")=汇总!$A59),COUNTIF(INDIRECT(I$1&amp;"!$a1:$a10000"),汇总!$A59)),I58)</f>
        <v>255.27529700000008</v>
      </c>
      <c r="J59" s="109" cm="1">
        <f t="array" aca="1" ref="J59" ca="1">IFERROR(INDEX(_xlfn._xlws.FILTER(INDIRECT(J$1&amp;"!$E1:$E10000"),INDIRECT(J$1&amp;"!$a1:$a10000")=汇总!$A59),COUNTIF(INDIRECT(J$1&amp;"!$a1:$a10000"),汇总!$A59)),J58)</f>
        <v>2.5</v>
      </c>
      <c r="K59" s="109" cm="1">
        <f t="array" aca="1" ref="K59" ca="1">IFERROR(INDEX(_xlfn._xlws.FILTER(INDIRECT(K$1&amp;"!$E1:$E10000"),INDIRECT(K$1&amp;"!$a1:$a10000")=汇总!$A59),COUNTIF(INDIRECT(K$1&amp;"!$a1:$a10000"),汇总!$A59)),K58)</f>
        <v>323.86824000000001</v>
      </c>
      <c r="L59" s="109" cm="1">
        <f t="array" aca="1" ref="L59" ca="1">IFERROR(INDEX(_xlfn._xlws.FILTER(INDIRECT(L$1&amp;"!$E1:$E10000"),INDIRECT(L$1&amp;"!$a1:$a10000")=汇总!$A59),COUNTIF(INDIRECT(L$1&amp;"!$a1:$a10000"),汇总!$A59)),L58)</f>
        <v>3512.01305</v>
      </c>
      <c r="M59" s="109" cm="1">
        <f t="array" aca="1" ref="M59" ca="1">IFERROR(INDEX(_xlfn._xlws.FILTER(INDIRECT(M$1&amp;"!$E1:$E10000"),INDIRECT(M$1&amp;"!$a1:$a10000")=汇总!$A59),COUNTIF(INDIRECT(M$1&amp;"!$a1:$a10000"),汇总!$A59)),M58)</f>
        <v>1589.1454570000001</v>
      </c>
      <c r="N59" s="109" cm="1">
        <f t="array" aca="1" ref="N59" ca="1">IFERROR(INDEX(_xlfn._xlws.FILTER(INDIRECT(N$1&amp;"!$E1:$E10000"),INDIRECT(N$1&amp;"!$a1:$a10000")=汇总!$A59),COUNTIF(INDIRECT(N$1&amp;"!$a1:$a10000"),汇总!$A59)),N58)</f>
        <v>1143.607</v>
      </c>
      <c r="O59" s="109" cm="1">
        <f t="array" aca="1" ref="O59" ca="1">IFERROR(INDEX(_xlfn._xlws.FILTER(INDIRECT(O$1&amp;"!$E1:$E10000"),INDIRECT(O$1&amp;"!$a1:$a10000")=汇总!$A59),COUNTIF(INDIRECT(O$1&amp;"!$a1:$a10000"),汇总!$A59)),O58)</f>
        <v>342</v>
      </c>
      <c r="P59" s="109" cm="1">
        <f t="array" aca="1" ref="P59" ca="1">IFERROR(INDEX(_xlfn._xlws.FILTER(INDIRECT(P$1&amp;"!$E1:$E10000"),INDIRECT(P$1&amp;"!$a1:$a10000")=汇总!$A59),COUNTIF(INDIRECT(P$1&amp;"!$a1:$a10000"),汇总!$A59)),P58)</f>
        <v>383.8</v>
      </c>
      <c r="Q59" s="109" cm="1">
        <f t="array" aca="1" ref="Q59" ca="1">IFERROR(INDEX(_xlfn._xlws.FILTER(INDIRECT(Q$1&amp;"!$E1:$E10000"),INDIRECT(Q$1&amp;"!$a1:$a10000")=汇总!$A59),COUNTIF(INDIRECT(Q$1&amp;"!$a1:$a10000"),汇总!$A59)),Q58)</f>
        <v>679.98564600000032</v>
      </c>
      <c r="R59" s="109" t="e" cm="1" vm="2">
        <f t="array" aca="1" ref="R59" ca="1">IFERROR(INDEX(_xlfn._xlws.FILTER(INDIRECT(R$1&amp;"!$E1:$E10000"),INDIRECT(R$1&amp;"!$a1:$a10000")=汇总!$A59),COUNTIF(INDIRECT(R$1&amp;"!$a1:$a10000"),汇总!$A59)),R58)</f>
        <v>#VALUE!</v>
      </c>
      <c r="S59" s="109" t="e" cm="1" vm="2">
        <f t="array" aca="1" ref="S59" ca="1">IFERROR(INDEX(_xlfn._xlws.FILTER(INDIRECT(S$1&amp;"!$E1:$E10000"),INDIRECT(S$1&amp;"!$a1:$a10000")=汇总!$A59),COUNTIF(INDIRECT(S$1&amp;"!$a1:$a10000"),汇总!$A59)),S58)</f>
        <v>#VALUE!</v>
      </c>
    </row>
    <row r="60" spans="1:19" hidden="1">
      <c r="A60" s="1">
        <f t="shared" si="2"/>
        <v>46081</v>
      </c>
      <c r="B60" s="109" cm="1">
        <f t="array" aca="1" ref="B60" ca="1">IFERROR(INDEX(_xlfn._xlws.FILTER(INDIRECT(B$1&amp;"!$E1:$E10000"),INDIRECT(B$1&amp;"!$a1:$a10000")=汇总!$A60),COUNTIF(INDIRECT(B$1&amp;"!$a1:$a10000"),汇总!$A60)),B59)</f>
        <v>1197.258</v>
      </c>
      <c r="C60" s="109" cm="1">
        <f t="array" aca="1" ref="C60" ca="1">IFERROR(INDEX(_xlfn._xlws.FILTER(INDIRECT(C$1&amp;"!$E1:$E10000"),INDIRECT(C$1&amp;"!$a1:$a10000")=汇总!$A60),COUNTIF(INDIRECT(C$1&amp;"!$a1:$a10000"),汇总!$A60)),C59)</f>
        <v>1413.4</v>
      </c>
      <c r="D60" s="109" cm="1">
        <f t="array" aca="1" ref="D60" ca="1">IFERROR(INDEX(_xlfn._xlws.FILTER(INDIRECT(D$1&amp;"!$E1:$E10000"),INDIRECT(D$1&amp;"!$a1:$a10000")=汇总!$A60),COUNTIF(INDIRECT(D$1&amp;"!$a1:$a10000"),汇总!$A60)),D59)</f>
        <v>3939.2030500000001</v>
      </c>
      <c r="E60" s="109" cm="1">
        <f t="array" aca="1" ref="E60" ca="1">IFERROR(INDEX(_xlfn._xlws.FILTER(INDIRECT(E$1&amp;"!$E1:$E10000"),INDIRECT(E$1&amp;"!$a1:$a10000")=汇总!$A60),COUNTIF(INDIRECT(E$1&amp;"!$a1:$a10000"),汇总!$A60)),E59)</f>
        <v>1109.28467</v>
      </c>
      <c r="F60" s="109" cm="1">
        <f t="array" aca="1" ref="F60" ca="1">IFERROR(INDEX(_xlfn._xlws.FILTER(INDIRECT(F$1&amp;"!$E1:$E10000"),INDIRECT(F$1&amp;"!$a1:$a10000")=汇总!$A60),COUNTIF(INDIRECT(F$1&amp;"!$a1:$a10000"),汇总!$A60)),F59)</f>
        <v>5133</v>
      </c>
      <c r="G60" s="109" cm="1">
        <f t="array" aca="1" ref="G60" ca="1">IFERROR(INDEX(_xlfn._xlws.FILTER(INDIRECT(G$1&amp;"!$E1:$E10000"),INDIRECT(G$1&amp;"!$a1:$a10000")=汇总!$A60),COUNTIF(INDIRECT(G$1&amp;"!$a1:$a10000"),汇总!$A60)),G59)</f>
        <v>10350</v>
      </c>
      <c r="H60" s="109" cm="1">
        <f t="array" aca="1" ref="H60" ca="1">IFERROR(INDEX(_xlfn._xlws.FILTER(INDIRECT(H$1&amp;"!$E1:$E10000"),INDIRECT(H$1&amp;"!$a1:$a10000")=汇总!$A60),COUNTIF(INDIRECT(H$1&amp;"!$a1:$a10000"),汇总!$A60)),H59)</f>
        <v>51.92997430000014</v>
      </c>
      <c r="I60" s="109" cm="1">
        <f t="array" aca="1" ref="I60" ca="1">IFERROR(INDEX(_xlfn._xlws.FILTER(INDIRECT(I$1&amp;"!$E1:$E10000"),INDIRECT(I$1&amp;"!$a1:$a10000")=汇总!$A60),COUNTIF(INDIRECT(I$1&amp;"!$a1:$a10000"),汇总!$A60)),I59)</f>
        <v>255.27529700000008</v>
      </c>
      <c r="J60" s="109" cm="1">
        <f t="array" aca="1" ref="J60" ca="1">IFERROR(INDEX(_xlfn._xlws.FILTER(INDIRECT(J$1&amp;"!$E1:$E10000"),INDIRECT(J$1&amp;"!$a1:$a10000")=汇总!$A60),COUNTIF(INDIRECT(J$1&amp;"!$a1:$a10000"),汇总!$A60)),J59)</f>
        <v>2.5</v>
      </c>
      <c r="K60" s="109" cm="1">
        <f t="array" aca="1" ref="K60" ca="1">IFERROR(INDEX(_xlfn._xlws.FILTER(INDIRECT(K$1&amp;"!$E1:$E10000"),INDIRECT(K$1&amp;"!$a1:$a10000")=汇总!$A60),COUNTIF(INDIRECT(K$1&amp;"!$a1:$a10000"),汇总!$A60)),K59)</f>
        <v>323.86824000000001</v>
      </c>
      <c r="L60" s="109" cm="1">
        <f t="array" aca="1" ref="L60" ca="1">IFERROR(INDEX(_xlfn._xlws.FILTER(INDIRECT(L$1&amp;"!$E1:$E10000"),INDIRECT(L$1&amp;"!$a1:$a10000")=汇总!$A60),COUNTIF(INDIRECT(L$1&amp;"!$a1:$a10000"),汇总!$A60)),L59)</f>
        <v>3512.01305</v>
      </c>
      <c r="M60" s="109" cm="1">
        <f t="array" aca="1" ref="M60" ca="1">IFERROR(INDEX(_xlfn._xlws.FILTER(INDIRECT(M$1&amp;"!$E1:$E10000"),INDIRECT(M$1&amp;"!$a1:$a10000")=汇总!$A60),COUNTIF(INDIRECT(M$1&amp;"!$a1:$a10000"),汇总!$A60)),M59)</f>
        <v>1589.1454570000001</v>
      </c>
      <c r="N60" s="109" cm="1">
        <f t="array" aca="1" ref="N60" ca="1">IFERROR(INDEX(_xlfn._xlws.FILTER(INDIRECT(N$1&amp;"!$E1:$E10000"),INDIRECT(N$1&amp;"!$a1:$a10000")=汇总!$A60),COUNTIF(INDIRECT(N$1&amp;"!$a1:$a10000"),汇总!$A60)),N59)</f>
        <v>1143.607</v>
      </c>
      <c r="O60" s="109" cm="1">
        <f t="array" aca="1" ref="O60" ca="1">IFERROR(INDEX(_xlfn._xlws.FILTER(INDIRECT(O$1&amp;"!$E1:$E10000"),INDIRECT(O$1&amp;"!$a1:$a10000")=汇总!$A60),COUNTIF(INDIRECT(O$1&amp;"!$a1:$a10000"),汇总!$A60)),O59)</f>
        <v>342</v>
      </c>
      <c r="P60" s="109" cm="1">
        <f t="array" aca="1" ref="P60" ca="1">IFERROR(INDEX(_xlfn._xlws.FILTER(INDIRECT(P$1&amp;"!$E1:$E10000"),INDIRECT(P$1&amp;"!$a1:$a10000")=汇总!$A60),COUNTIF(INDIRECT(P$1&amp;"!$a1:$a10000"),汇总!$A60)),P59)</f>
        <v>383.8</v>
      </c>
      <c r="Q60" s="109" cm="1">
        <f t="array" aca="1" ref="Q60" ca="1">IFERROR(INDEX(_xlfn._xlws.FILTER(INDIRECT(Q$1&amp;"!$E1:$E10000"),INDIRECT(Q$1&amp;"!$a1:$a10000")=汇总!$A60),COUNTIF(INDIRECT(Q$1&amp;"!$a1:$a10000"),汇总!$A60)),Q59)</f>
        <v>679.98564600000032</v>
      </c>
      <c r="R60" s="109" t="e" cm="1" vm="2">
        <f t="array" aca="1" ref="R60" ca="1">IFERROR(INDEX(_xlfn._xlws.FILTER(INDIRECT(R$1&amp;"!$E1:$E10000"),INDIRECT(R$1&amp;"!$a1:$a10000")=汇总!$A60),COUNTIF(INDIRECT(R$1&amp;"!$a1:$a10000"),汇总!$A60)),R59)</f>
        <v>#VALUE!</v>
      </c>
      <c r="S60" s="109" t="e" cm="1" vm="2">
        <f t="array" aca="1" ref="S60" ca="1">IFERROR(INDEX(_xlfn._xlws.FILTER(INDIRECT(S$1&amp;"!$E1:$E10000"),INDIRECT(S$1&amp;"!$a1:$a10000")=汇总!$A60),COUNTIF(INDIRECT(S$1&amp;"!$a1:$a10000"),汇总!$A60)),S59)</f>
        <v>#VALUE!</v>
      </c>
    </row>
    <row r="61" spans="1:19" hidden="1">
      <c r="A61" s="1">
        <f t="shared" si="2"/>
        <v>46082</v>
      </c>
      <c r="B61" s="109" cm="1">
        <f t="array" aca="1" ref="B61" ca="1">IFERROR(INDEX(_xlfn._xlws.FILTER(INDIRECT(B$1&amp;"!$E1:$E10000"),INDIRECT(B$1&amp;"!$a1:$a10000")=汇总!$A61),COUNTIF(INDIRECT(B$1&amp;"!$a1:$a10000"),汇总!$A61)),B60)</f>
        <v>1197.258</v>
      </c>
      <c r="C61" s="109" cm="1">
        <f t="array" aca="1" ref="C61" ca="1">IFERROR(INDEX(_xlfn._xlws.FILTER(INDIRECT(C$1&amp;"!$E1:$E10000"),INDIRECT(C$1&amp;"!$a1:$a10000")=汇总!$A61),COUNTIF(INDIRECT(C$1&amp;"!$a1:$a10000"),汇总!$A61)),C60)</f>
        <v>1413.4</v>
      </c>
      <c r="D61" s="109" cm="1">
        <f t="array" aca="1" ref="D61" ca="1">IFERROR(INDEX(_xlfn._xlws.FILTER(INDIRECT(D$1&amp;"!$E1:$E10000"),INDIRECT(D$1&amp;"!$a1:$a10000")=汇总!$A61),COUNTIF(INDIRECT(D$1&amp;"!$a1:$a10000"),汇总!$A61)),D60)</f>
        <v>3939.2030500000001</v>
      </c>
      <c r="E61" s="109" cm="1">
        <f t="array" aca="1" ref="E61" ca="1">IFERROR(INDEX(_xlfn._xlws.FILTER(INDIRECT(E$1&amp;"!$E1:$E10000"),INDIRECT(E$1&amp;"!$a1:$a10000")=汇总!$A61),COUNTIF(INDIRECT(E$1&amp;"!$a1:$a10000"),汇总!$A61)),E60)</f>
        <v>1109.28467</v>
      </c>
      <c r="F61" s="109" cm="1">
        <f t="array" aca="1" ref="F61" ca="1">IFERROR(INDEX(_xlfn._xlws.FILTER(INDIRECT(F$1&amp;"!$E1:$E10000"),INDIRECT(F$1&amp;"!$a1:$a10000")=汇总!$A61),COUNTIF(INDIRECT(F$1&amp;"!$a1:$a10000"),汇总!$A61)),F60)</f>
        <v>5133</v>
      </c>
      <c r="G61" s="109" cm="1">
        <f t="array" aca="1" ref="G61" ca="1">IFERROR(INDEX(_xlfn._xlws.FILTER(INDIRECT(G$1&amp;"!$E1:$E10000"),INDIRECT(G$1&amp;"!$a1:$a10000")=汇总!$A61),COUNTIF(INDIRECT(G$1&amp;"!$a1:$a10000"),汇总!$A61)),G60)</f>
        <v>10350</v>
      </c>
      <c r="H61" s="109" cm="1">
        <f t="array" aca="1" ref="H61" ca="1">IFERROR(INDEX(_xlfn._xlws.FILTER(INDIRECT(H$1&amp;"!$E1:$E10000"),INDIRECT(H$1&amp;"!$a1:$a10000")=汇总!$A61),COUNTIF(INDIRECT(H$1&amp;"!$a1:$a10000"),汇总!$A61)),H60)</f>
        <v>51.92997430000014</v>
      </c>
      <c r="I61" s="109" cm="1">
        <f t="array" aca="1" ref="I61" ca="1">IFERROR(INDEX(_xlfn._xlws.FILTER(INDIRECT(I$1&amp;"!$E1:$E10000"),INDIRECT(I$1&amp;"!$a1:$a10000")=汇总!$A61),COUNTIF(INDIRECT(I$1&amp;"!$a1:$a10000"),汇总!$A61)),I60)</f>
        <v>255.27529700000008</v>
      </c>
      <c r="J61" s="109" cm="1">
        <f t="array" aca="1" ref="J61" ca="1">IFERROR(INDEX(_xlfn._xlws.FILTER(INDIRECT(J$1&amp;"!$E1:$E10000"),INDIRECT(J$1&amp;"!$a1:$a10000")=汇总!$A61),COUNTIF(INDIRECT(J$1&amp;"!$a1:$a10000"),汇总!$A61)),J60)</f>
        <v>2.5</v>
      </c>
      <c r="K61" s="109" cm="1">
        <f t="array" aca="1" ref="K61" ca="1">IFERROR(INDEX(_xlfn._xlws.FILTER(INDIRECT(K$1&amp;"!$E1:$E10000"),INDIRECT(K$1&amp;"!$a1:$a10000")=汇总!$A61),COUNTIF(INDIRECT(K$1&amp;"!$a1:$a10000"),汇总!$A61)),K60)</f>
        <v>323.86824000000001</v>
      </c>
      <c r="L61" s="109" cm="1">
        <f t="array" aca="1" ref="L61" ca="1">IFERROR(INDEX(_xlfn._xlws.FILTER(INDIRECT(L$1&amp;"!$E1:$E10000"),INDIRECT(L$1&amp;"!$a1:$a10000")=汇总!$A61),COUNTIF(INDIRECT(L$1&amp;"!$a1:$a10000"),汇总!$A61)),L60)</f>
        <v>3512.01305</v>
      </c>
      <c r="M61" s="109" cm="1">
        <f t="array" aca="1" ref="M61" ca="1">IFERROR(INDEX(_xlfn._xlws.FILTER(INDIRECT(M$1&amp;"!$E1:$E10000"),INDIRECT(M$1&amp;"!$a1:$a10000")=汇总!$A61),COUNTIF(INDIRECT(M$1&amp;"!$a1:$a10000"),汇总!$A61)),M60)</f>
        <v>1589.1454570000001</v>
      </c>
      <c r="N61" s="109" cm="1">
        <f t="array" aca="1" ref="N61" ca="1">IFERROR(INDEX(_xlfn._xlws.FILTER(INDIRECT(N$1&amp;"!$E1:$E10000"),INDIRECT(N$1&amp;"!$a1:$a10000")=汇总!$A61),COUNTIF(INDIRECT(N$1&amp;"!$a1:$a10000"),汇总!$A61)),N60)</f>
        <v>1143.607</v>
      </c>
      <c r="O61" s="109" cm="1">
        <f t="array" aca="1" ref="O61" ca="1">IFERROR(INDEX(_xlfn._xlws.FILTER(INDIRECT(O$1&amp;"!$E1:$E10000"),INDIRECT(O$1&amp;"!$a1:$a10000")=汇总!$A61),COUNTIF(INDIRECT(O$1&amp;"!$a1:$a10000"),汇总!$A61)),O60)</f>
        <v>342</v>
      </c>
      <c r="P61" s="109" cm="1">
        <f t="array" aca="1" ref="P61" ca="1">IFERROR(INDEX(_xlfn._xlws.FILTER(INDIRECT(P$1&amp;"!$E1:$E10000"),INDIRECT(P$1&amp;"!$a1:$a10000")=汇总!$A61),COUNTIF(INDIRECT(P$1&amp;"!$a1:$a10000"),汇总!$A61)),P60)</f>
        <v>383.8</v>
      </c>
      <c r="Q61" s="109" cm="1">
        <f t="array" aca="1" ref="Q61" ca="1">IFERROR(INDEX(_xlfn._xlws.FILTER(INDIRECT(Q$1&amp;"!$E1:$E10000"),INDIRECT(Q$1&amp;"!$a1:$a10000")=汇总!$A61),COUNTIF(INDIRECT(Q$1&amp;"!$a1:$a10000"),汇总!$A61)),Q60)</f>
        <v>679.98564600000032</v>
      </c>
      <c r="R61" s="109" t="e" cm="1" vm="2">
        <f t="array" aca="1" ref="R61" ca="1">IFERROR(INDEX(_xlfn._xlws.FILTER(INDIRECT(R$1&amp;"!$E1:$E10000"),INDIRECT(R$1&amp;"!$a1:$a10000")=汇总!$A61),COUNTIF(INDIRECT(R$1&amp;"!$a1:$a10000"),汇总!$A61)),R60)</f>
        <v>#VALUE!</v>
      </c>
      <c r="S61" s="109" t="e" cm="1" vm="2">
        <f t="array" aca="1" ref="S61" ca="1">IFERROR(INDEX(_xlfn._xlws.FILTER(INDIRECT(S$1&amp;"!$E1:$E10000"),INDIRECT(S$1&amp;"!$a1:$a10000")=汇总!$A61),COUNTIF(INDIRECT(S$1&amp;"!$a1:$a10000"),汇总!$A61)),S60)</f>
        <v>#VALUE!</v>
      </c>
    </row>
    <row r="62" spans="1:19" hidden="1">
      <c r="A62" s="1">
        <f t="shared" si="2"/>
        <v>46083</v>
      </c>
      <c r="B62" s="109" cm="1">
        <f t="array" aca="1" ref="B62" ca="1">IFERROR(INDEX(_xlfn._xlws.FILTER(INDIRECT(B$1&amp;"!$E1:$E10000"),INDIRECT(B$1&amp;"!$a1:$a10000")=汇总!$A62),COUNTIF(INDIRECT(B$1&amp;"!$a1:$a10000"),汇总!$A62)),B61)</f>
        <v>381.78522715068539</v>
      </c>
      <c r="C62" s="109" cm="1">
        <f t="array" aca="1" ref="C62" ca="1">IFERROR(INDEX(_xlfn._xlws.FILTER(INDIRECT(C$1&amp;"!$E1:$E10000"),INDIRECT(C$1&amp;"!$a1:$a10000")=汇总!$A62),COUNTIF(INDIRECT(C$1&amp;"!$a1:$a10000"),汇总!$A62)),C61)</f>
        <v>1601.9291124931508</v>
      </c>
      <c r="D62" s="109" cm="1">
        <f t="array" aca="1" ref="D62" ca="1">IFERROR(INDEX(_xlfn._xlws.FILTER(INDIRECT(D$1&amp;"!$E1:$E10000"),INDIRECT(D$1&amp;"!$a1:$a10000")=汇总!$A62),COUNTIF(INDIRECT(D$1&amp;"!$a1:$a10000"),汇总!$A62)),D61)</f>
        <v>1918.3572499999998</v>
      </c>
      <c r="E62" s="109" cm="1">
        <f t="array" aca="1" ref="E62" ca="1">IFERROR(INDEX(_xlfn._xlws.FILTER(INDIRECT(E$1&amp;"!$E1:$E10000"),INDIRECT(E$1&amp;"!$a1:$a10000")=汇总!$A62),COUNTIF(INDIRECT(E$1&amp;"!$a1:$a10000"),汇总!$A62)),E61)</f>
        <v>1109.28467</v>
      </c>
      <c r="F62" s="109" cm="1">
        <f t="array" aca="1" ref="F62" ca="1">IFERROR(INDEX(_xlfn._xlws.FILTER(INDIRECT(F$1&amp;"!$E1:$E10000"),INDIRECT(F$1&amp;"!$a1:$a10000")=汇总!$A62),COUNTIF(INDIRECT(F$1&amp;"!$a1:$a10000"),汇总!$A62)),F61)</f>
        <v>6042</v>
      </c>
      <c r="G62" s="109" cm="1">
        <f t="array" aca="1" ref="G62" ca="1">IFERROR(INDEX(_xlfn._xlws.FILTER(INDIRECT(G$1&amp;"!$E1:$E10000"),INDIRECT(G$1&amp;"!$a1:$a10000")=汇总!$A62),COUNTIF(INDIRECT(G$1&amp;"!$a1:$a10000"),汇总!$A62)),G61)</f>
        <v>3494.2601603561639</v>
      </c>
      <c r="H62" s="109" cm="1">
        <f t="array" aca="1" ref="H62" ca="1">IFERROR(INDEX(_xlfn._xlws.FILTER(INDIRECT(H$1&amp;"!$E1:$E10000"),INDIRECT(H$1&amp;"!$a1:$a10000")=汇总!$A62),COUNTIF(INDIRECT(H$1&amp;"!$a1:$a10000"),汇总!$A62)),H61)</f>
        <v>51.92997430000014</v>
      </c>
      <c r="I62" s="109" cm="1">
        <f t="array" aca="1" ref="I62" ca="1">IFERROR(INDEX(_xlfn._xlws.FILTER(INDIRECT(I$1&amp;"!$E1:$E10000"),INDIRECT(I$1&amp;"!$a1:$a10000")=汇总!$A62),COUNTIF(INDIRECT(I$1&amp;"!$a1:$a10000"),汇总!$A62)),I61)</f>
        <v>255.27529700000008</v>
      </c>
      <c r="J62" s="109" cm="1">
        <f t="array" aca="1" ref="J62" ca="1">IFERROR(INDEX(_xlfn._xlws.FILTER(INDIRECT(J$1&amp;"!$E1:$E10000"),INDIRECT(J$1&amp;"!$a1:$a10000")=汇总!$A62),COUNTIF(INDIRECT(J$1&amp;"!$a1:$a10000"),汇总!$A62)),J61)</f>
        <v>2.5</v>
      </c>
      <c r="K62" s="109" cm="1">
        <f t="array" aca="1" ref="K62" ca="1">IFERROR(INDEX(_xlfn._xlws.FILTER(INDIRECT(K$1&amp;"!$E1:$E10000"),INDIRECT(K$1&amp;"!$a1:$a10000")=汇总!$A62),COUNTIF(INDIRECT(K$1&amp;"!$a1:$a10000"),汇总!$A62)),K61)</f>
        <v>323.86824000000001</v>
      </c>
      <c r="L62" s="109" cm="1">
        <f t="array" aca="1" ref="L62" ca="1">IFERROR(INDEX(_xlfn._xlws.FILTER(INDIRECT(L$1&amp;"!$E1:$E10000"),INDIRECT(L$1&amp;"!$a1:$a10000")=汇总!$A62),COUNTIF(INDIRECT(L$1&amp;"!$a1:$a10000"),汇总!$A62)),L61)</f>
        <v>2193.2610500000001</v>
      </c>
      <c r="M62" s="109" cm="1">
        <f t="array" aca="1" ref="M62" ca="1">IFERROR(INDEX(_xlfn._xlws.FILTER(INDIRECT(M$1&amp;"!$E1:$E10000"),INDIRECT(M$1&amp;"!$a1:$a10000")=汇总!$A62),COUNTIF(INDIRECT(M$1&amp;"!$a1:$a10000"),汇总!$A62)),M61)</f>
        <v>1589.1454570000001</v>
      </c>
      <c r="N62" s="109" cm="1">
        <f t="array" aca="1" ref="N62" ca="1">IFERROR(INDEX(_xlfn._xlws.FILTER(INDIRECT(N$1&amp;"!$E1:$E10000"),INDIRECT(N$1&amp;"!$a1:$a10000")=汇总!$A62),COUNTIF(INDIRECT(N$1&amp;"!$a1:$a10000"),汇总!$A62)),N61)</f>
        <v>1143.607</v>
      </c>
      <c r="O62" s="109" cm="1">
        <f t="array" aca="1" ref="O62" ca="1">IFERROR(INDEX(_xlfn._xlws.FILTER(INDIRECT(O$1&amp;"!$E1:$E10000"),INDIRECT(O$1&amp;"!$a1:$a10000")=汇总!$A62),COUNTIF(INDIRECT(O$1&amp;"!$a1:$a10000"),汇总!$A62)),O61)</f>
        <v>342</v>
      </c>
      <c r="P62" s="109" cm="1">
        <f t="array" aca="1" ref="P62" ca="1">IFERROR(INDEX(_xlfn._xlws.FILTER(INDIRECT(P$1&amp;"!$E1:$E10000"),INDIRECT(P$1&amp;"!$a1:$a10000")=汇总!$A62),COUNTIF(INDIRECT(P$1&amp;"!$a1:$a10000"),汇总!$A62)),P61)</f>
        <v>2.2999999999999998</v>
      </c>
      <c r="Q62" s="109" cm="1">
        <f t="array" aca="1" ref="Q62" ca="1">IFERROR(INDEX(_xlfn._xlws.FILTER(INDIRECT(Q$1&amp;"!$E1:$E10000"),INDIRECT(Q$1&amp;"!$a1:$a10000")=汇总!$A62),COUNTIF(INDIRECT(Q$1&amp;"!$a1:$a10000"),汇总!$A62)),Q61)</f>
        <v>679.98564600000032</v>
      </c>
      <c r="R62" s="109" t="e" cm="1" vm="2">
        <f t="array" aca="1" ref="R62" ca="1">IFERROR(INDEX(_xlfn._xlws.FILTER(INDIRECT(R$1&amp;"!$E1:$E10000"),INDIRECT(R$1&amp;"!$a1:$a10000")=汇总!$A62),COUNTIF(INDIRECT(R$1&amp;"!$a1:$a10000"),汇总!$A62)),R61)</f>
        <v>#VALUE!</v>
      </c>
      <c r="S62" s="109" t="e" cm="1" vm="2">
        <f t="array" aca="1" ref="S62" ca="1">IFERROR(INDEX(_xlfn._xlws.FILTER(INDIRECT(S$1&amp;"!$E1:$E10000"),INDIRECT(S$1&amp;"!$a1:$a10000")=汇总!$A62),COUNTIF(INDIRECT(S$1&amp;"!$a1:$a10000"),汇总!$A62)),S61)</f>
        <v>#VALUE!</v>
      </c>
    </row>
    <row r="63" spans="1:19" hidden="1">
      <c r="A63" s="1">
        <f t="shared" si="2"/>
        <v>46084</v>
      </c>
      <c r="B63" s="109" cm="1">
        <f t="array" aca="1" ref="B63" ca="1">IFERROR(INDEX(_xlfn._xlws.FILTER(INDIRECT(B$1&amp;"!$E1:$E10000"),INDIRECT(B$1&amp;"!$a1:$a10000")=汇总!$A63),COUNTIF(INDIRECT(B$1&amp;"!$a1:$a10000"),汇总!$A63)),B62)</f>
        <v>392.78522715068539</v>
      </c>
      <c r="C63" s="109" cm="1">
        <f t="array" aca="1" ref="C63" ca="1">IFERROR(INDEX(_xlfn._xlws.FILTER(INDIRECT(C$1&amp;"!$E1:$E10000"),INDIRECT(C$1&amp;"!$a1:$a10000")=汇总!$A63),COUNTIF(INDIRECT(C$1&amp;"!$a1:$a10000"),汇总!$A63)),C62)</f>
        <v>466.9291124931508</v>
      </c>
      <c r="D63" s="109" cm="1">
        <f t="array" aca="1" ref="D63" ca="1">IFERROR(INDEX(_xlfn._xlws.FILTER(INDIRECT(D$1&amp;"!$E1:$E10000"),INDIRECT(D$1&amp;"!$a1:$a10000")=汇总!$A63),COUNTIF(INDIRECT(D$1&amp;"!$a1:$a10000"),汇总!$A63)),D62)</f>
        <v>1427.5912499999997</v>
      </c>
      <c r="E63" s="109" cm="1">
        <f t="array" aca="1" ref="E63" ca="1">IFERROR(INDEX(_xlfn._xlws.FILTER(INDIRECT(E$1&amp;"!$E1:$E10000"),INDIRECT(E$1&amp;"!$a1:$a10000")=汇总!$A63),COUNTIF(INDIRECT(E$1&amp;"!$a1:$a10000"),汇总!$A63)),E62)</f>
        <v>133.28467000000001</v>
      </c>
      <c r="F63" s="109" cm="1">
        <f t="array" aca="1" ref="F63" ca="1">IFERROR(INDEX(_xlfn._xlws.FILTER(INDIRECT(F$1&amp;"!$E1:$E10000"),INDIRECT(F$1&amp;"!$a1:$a10000")=汇总!$A63),COUNTIF(INDIRECT(F$1&amp;"!$a1:$a10000"),汇总!$A63)),F62)</f>
        <v>6042</v>
      </c>
      <c r="G63" s="109" cm="1">
        <f t="array" aca="1" ref="G63" ca="1">IFERROR(INDEX(_xlfn._xlws.FILTER(INDIRECT(G$1&amp;"!$E1:$E10000"),INDIRECT(G$1&amp;"!$a1:$a10000")=汇总!$A63),COUNTIF(INDIRECT(G$1&amp;"!$a1:$a10000"),汇总!$A63)),G62)</f>
        <v>606.74696035616398</v>
      </c>
      <c r="H63" s="109" cm="1">
        <f t="array" aca="1" ref="H63" ca="1">IFERROR(INDEX(_xlfn._xlws.FILTER(INDIRECT(H$1&amp;"!$E1:$E10000"),INDIRECT(H$1&amp;"!$a1:$a10000")=汇总!$A63),COUNTIF(INDIRECT(H$1&amp;"!$a1:$a10000"),汇总!$A63)),H62)</f>
        <v>1003.9299743000001</v>
      </c>
      <c r="I63" s="109" cm="1">
        <f t="array" aca="1" ref="I63" ca="1">IFERROR(INDEX(_xlfn._xlws.FILTER(INDIRECT(I$1&amp;"!$E1:$E10000"),INDIRECT(I$1&amp;"!$a1:$a10000")=汇总!$A63),COUNTIF(INDIRECT(I$1&amp;"!$a1:$a10000"),汇总!$A63)),I62)</f>
        <v>255.27529700000008</v>
      </c>
      <c r="J63" s="109" cm="1">
        <f t="array" aca="1" ref="J63" ca="1">IFERROR(INDEX(_xlfn._xlws.FILTER(INDIRECT(J$1&amp;"!$E1:$E10000"),INDIRECT(J$1&amp;"!$a1:$a10000")=汇总!$A63),COUNTIF(INDIRECT(J$1&amp;"!$a1:$a10000"),汇总!$A63)),J62)</f>
        <v>2.5</v>
      </c>
      <c r="K63" s="109" cm="1">
        <f t="array" aca="1" ref="K63" ca="1">IFERROR(INDEX(_xlfn._xlws.FILTER(INDIRECT(K$1&amp;"!$E1:$E10000"),INDIRECT(K$1&amp;"!$a1:$a10000")=汇总!$A63),COUNTIF(INDIRECT(K$1&amp;"!$a1:$a10000"),汇总!$A63)),K62)</f>
        <v>323.86824000000001</v>
      </c>
      <c r="L63" s="109" cm="1">
        <f t="array" aca="1" ref="L63" ca="1">IFERROR(INDEX(_xlfn._xlws.FILTER(INDIRECT(L$1&amp;"!$E1:$E10000"),INDIRECT(L$1&amp;"!$a1:$a10000")=汇总!$A63),COUNTIF(INDIRECT(L$1&amp;"!$a1:$a10000"),汇总!$A63)),L62)</f>
        <v>-3.5019500000000789</v>
      </c>
      <c r="M63" s="109" cm="1">
        <f t="array" aca="1" ref="M63" ca="1">IFERROR(INDEX(_xlfn._xlws.FILTER(INDIRECT(M$1&amp;"!$E1:$E10000"),INDIRECT(M$1&amp;"!$a1:$a10000")=汇总!$A63),COUNTIF(INDIRECT(M$1&amp;"!$a1:$a10000"),汇总!$A63)),M62)</f>
        <v>233.26158999999998</v>
      </c>
      <c r="N63" s="109" cm="1">
        <f t="array" aca="1" ref="N63" ca="1">IFERROR(INDEX(_xlfn._xlws.FILTER(INDIRECT(N$1&amp;"!$E1:$E10000"),INDIRECT(N$1&amp;"!$a1:$a10000")=汇总!$A63),COUNTIF(INDIRECT(N$1&amp;"!$a1:$a10000"),汇总!$A63)),N62)</f>
        <v>1343.607</v>
      </c>
      <c r="O63" s="109" cm="1">
        <f t="array" aca="1" ref="O63" ca="1">IFERROR(INDEX(_xlfn._xlws.FILTER(INDIRECT(O$1&amp;"!$E1:$E10000"),INDIRECT(O$1&amp;"!$a1:$a10000")=汇总!$A63),COUNTIF(INDIRECT(O$1&amp;"!$a1:$a10000"),汇总!$A63)),O62)</f>
        <v>342</v>
      </c>
      <c r="P63" s="109" cm="1">
        <f t="array" aca="1" ref="P63" ca="1">IFERROR(INDEX(_xlfn._xlws.FILTER(INDIRECT(P$1&amp;"!$E1:$E10000"),INDIRECT(P$1&amp;"!$a1:$a10000")=汇总!$A63),COUNTIF(INDIRECT(P$1&amp;"!$a1:$a10000"),汇总!$A63)),P62)</f>
        <v>2.2999999999999998</v>
      </c>
      <c r="Q63" s="109" cm="1">
        <f t="array" aca="1" ref="Q63" ca="1">IFERROR(INDEX(_xlfn._xlws.FILTER(INDIRECT(Q$1&amp;"!$E1:$E10000"),INDIRECT(Q$1&amp;"!$a1:$a10000")=汇总!$A63),COUNTIF(INDIRECT(Q$1&amp;"!$a1:$a10000"),汇总!$A63)),Q62)</f>
        <v>17</v>
      </c>
      <c r="R63" s="109" t="e" cm="1" vm="2">
        <f t="array" aca="1" ref="R63" ca="1">IFERROR(INDEX(_xlfn._xlws.FILTER(INDIRECT(R$1&amp;"!$E1:$E10000"),INDIRECT(R$1&amp;"!$a1:$a10000")=汇总!$A63),COUNTIF(INDIRECT(R$1&amp;"!$a1:$a10000"),汇总!$A63)),R62)</f>
        <v>#VALUE!</v>
      </c>
      <c r="S63" s="109" t="e" cm="1" vm="2">
        <f t="array" aca="1" ref="S63" ca="1">IFERROR(INDEX(_xlfn._xlws.FILTER(INDIRECT(S$1&amp;"!$E1:$E10000"),INDIRECT(S$1&amp;"!$a1:$a10000")=汇总!$A63),COUNTIF(INDIRECT(S$1&amp;"!$a1:$a10000"),汇总!$A63)),S62)</f>
        <v>#VALUE!</v>
      </c>
    </row>
    <row r="64" spans="1:19" hidden="1">
      <c r="A64" s="1">
        <f t="shared" si="2"/>
        <v>46085</v>
      </c>
      <c r="B64" s="109" cm="1">
        <f t="array" aca="1" ref="B64" ca="1">IFERROR(INDEX(_xlfn._xlws.FILTER(INDIRECT(B$1&amp;"!$E1:$E10000"),INDIRECT(B$1&amp;"!$a1:$a10000")=汇总!$A64),COUNTIF(INDIRECT(B$1&amp;"!$a1:$a10000"),汇总!$A64)),B63)</f>
        <v>437.78522715068539</v>
      </c>
      <c r="C64" s="109" cm="1">
        <f t="array" aca="1" ref="C64" ca="1">IFERROR(INDEX(_xlfn._xlws.FILTER(INDIRECT(C$1&amp;"!$E1:$E10000"),INDIRECT(C$1&amp;"!$a1:$a10000")=汇总!$A64),COUNTIF(INDIRECT(C$1&amp;"!$a1:$a10000"),汇总!$A64)),C63)</f>
        <v>466.9291124931508</v>
      </c>
      <c r="D64" s="109" cm="1">
        <f t="array" aca="1" ref="D64" ca="1">IFERROR(INDEX(_xlfn._xlws.FILTER(INDIRECT(D$1&amp;"!$E1:$E10000"),INDIRECT(D$1&amp;"!$a1:$a10000")=汇总!$A64),COUNTIF(INDIRECT(D$1&amp;"!$a1:$a10000"),汇总!$A64)),D63)</f>
        <v>1364</v>
      </c>
      <c r="E64" s="109" cm="1">
        <f t="array" aca="1" ref="E64" ca="1">IFERROR(INDEX(_xlfn._xlws.FILTER(INDIRECT(E$1&amp;"!$E1:$E10000"),INDIRECT(E$1&amp;"!$a1:$a10000")=汇总!$A64),COUNTIF(INDIRECT(E$1&amp;"!$a1:$a10000"),汇总!$A64)),E63)</f>
        <v>133.28467000000001</v>
      </c>
      <c r="F64" s="109" cm="1">
        <f t="array" aca="1" ref="F64" ca="1">IFERROR(INDEX(_xlfn._xlws.FILTER(INDIRECT(F$1&amp;"!$E1:$E10000"),INDIRECT(F$1&amp;"!$a1:$a10000")=汇总!$A64),COUNTIF(INDIRECT(F$1&amp;"!$a1:$a10000"),汇总!$A64)),F63)</f>
        <v>5468</v>
      </c>
      <c r="G64" s="109" cm="1">
        <f t="array" aca="1" ref="G64" ca="1">IFERROR(INDEX(_xlfn._xlws.FILTER(INDIRECT(G$1&amp;"!$E1:$E10000"),INDIRECT(G$1&amp;"!$a1:$a10000")=汇总!$A64),COUNTIF(INDIRECT(G$1&amp;"!$a1:$a10000"),汇总!$A64)),G63)</f>
        <v>606.74696035616398</v>
      </c>
      <c r="H64" s="109" cm="1">
        <f t="array" aca="1" ref="H64" ca="1">IFERROR(INDEX(_xlfn._xlws.FILTER(INDIRECT(H$1&amp;"!$E1:$E10000"),INDIRECT(H$1&amp;"!$a1:$a10000")=汇总!$A64),COUNTIF(INDIRECT(H$1&amp;"!$a1:$a10000"),汇总!$A64)),H63)</f>
        <v>1003.9299743000001</v>
      </c>
      <c r="I64" s="109" cm="1">
        <f t="array" aca="1" ref="I64" ca="1">IFERROR(INDEX(_xlfn._xlws.FILTER(INDIRECT(I$1&amp;"!$E1:$E10000"),INDIRECT(I$1&amp;"!$a1:$a10000")=汇总!$A64),COUNTIF(INDIRECT(I$1&amp;"!$a1:$a10000"),汇总!$A64)),I63)</f>
        <v>1004.874147</v>
      </c>
      <c r="J64" s="109" cm="1">
        <f t="array" aca="1" ref="J64" ca="1">IFERROR(INDEX(_xlfn._xlws.FILTER(INDIRECT(J$1&amp;"!$E1:$E10000"),INDIRECT(J$1&amp;"!$a1:$a10000")=汇总!$A64),COUNTIF(INDIRECT(J$1&amp;"!$a1:$a10000"),汇总!$A64)),J63)</f>
        <v>2.5</v>
      </c>
      <c r="K64" s="109" cm="1">
        <f t="array" aca="1" ref="K64" ca="1">IFERROR(INDEX(_xlfn._xlws.FILTER(INDIRECT(K$1&amp;"!$E1:$E10000"),INDIRECT(K$1&amp;"!$a1:$a10000")=汇总!$A64),COUNTIF(INDIRECT(K$1&amp;"!$a1:$a10000"),汇总!$A64)),K63)</f>
        <v>521.86824000000001</v>
      </c>
      <c r="L64" s="109" cm="1">
        <f t="array" aca="1" ref="L64" ca="1">IFERROR(INDEX(_xlfn._xlws.FILTER(INDIRECT(L$1&amp;"!$E1:$E10000"),INDIRECT(L$1&amp;"!$a1:$a10000")=汇总!$A64),COUNTIF(INDIRECT(L$1&amp;"!$a1:$a10000"),汇总!$A64)),L63)</f>
        <v>1.4980499999999211</v>
      </c>
      <c r="M64" s="109" cm="1">
        <f t="array" aca="1" ref="M64" ca="1">IFERROR(INDEX(_xlfn._xlws.FILTER(INDIRECT(M$1&amp;"!$E1:$E10000"),INDIRECT(M$1&amp;"!$a1:$a10000")=汇总!$A64),COUNTIF(INDIRECT(M$1&amp;"!$a1:$a10000"),汇总!$A64)),M63)</f>
        <v>233.26158999999998</v>
      </c>
      <c r="N64" s="109" cm="1">
        <f t="array" aca="1" ref="N64" ca="1">IFERROR(INDEX(_xlfn._xlws.FILTER(INDIRECT(N$1&amp;"!$E1:$E10000"),INDIRECT(N$1&amp;"!$a1:$a10000")=汇总!$A64),COUNTIF(INDIRECT(N$1&amp;"!$a1:$a10000"),汇总!$A64)),N63)</f>
        <v>2001</v>
      </c>
      <c r="O64" s="109" cm="1">
        <f t="array" aca="1" ref="O64" ca="1">IFERROR(INDEX(_xlfn._xlws.FILTER(INDIRECT(O$1&amp;"!$E1:$E10000"),INDIRECT(O$1&amp;"!$a1:$a10000")=汇总!$A64),COUNTIF(INDIRECT(O$1&amp;"!$a1:$a10000"),汇总!$A64)),O63)</f>
        <v>342</v>
      </c>
      <c r="P64" s="109" cm="1">
        <f t="array" aca="1" ref="P64" ca="1">IFERROR(INDEX(_xlfn._xlws.FILTER(INDIRECT(P$1&amp;"!$E1:$E10000"),INDIRECT(P$1&amp;"!$a1:$a10000")=汇总!$A64),COUNTIF(INDIRECT(P$1&amp;"!$a1:$a10000"),汇总!$A64)),P63)</f>
        <v>2.2999999999999998</v>
      </c>
      <c r="Q64" s="109" cm="1">
        <f t="array" aca="1" ref="Q64" ca="1">IFERROR(INDEX(_xlfn._xlws.FILTER(INDIRECT(Q$1&amp;"!$E1:$E10000"),INDIRECT(Q$1&amp;"!$a1:$a10000")=汇总!$A64),COUNTIF(INDIRECT(Q$1&amp;"!$a1:$a10000"),汇总!$A64)),Q63)</f>
        <v>17</v>
      </c>
      <c r="R64" s="109" t="e" cm="1" vm="2">
        <f t="array" aca="1" ref="R64" ca="1">IFERROR(INDEX(_xlfn._xlws.FILTER(INDIRECT(R$1&amp;"!$E1:$E10000"),INDIRECT(R$1&amp;"!$a1:$a10000")=汇总!$A64),COUNTIF(INDIRECT(R$1&amp;"!$a1:$a10000"),汇总!$A64)),R63)</f>
        <v>#VALUE!</v>
      </c>
      <c r="S64" s="109" t="e" cm="1" vm="2">
        <f t="array" aca="1" ref="S64" ca="1">IFERROR(INDEX(_xlfn._xlws.FILTER(INDIRECT(S$1&amp;"!$E1:$E10000"),INDIRECT(S$1&amp;"!$a1:$a10000")=汇总!$A64),COUNTIF(INDIRECT(S$1&amp;"!$a1:$a10000"),汇总!$A64)),S63)</f>
        <v>#VALUE!</v>
      </c>
    </row>
    <row r="65" spans="1:19" hidden="1">
      <c r="A65" s="1">
        <f t="shared" si="2"/>
        <v>46086</v>
      </c>
      <c r="B65" s="109" cm="1">
        <f t="array" aca="1" ref="B65" ca="1">IFERROR(INDEX(_xlfn._xlws.FILTER(INDIRECT(B$1&amp;"!$E1:$E10000"),INDIRECT(B$1&amp;"!$a1:$a10000")=汇总!$A65),COUNTIF(INDIRECT(B$1&amp;"!$a1:$a10000"),汇总!$A65)),B64)</f>
        <v>437.78522715068539</v>
      </c>
      <c r="C65" s="109" cm="1">
        <f t="array" aca="1" ref="C65" ca="1">IFERROR(INDEX(_xlfn._xlws.FILTER(INDIRECT(C$1&amp;"!$E1:$E10000"),INDIRECT(C$1&amp;"!$a1:$a10000")=汇总!$A65),COUNTIF(INDIRECT(C$1&amp;"!$a1:$a10000"),汇总!$A65)),C64)</f>
        <v>466.9291124931508</v>
      </c>
      <c r="D65" s="109" cm="1">
        <f t="array" aca="1" ref="D65" ca="1">IFERROR(INDEX(_xlfn._xlws.FILTER(INDIRECT(D$1&amp;"!$E1:$E10000"),INDIRECT(D$1&amp;"!$a1:$a10000")=汇总!$A65),COUNTIF(INDIRECT(D$1&amp;"!$a1:$a10000"),汇总!$A65)),D64)</f>
        <v>1364</v>
      </c>
      <c r="E65" s="109" cm="1">
        <f t="array" aca="1" ref="E65" ca="1">IFERROR(INDEX(_xlfn._xlws.FILTER(INDIRECT(E$1&amp;"!$E1:$E10000"),INDIRECT(E$1&amp;"!$a1:$a10000")=汇总!$A65),COUNTIF(INDIRECT(E$1&amp;"!$a1:$a10000"),汇总!$A65)),E64)</f>
        <v>133.28467000000001</v>
      </c>
      <c r="F65" s="109" cm="1">
        <f t="array" aca="1" ref="F65" ca="1">IFERROR(INDEX(_xlfn._xlws.FILTER(INDIRECT(F$1&amp;"!$E1:$E10000"),INDIRECT(F$1&amp;"!$a1:$a10000")=汇总!$A65),COUNTIF(INDIRECT(F$1&amp;"!$a1:$a10000"),汇总!$A65)),F64)</f>
        <v>5688</v>
      </c>
      <c r="G65" s="109" cm="1">
        <f t="array" aca="1" ref="G65" ca="1">IFERROR(INDEX(_xlfn._xlws.FILTER(INDIRECT(G$1&amp;"!$E1:$E10000"),INDIRECT(G$1&amp;"!$a1:$a10000")=汇总!$A65),COUNTIF(INDIRECT(G$1&amp;"!$a1:$a10000"),汇总!$A65)),G64)</f>
        <v>606.74696035616398</v>
      </c>
      <c r="H65" s="109" cm="1">
        <f t="array" aca="1" ref="H65" ca="1">IFERROR(INDEX(_xlfn._xlws.FILTER(INDIRECT(H$1&amp;"!$E1:$E10000"),INDIRECT(H$1&amp;"!$a1:$a10000")=汇总!$A65),COUNTIF(INDIRECT(H$1&amp;"!$a1:$a10000"),汇总!$A65)),H64)</f>
        <v>1003.9299743000001</v>
      </c>
      <c r="I65" s="109" cm="1">
        <f t="array" aca="1" ref="I65" ca="1">IFERROR(INDEX(_xlfn._xlws.FILTER(INDIRECT(I$1&amp;"!$E1:$E10000"),INDIRECT(I$1&amp;"!$a1:$a10000")=汇总!$A65),COUNTIF(INDIRECT(I$1&amp;"!$a1:$a10000"),汇总!$A65)),I64)</f>
        <v>1004.874147</v>
      </c>
      <c r="J65" s="109" cm="1">
        <f t="array" aca="1" ref="J65" ca="1">IFERROR(INDEX(_xlfn._xlws.FILTER(INDIRECT(J$1&amp;"!$E1:$E10000"),INDIRECT(J$1&amp;"!$a1:$a10000")=汇总!$A65),COUNTIF(INDIRECT(J$1&amp;"!$a1:$a10000"),汇总!$A65)),J64)</f>
        <v>2.5</v>
      </c>
      <c r="K65" s="109" cm="1">
        <f t="array" aca="1" ref="K65" ca="1">IFERROR(INDEX(_xlfn._xlws.FILTER(INDIRECT(K$1&amp;"!$E1:$E10000"),INDIRECT(K$1&amp;"!$a1:$a10000")=汇总!$A65),COUNTIF(INDIRECT(K$1&amp;"!$a1:$a10000"),汇总!$A65)),K64)</f>
        <v>521.86824000000001</v>
      </c>
      <c r="L65" s="109" cm="1">
        <f t="array" aca="1" ref="L65" ca="1">IFERROR(INDEX(_xlfn._xlws.FILTER(INDIRECT(L$1&amp;"!$E1:$E10000"),INDIRECT(L$1&amp;"!$a1:$a10000")=汇总!$A65),COUNTIF(INDIRECT(L$1&amp;"!$a1:$a10000"),汇总!$A65)),L64)</f>
        <v>1.4980499999999211</v>
      </c>
      <c r="M65" s="109" cm="1">
        <f t="array" aca="1" ref="M65" ca="1">IFERROR(INDEX(_xlfn._xlws.FILTER(INDIRECT(M$1&amp;"!$E1:$E10000"),INDIRECT(M$1&amp;"!$a1:$a10000")=汇总!$A65),COUNTIF(INDIRECT(M$1&amp;"!$a1:$a10000"),汇总!$A65)),M64)</f>
        <v>233.26158999999998</v>
      </c>
      <c r="N65" s="109" cm="1">
        <f t="array" aca="1" ref="N65" ca="1">IFERROR(INDEX(_xlfn._xlws.FILTER(INDIRECT(N$1&amp;"!$E1:$E10000"),INDIRECT(N$1&amp;"!$a1:$a10000")=汇总!$A65),COUNTIF(INDIRECT(N$1&amp;"!$a1:$a10000"),汇总!$A65)),N64)</f>
        <v>2901</v>
      </c>
      <c r="O65" s="109" cm="1">
        <f t="array" aca="1" ref="O65" ca="1">IFERROR(INDEX(_xlfn._xlws.FILTER(INDIRECT(O$1&amp;"!$E1:$E10000"),INDIRECT(O$1&amp;"!$a1:$a10000")=汇总!$A65),COUNTIF(INDIRECT(O$1&amp;"!$a1:$a10000"),汇总!$A65)),O64)</f>
        <v>342</v>
      </c>
      <c r="P65" s="109" cm="1">
        <f t="array" aca="1" ref="P65" ca="1">IFERROR(INDEX(_xlfn._xlws.FILTER(INDIRECT(P$1&amp;"!$E1:$E10000"),INDIRECT(P$1&amp;"!$a1:$a10000")=汇总!$A65),COUNTIF(INDIRECT(P$1&amp;"!$a1:$a10000"),汇总!$A65)),P64)</f>
        <v>2.2999999999999998</v>
      </c>
      <c r="Q65" s="109" cm="1">
        <f t="array" aca="1" ref="Q65" ca="1">IFERROR(INDEX(_xlfn._xlws.FILTER(INDIRECT(Q$1&amp;"!$E1:$E10000"),INDIRECT(Q$1&amp;"!$a1:$a10000")=汇总!$A65),COUNTIF(INDIRECT(Q$1&amp;"!$a1:$a10000"),汇总!$A65)),Q64)</f>
        <v>17</v>
      </c>
      <c r="R65" s="109" cm="1">
        <f t="array" aca="1" ref="R65" ca="1">IFERROR(INDEX(_xlfn._xlws.FILTER(INDIRECT(R$1&amp;"!$E1:$E10000"),INDIRECT(R$1&amp;"!$a1:$a10000")=汇总!$A65),COUNTIF(INDIRECT(R$1&amp;"!$a1:$a10000"),汇总!$A65)),R64)</f>
        <v>5720</v>
      </c>
      <c r="S65" s="109" t="e" cm="1" vm="2">
        <f t="array" aca="1" ref="S65" ca="1">IFERROR(INDEX(_xlfn._xlws.FILTER(INDIRECT(S$1&amp;"!$E1:$E10000"),INDIRECT(S$1&amp;"!$a1:$a10000")=汇总!$A65),COUNTIF(INDIRECT(S$1&amp;"!$a1:$a10000"),汇总!$A65)),S64)</f>
        <v>#VALUE!</v>
      </c>
    </row>
    <row r="66" spans="1:19" hidden="1">
      <c r="A66" s="1">
        <f t="shared" si="2"/>
        <v>46087</v>
      </c>
      <c r="B66" s="109" cm="1">
        <f t="array" aca="1" ref="B66" ca="1">IFERROR(INDEX(_xlfn._xlws.FILTER(INDIRECT(B$1&amp;"!$E1:$E10000"),INDIRECT(B$1&amp;"!$a1:$a10000")=汇总!$A66),COUNTIF(INDIRECT(B$1&amp;"!$a1:$a10000"),汇总!$A66)),B65)</f>
        <v>1714.0352271506854</v>
      </c>
      <c r="C66" s="109" cm="1">
        <f t="array" aca="1" ref="C66" ca="1">IFERROR(INDEX(_xlfn._xlws.FILTER(INDIRECT(C$1&amp;"!$E1:$E10000"),INDIRECT(C$1&amp;"!$a1:$a10000")=汇总!$A66),COUNTIF(INDIRECT(C$1&amp;"!$a1:$a10000"),汇总!$A66)),C65)</f>
        <v>466.9291124931508</v>
      </c>
      <c r="D66" s="109" cm="1">
        <f t="array" aca="1" ref="D66" ca="1">IFERROR(INDEX(_xlfn._xlws.FILTER(INDIRECT(D$1&amp;"!$E1:$E10000"),INDIRECT(D$1&amp;"!$a1:$a10000")=汇总!$A66),COUNTIF(INDIRECT(D$1&amp;"!$a1:$a10000"),汇总!$A66)),D65)</f>
        <v>2467.375</v>
      </c>
      <c r="E66" s="109" cm="1">
        <f t="array" aca="1" ref="E66" ca="1">IFERROR(INDEX(_xlfn._xlws.FILTER(INDIRECT(E$1&amp;"!$E1:$E10000"),INDIRECT(E$1&amp;"!$a1:$a10000")=汇总!$A66),COUNTIF(INDIRECT(E$1&amp;"!$a1:$a10000"),汇总!$A66)),E65)</f>
        <v>262.43466999999998</v>
      </c>
      <c r="F66" s="109" cm="1">
        <f t="array" aca="1" ref="F66" ca="1">IFERROR(INDEX(_xlfn._xlws.FILTER(INDIRECT(F$1&amp;"!$E1:$E10000"),INDIRECT(F$1&amp;"!$a1:$a10000")=汇总!$A66),COUNTIF(INDIRECT(F$1&amp;"!$a1:$a10000"),汇总!$A66)),F65)</f>
        <v>5688</v>
      </c>
      <c r="G66" s="109" cm="1">
        <f t="array" aca="1" ref="G66" ca="1">IFERROR(INDEX(_xlfn._xlws.FILTER(INDIRECT(G$1&amp;"!$E1:$E10000"),INDIRECT(G$1&amp;"!$a1:$a10000")=汇总!$A66),COUNTIF(INDIRECT(G$1&amp;"!$a1:$a10000"),汇总!$A66)),G65)</f>
        <v>606.74696035616398</v>
      </c>
      <c r="H66" s="109" cm="1">
        <f t="array" aca="1" ref="H66" ca="1">IFERROR(INDEX(_xlfn._xlws.FILTER(INDIRECT(H$1&amp;"!$E1:$E10000"),INDIRECT(H$1&amp;"!$a1:$a10000")=汇总!$A66),COUNTIF(INDIRECT(H$1&amp;"!$a1:$a10000"),汇总!$A66)),H65)</f>
        <v>1183.9299743000001</v>
      </c>
      <c r="I66" s="109" cm="1">
        <f t="array" aca="1" ref="I66" ca="1">IFERROR(INDEX(_xlfn._xlws.FILTER(INDIRECT(I$1&amp;"!$E1:$E10000"),INDIRECT(I$1&amp;"!$a1:$a10000")=汇总!$A66),COUNTIF(INDIRECT(I$1&amp;"!$a1:$a10000"),汇总!$A66)),I65)</f>
        <v>902.500947</v>
      </c>
      <c r="J66" s="109" cm="1">
        <f t="array" aca="1" ref="J66" ca="1">IFERROR(INDEX(_xlfn._xlws.FILTER(INDIRECT(J$1&amp;"!$E1:$E10000"),INDIRECT(J$1&amp;"!$a1:$a10000")=汇总!$A66),COUNTIF(INDIRECT(J$1&amp;"!$a1:$a10000"),汇总!$A66)),J65)</f>
        <v>2.5</v>
      </c>
      <c r="K66" s="109" cm="1">
        <f t="array" aca="1" ref="K66" ca="1">IFERROR(INDEX(_xlfn._xlws.FILTER(INDIRECT(K$1&amp;"!$E1:$E10000"),INDIRECT(K$1&amp;"!$a1:$a10000")=汇总!$A66),COUNTIF(INDIRECT(K$1&amp;"!$a1:$a10000"),汇总!$A66)),K65)</f>
        <v>521.86824000000001</v>
      </c>
      <c r="L66" s="109" cm="1">
        <f t="array" aca="1" ref="L66" ca="1">IFERROR(INDEX(_xlfn._xlws.FILTER(INDIRECT(L$1&amp;"!$E1:$E10000"),INDIRECT(L$1&amp;"!$a1:$a10000")=汇总!$A66),COUNTIF(INDIRECT(L$1&amp;"!$a1:$a10000"),汇总!$A66)),L65)</f>
        <v>1.4980499999999211</v>
      </c>
      <c r="M66" s="109" cm="1">
        <f t="array" aca="1" ref="M66" ca="1">IFERROR(INDEX(_xlfn._xlws.FILTER(INDIRECT(M$1&amp;"!$E1:$E10000"),INDIRECT(M$1&amp;"!$a1:$a10000")=汇总!$A66),COUNTIF(INDIRECT(M$1&amp;"!$a1:$a10000"),汇总!$A66)),M65)</f>
        <v>233.26158999999998</v>
      </c>
      <c r="N66" s="109" cm="1">
        <f t="array" aca="1" ref="N66" ca="1">IFERROR(INDEX(_xlfn._xlws.FILTER(INDIRECT(N$1&amp;"!$E1:$E10000"),INDIRECT(N$1&amp;"!$a1:$a10000")=汇总!$A66),COUNTIF(INDIRECT(N$1&amp;"!$a1:$a10000"),汇总!$A66)),N65)</f>
        <v>2901</v>
      </c>
      <c r="O66" s="109" cm="1">
        <f t="array" aca="1" ref="O66" ca="1">IFERROR(INDEX(_xlfn._xlws.FILTER(INDIRECT(O$1&amp;"!$E1:$E10000"),INDIRECT(O$1&amp;"!$a1:$a10000")=汇总!$A66),COUNTIF(INDIRECT(O$1&amp;"!$a1:$a10000"),汇总!$A66)),O65)</f>
        <v>342</v>
      </c>
      <c r="P66" s="109" cm="1">
        <f t="array" aca="1" ref="P66" ca="1">IFERROR(INDEX(_xlfn._xlws.FILTER(INDIRECT(P$1&amp;"!$E1:$E10000"),INDIRECT(P$1&amp;"!$a1:$a10000")=汇总!$A66),COUNTIF(INDIRECT(P$1&amp;"!$a1:$a10000"),汇总!$A66)),P65)</f>
        <v>2.2999999999999998</v>
      </c>
      <c r="Q66" s="109" cm="1">
        <f t="array" aca="1" ref="Q66" ca="1">IFERROR(INDEX(_xlfn._xlws.FILTER(INDIRECT(Q$1&amp;"!$E1:$E10000"),INDIRECT(Q$1&amp;"!$a1:$a10000")=汇总!$A66),COUNTIF(INDIRECT(Q$1&amp;"!$a1:$a10000"),汇总!$A66)),Q65)</f>
        <v>17</v>
      </c>
      <c r="R66" s="109" cm="1">
        <f t="array" aca="1" ref="R66" ca="1">IFERROR(INDEX(_xlfn._xlws.FILTER(INDIRECT(R$1&amp;"!$E1:$E10000"),INDIRECT(R$1&amp;"!$a1:$a10000")=汇总!$A66),COUNTIF(INDIRECT(R$1&amp;"!$a1:$a10000"),汇总!$A66)),R65)</f>
        <v>5720</v>
      </c>
      <c r="S66" s="109" cm="1">
        <f t="array" aca="1" ref="S66" ca="1">IFERROR(INDEX(_xlfn._xlws.FILTER(INDIRECT(S$1&amp;"!$E1:$E10000"),INDIRECT(S$1&amp;"!$a1:$a10000")=汇总!$A66),COUNTIF(INDIRECT(S$1&amp;"!$a1:$a10000"),汇总!$A66)),S65)</f>
        <v>1500</v>
      </c>
    </row>
    <row r="67" spans="1:19" hidden="1">
      <c r="A67" s="1">
        <f t="shared" si="2"/>
        <v>46088</v>
      </c>
      <c r="B67" s="109" cm="1">
        <f t="array" aca="1" ref="B67" ca="1">IFERROR(INDEX(_xlfn._xlws.FILTER(INDIRECT(B$1&amp;"!$E1:$E10000"),INDIRECT(B$1&amp;"!$a1:$a10000")=汇总!$A67),COUNTIF(INDIRECT(B$1&amp;"!$a1:$a10000"),汇总!$A67)),B66)</f>
        <v>1714.0352271506854</v>
      </c>
      <c r="C67" s="109" cm="1">
        <f t="array" aca="1" ref="C67" ca="1">IFERROR(INDEX(_xlfn._xlws.FILTER(INDIRECT(C$1&amp;"!$E1:$E10000"),INDIRECT(C$1&amp;"!$a1:$a10000")=汇总!$A67),COUNTIF(INDIRECT(C$1&amp;"!$a1:$a10000"),汇总!$A67)),C66)</f>
        <v>466.9291124931508</v>
      </c>
      <c r="D67" s="109" cm="1">
        <f t="array" aca="1" ref="D67" ca="1">IFERROR(INDEX(_xlfn._xlws.FILTER(INDIRECT(D$1&amp;"!$E1:$E10000"),INDIRECT(D$1&amp;"!$a1:$a10000")=汇总!$A67),COUNTIF(INDIRECT(D$1&amp;"!$a1:$a10000"),汇总!$A67)),D66)</f>
        <v>2467.375</v>
      </c>
      <c r="E67" s="109" cm="1">
        <f t="array" aca="1" ref="E67" ca="1">IFERROR(INDEX(_xlfn._xlws.FILTER(INDIRECT(E$1&amp;"!$E1:$E10000"),INDIRECT(E$1&amp;"!$a1:$a10000")=汇总!$A67),COUNTIF(INDIRECT(E$1&amp;"!$a1:$a10000"),汇总!$A67)),E66)</f>
        <v>262.43466999999998</v>
      </c>
      <c r="F67" s="109" cm="1">
        <f t="array" aca="1" ref="F67" ca="1">IFERROR(INDEX(_xlfn._xlws.FILTER(INDIRECT(F$1&amp;"!$E1:$E10000"),INDIRECT(F$1&amp;"!$a1:$a10000")=汇总!$A67),COUNTIF(INDIRECT(F$1&amp;"!$a1:$a10000"),汇总!$A67)),F66)</f>
        <v>5688</v>
      </c>
      <c r="G67" s="109" cm="1">
        <f t="array" aca="1" ref="G67" ca="1">IFERROR(INDEX(_xlfn._xlws.FILTER(INDIRECT(G$1&amp;"!$E1:$E10000"),INDIRECT(G$1&amp;"!$a1:$a10000")=汇总!$A67),COUNTIF(INDIRECT(G$1&amp;"!$a1:$a10000"),汇总!$A67)),G66)</f>
        <v>606.74696035616398</v>
      </c>
      <c r="H67" s="109" cm="1">
        <f t="array" aca="1" ref="H67" ca="1">IFERROR(INDEX(_xlfn._xlws.FILTER(INDIRECT(H$1&amp;"!$E1:$E10000"),INDIRECT(H$1&amp;"!$a1:$a10000")=汇总!$A67),COUNTIF(INDIRECT(H$1&amp;"!$a1:$a10000"),汇总!$A67)),H66)</f>
        <v>1183.9299743000001</v>
      </c>
      <c r="I67" s="109" cm="1">
        <f t="array" aca="1" ref="I67" ca="1">IFERROR(INDEX(_xlfn._xlws.FILTER(INDIRECT(I$1&amp;"!$E1:$E10000"),INDIRECT(I$1&amp;"!$a1:$a10000")=汇总!$A67),COUNTIF(INDIRECT(I$1&amp;"!$a1:$a10000"),汇总!$A67)),I66)</f>
        <v>902.500947</v>
      </c>
      <c r="J67" s="109" cm="1">
        <f t="array" aca="1" ref="J67" ca="1">IFERROR(INDEX(_xlfn._xlws.FILTER(INDIRECT(J$1&amp;"!$E1:$E10000"),INDIRECT(J$1&amp;"!$a1:$a10000")=汇总!$A67),COUNTIF(INDIRECT(J$1&amp;"!$a1:$a10000"),汇总!$A67)),J66)</f>
        <v>2.5</v>
      </c>
      <c r="K67" s="109" cm="1">
        <f t="array" aca="1" ref="K67" ca="1">IFERROR(INDEX(_xlfn._xlws.FILTER(INDIRECT(K$1&amp;"!$E1:$E10000"),INDIRECT(K$1&amp;"!$a1:$a10000")=汇总!$A67),COUNTIF(INDIRECT(K$1&amp;"!$a1:$a10000"),汇总!$A67)),K66)</f>
        <v>521.86824000000001</v>
      </c>
      <c r="L67" s="109" cm="1">
        <f t="array" aca="1" ref="L67" ca="1">IFERROR(INDEX(_xlfn._xlws.FILTER(INDIRECT(L$1&amp;"!$E1:$E10000"),INDIRECT(L$1&amp;"!$a1:$a10000")=汇总!$A67),COUNTIF(INDIRECT(L$1&amp;"!$a1:$a10000"),汇总!$A67)),L66)</f>
        <v>1.4980499999999211</v>
      </c>
      <c r="M67" s="109" cm="1">
        <f t="array" aca="1" ref="M67" ca="1">IFERROR(INDEX(_xlfn._xlws.FILTER(INDIRECT(M$1&amp;"!$E1:$E10000"),INDIRECT(M$1&amp;"!$a1:$a10000")=汇总!$A67),COUNTIF(INDIRECT(M$1&amp;"!$a1:$a10000"),汇总!$A67)),M66)</f>
        <v>233.26158999999998</v>
      </c>
      <c r="N67" s="109" cm="1">
        <f t="array" aca="1" ref="N67" ca="1">IFERROR(INDEX(_xlfn._xlws.FILTER(INDIRECT(N$1&amp;"!$E1:$E10000"),INDIRECT(N$1&amp;"!$a1:$a10000")=汇总!$A67),COUNTIF(INDIRECT(N$1&amp;"!$a1:$a10000"),汇总!$A67)),N66)</f>
        <v>2901</v>
      </c>
      <c r="O67" s="109" cm="1">
        <f t="array" aca="1" ref="O67" ca="1">IFERROR(INDEX(_xlfn._xlws.FILTER(INDIRECT(O$1&amp;"!$E1:$E10000"),INDIRECT(O$1&amp;"!$a1:$a10000")=汇总!$A67),COUNTIF(INDIRECT(O$1&amp;"!$a1:$a10000"),汇总!$A67)),O66)</f>
        <v>342</v>
      </c>
      <c r="P67" s="109" cm="1">
        <f t="array" aca="1" ref="P67" ca="1">IFERROR(INDEX(_xlfn._xlws.FILTER(INDIRECT(P$1&amp;"!$E1:$E10000"),INDIRECT(P$1&amp;"!$a1:$a10000")=汇总!$A67),COUNTIF(INDIRECT(P$1&amp;"!$a1:$a10000"),汇总!$A67)),P66)</f>
        <v>2.2999999999999998</v>
      </c>
      <c r="Q67" s="109" cm="1">
        <f t="array" aca="1" ref="Q67" ca="1">IFERROR(INDEX(_xlfn._xlws.FILTER(INDIRECT(Q$1&amp;"!$E1:$E10000"),INDIRECT(Q$1&amp;"!$a1:$a10000")=汇总!$A67),COUNTIF(INDIRECT(Q$1&amp;"!$a1:$a10000"),汇总!$A67)),Q66)</f>
        <v>17</v>
      </c>
      <c r="R67" s="109" cm="1">
        <f t="array" aca="1" ref="R67" ca="1">IFERROR(INDEX(_xlfn._xlws.FILTER(INDIRECT(R$1&amp;"!$E1:$E10000"),INDIRECT(R$1&amp;"!$a1:$a10000")=汇总!$A67),COUNTIF(INDIRECT(R$1&amp;"!$a1:$a10000"),汇总!$A67)),R66)</f>
        <v>5720</v>
      </c>
      <c r="S67" s="109" cm="1">
        <f t="array" aca="1" ref="S67" ca="1">IFERROR(INDEX(_xlfn._xlws.FILTER(INDIRECT(S$1&amp;"!$E1:$E10000"),INDIRECT(S$1&amp;"!$a1:$a10000")=汇总!$A67),COUNTIF(INDIRECT(S$1&amp;"!$a1:$a10000"),汇总!$A67)),S66)</f>
        <v>1500</v>
      </c>
    </row>
    <row r="68" spans="1:19" hidden="1">
      <c r="A68" s="1">
        <f t="shared" si="2"/>
        <v>46089</v>
      </c>
      <c r="B68" s="109" cm="1">
        <f t="array" aca="1" ref="B68" ca="1">IFERROR(INDEX(_xlfn._xlws.FILTER(INDIRECT(B$1&amp;"!$E1:$E10000"),INDIRECT(B$1&amp;"!$a1:$a10000")=汇总!$A68),COUNTIF(INDIRECT(B$1&amp;"!$a1:$a10000"),汇总!$A68)),B67)</f>
        <v>1714.0352271506854</v>
      </c>
      <c r="C68" s="109" cm="1">
        <f t="array" aca="1" ref="C68" ca="1">IFERROR(INDEX(_xlfn._xlws.FILTER(INDIRECT(C$1&amp;"!$E1:$E10000"),INDIRECT(C$1&amp;"!$a1:$a10000")=汇总!$A68),COUNTIF(INDIRECT(C$1&amp;"!$a1:$a10000"),汇总!$A68)),C67)</f>
        <v>466.9291124931508</v>
      </c>
      <c r="D68" s="109" cm="1">
        <f t="array" aca="1" ref="D68" ca="1">IFERROR(INDEX(_xlfn._xlws.FILTER(INDIRECT(D$1&amp;"!$E1:$E10000"),INDIRECT(D$1&amp;"!$a1:$a10000")=汇总!$A68),COUNTIF(INDIRECT(D$1&amp;"!$a1:$a10000"),汇总!$A68)),D67)</f>
        <v>2467.375</v>
      </c>
      <c r="E68" s="109" cm="1">
        <f t="array" aca="1" ref="E68" ca="1">IFERROR(INDEX(_xlfn._xlws.FILTER(INDIRECT(E$1&amp;"!$E1:$E10000"),INDIRECT(E$1&amp;"!$a1:$a10000")=汇总!$A68),COUNTIF(INDIRECT(E$1&amp;"!$a1:$a10000"),汇总!$A68)),E67)</f>
        <v>262.43466999999998</v>
      </c>
      <c r="F68" s="109" cm="1">
        <f t="array" aca="1" ref="F68" ca="1">IFERROR(INDEX(_xlfn._xlws.FILTER(INDIRECT(F$1&amp;"!$E1:$E10000"),INDIRECT(F$1&amp;"!$a1:$a10000")=汇总!$A68),COUNTIF(INDIRECT(F$1&amp;"!$a1:$a10000"),汇总!$A68)),F67)</f>
        <v>5688</v>
      </c>
      <c r="G68" s="109" cm="1">
        <f t="array" aca="1" ref="G68" ca="1">IFERROR(INDEX(_xlfn._xlws.FILTER(INDIRECT(G$1&amp;"!$E1:$E10000"),INDIRECT(G$1&amp;"!$a1:$a10000")=汇总!$A68),COUNTIF(INDIRECT(G$1&amp;"!$a1:$a10000"),汇总!$A68)),G67)</f>
        <v>606.74696035616398</v>
      </c>
      <c r="H68" s="109" cm="1">
        <f t="array" aca="1" ref="H68" ca="1">IFERROR(INDEX(_xlfn._xlws.FILTER(INDIRECT(H$1&amp;"!$E1:$E10000"),INDIRECT(H$1&amp;"!$a1:$a10000")=汇总!$A68),COUNTIF(INDIRECT(H$1&amp;"!$a1:$a10000"),汇总!$A68)),H67)</f>
        <v>1183.9299743000001</v>
      </c>
      <c r="I68" s="109" cm="1">
        <f t="array" aca="1" ref="I68" ca="1">IFERROR(INDEX(_xlfn._xlws.FILTER(INDIRECT(I$1&amp;"!$E1:$E10000"),INDIRECT(I$1&amp;"!$a1:$a10000")=汇总!$A68),COUNTIF(INDIRECT(I$1&amp;"!$a1:$a10000"),汇总!$A68)),I67)</f>
        <v>902.500947</v>
      </c>
      <c r="J68" s="109" cm="1">
        <f t="array" aca="1" ref="J68" ca="1">IFERROR(INDEX(_xlfn._xlws.FILTER(INDIRECT(J$1&amp;"!$E1:$E10000"),INDIRECT(J$1&amp;"!$a1:$a10000")=汇总!$A68),COUNTIF(INDIRECT(J$1&amp;"!$a1:$a10000"),汇总!$A68)),J67)</f>
        <v>2.5</v>
      </c>
      <c r="K68" s="109" cm="1">
        <f t="array" aca="1" ref="K68" ca="1">IFERROR(INDEX(_xlfn._xlws.FILTER(INDIRECT(K$1&amp;"!$E1:$E10000"),INDIRECT(K$1&amp;"!$a1:$a10000")=汇总!$A68),COUNTIF(INDIRECT(K$1&amp;"!$a1:$a10000"),汇总!$A68)),K67)</f>
        <v>521.86824000000001</v>
      </c>
      <c r="L68" s="109" cm="1">
        <f t="array" aca="1" ref="L68" ca="1">IFERROR(INDEX(_xlfn._xlws.FILTER(INDIRECT(L$1&amp;"!$E1:$E10000"),INDIRECT(L$1&amp;"!$a1:$a10000")=汇总!$A68),COUNTIF(INDIRECT(L$1&amp;"!$a1:$a10000"),汇总!$A68)),L67)</f>
        <v>1.4980499999999211</v>
      </c>
      <c r="M68" s="109" cm="1">
        <f t="array" aca="1" ref="M68" ca="1">IFERROR(INDEX(_xlfn._xlws.FILTER(INDIRECT(M$1&amp;"!$E1:$E10000"),INDIRECT(M$1&amp;"!$a1:$a10000")=汇总!$A68),COUNTIF(INDIRECT(M$1&amp;"!$a1:$a10000"),汇总!$A68)),M67)</f>
        <v>233.26158999999998</v>
      </c>
      <c r="N68" s="109" cm="1">
        <f t="array" aca="1" ref="N68" ca="1">IFERROR(INDEX(_xlfn._xlws.FILTER(INDIRECT(N$1&amp;"!$E1:$E10000"),INDIRECT(N$1&amp;"!$a1:$a10000")=汇总!$A68),COUNTIF(INDIRECT(N$1&amp;"!$a1:$a10000"),汇总!$A68)),N67)</f>
        <v>2901</v>
      </c>
      <c r="O68" s="109" cm="1">
        <f t="array" aca="1" ref="O68" ca="1">IFERROR(INDEX(_xlfn._xlws.FILTER(INDIRECT(O$1&amp;"!$E1:$E10000"),INDIRECT(O$1&amp;"!$a1:$a10000")=汇总!$A68),COUNTIF(INDIRECT(O$1&amp;"!$a1:$a10000"),汇总!$A68)),O67)</f>
        <v>342</v>
      </c>
      <c r="P68" s="109" cm="1">
        <f t="array" aca="1" ref="P68" ca="1">IFERROR(INDEX(_xlfn._xlws.FILTER(INDIRECT(P$1&amp;"!$E1:$E10000"),INDIRECT(P$1&amp;"!$a1:$a10000")=汇总!$A68),COUNTIF(INDIRECT(P$1&amp;"!$a1:$a10000"),汇总!$A68)),P67)</f>
        <v>2.2999999999999998</v>
      </c>
      <c r="Q68" s="109" cm="1">
        <f t="array" aca="1" ref="Q68" ca="1">IFERROR(INDEX(_xlfn._xlws.FILTER(INDIRECT(Q$1&amp;"!$E1:$E10000"),INDIRECT(Q$1&amp;"!$a1:$a10000")=汇总!$A68),COUNTIF(INDIRECT(Q$1&amp;"!$a1:$a10000"),汇总!$A68)),Q67)</f>
        <v>17</v>
      </c>
      <c r="R68" s="109" cm="1">
        <f t="array" aca="1" ref="R68" ca="1">IFERROR(INDEX(_xlfn._xlws.FILTER(INDIRECT(R$1&amp;"!$E1:$E10000"),INDIRECT(R$1&amp;"!$a1:$a10000")=汇总!$A68),COUNTIF(INDIRECT(R$1&amp;"!$a1:$a10000"),汇总!$A68)),R67)</f>
        <v>5720</v>
      </c>
      <c r="S68" s="109" cm="1">
        <f t="array" aca="1" ref="S68" ca="1">IFERROR(INDEX(_xlfn._xlws.FILTER(INDIRECT(S$1&amp;"!$E1:$E10000"),INDIRECT(S$1&amp;"!$a1:$a10000")=汇总!$A68),COUNTIF(INDIRECT(S$1&amp;"!$a1:$a10000"),汇总!$A68)),S67)</f>
        <v>1500</v>
      </c>
    </row>
    <row r="69" spans="1:19" hidden="1">
      <c r="A69" s="1">
        <f t="shared" si="2"/>
        <v>46090</v>
      </c>
      <c r="B69" s="109" cm="1">
        <f t="array" aca="1" ref="B69" ca="1">IFERROR(INDEX(_xlfn._xlws.FILTER(INDIRECT(B$1&amp;"!$E1:$E10000"),INDIRECT(B$1&amp;"!$a1:$a10000")=汇总!$A69),COUNTIF(INDIRECT(B$1&amp;"!$a1:$a10000"),汇总!$A69)),B68)</f>
        <v>64.035227150685387</v>
      </c>
      <c r="C69" s="109" cm="1">
        <f t="array" aca="1" ref="C69" ca="1">IFERROR(INDEX(_xlfn._xlws.FILTER(INDIRECT(C$1&amp;"!$E1:$E10000"),INDIRECT(C$1&amp;"!$a1:$a10000")=汇总!$A69),COUNTIF(INDIRECT(C$1&amp;"!$a1:$a10000"),汇总!$A69)),C68)</f>
        <v>1869</v>
      </c>
      <c r="D69" s="109" cm="1">
        <f t="array" aca="1" ref="D69" ca="1">IFERROR(INDEX(_xlfn._xlws.FILTER(INDIRECT(D$1&amp;"!$E1:$E10000"),INDIRECT(D$1&amp;"!$a1:$a10000")=汇总!$A69),COUNTIF(INDIRECT(D$1&amp;"!$a1:$a10000"),汇总!$A69)),D68)</f>
        <v>2251.5905000000002</v>
      </c>
      <c r="E69" s="109" cm="1">
        <f t="array" aca="1" ref="E69" ca="1">IFERROR(INDEX(_xlfn._xlws.FILTER(INDIRECT(E$1&amp;"!$E1:$E10000"),INDIRECT(E$1&amp;"!$a1:$a10000")=汇总!$A69),COUNTIF(INDIRECT(E$1&amp;"!$a1:$a10000"),汇总!$A69)),E68)</f>
        <v>269.43466999999998</v>
      </c>
      <c r="F69" s="109" cm="1">
        <f t="array" aca="1" ref="F69" ca="1">IFERROR(INDEX(_xlfn._xlws.FILTER(INDIRECT(F$1&amp;"!$E1:$E10000"),INDIRECT(F$1&amp;"!$a1:$a10000")=汇总!$A69),COUNTIF(INDIRECT(F$1&amp;"!$a1:$a10000"),汇总!$A69)),F68)</f>
        <v>3688</v>
      </c>
      <c r="G69" s="109" cm="1">
        <f t="array" aca="1" ref="G69" ca="1">IFERROR(INDEX(_xlfn._xlws.FILTER(INDIRECT(G$1&amp;"!$E1:$E10000"),INDIRECT(G$1&amp;"!$a1:$a10000")=汇总!$A69),COUNTIF(INDIRECT(G$1&amp;"!$a1:$a10000"),汇总!$A69)),G68)</f>
        <v>606.74696035616398</v>
      </c>
      <c r="H69" s="109" cm="1">
        <f t="array" aca="1" ref="H69" ca="1">IFERROR(INDEX(_xlfn._xlws.FILTER(INDIRECT(H$1&amp;"!$E1:$E10000"),INDIRECT(H$1&amp;"!$a1:$a10000")=汇总!$A69),COUNTIF(INDIRECT(H$1&amp;"!$a1:$a10000"),汇总!$A69)),H68)</f>
        <v>633.92997430000014</v>
      </c>
      <c r="I69" s="109" cm="1">
        <f t="array" aca="1" ref="I69" ca="1">IFERROR(INDEX(_xlfn._xlws.FILTER(INDIRECT(I$1&amp;"!$E1:$E10000"),INDIRECT(I$1&amp;"!$a1:$a10000")=汇总!$A69),COUNTIF(INDIRECT(I$1&amp;"!$a1:$a10000"),汇总!$A69)),I68)</f>
        <v>52.500946999999996</v>
      </c>
      <c r="J69" s="109" cm="1">
        <f t="array" aca="1" ref="J69" ca="1">IFERROR(INDEX(_xlfn._xlws.FILTER(INDIRECT(J$1&amp;"!$E1:$E10000"),INDIRECT(J$1&amp;"!$a1:$a10000")=汇总!$A69),COUNTIF(INDIRECT(J$1&amp;"!$a1:$a10000"),汇总!$A69)),J68)</f>
        <v>2.5</v>
      </c>
      <c r="K69" s="109" cm="1">
        <f t="array" aca="1" ref="K69" ca="1">IFERROR(INDEX(_xlfn._xlws.FILTER(INDIRECT(K$1&amp;"!$E1:$E10000"),INDIRECT(K$1&amp;"!$a1:$a10000")=汇总!$A69),COUNTIF(INDIRECT(K$1&amp;"!$a1:$a10000"),汇总!$A69)),K68)</f>
        <v>260.30824000000007</v>
      </c>
      <c r="L69" s="109" cm="1">
        <f t="array" aca="1" ref="L69" ca="1">IFERROR(INDEX(_xlfn._xlws.FILTER(INDIRECT(L$1&amp;"!$E1:$E10000"),INDIRECT(L$1&amp;"!$a1:$a10000")=汇总!$A69),COUNTIF(INDIRECT(L$1&amp;"!$a1:$a10000"),汇总!$A69)),L68)</f>
        <v>1.4980499999999211</v>
      </c>
      <c r="M69" s="109" cm="1">
        <f t="array" aca="1" ref="M69" ca="1">IFERROR(INDEX(_xlfn._xlws.FILTER(INDIRECT(M$1&amp;"!$E1:$E10000"),INDIRECT(M$1&amp;"!$a1:$a10000")=汇总!$A69),COUNTIF(INDIRECT(M$1&amp;"!$a1:$a10000"),汇总!$A69)),M68)</f>
        <v>233.26158999999998</v>
      </c>
      <c r="N69" s="109" cm="1">
        <f t="array" aca="1" ref="N69" ca="1">IFERROR(INDEX(_xlfn._xlws.FILTER(INDIRECT(N$1&amp;"!$E1:$E10000"),INDIRECT(N$1&amp;"!$a1:$a10000")=汇总!$A69),COUNTIF(INDIRECT(N$1&amp;"!$a1:$a10000"),汇总!$A69)),N68)</f>
        <v>2901</v>
      </c>
      <c r="O69" s="109" cm="1">
        <f t="array" aca="1" ref="O69" ca="1">IFERROR(INDEX(_xlfn._xlws.FILTER(INDIRECT(O$1&amp;"!$E1:$E10000"),INDIRECT(O$1&amp;"!$a1:$a10000")=汇总!$A69),COUNTIF(INDIRECT(O$1&amp;"!$a1:$a10000"),汇总!$A69)),O68)</f>
        <v>2</v>
      </c>
      <c r="P69" s="109" cm="1">
        <f t="array" aca="1" ref="P69" ca="1">IFERROR(INDEX(_xlfn._xlws.FILTER(INDIRECT(P$1&amp;"!$E1:$E10000"),INDIRECT(P$1&amp;"!$a1:$a10000")=汇总!$A69),COUNTIF(INDIRECT(P$1&amp;"!$a1:$a10000"),汇总!$A69)),P68)</f>
        <v>2.2999999999999998</v>
      </c>
      <c r="Q69" s="109" cm="1">
        <f t="array" aca="1" ref="Q69" ca="1">IFERROR(INDEX(_xlfn._xlws.FILTER(INDIRECT(Q$1&amp;"!$E1:$E10000"),INDIRECT(Q$1&amp;"!$a1:$a10000")=汇总!$A69),COUNTIF(INDIRECT(Q$1&amp;"!$a1:$a10000"),汇总!$A69)),Q68)</f>
        <v>17</v>
      </c>
      <c r="R69" s="109" cm="1">
        <f t="array" aca="1" ref="R69" ca="1">IFERROR(INDEX(_xlfn._xlws.FILTER(INDIRECT(R$1&amp;"!$E1:$E10000"),INDIRECT(R$1&amp;"!$a1:$a10000")=汇总!$A69),COUNTIF(INDIRECT(R$1&amp;"!$a1:$a10000"),汇总!$A69)),R68)</f>
        <v>704.13400000000001</v>
      </c>
      <c r="S69" s="109" cm="1">
        <f t="array" aca="1" ref="S69" ca="1">IFERROR(INDEX(_xlfn._xlws.FILTER(INDIRECT(S$1&amp;"!$E1:$E10000"),INDIRECT(S$1&amp;"!$a1:$a10000")=汇总!$A69),COUNTIF(INDIRECT(S$1&amp;"!$a1:$a10000"),汇总!$A69)),S68)</f>
        <v>1500</v>
      </c>
    </row>
    <row r="70" spans="1:19" hidden="1">
      <c r="A70" s="1">
        <f t="shared" si="2"/>
        <v>46091</v>
      </c>
      <c r="B70" s="109" cm="1">
        <f t="array" aca="1" ref="B70" ca="1">IFERROR(INDEX(_xlfn._xlws.FILTER(INDIRECT(B$1&amp;"!$E1:$E10000"),INDIRECT(B$1&amp;"!$a1:$a10000")=汇总!$A70),COUNTIF(INDIRECT(B$1&amp;"!$a1:$a10000"),汇总!$A70)),B69)</f>
        <v>64.035227150685387</v>
      </c>
      <c r="C70" s="109" cm="1">
        <f t="array" aca="1" ref="C70" ca="1">IFERROR(INDEX(_xlfn._xlws.FILTER(INDIRECT(C$1&amp;"!$E1:$E10000"),INDIRECT(C$1&amp;"!$a1:$a10000")=汇总!$A70),COUNTIF(INDIRECT(C$1&amp;"!$a1:$a10000"),汇总!$A70)),C69)</f>
        <v>1869</v>
      </c>
      <c r="D70" s="109" cm="1">
        <f t="array" aca="1" ref="D70" ca="1">IFERROR(INDEX(_xlfn._xlws.FILTER(INDIRECT(D$1&amp;"!$E1:$E10000"),INDIRECT(D$1&amp;"!$a1:$a10000")=汇总!$A70),COUNTIF(INDIRECT(D$1&amp;"!$a1:$a10000"),汇总!$A70)),D69)</f>
        <v>2035.3255000000001</v>
      </c>
      <c r="E70" s="109" cm="1">
        <f t="array" aca="1" ref="E70" ca="1">IFERROR(INDEX(_xlfn._xlws.FILTER(INDIRECT(E$1&amp;"!$E1:$E10000"),INDIRECT(E$1&amp;"!$a1:$a10000")=汇总!$A70),COUNTIF(INDIRECT(E$1&amp;"!$a1:$a10000"),汇总!$A70)),E69)</f>
        <v>218.32486999999998</v>
      </c>
      <c r="F70" s="109" cm="1">
        <f t="array" aca="1" ref="F70" ca="1">IFERROR(INDEX(_xlfn._xlws.FILTER(INDIRECT(F$1&amp;"!$E1:$E10000"),INDIRECT(F$1&amp;"!$a1:$a10000")=汇总!$A70),COUNTIF(INDIRECT(F$1&amp;"!$a1:$a10000"),汇总!$A70)),F69)</f>
        <v>3688</v>
      </c>
      <c r="G70" s="109" cm="1">
        <f t="array" aca="1" ref="G70" ca="1">IFERROR(INDEX(_xlfn._xlws.FILTER(INDIRECT(G$1&amp;"!$E1:$E10000"),INDIRECT(G$1&amp;"!$a1:$a10000")=汇总!$A70),COUNTIF(INDIRECT(G$1&amp;"!$a1:$a10000"),汇总!$A70)),G69)</f>
        <v>606.74696035616398</v>
      </c>
      <c r="H70" s="109" cm="1">
        <f t="array" aca="1" ref="H70" ca="1">IFERROR(INDEX(_xlfn._xlws.FILTER(INDIRECT(H$1&amp;"!$E1:$E10000"),INDIRECT(H$1&amp;"!$a1:$a10000")=汇总!$A70),COUNTIF(INDIRECT(H$1&amp;"!$a1:$a10000"),汇总!$A70)),H69)</f>
        <v>633.92997430000014</v>
      </c>
      <c r="I70" s="109" cm="1">
        <f t="array" aca="1" ref="I70" ca="1">IFERROR(INDEX(_xlfn._xlws.FILTER(INDIRECT(I$1&amp;"!$E1:$E10000"),INDIRECT(I$1&amp;"!$a1:$a10000")=汇总!$A70),COUNTIF(INDIRECT(I$1&amp;"!$a1:$a10000"),汇总!$A70)),I69)</f>
        <v>52.500946999999996</v>
      </c>
      <c r="J70" s="109" cm="1">
        <f t="array" aca="1" ref="J70" ca="1">IFERROR(INDEX(_xlfn._xlws.FILTER(INDIRECT(J$1&amp;"!$E1:$E10000"),INDIRECT(J$1&amp;"!$a1:$a10000")=汇总!$A70),COUNTIF(INDIRECT(J$1&amp;"!$a1:$a10000"),汇总!$A70)),J69)</f>
        <v>2.5</v>
      </c>
      <c r="K70" s="109" cm="1">
        <f t="array" aca="1" ref="K70" ca="1">IFERROR(INDEX(_xlfn._xlws.FILTER(INDIRECT(K$1&amp;"!$E1:$E10000"),INDIRECT(K$1&amp;"!$a1:$a10000")=汇总!$A70),COUNTIF(INDIRECT(K$1&amp;"!$a1:$a10000"),汇总!$A70)),K69)</f>
        <v>260.30824000000007</v>
      </c>
      <c r="L70" s="109" cm="1">
        <f t="array" aca="1" ref="L70" ca="1">IFERROR(INDEX(_xlfn._xlws.FILTER(INDIRECT(L$1&amp;"!$E1:$E10000"),INDIRECT(L$1&amp;"!$a1:$a10000")=汇总!$A70),COUNTIF(INDIRECT(L$1&amp;"!$a1:$a10000"),汇总!$A70)),L69)</f>
        <v>301.49804999999992</v>
      </c>
      <c r="M70" s="109" cm="1">
        <f t="array" aca="1" ref="M70" ca="1">IFERROR(INDEX(_xlfn._xlws.FILTER(INDIRECT(M$1&amp;"!$E1:$E10000"),INDIRECT(M$1&amp;"!$a1:$a10000")=汇总!$A70),COUNTIF(INDIRECT(M$1&amp;"!$a1:$a10000"),汇总!$A70)),M69)</f>
        <v>233.26158999999998</v>
      </c>
      <c r="N70" s="109" cm="1">
        <f t="array" aca="1" ref="N70" ca="1">IFERROR(INDEX(_xlfn._xlws.FILTER(INDIRECT(N$1&amp;"!$E1:$E10000"),INDIRECT(N$1&amp;"!$a1:$a10000")=汇总!$A70),COUNTIF(INDIRECT(N$1&amp;"!$a1:$a10000"),汇总!$A70)),N69)</f>
        <v>2901</v>
      </c>
      <c r="O70" s="109" cm="1">
        <f t="array" aca="1" ref="O70" ca="1">IFERROR(INDEX(_xlfn._xlws.FILTER(INDIRECT(O$1&amp;"!$E1:$E10000"),INDIRECT(O$1&amp;"!$a1:$a10000")=汇总!$A70),COUNTIF(INDIRECT(O$1&amp;"!$a1:$a10000"),汇总!$A70)),O69)</f>
        <v>2</v>
      </c>
      <c r="P70" s="109" cm="1">
        <f t="array" aca="1" ref="P70" ca="1">IFERROR(INDEX(_xlfn._xlws.FILTER(INDIRECT(P$1&amp;"!$E1:$E10000"),INDIRECT(P$1&amp;"!$a1:$a10000")=汇总!$A70),COUNTIF(INDIRECT(P$1&amp;"!$a1:$a10000"),汇总!$A70)),P69)</f>
        <v>2.2999999999999998</v>
      </c>
      <c r="Q70" s="109" cm="1">
        <f t="array" aca="1" ref="Q70" ca="1">IFERROR(INDEX(_xlfn._xlws.FILTER(INDIRECT(Q$1&amp;"!$E1:$E10000"),INDIRECT(Q$1&amp;"!$a1:$a10000")=汇总!$A70),COUNTIF(INDIRECT(Q$1&amp;"!$a1:$a10000"),汇总!$A70)),Q69)</f>
        <v>17</v>
      </c>
      <c r="R70" s="109" cm="1">
        <f t="array" aca="1" ref="R70" ca="1">IFERROR(INDEX(_xlfn._xlws.FILTER(INDIRECT(R$1&amp;"!$E1:$E10000"),INDIRECT(R$1&amp;"!$a1:$a10000")=汇总!$A70),COUNTIF(INDIRECT(R$1&amp;"!$a1:$a10000"),汇总!$A70)),R69)</f>
        <v>704.13400000000001</v>
      </c>
      <c r="S70" s="109" cm="1">
        <f t="array" aca="1" ref="S70" ca="1">IFERROR(INDEX(_xlfn._xlws.FILTER(INDIRECT(S$1&amp;"!$E1:$E10000"),INDIRECT(S$1&amp;"!$a1:$a10000")=汇总!$A70),COUNTIF(INDIRECT(S$1&amp;"!$a1:$a10000"),汇总!$A70)),S69)</f>
        <v>525</v>
      </c>
    </row>
    <row r="71" spans="1:19" hidden="1">
      <c r="A71" s="1">
        <f t="shared" si="2"/>
        <v>46092</v>
      </c>
      <c r="B71" s="109" cm="1">
        <f t="array" aca="1" ref="B71" ca="1">IFERROR(INDEX(_xlfn._xlws.FILTER(INDIRECT(B$1&amp;"!$E1:$E10000"),INDIRECT(B$1&amp;"!$a1:$a10000")=汇总!$A71),COUNTIF(INDIRECT(B$1&amp;"!$a1:$a10000"),汇总!$A71)),B70)</f>
        <v>1374.0352271506854</v>
      </c>
      <c r="C71" s="109" cm="1">
        <f t="array" aca="1" ref="C71" ca="1">IFERROR(INDEX(_xlfn._xlws.FILTER(INDIRECT(C$1&amp;"!$E1:$E10000"),INDIRECT(C$1&amp;"!$a1:$a10000")=汇总!$A71),COUNTIF(INDIRECT(C$1&amp;"!$a1:$a10000"),汇总!$A71)),C70)</f>
        <v>754</v>
      </c>
      <c r="D71" s="109" cm="1">
        <f t="array" aca="1" ref="D71" ca="1">IFERROR(INDEX(_xlfn._xlws.FILTER(INDIRECT(D$1&amp;"!$E1:$E10000"),INDIRECT(D$1&amp;"!$a1:$a10000")=汇总!$A71),COUNTIF(INDIRECT(D$1&amp;"!$a1:$a10000"),汇总!$A71)),D70)</f>
        <v>1265.9765000000007</v>
      </c>
      <c r="E71" s="109" cm="1">
        <f t="array" aca="1" ref="E71" ca="1">IFERROR(INDEX(_xlfn._xlws.FILTER(INDIRECT(E$1&amp;"!$E1:$E10000"),INDIRECT(E$1&amp;"!$a1:$a10000")=汇总!$A71),COUNTIF(INDIRECT(E$1&amp;"!$a1:$a10000"),汇总!$A71)),E70)</f>
        <v>218.32486999999998</v>
      </c>
      <c r="F71" s="109" cm="1">
        <f t="array" aca="1" ref="F71" ca="1">IFERROR(INDEX(_xlfn._xlws.FILTER(INDIRECT(F$1&amp;"!$E1:$E10000"),INDIRECT(F$1&amp;"!$a1:$a10000")=汇总!$A71),COUNTIF(INDIRECT(F$1&amp;"!$a1:$a10000"),汇总!$A71)),F70)</f>
        <v>3688</v>
      </c>
      <c r="G71" s="109" cm="1">
        <f t="array" aca="1" ref="G71" ca="1">IFERROR(INDEX(_xlfn._xlws.FILTER(INDIRECT(G$1&amp;"!$E1:$E10000"),INDIRECT(G$1&amp;"!$a1:$a10000")=汇总!$A71),COUNTIF(INDIRECT(G$1&amp;"!$a1:$a10000"),汇总!$A71)),G70)</f>
        <v>654</v>
      </c>
      <c r="H71" s="109" cm="1">
        <f t="array" aca="1" ref="H71" ca="1">IFERROR(INDEX(_xlfn._xlws.FILTER(INDIRECT(H$1&amp;"!$E1:$E10000"),INDIRECT(H$1&amp;"!$a1:$a10000")=汇总!$A71),COUNTIF(INDIRECT(H$1&amp;"!$a1:$a10000"),汇总!$A71)),H70)</f>
        <v>633.92997430000014</v>
      </c>
      <c r="I71" s="109" cm="1">
        <f t="array" aca="1" ref="I71" ca="1">IFERROR(INDEX(_xlfn._xlws.FILTER(INDIRECT(I$1&amp;"!$E1:$E10000"),INDIRECT(I$1&amp;"!$a1:$a10000")=汇总!$A71),COUNTIF(INDIRECT(I$1&amp;"!$a1:$a10000"),汇总!$A71)),I70)</f>
        <v>52.500946999999996</v>
      </c>
      <c r="J71" s="109" cm="1">
        <f t="array" aca="1" ref="J71" ca="1">IFERROR(INDEX(_xlfn._xlws.FILTER(INDIRECT(J$1&amp;"!$E1:$E10000"),INDIRECT(J$1&amp;"!$a1:$a10000")=汇总!$A71),COUNTIF(INDIRECT(J$1&amp;"!$a1:$a10000"),汇总!$A71)),J70)</f>
        <v>2.5</v>
      </c>
      <c r="K71" s="109" cm="1">
        <f t="array" aca="1" ref="K71" ca="1">IFERROR(INDEX(_xlfn._xlws.FILTER(INDIRECT(K$1&amp;"!$E1:$E10000"),INDIRECT(K$1&amp;"!$a1:$a10000")=汇总!$A71),COUNTIF(INDIRECT(K$1&amp;"!$a1:$a10000"),汇总!$A71)),K70)</f>
        <v>260.30824000000007</v>
      </c>
      <c r="L71" s="109" cm="1">
        <f t="array" aca="1" ref="L71" ca="1">IFERROR(INDEX(_xlfn._xlws.FILTER(INDIRECT(L$1&amp;"!$E1:$E10000"),INDIRECT(L$1&amp;"!$a1:$a10000")=汇总!$A71),COUNTIF(INDIRECT(L$1&amp;"!$a1:$a10000"),汇总!$A71)),L70)</f>
        <v>301.49804999999992</v>
      </c>
      <c r="M71" s="109" cm="1">
        <f t="array" aca="1" ref="M71" ca="1">IFERROR(INDEX(_xlfn._xlws.FILTER(INDIRECT(M$1&amp;"!$E1:$E10000"),INDIRECT(M$1&amp;"!$a1:$a10000")=汇总!$A71),COUNTIF(INDIRECT(M$1&amp;"!$a1:$a10000"),汇总!$A71)),M70)</f>
        <v>233.26158999999998</v>
      </c>
      <c r="N71" s="109" cm="1">
        <f t="array" aca="1" ref="N71" ca="1">IFERROR(INDEX(_xlfn._xlws.FILTER(INDIRECT(N$1&amp;"!$E1:$E10000"),INDIRECT(N$1&amp;"!$a1:$a10000")=汇总!$A71),COUNTIF(INDIRECT(N$1&amp;"!$a1:$a10000"),汇总!$A71)),N70)</f>
        <v>2901</v>
      </c>
      <c r="O71" s="109" cm="1">
        <f t="array" aca="1" ref="O71" ca="1">IFERROR(INDEX(_xlfn._xlws.FILTER(INDIRECT(O$1&amp;"!$E1:$E10000"),INDIRECT(O$1&amp;"!$a1:$a10000")=汇总!$A71),COUNTIF(INDIRECT(O$1&amp;"!$a1:$a10000"),汇总!$A71)),O70)</f>
        <v>2</v>
      </c>
      <c r="P71" s="109" cm="1">
        <f t="array" aca="1" ref="P71" ca="1">IFERROR(INDEX(_xlfn._xlws.FILTER(INDIRECT(P$1&amp;"!$E1:$E10000"),INDIRECT(P$1&amp;"!$a1:$a10000")=汇总!$A71),COUNTIF(INDIRECT(P$1&amp;"!$a1:$a10000"),汇总!$A71)),P70)</f>
        <v>2.2999999999999998</v>
      </c>
      <c r="Q71" s="109" cm="1">
        <f t="array" aca="1" ref="Q71" ca="1">IFERROR(INDEX(_xlfn._xlws.FILTER(INDIRECT(Q$1&amp;"!$E1:$E10000"),INDIRECT(Q$1&amp;"!$a1:$a10000")=汇总!$A71),COUNTIF(INDIRECT(Q$1&amp;"!$a1:$a10000"),汇总!$A71)),Q70)</f>
        <v>17</v>
      </c>
      <c r="R71" s="109" cm="1">
        <f t="array" aca="1" ref="R71" ca="1">IFERROR(INDEX(_xlfn._xlws.FILTER(INDIRECT(R$1&amp;"!$E1:$E10000"),INDIRECT(R$1&amp;"!$a1:$a10000")=汇总!$A71),COUNTIF(INDIRECT(R$1&amp;"!$a1:$a10000"),汇总!$A71)),R70)</f>
        <v>704.13400000000001</v>
      </c>
      <c r="S71" s="109" cm="1">
        <f t="array" aca="1" ref="S71" ca="1">IFERROR(INDEX(_xlfn._xlws.FILTER(INDIRECT(S$1&amp;"!$E1:$E10000"),INDIRECT(S$1&amp;"!$a1:$a10000")=汇总!$A71),COUNTIF(INDIRECT(S$1&amp;"!$a1:$a10000"),汇总!$A71)),S70)</f>
        <v>1200</v>
      </c>
    </row>
    <row r="72" spans="1:19" hidden="1">
      <c r="A72" s="1">
        <f t="shared" si="2"/>
        <v>46093</v>
      </c>
      <c r="B72" s="109" cm="1">
        <f t="array" aca="1" ref="B72" ca="1">IFERROR(INDEX(_xlfn._xlws.FILTER(INDIRECT(B$1&amp;"!$E1:$E10000"),INDIRECT(B$1&amp;"!$a1:$a10000")=汇总!$A72),COUNTIF(INDIRECT(B$1&amp;"!$a1:$a10000"),汇总!$A72)),B71)</f>
        <v>1045.0352271506854</v>
      </c>
      <c r="C72" s="109" cm="1">
        <f t="array" aca="1" ref="C72" ca="1">IFERROR(INDEX(_xlfn._xlws.FILTER(INDIRECT(C$1&amp;"!$E1:$E10000"),INDIRECT(C$1&amp;"!$a1:$a10000")=汇总!$A72),COUNTIF(INDIRECT(C$1&amp;"!$a1:$a10000"),汇总!$A72)),C71)</f>
        <v>52</v>
      </c>
      <c r="D72" s="109" cm="1">
        <f t="array" aca="1" ref="D72" ca="1">IFERROR(INDEX(_xlfn._xlws.FILTER(INDIRECT(D$1&amp;"!$E1:$E10000"),INDIRECT(D$1&amp;"!$a1:$a10000")=汇总!$A72),COUNTIF(INDIRECT(D$1&amp;"!$a1:$a10000"),汇总!$A72)),D71)</f>
        <v>1265.9765000000007</v>
      </c>
      <c r="E72" s="109" cm="1">
        <f t="array" aca="1" ref="E72" ca="1">IFERROR(INDEX(_xlfn._xlws.FILTER(INDIRECT(E$1&amp;"!$E1:$E10000"),INDIRECT(E$1&amp;"!$a1:$a10000")=汇总!$A72),COUNTIF(INDIRECT(E$1&amp;"!$a1:$a10000"),汇总!$A72)),E71)</f>
        <v>218.32486999999998</v>
      </c>
      <c r="F72" s="109" cm="1">
        <f t="array" aca="1" ref="F72" ca="1">IFERROR(INDEX(_xlfn._xlws.FILTER(INDIRECT(F$1&amp;"!$E1:$E10000"),INDIRECT(F$1&amp;"!$a1:$a10000")=汇总!$A72),COUNTIF(INDIRECT(F$1&amp;"!$a1:$a10000"),汇总!$A72)),F71)</f>
        <v>3688</v>
      </c>
      <c r="G72" s="109" cm="1">
        <f t="array" aca="1" ref="G72" ca="1">IFERROR(INDEX(_xlfn._xlws.FILTER(INDIRECT(G$1&amp;"!$E1:$E10000"),INDIRECT(G$1&amp;"!$a1:$a10000")=汇总!$A72),COUNTIF(INDIRECT(G$1&amp;"!$a1:$a10000"),汇总!$A72)),G71)</f>
        <v>654</v>
      </c>
      <c r="H72" s="109" cm="1">
        <f t="array" aca="1" ref="H72" ca="1">IFERROR(INDEX(_xlfn._xlws.FILTER(INDIRECT(H$1&amp;"!$E1:$E10000"),INDIRECT(H$1&amp;"!$a1:$a10000")=汇总!$A72),COUNTIF(INDIRECT(H$1&amp;"!$a1:$a10000"),汇总!$A72)),H71)</f>
        <v>573.92997430000014</v>
      </c>
      <c r="I72" s="109" cm="1">
        <f t="array" aca="1" ref="I72" ca="1">IFERROR(INDEX(_xlfn._xlws.FILTER(INDIRECT(I$1&amp;"!$E1:$E10000"),INDIRECT(I$1&amp;"!$a1:$a10000")=汇总!$A72),COUNTIF(INDIRECT(I$1&amp;"!$a1:$a10000"),汇总!$A72)),I71)</f>
        <v>152.500947</v>
      </c>
      <c r="J72" s="109" cm="1">
        <f t="array" aca="1" ref="J72" ca="1">IFERROR(INDEX(_xlfn._xlws.FILTER(INDIRECT(J$1&amp;"!$E1:$E10000"),INDIRECT(J$1&amp;"!$a1:$a10000")=汇总!$A72),COUNTIF(INDIRECT(J$1&amp;"!$a1:$a10000"),汇总!$A72)),J71)</f>
        <v>2.5</v>
      </c>
      <c r="K72" s="109" cm="1">
        <f t="array" aca="1" ref="K72" ca="1">IFERROR(INDEX(_xlfn._xlws.FILTER(INDIRECT(K$1&amp;"!$E1:$E10000"),INDIRECT(K$1&amp;"!$a1:$a10000")=汇总!$A72),COUNTIF(INDIRECT(K$1&amp;"!$a1:$a10000"),汇总!$A72)),K71)</f>
        <v>260.30824000000007</v>
      </c>
      <c r="L72" s="109" cm="1">
        <f t="array" aca="1" ref="L72" ca="1">IFERROR(INDEX(_xlfn._xlws.FILTER(INDIRECT(L$1&amp;"!$E1:$E10000"),INDIRECT(L$1&amp;"!$a1:$a10000")=汇总!$A72),COUNTIF(INDIRECT(L$1&amp;"!$a1:$a10000"),汇总!$A72)),L71)</f>
        <v>301.49804999999992</v>
      </c>
      <c r="M72" s="109" cm="1">
        <f t="array" aca="1" ref="M72" ca="1">IFERROR(INDEX(_xlfn._xlws.FILTER(INDIRECT(M$1&amp;"!$E1:$E10000"),INDIRECT(M$1&amp;"!$a1:$a10000")=汇总!$A72),COUNTIF(INDIRECT(M$1&amp;"!$a1:$a10000"),汇总!$A72)),M71)</f>
        <v>394.19808999999998</v>
      </c>
      <c r="N72" s="109" cm="1">
        <f t="array" aca="1" ref="N72" ca="1">IFERROR(INDEX(_xlfn._xlws.FILTER(INDIRECT(N$1&amp;"!$E1:$E10000"),INDIRECT(N$1&amp;"!$a1:$a10000")=汇总!$A72),COUNTIF(INDIRECT(N$1&amp;"!$a1:$a10000"),汇总!$A72)),N71)</f>
        <v>2901</v>
      </c>
      <c r="O72" s="109" cm="1">
        <f t="array" aca="1" ref="O72" ca="1">IFERROR(INDEX(_xlfn._xlws.FILTER(INDIRECT(O$1&amp;"!$E1:$E10000"),INDIRECT(O$1&amp;"!$a1:$a10000")=汇总!$A72),COUNTIF(INDIRECT(O$1&amp;"!$a1:$a10000"),汇总!$A72)),O71)</f>
        <v>2</v>
      </c>
      <c r="P72" s="109" cm="1">
        <f t="array" aca="1" ref="P72" ca="1">IFERROR(INDEX(_xlfn._xlws.FILTER(INDIRECT(P$1&amp;"!$E1:$E10000"),INDIRECT(P$1&amp;"!$a1:$a10000")=汇总!$A72),COUNTIF(INDIRECT(P$1&amp;"!$a1:$a10000"),汇总!$A72)),P71)</f>
        <v>2.2999999999999998</v>
      </c>
      <c r="Q72" s="109" cm="1">
        <f t="array" aca="1" ref="Q72" ca="1">IFERROR(INDEX(_xlfn._xlws.FILTER(INDIRECT(Q$1&amp;"!$E1:$E10000"),INDIRECT(Q$1&amp;"!$a1:$a10000")=汇总!$A72),COUNTIF(INDIRECT(Q$1&amp;"!$a1:$a10000"),汇总!$A72)),Q71)</f>
        <v>17</v>
      </c>
      <c r="R72" s="109" cm="1">
        <f t="array" aca="1" ref="R72" ca="1">IFERROR(INDEX(_xlfn._xlws.FILTER(INDIRECT(R$1&amp;"!$E1:$E10000"),INDIRECT(R$1&amp;"!$a1:$a10000")=汇总!$A72),COUNTIF(INDIRECT(R$1&amp;"!$a1:$a10000"),汇总!$A72)),R71)</f>
        <v>704.13400000000001</v>
      </c>
      <c r="S72" s="109" cm="1">
        <f t="array" aca="1" ref="S72" ca="1">IFERROR(INDEX(_xlfn._xlws.FILTER(INDIRECT(S$1&amp;"!$E1:$E10000"),INDIRECT(S$1&amp;"!$a1:$a10000")=汇总!$A72),COUNTIF(INDIRECT(S$1&amp;"!$a1:$a10000"),汇总!$A72)),S71)</f>
        <v>1200</v>
      </c>
    </row>
    <row r="73" spans="1:19" hidden="1">
      <c r="A73" s="1">
        <f t="shared" si="2"/>
        <v>46094</v>
      </c>
      <c r="B73" s="109" cm="1">
        <f t="array" aca="1" ref="B73" ca="1">IFERROR(INDEX(_xlfn._xlws.FILTER(INDIRECT(B$1&amp;"!$E1:$E10000"),INDIRECT(B$1&amp;"!$a1:$a10000")=汇总!$A73),COUNTIF(INDIRECT(B$1&amp;"!$a1:$a10000"),汇总!$A73)),B72)</f>
        <v>395.03522715068539</v>
      </c>
      <c r="C73" s="109" cm="1">
        <f t="array" aca="1" ref="C73" ca="1">IFERROR(INDEX(_xlfn._xlws.FILTER(INDIRECT(C$1&amp;"!$E1:$E10000"),INDIRECT(C$1&amp;"!$a1:$a10000")=汇总!$A73),COUNTIF(INDIRECT(C$1&amp;"!$a1:$a10000"),汇总!$A73)),C72)</f>
        <v>30</v>
      </c>
      <c r="D73" s="109" cm="1">
        <f t="array" aca="1" ref="D73" ca="1">IFERROR(INDEX(_xlfn._xlws.FILTER(INDIRECT(D$1&amp;"!$E1:$E10000"),INDIRECT(D$1&amp;"!$a1:$a10000")=汇总!$A73),COUNTIF(INDIRECT(D$1&amp;"!$a1:$a10000"),汇总!$A73)),D72)</f>
        <v>1867.3131700000006</v>
      </c>
      <c r="E73" s="109" cm="1">
        <f t="array" aca="1" ref="E73" ca="1">IFERROR(INDEX(_xlfn._xlws.FILTER(INDIRECT(E$1&amp;"!$E1:$E10000"),INDIRECT(E$1&amp;"!$a1:$a10000")=汇总!$A73),COUNTIF(INDIRECT(E$1&amp;"!$a1:$a10000"),汇总!$A73)),E72)</f>
        <v>443.32486999999998</v>
      </c>
      <c r="F73" s="109" cm="1">
        <f t="array" aca="1" ref="F73" ca="1">IFERROR(INDEX(_xlfn._xlws.FILTER(INDIRECT(F$1&amp;"!$E1:$E10000"),INDIRECT(F$1&amp;"!$a1:$a10000")=汇总!$A73),COUNTIF(INDIRECT(F$1&amp;"!$a1:$a10000"),汇总!$A73)),F72)</f>
        <v>3688</v>
      </c>
      <c r="G73" s="109" cm="1">
        <f t="array" aca="1" ref="G73" ca="1">IFERROR(INDEX(_xlfn._xlws.FILTER(INDIRECT(G$1&amp;"!$E1:$E10000"),INDIRECT(G$1&amp;"!$a1:$a10000")=汇总!$A73),COUNTIF(INDIRECT(G$1&amp;"!$a1:$a10000"),汇总!$A73)),G72)</f>
        <v>21.114000000000033</v>
      </c>
      <c r="H73" s="109" cm="1">
        <f t="array" aca="1" ref="H73" ca="1">IFERROR(INDEX(_xlfn._xlws.FILTER(INDIRECT(H$1&amp;"!$E1:$E10000"),INDIRECT(H$1&amp;"!$a1:$a10000")=汇总!$A73),COUNTIF(INDIRECT(H$1&amp;"!$a1:$a10000"),汇总!$A73)),H72)</f>
        <v>154.92997430000014</v>
      </c>
      <c r="I73" s="109" cm="1">
        <f t="array" aca="1" ref="I73" ca="1">IFERROR(INDEX(_xlfn._xlws.FILTER(INDIRECT(I$1&amp;"!$E1:$E10000"),INDIRECT(I$1&amp;"!$a1:$a10000")=汇总!$A73),COUNTIF(INDIRECT(I$1&amp;"!$a1:$a10000"),汇总!$A73)),I72)</f>
        <v>152.500947</v>
      </c>
      <c r="J73" s="109" cm="1">
        <f t="array" aca="1" ref="J73" ca="1">IFERROR(INDEX(_xlfn._xlws.FILTER(INDIRECT(J$1&amp;"!$E1:$E10000"),INDIRECT(J$1&amp;"!$a1:$a10000")=汇总!$A73),COUNTIF(INDIRECT(J$1&amp;"!$a1:$a10000"),汇总!$A73)),J72)</f>
        <v>2.5</v>
      </c>
      <c r="K73" s="109" cm="1">
        <f t="array" aca="1" ref="K73" ca="1">IFERROR(INDEX(_xlfn._xlws.FILTER(INDIRECT(K$1&amp;"!$E1:$E10000"),INDIRECT(K$1&amp;"!$a1:$a10000")=汇总!$A73),COUNTIF(INDIRECT(K$1&amp;"!$a1:$a10000"),汇总!$A73)),K72)</f>
        <v>152.70824000000007</v>
      </c>
      <c r="L73" s="109" cm="1">
        <f t="array" aca="1" ref="L73" ca="1">IFERROR(INDEX(_xlfn._xlws.FILTER(INDIRECT(L$1&amp;"!$E1:$E10000"),INDIRECT(L$1&amp;"!$a1:$a10000")=汇总!$A73),COUNTIF(INDIRECT(L$1&amp;"!$a1:$a10000"),汇总!$A73)),L72)</f>
        <v>7.4980499999999211</v>
      </c>
      <c r="M73" s="109" cm="1">
        <f t="array" aca="1" ref="M73" ca="1">IFERROR(INDEX(_xlfn._xlws.FILTER(INDIRECT(M$1&amp;"!$E1:$E10000"),INDIRECT(M$1&amp;"!$a1:$a10000")=汇总!$A73),COUNTIF(INDIRECT(M$1&amp;"!$a1:$a10000"),汇总!$A73)),M72)</f>
        <v>33.198089999999866</v>
      </c>
      <c r="N73" s="109" cm="1">
        <f t="array" aca="1" ref="N73" ca="1">IFERROR(INDEX(_xlfn._xlws.FILTER(INDIRECT(N$1&amp;"!$E1:$E10000"),INDIRECT(N$1&amp;"!$a1:$a10000")=汇总!$A73),COUNTIF(INDIRECT(N$1&amp;"!$a1:$a10000"),汇总!$A73)),N72)</f>
        <v>6085</v>
      </c>
      <c r="O73" s="109" cm="1">
        <f t="array" aca="1" ref="O73" ca="1">IFERROR(INDEX(_xlfn._xlws.FILTER(INDIRECT(O$1&amp;"!$E1:$E10000"),INDIRECT(O$1&amp;"!$a1:$a10000")=汇总!$A73),COUNTIF(INDIRECT(O$1&amp;"!$a1:$a10000"),汇总!$A73)),O72)</f>
        <v>2</v>
      </c>
      <c r="P73" s="109" cm="1">
        <f t="array" aca="1" ref="P73" ca="1">IFERROR(INDEX(_xlfn._xlws.FILTER(INDIRECT(P$1&amp;"!$E1:$E10000"),INDIRECT(P$1&amp;"!$a1:$a10000")=汇总!$A73),COUNTIF(INDIRECT(P$1&amp;"!$a1:$a10000"),汇总!$A73)),P72)</f>
        <v>2.2999999999999998</v>
      </c>
      <c r="Q73" s="109" cm="1">
        <f t="array" aca="1" ref="Q73" ca="1">IFERROR(INDEX(_xlfn._xlws.FILTER(INDIRECT(Q$1&amp;"!$E1:$E10000"),INDIRECT(Q$1&amp;"!$a1:$a10000")=汇总!$A73),COUNTIF(INDIRECT(Q$1&amp;"!$a1:$a10000"),汇总!$A73)),Q72)</f>
        <v>317</v>
      </c>
      <c r="R73" s="109" cm="1">
        <f t="array" aca="1" ref="R73" ca="1">IFERROR(INDEX(_xlfn._xlws.FILTER(INDIRECT(R$1&amp;"!$E1:$E10000"),INDIRECT(R$1&amp;"!$a1:$a10000")=汇总!$A73),COUNTIF(INDIRECT(R$1&amp;"!$a1:$a10000"),汇总!$A73)),R72)</f>
        <v>11.134000000000015</v>
      </c>
      <c r="S73" s="109" cm="1">
        <f t="array" aca="1" ref="S73" ca="1">IFERROR(INDEX(_xlfn._xlws.FILTER(INDIRECT(S$1&amp;"!$E1:$E10000"),INDIRECT(S$1&amp;"!$a1:$a10000")=汇总!$A73),COUNTIF(INDIRECT(S$1&amp;"!$a1:$a10000"),汇总!$A73)),S72)</f>
        <v>0</v>
      </c>
    </row>
    <row r="74" spans="1:19" hidden="1">
      <c r="A74" s="1">
        <f t="shared" si="2"/>
        <v>46095</v>
      </c>
      <c r="B74" s="109" cm="1">
        <f t="array" aca="1" ref="B74" ca="1">IFERROR(INDEX(_xlfn._xlws.FILTER(INDIRECT(B$1&amp;"!$E1:$E10000"),INDIRECT(B$1&amp;"!$a1:$a10000")=汇总!$A74),COUNTIF(INDIRECT(B$1&amp;"!$a1:$a10000"),汇总!$A74)),B73)</f>
        <v>395.03522715068539</v>
      </c>
      <c r="C74" s="109" cm="1">
        <f t="array" aca="1" ref="C74" ca="1">IFERROR(INDEX(_xlfn._xlws.FILTER(INDIRECT(C$1&amp;"!$E1:$E10000"),INDIRECT(C$1&amp;"!$a1:$a10000")=汇总!$A74),COUNTIF(INDIRECT(C$1&amp;"!$a1:$a10000"),汇总!$A74)),C73)</f>
        <v>30</v>
      </c>
      <c r="D74" s="109" cm="1">
        <f t="array" aca="1" ref="D74" ca="1">IFERROR(INDEX(_xlfn._xlws.FILTER(INDIRECT(D$1&amp;"!$E1:$E10000"),INDIRECT(D$1&amp;"!$a1:$a10000")=汇总!$A74),COUNTIF(INDIRECT(D$1&amp;"!$a1:$a10000"),汇总!$A74)),D73)</f>
        <v>1867.3131700000006</v>
      </c>
      <c r="E74" s="109" cm="1">
        <f t="array" aca="1" ref="E74" ca="1">IFERROR(INDEX(_xlfn._xlws.FILTER(INDIRECT(E$1&amp;"!$E1:$E10000"),INDIRECT(E$1&amp;"!$a1:$a10000")=汇总!$A74),COUNTIF(INDIRECT(E$1&amp;"!$a1:$a10000"),汇总!$A74)),E73)</f>
        <v>443.32486999999998</v>
      </c>
      <c r="F74" s="109" cm="1">
        <f t="array" aca="1" ref="F74" ca="1">IFERROR(INDEX(_xlfn._xlws.FILTER(INDIRECT(F$1&amp;"!$E1:$E10000"),INDIRECT(F$1&amp;"!$a1:$a10000")=汇总!$A74),COUNTIF(INDIRECT(F$1&amp;"!$a1:$a10000"),汇总!$A74)),F73)</f>
        <v>3688</v>
      </c>
      <c r="G74" s="109" cm="1">
        <f t="array" aca="1" ref="G74" ca="1">IFERROR(INDEX(_xlfn._xlws.FILTER(INDIRECT(G$1&amp;"!$E1:$E10000"),INDIRECT(G$1&amp;"!$a1:$a10000")=汇总!$A74),COUNTIF(INDIRECT(G$1&amp;"!$a1:$a10000"),汇总!$A74)),G73)</f>
        <v>21.114000000000033</v>
      </c>
      <c r="H74" s="109" cm="1">
        <f t="array" aca="1" ref="H74" ca="1">IFERROR(INDEX(_xlfn._xlws.FILTER(INDIRECT(H$1&amp;"!$E1:$E10000"),INDIRECT(H$1&amp;"!$a1:$a10000")=汇总!$A74),COUNTIF(INDIRECT(H$1&amp;"!$a1:$a10000"),汇总!$A74)),H73)</f>
        <v>154.92997430000014</v>
      </c>
      <c r="I74" s="109" cm="1">
        <f t="array" aca="1" ref="I74" ca="1">IFERROR(INDEX(_xlfn._xlws.FILTER(INDIRECT(I$1&amp;"!$E1:$E10000"),INDIRECT(I$1&amp;"!$a1:$a10000")=汇总!$A74),COUNTIF(INDIRECT(I$1&amp;"!$a1:$a10000"),汇总!$A74)),I73)</f>
        <v>152.500947</v>
      </c>
      <c r="J74" s="109" cm="1">
        <f t="array" aca="1" ref="J74" ca="1">IFERROR(INDEX(_xlfn._xlws.FILTER(INDIRECT(J$1&amp;"!$E1:$E10000"),INDIRECT(J$1&amp;"!$a1:$a10000")=汇总!$A74),COUNTIF(INDIRECT(J$1&amp;"!$a1:$a10000"),汇总!$A74)),J73)</f>
        <v>2.5</v>
      </c>
      <c r="K74" s="109" cm="1">
        <f t="array" aca="1" ref="K74" ca="1">IFERROR(INDEX(_xlfn._xlws.FILTER(INDIRECT(K$1&amp;"!$E1:$E10000"),INDIRECT(K$1&amp;"!$a1:$a10000")=汇总!$A74),COUNTIF(INDIRECT(K$1&amp;"!$a1:$a10000"),汇总!$A74)),K73)</f>
        <v>152.70824000000007</v>
      </c>
      <c r="L74" s="109" cm="1">
        <f t="array" aca="1" ref="L74" ca="1">IFERROR(INDEX(_xlfn._xlws.FILTER(INDIRECT(L$1&amp;"!$E1:$E10000"),INDIRECT(L$1&amp;"!$a1:$a10000")=汇总!$A74),COUNTIF(INDIRECT(L$1&amp;"!$a1:$a10000"),汇总!$A74)),L73)</f>
        <v>7.4980499999999211</v>
      </c>
      <c r="M74" s="109" cm="1">
        <f t="array" aca="1" ref="M74" ca="1">IFERROR(INDEX(_xlfn._xlws.FILTER(INDIRECT(M$1&amp;"!$E1:$E10000"),INDIRECT(M$1&amp;"!$a1:$a10000")=汇总!$A74),COUNTIF(INDIRECT(M$1&amp;"!$a1:$a10000"),汇总!$A74)),M73)</f>
        <v>33.198089999999866</v>
      </c>
      <c r="N74" s="109" cm="1">
        <f t="array" aca="1" ref="N74" ca="1">IFERROR(INDEX(_xlfn._xlws.FILTER(INDIRECT(N$1&amp;"!$E1:$E10000"),INDIRECT(N$1&amp;"!$a1:$a10000")=汇总!$A74),COUNTIF(INDIRECT(N$1&amp;"!$a1:$a10000"),汇总!$A74)),N73)</f>
        <v>6085</v>
      </c>
      <c r="O74" s="109" cm="1">
        <f t="array" aca="1" ref="O74" ca="1">IFERROR(INDEX(_xlfn._xlws.FILTER(INDIRECT(O$1&amp;"!$E1:$E10000"),INDIRECT(O$1&amp;"!$a1:$a10000")=汇总!$A74),COUNTIF(INDIRECT(O$1&amp;"!$a1:$a10000"),汇总!$A74)),O73)</f>
        <v>2</v>
      </c>
      <c r="P74" s="109" cm="1">
        <f t="array" aca="1" ref="P74" ca="1">IFERROR(INDEX(_xlfn._xlws.FILTER(INDIRECT(P$1&amp;"!$E1:$E10000"),INDIRECT(P$1&amp;"!$a1:$a10000")=汇总!$A74),COUNTIF(INDIRECT(P$1&amp;"!$a1:$a10000"),汇总!$A74)),P73)</f>
        <v>2.2999999999999998</v>
      </c>
      <c r="Q74" s="109" cm="1">
        <f t="array" aca="1" ref="Q74" ca="1">IFERROR(INDEX(_xlfn._xlws.FILTER(INDIRECT(Q$1&amp;"!$E1:$E10000"),INDIRECT(Q$1&amp;"!$a1:$a10000")=汇总!$A74),COUNTIF(INDIRECT(Q$1&amp;"!$a1:$a10000"),汇总!$A74)),Q73)</f>
        <v>317</v>
      </c>
      <c r="R74" s="109" cm="1">
        <f t="array" aca="1" ref="R74" ca="1">IFERROR(INDEX(_xlfn._xlws.FILTER(INDIRECT(R$1&amp;"!$E1:$E10000"),INDIRECT(R$1&amp;"!$a1:$a10000")=汇总!$A74),COUNTIF(INDIRECT(R$1&amp;"!$a1:$a10000"),汇总!$A74)),R73)</f>
        <v>11.134000000000015</v>
      </c>
      <c r="S74" s="109" cm="1">
        <f t="array" aca="1" ref="S74" ca="1">IFERROR(INDEX(_xlfn._xlws.FILTER(INDIRECT(S$1&amp;"!$E1:$E10000"),INDIRECT(S$1&amp;"!$a1:$a10000")=汇总!$A74),COUNTIF(INDIRECT(S$1&amp;"!$a1:$a10000"),汇总!$A74)),S73)</f>
        <v>0</v>
      </c>
    </row>
    <row r="75" spans="1:19" hidden="1">
      <c r="A75" s="1">
        <f t="shared" si="2"/>
        <v>46096</v>
      </c>
      <c r="B75" s="109" cm="1">
        <f t="array" aca="1" ref="B75" ca="1">IFERROR(INDEX(_xlfn._xlws.FILTER(INDIRECT(B$1&amp;"!$E1:$E10000"),INDIRECT(B$1&amp;"!$a1:$a10000")=汇总!$A75),COUNTIF(INDIRECT(B$1&amp;"!$a1:$a10000"),汇总!$A75)),B74)</f>
        <v>395.03522715068539</v>
      </c>
      <c r="C75" s="109" cm="1">
        <f t="array" aca="1" ref="C75" ca="1">IFERROR(INDEX(_xlfn._xlws.FILTER(INDIRECT(C$1&amp;"!$E1:$E10000"),INDIRECT(C$1&amp;"!$a1:$a10000")=汇总!$A75),COUNTIF(INDIRECT(C$1&amp;"!$a1:$a10000"),汇总!$A75)),C74)</f>
        <v>30</v>
      </c>
      <c r="D75" s="109" cm="1">
        <f t="array" aca="1" ref="D75" ca="1">IFERROR(INDEX(_xlfn._xlws.FILTER(INDIRECT(D$1&amp;"!$E1:$E10000"),INDIRECT(D$1&amp;"!$a1:$a10000")=汇总!$A75),COUNTIF(INDIRECT(D$1&amp;"!$a1:$a10000"),汇总!$A75)),D74)</f>
        <v>1867.3131700000006</v>
      </c>
      <c r="E75" s="109" cm="1">
        <f t="array" aca="1" ref="E75" ca="1">IFERROR(INDEX(_xlfn._xlws.FILTER(INDIRECT(E$1&amp;"!$E1:$E10000"),INDIRECT(E$1&amp;"!$a1:$a10000")=汇总!$A75),COUNTIF(INDIRECT(E$1&amp;"!$a1:$a10000"),汇总!$A75)),E74)</f>
        <v>443.32486999999998</v>
      </c>
      <c r="F75" s="109" cm="1">
        <f t="array" aca="1" ref="F75" ca="1">IFERROR(INDEX(_xlfn._xlws.FILTER(INDIRECT(F$1&amp;"!$E1:$E10000"),INDIRECT(F$1&amp;"!$a1:$a10000")=汇总!$A75),COUNTIF(INDIRECT(F$1&amp;"!$a1:$a10000"),汇总!$A75)),F74)</f>
        <v>3688</v>
      </c>
      <c r="G75" s="109" cm="1">
        <f t="array" aca="1" ref="G75" ca="1">IFERROR(INDEX(_xlfn._xlws.FILTER(INDIRECT(G$1&amp;"!$E1:$E10000"),INDIRECT(G$1&amp;"!$a1:$a10000")=汇总!$A75),COUNTIF(INDIRECT(G$1&amp;"!$a1:$a10000"),汇总!$A75)),G74)</f>
        <v>21.114000000000033</v>
      </c>
      <c r="H75" s="109" cm="1">
        <f t="array" aca="1" ref="H75" ca="1">IFERROR(INDEX(_xlfn._xlws.FILTER(INDIRECT(H$1&amp;"!$E1:$E10000"),INDIRECT(H$1&amp;"!$a1:$a10000")=汇总!$A75),COUNTIF(INDIRECT(H$1&amp;"!$a1:$a10000"),汇总!$A75)),H74)</f>
        <v>154.92997430000014</v>
      </c>
      <c r="I75" s="109" cm="1">
        <f t="array" aca="1" ref="I75" ca="1">IFERROR(INDEX(_xlfn._xlws.FILTER(INDIRECT(I$1&amp;"!$E1:$E10000"),INDIRECT(I$1&amp;"!$a1:$a10000")=汇总!$A75),COUNTIF(INDIRECT(I$1&amp;"!$a1:$a10000"),汇总!$A75)),I74)</f>
        <v>152.500947</v>
      </c>
      <c r="J75" s="109" cm="1">
        <f t="array" aca="1" ref="J75" ca="1">IFERROR(INDEX(_xlfn._xlws.FILTER(INDIRECT(J$1&amp;"!$E1:$E10000"),INDIRECT(J$1&amp;"!$a1:$a10000")=汇总!$A75),COUNTIF(INDIRECT(J$1&amp;"!$a1:$a10000"),汇总!$A75)),J74)</f>
        <v>2.5</v>
      </c>
      <c r="K75" s="109" cm="1">
        <f t="array" aca="1" ref="K75" ca="1">IFERROR(INDEX(_xlfn._xlws.FILTER(INDIRECT(K$1&amp;"!$E1:$E10000"),INDIRECT(K$1&amp;"!$a1:$a10000")=汇总!$A75),COUNTIF(INDIRECT(K$1&amp;"!$a1:$a10000"),汇总!$A75)),K74)</f>
        <v>152.70824000000007</v>
      </c>
      <c r="L75" s="109" cm="1">
        <f t="array" aca="1" ref="L75" ca="1">IFERROR(INDEX(_xlfn._xlws.FILTER(INDIRECT(L$1&amp;"!$E1:$E10000"),INDIRECT(L$1&amp;"!$a1:$a10000")=汇总!$A75),COUNTIF(INDIRECT(L$1&amp;"!$a1:$a10000"),汇总!$A75)),L74)</f>
        <v>7.4980499999999211</v>
      </c>
      <c r="M75" s="109" cm="1">
        <f t="array" aca="1" ref="M75" ca="1">IFERROR(INDEX(_xlfn._xlws.FILTER(INDIRECT(M$1&amp;"!$E1:$E10000"),INDIRECT(M$1&amp;"!$a1:$a10000")=汇总!$A75),COUNTIF(INDIRECT(M$1&amp;"!$a1:$a10000"),汇总!$A75)),M74)</f>
        <v>33.198089999999866</v>
      </c>
      <c r="N75" s="109" cm="1">
        <f t="array" aca="1" ref="N75" ca="1">IFERROR(INDEX(_xlfn._xlws.FILTER(INDIRECT(N$1&amp;"!$E1:$E10000"),INDIRECT(N$1&amp;"!$a1:$a10000")=汇总!$A75),COUNTIF(INDIRECT(N$1&amp;"!$a1:$a10000"),汇总!$A75)),N74)</f>
        <v>6085</v>
      </c>
      <c r="O75" s="109" cm="1">
        <f t="array" aca="1" ref="O75" ca="1">IFERROR(INDEX(_xlfn._xlws.FILTER(INDIRECT(O$1&amp;"!$E1:$E10000"),INDIRECT(O$1&amp;"!$a1:$a10000")=汇总!$A75),COUNTIF(INDIRECT(O$1&amp;"!$a1:$a10000"),汇总!$A75)),O74)</f>
        <v>2</v>
      </c>
      <c r="P75" s="109" cm="1">
        <f t="array" aca="1" ref="P75" ca="1">IFERROR(INDEX(_xlfn._xlws.FILTER(INDIRECT(P$1&amp;"!$E1:$E10000"),INDIRECT(P$1&amp;"!$a1:$a10000")=汇总!$A75),COUNTIF(INDIRECT(P$1&amp;"!$a1:$a10000"),汇总!$A75)),P74)</f>
        <v>2.2999999999999998</v>
      </c>
      <c r="Q75" s="109" cm="1">
        <f t="array" aca="1" ref="Q75" ca="1">IFERROR(INDEX(_xlfn._xlws.FILTER(INDIRECT(Q$1&amp;"!$E1:$E10000"),INDIRECT(Q$1&amp;"!$a1:$a10000")=汇总!$A75),COUNTIF(INDIRECT(Q$1&amp;"!$a1:$a10000"),汇总!$A75)),Q74)</f>
        <v>317</v>
      </c>
      <c r="R75" s="109" cm="1">
        <f t="array" aca="1" ref="R75" ca="1">IFERROR(INDEX(_xlfn._xlws.FILTER(INDIRECT(R$1&amp;"!$E1:$E10000"),INDIRECT(R$1&amp;"!$a1:$a10000")=汇总!$A75),COUNTIF(INDIRECT(R$1&amp;"!$a1:$a10000"),汇总!$A75)),R74)</f>
        <v>11.134000000000015</v>
      </c>
      <c r="S75" s="109" cm="1">
        <f t="array" aca="1" ref="S75" ca="1">IFERROR(INDEX(_xlfn._xlws.FILTER(INDIRECT(S$1&amp;"!$E1:$E10000"),INDIRECT(S$1&amp;"!$a1:$a10000")=汇总!$A75),COUNTIF(INDIRECT(S$1&amp;"!$a1:$a10000"),汇总!$A75)),S74)</f>
        <v>0</v>
      </c>
    </row>
    <row r="76" spans="1:19" hidden="1">
      <c r="A76" s="1">
        <f t="shared" si="2"/>
        <v>46097</v>
      </c>
      <c r="B76" s="109" cm="1">
        <f t="array" aca="1" ref="B76" ca="1">IFERROR(INDEX(_xlfn._xlws.FILTER(INDIRECT(B$1&amp;"!$E1:$E10000"),INDIRECT(B$1&amp;"!$a1:$a10000")=汇总!$A76),COUNTIF(INDIRECT(B$1&amp;"!$a1:$a10000"),汇总!$A76)),B75)</f>
        <v>78.470427150685339</v>
      </c>
      <c r="C76" s="109" cm="1">
        <f t="array" aca="1" ref="C76" ca="1">IFERROR(INDEX(_xlfn._xlws.FILTER(INDIRECT(C$1&amp;"!$E1:$E10000"),INDIRECT(C$1&amp;"!$a1:$a10000")=汇总!$A76),COUNTIF(INDIRECT(C$1&amp;"!$a1:$a10000"),汇总!$A76)),C75)</f>
        <v>1399</v>
      </c>
      <c r="D76" s="109" cm="1">
        <f t="array" aca="1" ref="D76" ca="1">IFERROR(INDEX(_xlfn._xlws.FILTER(INDIRECT(D$1&amp;"!$E1:$E10000"),INDIRECT(D$1&amp;"!$a1:$a10000")=汇总!$A76),COUNTIF(INDIRECT(D$1&amp;"!$a1:$a10000"),汇总!$A76)),D75)</f>
        <v>901.71995000000015</v>
      </c>
      <c r="E76" s="109" cm="1">
        <f t="array" aca="1" ref="E76" ca="1">IFERROR(INDEX(_xlfn._xlws.FILTER(INDIRECT(E$1&amp;"!$E1:$E10000"),INDIRECT(E$1&amp;"!$a1:$a10000")=汇总!$A76),COUNTIF(INDIRECT(E$1&amp;"!$a1:$a10000"),汇总!$A76)),E75)</f>
        <v>448.82486999999998</v>
      </c>
      <c r="F76" s="109" cm="1">
        <f t="array" aca="1" ref="F76" ca="1">IFERROR(INDEX(_xlfn._xlws.FILTER(INDIRECT(F$1&amp;"!$E1:$E10000"),INDIRECT(F$1&amp;"!$a1:$a10000")=汇总!$A76),COUNTIF(INDIRECT(F$1&amp;"!$a1:$a10000"),汇总!$A76)),F75)</f>
        <v>14788</v>
      </c>
      <c r="G76" s="109" cm="1">
        <f t="array" aca="1" ref="G76" ca="1">IFERROR(INDEX(_xlfn._xlws.FILTER(INDIRECT(G$1&amp;"!$E1:$E10000"),INDIRECT(G$1&amp;"!$a1:$a10000")=汇总!$A76),COUNTIF(INDIRECT(G$1&amp;"!$a1:$a10000"),汇总!$A76)),G75)</f>
        <v>51.530399999999986</v>
      </c>
      <c r="H76" s="109" cm="1">
        <f t="array" aca="1" ref="H76" ca="1">IFERROR(INDEX(_xlfn._xlws.FILTER(INDIRECT(H$1&amp;"!$E1:$E10000"),INDIRECT(H$1&amp;"!$a1:$a10000")=汇总!$A76),COUNTIF(INDIRECT(H$1&amp;"!$a1:$a10000"),汇总!$A76)),H75)</f>
        <v>154.92997430000014</v>
      </c>
      <c r="I76" s="109" cm="1">
        <f t="array" aca="1" ref="I76" ca="1">IFERROR(INDEX(_xlfn._xlws.FILTER(INDIRECT(I$1&amp;"!$E1:$E10000"),INDIRECT(I$1&amp;"!$a1:$a10000")=汇总!$A76),COUNTIF(INDIRECT(I$1&amp;"!$a1:$a10000"),汇总!$A76)),I75)</f>
        <v>152.500947</v>
      </c>
      <c r="J76" s="109" cm="1">
        <f t="array" aca="1" ref="J76" ca="1">IFERROR(INDEX(_xlfn._xlws.FILTER(INDIRECT(J$1&amp;"!$E1:$E10000"),INDIRECT(J$1&amp;"!$a1:$a10000")=汇总!$A76),COUNTIF(INDIRECT(J$1&amp;"!$a1:$a10000"),汇总!$A76)),J75)</f>
        <v>2.5</v>
      </c>
      <c r="K76" s="109" cm="1">
        <f t="array" aca="1" ref="K76" ca="1">IFERROR(INDEX(_xlfn._xlws.FILTER(INDIRECT(K$1&amp;"!$E1:$E10000"),INDIRECT(K$1&amp;"!$a1:$a10000")=汇总!$A76),COUNTIF(INDIRECT(K$1&amp;"!$a1:$a10000"),汇总!$A76)),K75)</f>
        <v>152.70824000000007</v>
      </c>
      <c r="L76" s="109" cm="1">
        <f t="array" aca="1" ref="L76" ca="1">IFERROR(INDEX(_xlfn._xlws.FILTER(INDIRECT(L$1&amp;"!$E1:$E10000"),INDIRECT(L$1&amp;"!$a1:$a10000")=汇总!$A76),COUNTIF(INDIRECT(L$1&amp;"!$a1:$a10000"),汇总!$A76)),L75)</f>
        <v>7.4980499999999211</v>
      </c>
      <c r="M76" s="109" cm="1">
        <f t="array" aca="1" ref="M76" ca="1">IFERROR(INDEX(_xlfn._xlws.FILTER(INDIRECT(M$1&amp;"!$E1:$E10000"),INDIRECT(M$1&amp;"!$a1:$a10000")=汇总!$A76),COUNTIF(INDIRECT(M$1&amp;"!$a1:$a10000"),汇总!$A76)),M75)</f>
        <v>33.198089999999866</v>
      </c>
      <c r="N76" s="109" cm="1">
        <f t="array" aca="1" ref="N76" ca="1">IFERROR(INDEX(_xlfn._xlws.FILTER(INDIRECT(N$1&amp;"!$E1:$E10000"),INDIRECT(N$1&amp;"!$a1:$a10000")=汇总!$A76),COUNTIF(INDIRECT(N$1&amp;"!$a1:$a10000"),汇总!$A76)),N75)</f>
        <v>6085</v>
      </c>
      <c r="O76" s="109" cm="1">
        <f t="array" aca="1" ref="O76" ca="1">IFERROR(INDEX(_xlfn._xlws.FILTER(INDIRECT(O$1&amp;"!$E1:$E10000"),INDIRECT(O$1&amp;"!$a1:$a10000")=汇总!$A76),COUNTIF(INDIRECT(O$1&amp;"!$a1:$a10000"),汇总!$A76)),O75)</f>
        <v>2</v>
      </c>
      <c r="P76" s="109" cm="1">
        <f t="array" aca="1" ref="P76" ca="1">IFERROR(INDEX(_xlfn._xlws.FILTER(INDIRECT(P$1&amp;"!$E1:$E10000"),INDIRECT(P$1&amp;"!$a1:$a10000")=汇总!$A76),COUNTIF(INDIRECT(P$1&amp;"!$a1:$a10000"),汇总!$A76)),P75)</f>
        <v>2.2999999999999998</v>
      </c>
      <c r="Q76" s="109" cm="1">
        <f t="array" aca="1" ref="Q76" ca="1">IFERROR(INDEX(_xlfn._xlws.FILTER(INDIRECT(Q$1&amp;"!$E1:$E10000"),INDIRECT(Q$1&amp;"!$a1:$a10000")=汇总!$A76),COUNTIF(INDIRECT(Q$1&amp;"!$a1:$a10000"),汇总!$A76)),Q75)</f>
        <v>317</v>
      </c>
      <c r="R76" s="109" cm="1">
        <f t="array" aca="1" ref="R76" ca="1">IFERROR(INDEX(_xlfn._xlws.FILTER(INDIRECT(R$1&amp;"!$E1:$E10000"),INDIRECT(R$1&amp;"!$a1:$a10000")=汇总!$A76),COUNTIF(INDIRECT(R$1&amp;"!$a1:$a10000"),汇总!$A76)),R75)</f>
        <v>11.134000000000015</v>
      </c>
      <c r="S76" s="109" cm="1">
        <f t="array" aca="1" ref="S76" ca="1">IFERROR(INDEX(_xlfn._xlws.FILTER(INDIRECT(S$1&amp;"!$E1:$E10000"),INDIRECT(S$1&amp;"!$a1:$a10000")=汇总!$A76),COUNTIF(INDIRECT(S$1&amp;"!$a1:$a10000"),汇总!$A76)),S75)</f>
        <v>0</v>
      </c>
    </row>
    <row r="77" spans="1:19" hidden="1">
      <c r="A77" s="1">
        <f t="shared" si="2"/>
        <v>46098</v>
      </c>
      <c r="B77" s="109" cm="1">
        <f t="array" aca="1" ref="B77" ca="1">IFERROR(INDEX(_xlfn._xlws.FILTER(INDIRECT(B$1&amp;"!$E1:$E10000"),INDIRECT(B$1&amp;"!$a1:$a10000")=汇总!$A77),COUNTIF(INDIRECT(B$1&amp;"!$a1:$a10000"),汇总!$A77)),B76)</f>
        <v>78.470427150685339</v>
      </c>
      <c r="C77" s="109" cm="1">
        <f t="array" aca="1" ref="C77" ca="1">IFERROR(INDEX(_xlfn._xlws.FILTER(INDIRECT(C$1&amp;"!$E1:$E10000"),INDIRECT(C$1&amp;"!$a1:$a10000")=汇总!$A77),COUNTIF(INDIRECT(C$1&amp;"!$a1:$a10000"),汇总!$A77)),C76)</f>
        <v>3179.315682191781</v>
      </c>
      <c r="D77" s="109" cm="1">
        <f t="array" aca="1" ref="D77" ca="1">IFERROR(INDEX(_xlfn._xlws.FILTER(INDIRECT(D$1&amp;"!$E1:$E10000"),INDIRECT(D$1&amp;"!$a1:$a10000")=汇总!$A77),COUNTIF(INDIRECT(D$1&amp;"!$a1:$a10000"),汇总!$A77)),D76)</f>
        <v>901.71995000000015</v>
      </c>
      <c r="E77" s="109" cm="1">
        <f t="array" aca="1" ref="E77" ca="1">IFERROR(INDEX(_xlfn._xlws.FILTER(INDIRECT(E$1&amp;"!$E1:$E10000"),INDIRECT(E$1&amp;"!$a1:$a10000")=汇总!$A77),COUNTIF(INDIRECT(E$1&amp;"!$a1:$a10000"),汇总!$A77)),E76)</f>
        <v>143.59367000000017</v>
      </c>
      <c r="F77" s="109" cm="1">
        <f t="array" aca="1" ref="F77" ca="1">IFERROR(INDEX(_xlfn._xlws.FILTER(INDIRECT(F$1&amp;"!$E1:$E10000"),INDIRECT(F$1&amp;"!$a1:$a10000")=汇总!$A77),COUNTIF(INDIRECT(F$1&amp;"!$a1:$a10000"),汇总!$A77)),F76)</f>
        <v>13007.684317808218</v>
      </c>
      <c r="G77" s="109" cm="1">
        <f t="array" aca="1" ref="G77" ca="1">IFERROR(INDEX(_xlfn._xlws.FILTER(INDIRECT(G$1&amp;"!$E1:$E10000"),INDIRECT(G$1&amp;"!$a1:$a10000")=汇总!$A77),COUNTIF(INDIRECT(G$1&amp;"!$a1:$a10000"),汇总!$A77)),G76)</f>
        <v>51.530399999999986</v>
      </c>
      <c r="H77" s="109" cm="1">
        <f t="array" aca="1" ref="H77" ca="1">IFERROR(INDEX(_xlfn._xlws.FILTER(INDIRECT(H$1&amp;"!$E1:$E10000"),INDIRECT(H$1&amp;"!$a1:$a10000")=汇总!$A77),COUNTIF(INDIRECT(H$1&amp;"!$a1:$a10000"),汇总!$A77)),H76)</f>
        <v>154.92997430000014</v>
      </c>
      <c r="I77" s="109" cm="1">
        <f t="array" aca="1" ref="I77" ca="1">IFERROR(INDEX(_xlfn._xlws.FILTER(INDIRECT(I$1&amp;"!$E1:$E10000"),INDIRECT(I$1&amp;"!$a1:$a10000")=汇总!$A77),COUNTIF(INDIRECT(I$1&amp;"!$a1:$a10000"),汇总!$A77)),I76)</f>
        <v>1752.952947</v>
      </c>
      <c r="J77" s="109" cm="1">
        <f t="array" aca="1" ref="J77" ca="1">IFERROR(INDEX(_xlfn._xlws.FILTER(INDIRECT(J$1&amp;"!$E1:$E10000"),INDIRECT(J$1&amp;"!$a1:$a10000")=汇总!$A77),COUNTIF(INDIRECT(J$1&amp;"!$a1:$a10000"),汇总!$A77)),J76)</f>
        <v>2.5</v>
      </c>
      <c r="K77" s="109" cm="1">
        <f t="array" aca="1" ref="K77" ca="1">IFERROR(INDEX(_xlfn._xlws.FILTER(INDIRECT(K$1&amp;"!$E1:$E10000"),INDIRECT(K$1&amp;"!$a1:$a10000")=汇总!$A77),COUNTIF(INDIRECT(K$1&amp;"!$a1:$a10000"),汇总!$A77)),K76)</f>
        <v>2852.7082399999999</v>
      </c>
      <c r="L77" s="109" cm="1">
        <f t="array" aca="1" ref="L77" ca="1">IFERROR(INDEX(_xlfn._xlws.FILTER(INDIRECT(L$1&amp;"!$E1:$E10000"),INDIRECT(L$1&amp;"!$a1:$a10000")=汇总!$A77),COUNTIF(INDIRECT(L$1&amp;"!$a1:$a10000"),汇总!$A77)),L76)</f>
        <v>7.4980499999999211</v>
      </c>
      <c r="M77" s="109" cm="1">
        <f t="array" aca="1" ref="M77" ca="1">IFERROR(INDEX(_xlfn._xlws.FILTER(INDIRECT(M$1&amp;"!$E1:$E10000"),INDIRECT(M$1&amp;"!$a1:$a10000")=汇总!$A77),COUNTIF(INDIRECT(M$1&amp;"!$a1:$a10000"),汇总!$A77)),M76)</f>
        <v>33.198089999999866</v>
      </c>
      <c r="N77" s="109" cm="1">
        <f t="array" aca="1" ref="N77" ca="1">IFERROR(INDEX(_xlfn._xlws.FILTER(INDIRECT(N$1&amp;"!$E1:$E10000"),INDIRECT(N$1&amp;"!$a1:$a10000")=汇总!$A77),COUNTIF(INDIRECT(N$1&amp;"!$a1:$a10000"),汇总!$A77)),N76)</f>
        <v>6085</v>
      </c>
      <c r="O77" s="109" cm="1">
        <f t="array" aca="1" ref="O77" ca="1">IFERROR(INDEX(_xlfn._xlws.FILTER(INDIRECT(O$1&amp;"!$E1:$E10000"),INDIRECT(O$1&amp;"!$a1:$a10000")=汇总!$A77),COUNTIF(INDIRECT(O$1&amp;"!$a1:$a10000"),汇总!$A77)),O76)</f>
        <v>2</v>
      </c>
      <c r="P77" s="109" cm="1">
        <f t="array" aca="1" ref="P77" ca="1">IFERROR(INDEX(_xlfn._xlws.FILTER(INDIRECT(P$1&amp;"!$E1:$E10000"),INDIRECT(P$1&amp;"!$a1:$a10000")=汇总!$A77),COUNTIF(INDIRECT(P$1&amp;"!$a1:$a10000"),汇总!$A77)),P76)</f>
        <v>2.2999999999999998</v>
      </c>
      <c r="Q77" s="109" cm="1">
        <f t="array" aca="1" ref="Q77" ca="1">IFERROR(INDEX(_xlfn._xlws.FILTER(INDIRECT(Q$1&amp;"!$E1:$E10000"),INDIRECT(Q$1&amp;"!$a1:$a10000")=汇总!$A77),COUNTIF(INDIRECT(Q$1&amp;"!$a1:$a10000"),汇总!$A77)),Q76)</f>
        <v>317</v>
      </c>
      <c r="R77" s="109" cm="1">
        <f t="array" aca="1" ref="R77" ca="1">IFERROR(INDEX(_xlfn._xlws.FILTER(INDIRECT(R$1&amp;"!$E1:$E10000"),INDIRECT(R$1&amp;"!$a1:$a10000")=汇总!$A77),COUNTIF(INDIRECT(R$1&amp;"!$a1:$a10000"),汇总!$A77)),R76)</f>
        <v>11.134000000000015</v>
      </c>
      <c r="S77" s="109" cm="1">
        <f t="array" aca="1" ref="S77" ca="1">IFERROR(INDEX(_xlfn._xlws.FILTER(INDIRECT(S$1&amp;"!$E1:$E10000"),INDIRECT(S$1&amp;"!$a1:$a10000")=汇总!$A77),COUNTIF(INDIRECT(S$1&amp;"!$a1:$a10000"),汇总!$A77)),S76)</f>
        <v>0</v>
      </c>
    </row>
    <row r="78" spans="1:19" hidden="1">
      <c r="A78" s="1">
        <f t="shared" si="2"/>
        <v>46099</v>
      </c>
      <c r="B78" s="109" cm="1">
        <f t="array" aca="1" ref="B78" ca="1">IFERROR(INDEX(_xlfn._xlws.FILTER(INDIRECT(B$1&amp;"!$E1:$E10000"),INDIRECT(B$1&amp;"!$a1:$a10000")=汇总!$A78),COUNTIF(INDIRECT(B$1&amp;"!$a1:$a10000"),汇总!$A78)),B77)</f>
        <v>78.470427150685339</v>
      </c>
      <c r="C78" s="109" cm="1">
        <f t="array" aca="1" ref="C78" ca="1">IFERROR(INDEX(_xlfn._xlws.FILTER(INDIRECT(C$1&amp;"!$E1:$E10000"),INDIRECT(C$1&amp;"!$a1:$a10000")=汇总!$A78),COUNTIF(INDIRECT(C$1&amp;"!$a1:$a10000"),汇总!$A78)),C77)</f>
        <v>5355.1225315068496</v>
      </c>
      <c r="D78" s="109" cm="1">
        <f t="array" aca="1" ref="D78" ca="1">IFERROR(INDEX(_xlfn._xlws.FILTER(INDIRECT(D$1&amp;"!$E1:$E10000"),INDIRECT(D$1&amp;"!$a1:$a10000")=汇总!$A78),COUNTIF(INDIRECT(D$1&amp;"!$a1:$a10000"),汇总!$A78)),D77)</f>
        <v>2704.848943150685</v>
      </c>
      <c r="E78" s="109" cm="1">
        <f t="array" aca="1" ref="E78" ca="1">IFERROR(INDEX(_xlfn._xlws.FILTER(INDIRECT(E$1&amp;"!$E1:$E10000"),INDIRECT(E$1&amp;"!$a1:$a10000")=汇总!$A78),COUNTIF(INDIRECT(E$1&amp;"!$a1:$a10000"),汇总!$A78)),E77)</f>
        <v>143.59367000000017</v>
      </c>
      <c r="F78" s="109" cm="1">
        <f t="array" aca="1" ref="F78" ca="1">IFERROR(INDEX(_xlfn._xlws.FILTER(INDIRECT(F$1&amp;"!$E1:$E10000"),INDIRECT(F$1&amp;"!$a1:$a10000")=汇总!$A78),COUNTIF(INDIRECT(F$1&amp;"!$a1:$a10000"),汇总!$A78)),F77)</f>
        <v>9679.5884753424634</v>
      </c>
      <c r="G78" s="109" cm="1">
        <f t="array" aca="1" ref="G78" ca="1">IFERROR(INDEX(_xlfn._xlws.FILTER(INDIRECT(G$1&amp;"!$E1:$E10000"),INDIRECT(G$1&amp;"!$a1:$a10000")=汇总!$A78),COUNTIF(INDIRECT(G$1&amp;"!$a1:$a10000"),汇总!$A78)),G77)</f>
        <v>51.530399999999986</v>
      </c>
      <c r="H78" s="109" cm="1">
        <f t="array" aca="1" ref="H78" ca="1">IFERROR(INDEX(_xlfn._xlws.FILTER(INDIRECT(H$1&amp;"!$E1:$E10000"),INDIRECT(H$1&amp;"!$a1:$a10000")=汇总!$A78),COUNTIF(INDIRECT(H$1&amp;"!$a1:$a10000"),汇总!$A78)),H77)</f>
        <v>154.92997430000014</v>
      </c>
      <c r="I78" s="109" cm="1">
        <f t="array" aca="1" ref="I78" ca="1">IFERROR(INDEX(_xlfn._xlws.FILTER(INDIRECT(I$1&amp;"!$E1:$E10000"),INDIRECT(I$1&amp;"!$a1:$a10000")=汇总!$A78),COUNTIF(INDIRECT(I$1&amp;"!$a1:$a10000"),汇总!$A78)),I77)</f>
        <v>1752.952947</v>
      </c>
      <c r="J78" s="109" cm="1">
        <f t="array" aca="1" ref="J78" ca="1">IFERROR(INDEX(_xlfn._xlws.FILTER(INDIRECT(J$1&amp;"!$E1:$E10000"),INDIRECT(J$1&amp;"!$a1:$a10000")=汇总!$A78),COUNTIF(INDIRECT(J$1&amp;"!$a1:$a10000"),汇总!$A78)),J77)</f>
        <v>2.5</v>
      </c>
      <c r="K78" s="109" cm="1">
        <f t="array" aca="1" ref="K78" ca="1">IFERROR(INDEX(_xlfn._xlws.FILTER(INDIRECT(K$1&amp;"!$E1:$E10000"),INDIRECT(K$1&amp;"!$a1:$a10000")=汇总!$A78),COUNTIF(INDIRECT(K$1&amp;"!$a1:$a10000"),汇总!$A78)),K77)</f>
        <v>2252.7082399999999</v>
      </c>
      <c r="L78" s="109" cm="1">
        <f t="array" aca="1" ref="L78" ca="1">IFERROR(INDEX(_xlfn._xlws.FILTER(INDIRECT(L$1&amp;"!$E1:$E10000"),INDIRECT(L$1&amp;"!$a1:$a10000")=汇总!$A78),COUNTIF(INDIRECT(L$1&amp;"!$a1:$a10000"),汇总!$A78)),L77)</f>
        <v>59</v>
      </c>
      <c r="M78" s="109" cm="1">
        <f t="array" aca="1" ref="M78" ca="1">IFERROR(INDEX(_xlfn._xlws.FILTER(INDIRECT(M$1&amp;"!$E1:$E10000"),INDIRECT(M$1&amp;"!$a1:$a10000")=汇总!$A78),COUNTIF(INDIRECT(M$1&amp;"!$a1:$a10000"),汇总!$A78)),M77)</f>
        <v>33.198089999999866</v>
      </c>
      <c r="N78" s="109" cm="1">
        <f t="array" aca="1" ref="N78" ca="1">IFERROR(INDEX(_xlfn._xlws.FILTER(INDIRECT(N$1&amp;"!$E1:$E10000"),INDIRECT(N$1&amp;"!$a1:$a10000")=汇总!$A78),COUNTIF(INDIRECT(N$1&amp;"!$a1:$a10000"),汇总!$A78)),N77)</f>
        <v>6361</v>
      </c>
      <c r="O78" s="109" cm="1">
        <f t="array" aca="1" ref="O78" ca="1">IFERROR(INDEX(_xlfn._xlws.FILTER(INDIRECT(O$1&amp;"!$E1:$E10000"),INDIRECT(O$1&amp;"!$a1:$a10000")=汇总!$A78),COUNTIF(INDIRECT(O$1&amp;"!$a1:$a10000"),汇总!$A78)),O77)</f>
        <v>2</v>
      </c>
      <c r="P78" s="109" cm="1">
        <f t="array" aca="1" ref="P78" ca="1">IFERROR(INDEX(_xlfn._xlws.FILTER(INDIRECT(P$1&amp;"!$E1:$E10000"),INDIRECT(P$1&amp;"!$a1:$a10000")=汇总!$A78),COUNTIF(INDIRECT(P$1&amp;"!$a1:$a10000"),汇总!$A78)),P77)</f>
        <v>2.2999999999999998</v>
      </c>
      <c r="Q78" s="109" cm="1">
        <f t="array" aca="1" ref="Q78" ca="1">IFERROR(INDEX(_xlfn._xlws.FILTER(INDIRECT(Q$1&amp;"!$E1:$E10000"),INDIRECT(Q$1&amp;"!$a1:$a10000")=汇总!$A78),COUNTIF(INDIRECT(Q$1&amp;"!$a1:$a10000"),汇总!$A78)),Q77)</f>
        <v>9.0099999999999909</v>
      </c>
      <c r="R78" s="109" cm="1">
        <f t="array" aca="1" ref="R78" ca="1">IFERROR(INDEX(_xlfn._xlws.FILTER(INDIRECT(R$1&amp;"!$E1:$E10000"),INDIRECT(R$1&amp;"!$a1:$a10000")=汇总!$A78),COUNTIF(INDIRECT(R$1&amp;"!$a1:$a10000"),汇总!$A78)),R77)</f>
        <v>11.134000000000015</v>
      </c>
      <c r="S78" s="109" cm="1">
        <f t="array" aca="1" ref="S78" ca="1">IFERROR(INDEX(_xlfn._xlws.FILTER(INDIRECT(S$1&amp;"!$E1:$E10000"),INDIRECT(S$1&amp;"!$a1:$a10000")=汇总!$A78),COUNTIF(INDIRECT(S$1&amp;"!$a1:$a10000"),汇总!$A78)),S77)</f>
        <v>0</v>
      </c>
    </row>
    <row r="79" spans="1:19" hidden="1">
      <c r="A79" s="1">
        <f t="shared" si="2"/>
        <v>46100</v>
      </c>
      <c r="B79" s="109" cm="1">
        <f t="array" aca="1" ref="B79" ca="1">IFERROR(INDEX(_xlfn._xlws.FILTER(INDIRECT(B$1&amp;"!$E1:$E10000"),INDIRECT(B$1&amp;"!$a1:$a10000")=汇总!$A79),COUNTIF(INDIRECT(B$1&amp;"!$a1:$a10000"),汇总!$A79)),B78)</f>
        <v>78.470427150685339</v>
      </c>
      <c r="C79" s="109" cm="1">
        <f t="array" aca="1" ref="C79" ca="1">IFERROR(INDEX(_xlfn._xlws.FILTER(INDIRECT(C$1&amp;"!$E1:$E10000"),INDIRECT(C$1&amp;"!$a1:$a10000")=汇总!$A79),COUNTIF(INDIRECT(C$1&amp;"!$a1:$a10000"),汇总!$A79)),C78)</f>
        <v>5355.1225315068496</v>
      </c>
      <c r="D79" s="109" cm="1">
        <f t="array" aca="1" ref="D79" ca="1">IFERROR(INDEX(_xlfn._xlws.FILTER(INDIRECT(D$1&amp;"!$E1:$E10000"),INDIRECT(D$1&amp;"!$a1:$a10000")=汇总!$A79),COUNTIF(INDIRECT(D$1&amp;"!$a1:$a10000"),汇总!$A79)),D78)</f>
        <v>2704.848943150685</v>
      </c>
      <c r="E79" s="109" cm="1">
        <f t="array" aca="1" ref="E79" ca="1">IFERROR(INDEX(_xlfn._xlws.FILTER(INDIRECT(E$1&amp;"!$E1:$E10000"),INDIRECT(E$1&amp;"!$a1:$a10000")=汇总!$A79),COUNTIF(INDIRECT(E$1&amp;"!$a1:$a10000"),汇总!$A79)),E78)</f>
        <v>149.59367000000017</v>
      </c>
      <c r="F79" s="109" cm="1">
        <f t="array" aca="1" ref="F79" ca="1">IFERROR(INDEX(_xlfn._xlws.FILTER(INDIRECT(F$1&amp;"!$E1:$E10000"),INDIRECT(F$1&amp;"!$a1:$a10000")=汇总!$A79),COUNTIF(INDIRECT(F$1&amp;"!$a1:$a10000"),汇总!$A79)),F78)</f>
        <v>9679.5884753424634</v>
      </c>
      <c r="G79" s="109" cm="1">
        <f t="array" aca="1" ref="G79" ca="1">IFERROR(INDEX(_xlfn._xlws.FILTER(INDIRECT(G$1&amp;"!$E1:$E10000"),INDIRECT(G$1&amp;"!$a1:$a10000")=汇总!$A79),COUNTIF(INDIRECT(G$1&amp;"!$a1:$a10000"),汇总!$A79)),G78)</f>
        <v>51.530399999999986</v>
      </c>
      <c r="H79" s="109" cm="1">
        <f t="array" aca="1" ref="H79" ca="1">IFERROR(INDEX(_xlfn._xlws.FILTER(INDIRECT(H$1&amp;"!$E1:$E10000"),INDIRECT(H$1&amp;"!$a1:$a10000")=汇总!$A79),COUNTIF(INDIRECT(H$1&amp;"!$a1:$a10000"),汇总!$A79)),H78)</f>
        <v>154.92997430000014</v>
      </c>
      <c r="I79" s="109" cm="1">
        <f t="array" aca="1" ref="I79" ca="1">IFERROR(INDEX(_xlfn._xlws.FILTER(INDIRECT(I$1&amp;"!$E1:$E10000"),INDIRECT(I$1&amp;"!$a1:$a10000")=汇总!$A79),COUNTIF(INDIRECT(I$1&amp;"!$a1:$a10000"),汇总!$A79)),I78)</f>
        <v>1452.952947</v>
      </c>
      <c r="J79" s="109" cm="1">
        <f t="array" aca="1" ref="J79" ca="1">IFERROR(INDEX(_xlfn._xlws.FILTER(INDIRECT(J$1&amp;"!$E1:$E10000"),INDIRECT(J$1&amp;"!$a1:$a10000")=汇总!$A79),COUNTIF(INDIRECT(J$1&amp;"!$a1:$a10000"),汇总!$A79)),J78)</f>
        <v>2.5</v>
      </c>
      <c r="K79" s="109" cm="1">
        <f t="array" aca="1" ref="K79" ca="1">IFERROR(INDEX(_xlfn._xlws.FILTER(INDIRECT(K$1&amp;"!$E1:$E10000"),INDIRECT(K$1&amp;"!$a1:$a10000")=汇总!$A79),COUNTIF(INDIRECT(K$1&amp;"!$a1:$a10000"),汇总!$A79)),K78)</f>
        <v>552.70823999999993</v>
      </c>
      <c r="L79" s="109" cm="1">
        <f t="array" aca="1" ref="L79" ca="1">IFERROR(INDEX(_xlfn._xlws.FILTER(INDIRECT(L$1&amp;"!$E1:$E10000"),INDIRECT(L$1&amp;"!$a1:$a10000")=汇总!$A79),COUNTIF(INDIRECT(L$1&amp;"!$a1:$a10000"),汇总!$A79)),L78)</f>
        <v>69.400000000000006</v>
      </c>
      <c r="M79" s="109" cm="1">
        <f t="array" aca="1" ref="M79" ca="1">IFERROR(INDEX(_xlfn._xlws.FILTER(INDIRECT(M$1&amp;"!$E1:$E10000"),INDIRECT(M$1&amp;"!$a1:$a10000")=汇总!$A79),COUNTIF(INDIRECT(M$1&amp;"!$a1:$a10000"),汇总!$A79)),M78)</f>
        <v>33.198089999999866</v>
      </c>
      <c r="N79" s="109" cm="1">
        <f t="array" aca="1" ref="N79" ca="1">IFERROR(INDEX(_xlfn._xlws.FILTER(INDIRECT(N$1&amp;"!$E1:$E10000"),INDIRECT(N$1&amp;"!$a1:$a10000")=汇总!$A79),COUNTIF(INDIRECT(N$1&amp;"!$a1:$a10000"),汇总!$A79)),N78)</f>
        <v>6967</v>
      </c>
      <c r="O79" s="109" cm="1">
        <f t="array" aca="1" ref="O79" ca="1">IFERROR(INDEX(_xlfn._xlws.FILTER(INDIRECT(O$1&amp;"!$E1:$E10000"),INDIRECT(O$1&amp;"!$a1:$a10000")=汇总!$A79),COUNTIF(INDIRECT(O$1&amp;"!$a1:$a10000"),汇总!$A79)),O78)</f>
        <v>2</v>
      </c>
      <c r="P79" s="109" cm="1">
        <f t="array" aca="1" ref="P79" ca="1">IFERROR(INDEX(_xlfn._xlws.FILTER(INDIRECT(P$1&amp;"!$E1:$E10000"),INDIRECT(P$1&amp;"!$a1:$a10000")=汇总!$A79),COUNTIF(INDIRECT(P$1&amp;"!$a1:$a10000"),汇总!$A79)),P78)</f>
        <v>2.2999999999999998</v>
      </c>
      <c r="Q79" s="109" cm="1">
        <f t="array" aca="1" ref="Q79" ca="1">IFERROR(INDEX(_xlfn._xlws.FILTER(INDIRECT(Q$1&amp;"!$E1:$E10000"),INDIRECT(Q$1&amp;"!$a1:$a10000")=汇总!$A79),COUNTIF(INDIRECT(Q$1&amp;"!$a1:$a10000"),汇总!$A79)),Q78)</f>
        <v>9.0099999999999909</v>
      </c>
      <c r="R79" s="109" cm="1">
        <f t="array" aca="1" ref="R79" ca="1">IFERROR(INDEX(_xlfn._xlws.FILTER(INDIRECT(R$1&amp;"!$E1:$E10000"),INDIRECT(R$1&amp;"!$a1:$a10000")=汇总!$A79),COUNTIF(INDIRECT(R$1&amp;"!$a1:$a10000"),汇总!$A79)),R78)</f>
        <v>2911.134</v>
      </c>
      <c r="S79" s="109" cm="1">
        <f t="array" aca="1" ref="S79" ca="1">IFERROR(INDEX(_xlfn._xlws.FILTER(INDIRECT(S$1&amp;"!$E1:$E10000"),INDIRECT(S$1&amp;"!$a1:$a10000")=汇总!$A79),COUNTIF(INDIRECT(S$1&amp;"!$a1:$a10000"),汇总!$A79)),S78)</f>
        <v>0</v>
      </c>
    </row>
    <row r="80" spans="1:19" hidden="1">
      <c r="A80" s="1">
        <f t="shared" si="2"/>
        <v>46101</v>
      </c>
      <c r="B80" s="109" cm="1">
        <f t="array" aca="1" ref="B80" ca="1">IFERROR(INDEX(_xlfn._xlws.FILTER(INDIRECT(B$1&amp;"!$E1:$E10000"),INDIRECT(B$1&amp;"!$a1:$a10000")=汇总!$A80),COUNTIF(INDIRECT(B$1&amp;"!$a1:$a10000"),汇总!$A80)),B79)</f>
        <v>78.470427150685339</v>
      </c>
      <c r="C80" s="109" cm="1">
        <f t="array" aca="1" ref="C80" ca="1">IFERROR(INDEX(_xlfn._xlws.FILTER(INDIRECT(C$1&amp;"!$E1:$E10000"),INDIRECT(C$1&amp;"!$a1:$a10000")=汇总!$A80),COUNTIF(INDIRECT(C$1&amp;"!$a1:$a10000"),汇总!$A80)),C79)</f>
        <v>5379.1225315068496</v>
      </c>
      <c r="D80" s="109" cm="1">
        <f t="array" aca="1" ref="D80" ca="1">IFERROR(INDEX(_xlfn._xlws.FILTER(INDIRECT(D$1&amp;"!$E1:$E10000"),INDIRECT(D$1&amp;"!$a1:$a10000")=汇总!$A80),COUNTIF(INDIRECT(D$1&amp;"!$a1:$a10000"),汇总!$A80)),D79)</f>
        <v>2704.848943150685</v>
      </c>
      <c r="E80" s="109" cm="1">
        <f t="array" aca="1" ref="E80" ca="1">IFERROR(INDEX(_xlfn._xlws.FILTER(INDIRECT(E$1&amp;"!$E1:$E10000"),INDIRECT(E$1&amp;"!$a1:$a10000")=汇总!$A80),COUNTIF(INDIRECT(E$1&amp;"!$a1:$a10000"),汇总!$A80)),E79)</f>
        <v>549.5936700000002</v>
      </c>
      <c r="F80" s="109" cm="1">
        <f t="array" aca="1" ref="F80" ca="1">IFERROR(INDEX(_xlfn._xlws.FILTER(INDIRECT(F$1&amp;"!$E1:$E10000"),INDIRECT(F$1&amp;"!$a1:$a10000")=汇总!$A80),COUNTIF(INDIRECT(F$1&amp;"!$a1:$a10000"),汇总!$A80)),F79)</f>
        <v>10024.588475342463</v>
      </c>
      <c r="G80" s="109" cm="1">
        <f t="array" aca="1" ref="G80" ca="1">IFERROR(INDEX(_xlfn._xlws.FILTER(INDIRECT(G$1&amp;"!$E1:$E10000"),INDIRECT(G$1&amp;"!$a1:$a10000")=汇总!$A80),COUNTIF(INDIRECT(G$1&amp;"!$a1:$a10000"),汇总!$A80)),G79)</f>
        <v>11701.5304</v>
      </c>
      <c r="H80" s="109" cm="1">
        <f t="array" aca="1" ref="H80" ca="1">IFERROR(INDEX(_xlfn._xlws.FILTER(INDIRECT(H$1&amp;"!$E1:$E10000"),INDIRECT(H$1&amp;"!$a1:$a10000")=汇总!$A80),COUNTIF(INDIRECT(H$1&amp;"!$a1:$a10000"),汇总!$A80)),H79)</f>
        <v>769.92997430000014</v>
      </c>
      <c r="I80" s="109" cm="1">
        <f t="array" aca="1" ref="I80" ca="1">IFERROR(INDEX(_xlfn._xlws.FILTER(INDIRECT(I$1&amp;"!$E1:$E10000"),INDIRECT(I$1&amp;"!$a1:$a10000")=汇总!$A80),COUNTIF(INDIRECT(I$1&amp;"!$a1:$a10000"),汇总!$A80)),I79)</f>
        <v>1452.952947</v>
      </c>
      <c r="J80" s="109" cm="1">
        <f t="array" aca="1" ref="J80" ca="1">IFERROR(INDEX(_xlfn._xlws.FILTER(INDIRECT(J$1&amp;"!$E1:$E10000"),INDIRECT(J$1&amp;"!$a1:$a10000")=汇总!$A80),COUNTIF(INDIRECT(J$1&amp;"!$a1:$a10000"),汇总!$A80)),J79)</f>
        <v>2.5</v>
      </c>
      <c r="K80" s="109" cm="1">
        <f t="array" aca="1" ref="K80" ca="1">IFERROR(INDEX(_xlfn._xlws.FILTER(INDIRECT(K$1&amp;"!$E1:$E10000"),INDIRECT(K$1&amp;"!$a1:$a10000")=汇总!$A80),COUNTIF(INDIRECT(K$1&amp;"!$a1:$a10000"),汇总!$A80)),K79)</f>
        <v>543.53823999999997</v>
      </c>
      <c r="L80" s="109" cm="1">
        <f t="array" aca="1" ref="L80" ca="1">IFERROR(INDEX(_xlfn._xlws.FILTER(INDIRECT(L$1&amp;"!$E1:$E10000"),INDIRECT(L$1&amp;"!$a1:$a10000")=汇总!$A80),COUNTIF(INDIRECT(L$1&amp;"!$a1:$a10000"),汇总!$A80)),L79)</f>
        <v>1114.0519999999999</v>
      </c>
      <c r="M80" s="109" cm="1">
        <f t="array" aca="1" ref="M80" ca="1">IFERROR(INDEX(_xlfn._xlws.FILTER(INDIRECT(M$1&amp;"!$E1:$E10000"),INDIRECT(M$1&amp;"!$a1:$a10000")=汇总!$A80),COUNTIF(INDIRECT(M$1&amp;"!$a1:$a10000"),汇总!$A80)),M79)</f>
        <v>66.898089999999868</v>
      </c>
      <c r="N80" s="109" cm="1">
        <f t="array" aca="1" ref="N80" ca="1">IFERROR(INDEX(_xlfn._xlws.FILTER(INDIRECT(N$1&amp;"!$E1:$E10000"),INDIRECT(N$1&amp;"!$a1:$a10000")=汇总!$A80),COUNTIF(INDIRECT(N$1&amp;"!$a1:$a10000"),汇总!$A80)),N79)</f>
        <v>6967</v>
      </c>
      <c r="O80" s="109" cm="1">
        <f t="array" aca="1" ref="O80" ca="1">IFERROR(INDEX(_xlfn._xlws.FILTER(INDIRECT(O$1&amp;"!$E1:$E10000"),INDIRECT(O$1&amp;"!$a1:$a10000")=汇总!$A80),COUNTIF(INDIRECT(O$1&amp;"!$a1:$a10000"),汇总!$A80)),O79)</f>
        <v>2</v>
      </c>
      <c r="P80" s="109" cm="1">
        <f t="array" aca="1" ref="P80" ca="1">IFERROR(INDEX(_xlfn._xlws.FILTER(INDIRECT(P$1&amp;"!$E1:$E10000"),INDIRECT(P$1&amp;"!$a1:$a10000")=汇总!$A80),COUNTIF(INDIRECT(P$1&amp;"!$a1:$a10000"),汇总!$A80)),P79)</f>
        <v>2.2999999999999998</v>
      </c>
      <c r="Q80" s="109" cm="1">
        <f t="array" aca="1" ref="Q80" ca="1">IFERROR(INDEX(_xlfn._xlws.FILTER(INDIRECT(Q$1&amp;"!$E1:$E10000"),INDIRECT(Q$1&amp;"!$a1:$a10000")=汇总!$A80),COUNTIF(INDIRECT(Q$1&amp;"!$a1:$a10000"),汇总!$A80)),Q79)</f>
        <v>9.0099999999999909</v>
      </c>
      <c r="R80" s="109" cm="1">
        <f t="array" aca="1" ref="R80" ca="1">IFERROR(INDEX(_xlfn._xlws.FILTER(INDIRECT(R$1&amp;"!$E1:$E10000"),INDIRECT(R$1&amp;"!$a1:$a10000")=汇总!$A80),COUNTIF(INDIRECT(R$1&amp;"!$a1:$a10000"),汇总!$A80)),R79)</f>
        <v>2911.134</v>
      </c>
      <c r="S80" s="109" cm="1">
        <f t="array" aca="1" ref="S80" ca="1">IFERROR(INDEX(_xlfn._xlws.FILTER(INDIRECT(S$1&amp;"!$E1:$E10000"),INDIRECT(S$1&amp;"!$a1:$a10000")=汇总!$A80),COUNTIF(INDIRECT(S$1&amp;"!$a1:$a10000"),汇总!$A80)),S79)</f>
        <v>0</v>
      </c>
    </row>
    <row r="81" spans="1:19" hidden="1">
      <c r="A81" s="1">
        <f t="shared" si="2"/>
        <v>46102</v>
      </c>
      <c r="B81" s="109" cm="1">
        <f t="array" aca="1" ref="B81" ca="1">IFERROR(INDEX(_xlfn._xlws.FILTER(INDIRECT(B$1&amp;"!$E1:$E10000"),INDIRECT(B$1&amp;"!$a1:$a10000")=汇总!$A81),COUNTIF(INDIRECT(B$1&amp;"!$a1:$a10000"),汇总!$A81)),B80)</f>
        <v>78.470427150685339</v>
      </c>
      <c r="C81" s="109" cm="1">
        <f t="array" aca="1" ref="C81" ca="1">IFERROR(INDEX(_xlfn._xlws.FILTER(INDIRECT(C$1&amp;"!$E1:$E10000"),INDIRECT(C$1&amp;"!$a1:$a10000")=汇总!$A81),COUNTIF(INDIRECT(C$1&amp;"!$a1:$a10000"),汇总!$A81)),C80)</f>
        <v>5379.1225315068496</v>
      </c>
      <c r="D81" s="109" cm="1">
        <f t="array" aca="1" ref="D81" ca="1">IFERROR(INDEX(_xlfn._xlws.FILTER(INDIRECT(D$1&amp;"!$E1:$E10000"),INDIRECT(D$1&amp;"!$a1:$a10000")=汇总!$A81),COUNTIF(INDIRECT(D$1&amp;"!$a1:$a10000"),汇总!$A81)),D80)</f>
        <v>2704.848943150685</v>
      </c>
      <c r="E81" s="109" cm="1">
        <f t="array" aca="1" ref="E81" ca="1">IFERROR(INDEX(_xlfn._xlws.FILTER(INDIRECT(E$1&amp;"!$E1:$E10000"),INDIRECT(E$1&amp;"!$a1:$a10000")=汇总!$A81),COUNTIF(INDIRECT(E$1&amp;"!$a1:$a10000"),汇总!$A81)),E80)</f>
        <v>549.5936700000002</v>
      </c>
      <c r="F81" s="109" cm="1">
        <f t="array" aca="1" ref="F81" ca="1">IFERROR(INDEX(_xlfn._xlws.FILTER(INDIRECT(F$1&amp;"!$E1:$E10000"),INDIRECT(F$1&amp;"!$a1:$a10000")=汇总!$A81),COUNTIF(INDIRECT(F$1&amp;"!$a1:$a10000"),汇总!$A81)),F80)</f>
        <v>10024.588475342463</v>
      </c>
      <c r="G81" s="109" cm="1">
        <f t="array" aca="1" ref="G81" ca="1">IFERROR(INDEX(_xlfn._xlws.FILTER(INDIRECT(G$1&amp;"!$E1:$E10000"),INDIRECT(G$1&amp;"!$a1:$a10000")=汇总!$A81),COUNTIF(INDIRECT(G$1&amp;"!$a1:$a10000"),汇总!$A81)),G80)</f>
        <v>11701.5304</v>
      </c>
      <c r="H81" s="109" cm="1">
        <f t="array" aca="1" ref="H81" ca="1">IFERROR(INDEX(_xlfn._xlws.FILTER(INDIRECT(H$1&amp;"!$E1:$E10000"),INDIRECT(H$1&amp;"!$a1:$a10000")=汇总!$A81),COUNTIF(INDIRECT(H$1&amp;"!$a1:$a10000"),汇总!$A81)),H80)</f>
        <v>769.92997430000014</v>
      </c>
      <c r="I81" s="109" cm="1">
        <f t="array" aca="1" ref="I81" ca="1">IFERROR(INDEX(_xlfn._xlws.FILTER(INDIRECT(I$1&amp;"!$E1:$E10000"),INDIRECT(I$1&amp;"!$a1:$a10000")=汇总!$A81),COUNTIF(INDIRECT(I$1&amp;"!$a1:$a10000"),汇总!$A81)),I80)</f>
        <v>1452.952947</v>
      </c>
      <c r="J81" s="109" cm="1">
        <f t="array" aca="1" ref="J81" ca="1">IFERROR(INDEX(_xlfn._xlws.FILTER(INDIRECT(J$1&amp;"!$E1:$E10000"),INDIRECT(J$1&amp;"!$a1:$a10000")=汇总!$A81),COUNTIF(INDIRECT(J$1&amp;"!$a1:$a10000"),汇总!$A81)),J80)</f>
        <v>2.5</v>
      </c>
      <c r="K81" s="109" cm="1">
        <f t="array" aca="1" ref="K81" ca="1">IFERROR(INDEX(_xlfn._xlws.FILTER(INDIRECT(K$1&amp;"!$E1:$E10000"),INDIRECT(K$1&amp;"!$a1:$a10000")=汇总!$A81),COUNTIF(INDIRECT(K$1&amp;"!$a1:$a10000"),汇总!$A81)),K80)</f>
        <v>543.53823999999997</v>
      </c>
      <c r="L81" s="109" cm="1">
        <f t="array" aca="1" ref="L81" ca="1">IFERROR(INDEX(_xlfn._xlws.FILTER(INDIRECT(L$1&amp;"!$E1:$E10000"),INDIRECT(L$1&amp;"!$a1:$a10000")=汇总!$A81),COUNTIF(INDIRECT(L$1&amp;"!$a1:$a10000"),汇总!$A81)),L80)</f>
        <v>1114.0519999999999</v>
      </c>
      <c r="M81" s="109" cm="1">
        <f t="array" aca="1" ref="M81" ca="1">IFERROR(INDEX(_xlfn._xlws.FILTER(INDIRECT(M$1&amp;"!$E1:$E10000"),INDIRECT(M$1&amp;"!$a1:$a10000")=汇总!$A81),COUNTIF(INDIRECT(M$1&amp;"!$a1:$a10000"),汇总!$A81)),M80)</f>
        <v>66.898089999999868</v>
      </c>
      <c r="N81" s="109" cm="1">
        <f t="array" aca="1" ref="N81" ca="1">IFERROR(INDEX(_xlfn._xlws.FILTER(INDIRECT(N$1&amp;"!$E1:$E10000"),INDIRECT(N$1&amp;"!$a1:$a10000")=汇总!$A81),COUNTIF(INDIRECT(N$1&amp;"!$a1:$a10000"),汇总!$A81)),N80)</f>
        <v>6967</v>
      </c>
      <c r="O81" s="109" cm="1">
        <f t="array" aca="1" ref="O81" ca="1">IFERROR(INDEX(_xlfn._xlws.FILTER(INDIRECT(O$1&amp;"!$E1:$E10000"),INDIRECT(O$1&amp;"!$a1:$a10000")=汇总!$A81),COUNTIF(INDIRECT(O$1&amp;"!$a1:$a10000"),汇总!$A81)),O80)</f>
        <v>2</v>
      </c>
      <c r="P81" s="109" cm="1">
        <f t="array" aca="1" ref="P81" ca="1">IFERROR(INDEX(_xlfn._xlws.FILTER(INDIRECT(P$1&amp;"!$E1:$E10000"),INDIRECT(P$1&amp;"!$a1:$a10000")=汇总!$A81),COUNTIF(INDIRECT(P$1&amp;"!$a1:$a10000"),汇总!$A81)),P80)</f>
        <v>2.2999999999999998</v>
      </c>
      <c r="Q81" s="109" cm="1">
        <f t="array" aca="1" ref="Q81" ca="1">IFERROR(INDEX(_xlfn._xlws.FILTER(INDIRECT(Q$1&amp;"!$E1:$E10000"),INDIRECT(Q$1&amp;"!$a1:$a10000")=汇总!$A81),COUNTIF(INDIRECT(Q$1&amp;"!$a1:$a10000"),汇总!$A81)),Q80)</f>
        <v>9.0099999999999909</v>
      </c>
      <c r="R81" s="109" cm="1">
        <f t="array" aca="1" ref="R81" ca="1">IFERROR(INDEX(_xlfn._xlws.FILTER(INDIRECT(R$1&amp;"!$E1:$E10000"),INDIRECT(R$1&amp;"!$a1:$a10000")=汇总!$A81),COUNTIF(INDIRECT(R$1&amp;"!$a1:$a10000"),汇总!$A81)),R80)</f>
        <v>2911.134</v>
      </c>
      <c r="S81" s="109" cm="1">
        <f t="array" aca="1" ref="S81" ca="1">IFERROR(INDEX(_xlfn._xlws.FILTER(INDIRECT(S$1&amp;"!$E1:$E10000"),INDIRECT(S$1&amp;"!$a1:$a10000")=汇总!$A81),COUNTIF(INDIRECT(S$1&amp;"!$a1:$a10000"),汇总!$A81)),S80)</f>
        <v>0</v>
      </c>
    </row>
    <row r="82" spans="1:19" hidden="1">
      <c r="A82" s="1">
        <f t="shared" si="2"/>
        <v>46103</v>
      </c>
      <c r="B82" s="109" cm="1">
        <f t="array" aca="1" ref="B82" ca="1">IFERROR(INDEX(_xlfn._xlws.FILTER(INDIRECT(B$1&amp;"!$E1:$E10000"),INDIRECT(B$1&amp;"!$a1:$a10000")=汇总!$A82),COUNTIF(INDIRECT(B$1&amp;"!$a1:$a10000"),汇总!$A82)),B81)</f>
        <v>78.470427150685339</v>
      </c>
      <c r="C82" s="109" cm="1">
        <f t="array" aca="1" ref="C82" ca="1">IFERROR(INDEX(_xlfn._xlws.FILTER(INDIRECT(C$1&amp;"!$E1:$E10000"),INDIRECT(C$1&amp;"!$a1:$a10000")=汇总!$A82),COUNTIF(INDIRECT(C$1&amp;"!$a1:$a10000"),汇总!$A82)),C81)</f>
        <v>5379.1225315068496</v>
      </c>
      <c r="D82" s="109" cm="1">
        <f t="array" aca="1" ref="D82" ca="1">IFERROR(INDEX(_xlfn._xlws.FILTER(INDIRECT(D$1&amp;"!$E1:$E10000"),INDIRECT(D$1&amp;"!$a1:$a10000")=汇总!$A82),COUNTIF(INDIRECT(D$1&amp;"!$a1:$a10000"),汇总!$A82)),D81)</f>
        <v>2704.848943150685</v>
      </c>
      <c r="E82" s="109" cm="1">
        <f t="array" aca="1" ref="E82" ca="1">IFERROR(INDEX(_xlfn._xlws.FILTER(INDIRECT(E$1&amp;"!$E1:$E10000"),INDIRECT(E$1&amp;"!$a1:$a10000")=汇总!$A82),COUNTIF(INDIRECT(E$1&amp;"!$a1:$a10000"),汇总!$A82)),E81)</f>
        <v>549.5936700000002</v>
      </c>
      <c r="F82" s="109" cm="1">
        <f t="array" aca="1" ref="F82" ca="1">IFERROR(INDEX(_xlfn._xlws.FILTER(INDIRECT(F$1&amp;"!$E1:$E10000"),INDIRECT(F$1&amp;"!$a1:$a10000")=汇总!$A82),COUNTIF(INDIRECT(F$1&amp;"!$a1:$a10000"),汇总!$A82)),F81)</f>
        <v>10024.588475342463</v>
      </c>
      <c r="G82" s="109" cm="1">
        <f t="array" aca="1" ref="G82" ca="1">IFERROR(INDEX(_xlfn._xlws.FILTER(INDIRECT(G$1&amp;"!$E1:$E10000"),INDIRECT(G$1&amp;"!$a1:$a10000")=汇总!$A82),COUNTIF(INDIRECT(G$1&amp;"!$a1:$a10000"),汇总!$A82)),G81)</f>
        <v>11701.5304</v>
      </c>
      <c r="H82" s="109" cm="1">
        <f t="array" aca="1" ref="H82" ca="1">IFERROR(INDEX(_xlfn._xlws.FILTER(INDIRECT(H$1&amp;"!$E1:$E10000"),INDIRECT(H$1&amp;"!$a1:$a10000")=汇总!$A82),COUNTIF(INDIRECT(H$1&amp;"!$a1:$a10000"),汇总!$A82)),H81)</f>
        <v>769.92997430000014</v>
      </c>
      <c r="I82" s="109" cm="1">
        <f t="array" aca="1" ref="I82" ca="1">IFERROR(INDEX(_xlfn._xlws.FILTER(INDIRECT(I$1&amp;"!$E1:$E10000"),INDIRECT(I$1&amp;"!$a1:$a10000")=汇总!$A82),COUNTIF(INDIRECT(I$1&amp;"!$a1:$a10000"),汇总!$A82)),I81)</f>
        <v>1452.952947</v>
      </c>
      <c r="J82" s="109" cm="1">
        <f t="array" aca="1" ref="J82" ca="1">IFERROR(INDEX(_xlfn._xlws.FILTER(INDIRECT(J$1&amp;"!$E1:$E10000"),INDIRECT(J$1&amp;"!$a1:$a10000")=汇总!$A82),COUNTIF(INDIRECT(J$1&amp;"!$a1:$a10000"),汇总!$A82)),J81)</f>
        <v>2.5</v>
      </c>
      <c r="K82" s="109" cm="1">
        <f t="array" aca="1" ref="K82" ca="1">IFERROR(INDEX(_xlfn._xlws.FILTER(INDIRECT(K$1&amp;"!$E1:$E10000"),INDIRECT(K$1&amp;"!$a1:$a10000")=汇总!$A82),COUNTIF(INDIRECT(K$1&amp;"!$a1:$a10000"),汇总!$A82)),K81)</f>
        <v>543.53823999999997</v>
      </c>
      <c r="L82" s="109" cm="1">
        <f t="array" aca="1" ref="L82" ca="1">IFERROR(INDEX(_xlfn._xlws.FILTER(INDIRECT(L$1&amp;"!$E1:$E10000"),INDIRECT(L$1&amp;"!$a1:$a10000")=汇总!$A82),COUNTIF(INDIRECT(L$1&amp;"!$a1:$a10000"),汇总!$A82)),L81)</f>
        <v>1114.0519999999999</v>
      </c>
      <c r="M82" s="109" cm="1">
        <f t="array" aca="1" ref="M82" ca="1">IFERROR(INDEX(_xlfn._xlws.FILTER(INDIRECT(M$1&amp;"!$E1:$E10000"),INDIRECT(M$1&amp;"!$a1:$a10000")=汇总!$A82),COUNTIF(INDIRECT(M$1&amp;"!$a1:$a10000"),汇总!$A82)),M81)</f>
        <v>66.898089999999868</v>
      </c>
      <c r="N82" s="109" cm="1">
        <f t="array" aca="1" ref="N82" ca="1">IFERROR(INDEX(_xlfn._xlws.FILTER(INDIRECT(N$1&amp;"!$E1:$E10000"),INDIRECT(N$1&amp;"!$a1:$a10000")=汇总!$A82),COUNTIF(INDIRECT(N$1&amp;"!$a1:$a10000"),汇总!$A82)),N81)</f>
        <v>6967</v>
      </c>
      <c r="O82" s="109" cm="1">
        <f t="array" aca="1" ref="O82" ca="1">IFERROR(INDEX(_xlfn._xlws.FILTER(INDIRECT(O$1&amp;"!$E1:$E10000"),INDIRECT(O$1&amp;"!$a1:$a10000")=汇总!$A82),COUNTIF(INDIRECT(O$1&amp;"!$a1:$a10000"),汇总!$A82)),O81)</f>
        <v>2</v>
      </c>
      <c r="P82" s="109" cm="1">
        <f t="array" aca="1" ref="P82" ca="1">IFERROR(INDEX(_xlfn._xlws.FILTER(INDIRECT(P$1&amp;"!$E1:$E10000"),INDIRECT(P$1&amp;"!$a1:$a10000")=汇总!$A82),COUNTIF(INDIRECT(P$1&amp;"!$a1:$a10000"),汇总!$A82)),P81)</f>
        <v>2.2999999999999998</v>
      </c>
      <c r="Q82" s="109" cm="1">
        <f t="array" aca="1" ref="Q82" ca="1">IFERROR(INDEX(_xlfn._xlws.FILTER(INDIRECT(Q$1&amp;"!$E1:$E10000"),INDIRECT(Q$1&amp;"!$a1:$a10000")=汇总!$A82),COUNTIF(INDIRECT(Q$1&amp;"!$a1:$a10000"),汇总!$A82)),Q81)</f>
        <v>9.0099999999999909</v>
      </c>
      <c r="R82" s="109" cm="1">
        <f t="array" aca="1" ref="R82" ca="1">IFERROR(INDEX(_xlfn._xlws.FILTER(INDIRECT(R$1&amp;"!$E1:$E10000"),INDIRECT(R$1&amp;"!$a1:$a10000")=汇总!$A82),COUNTIF(INDIRECT(R$1&amp;"!$a1:$a10000"),汇总!$A82)),R81)</f>
        <v>2911.134</v>
      </c>
      <c r="S82" s="109" cm="1">
        <f t="array" aca="1" ref="S82" ca="1">IFERROR(INDEX(_xlfn._xlws.FILTER(INDIRECT(S$1&amp;"!$E1:$E10000"),INDIRECT(S$1&amp;"!$a1:$a10000")=汇总!$A82),COUNTIF(INDIRECT(S$1&amp;"!$a1:$a10000"),汇总!$A82)),S81)</f>
        <v>0</v>
      </c>
    </row>
    <row r="83" spans="1:19" hidden="1">
      <c r="A83" s="1">
        <f t="shared" si="2"/>
        <v>46104</v>
      </c>
      <c r="B83" s="109" cm="1">
        <f t="array" aca="1" ref="B83" ca="1">IFERROR(INDEX(_xlfn._xlws.FILTER(INDIRECT(B$1&amp;"!$E1:$E10000"),INDIRECT(B$1&amp;"!$a1:$a10000")=汇总!$A83),COUNTIF(INDIRECT(B$1&amp;"!$a1:$a10000"),汇总!$A83)),B82)</f>
        <v>94.970427150685282</v>
      </c>
      <c r="C83" s="109" cm="1">
        <f t="array" aca="1" ref="C83" ca="1">IFERROR(INDEX(_xlfn._xlws.FILTER(INDIRECT(C$1&amp;"!$E1:$E10000"),INDIRECT(C$1&amp;"!$a1:$a10000")=汇总!$A83),COUNTIF(INDIRECT(C$1&amp;"!$a1:$a10000"),汇总!$A83)),C82)</f>
        <v>3010.1225315068496</v>
      </c>
      <c r="D83" s="109" cm="1">
        <f t="array" aca="1" ref="D83" ca="1">IFERROR(INDEX(_xlfn._xlws.FILTER(INDIRECT(D$1&amp;"!$E1:$E10000"),INDIRECT(D$1&amp;"!$a1:$a10000")=汇总!$A83),COUNTIF(INDIRECT(D$1&amp;"!$a1:$a10000"),汇总!$A83)),D82)</f>
        <v>463</v>
      </c>
      <c r="E83" s="109" cm="1">
        <f t="array" aca="1" ref="E83" ca="1">IFERROR(INDEX(_xlfn._xlws.FILTER(INDIRECT(E$1&amp;"!$E1:$E10000"),INDIRECT(E$1&amp;"!$a1:$a10000")=汇总!$A83),COUNTIF(INDIRECT(E$1&amp;"!$a1:$a10000"),汇总!$A83)),E82)</f>
        <v>700.5936700000002</v>
      </c>
      <c r="F83" s="109" cm="1">
        <f t="array" aca="1" ref="F83" ca="1">IFERROR(INDEX(_xlfn._xlws.FILTER(INDIRECT(F$1&amp;"!$E1:$E10000"),INDIRECT(F$1&amp;"!$a1:$a10000")=汇总!$A83),COUNTIF(INDIRECT(F$1&amp;"!$a1:$a10000"),汇总!$A83)),F82)</f>
        <v>10024.588475342463</v>
      </c>
      <c r="G83" s="109" cm="1">
        <f t="array" aca="1" ref="G83" ca="1">IFERROR(INDEX(_xlfn._xlws.FILTER(INDIRECT(G$1&amp;"!$E1:$E10000"),INDIRECT(G$1&amp;"!$a1:$a10000")=汇总!$A83),COUNTIF(INDIRECT(G$1&amp;"!$a1:$a10000"),汇总!$A83)),G82)</f>
        <v>12384.5304</v>
      </c>
      <c r="H83" s="109" cm="1">
        <f t="array" aca="1" ref="H83" ca="1">IFERROR(INDEX(_xlfn._xlws.FILTER(INDIRECT(H$1&amp;"!$E1:$E10000"),INDIRECT(H$1&amp;"!$a1:$a10000")=汇总!$A83),COUNTIF(INDIRECT(H$1&amp;"!$a1:$a10000"),汇总!$A83)),H82)</f>
        <v>69.92997430000014</v>
      </c>
      <c r="I83" s="109" cm="1">
        <f t="array" aca="1" ref="I83" ca="1">IFERROR(INDEX(_xlfn._xlws.FILTER(INDIRECT(I$1&amp;"!$E1:$E10000"),INDIRECT(I$1&amp;"!$a1:$a10000")=汇总!$A83),COUNTIF(INDIRECT(I$1&amp;"!$a1:$a10000"),汇总!$A83)),I82)</f>
        <v>452.95294699999999</v>
      </c>
      <c r="J83" s="109" cm="1">
        <f t="array" aca="1" ref="J83" ca="1">IFERROR(INDEX(_xlfn._xlws.FILTER(INDIRECT(J$1&amp;"!$E1:$E10000"),INDIRECT(J$1&amp;"!$a1:$a10000")=汇总!$A83),COUNTIF(INDIRECT(J$1&amp;"!$a1:$a10000"),汇总!$A83)),J82)</f>
        <v>2.5</v>
      </c>
      <c r="K83" s="109" cm="1">
        <f t="array" aca="1" ref="K83" ca="1">IFERROR(INDEX(_xlfn._xlws.FILTER(INDIRECT(K$1&amp;"!$E1:$E10000"),INDIRECT(K$1&amp;"!$a1:$a10000")=汇总!$A83),COUNTIF(INDIRECT(K$1&amp;"!$a1:$a10000"),汇总!$A83)),K82)</f>
        <v>543.53823999999997</v>
      </c>
      <c r="L83" s="109" cm="1">
        <f t="array" aca="1" ref="L83" ca="1">IFERROR(INDEX(_xlfn._xlws.FILTER(INDIRECT(L$1&amp;"!$E1:$E10000"),INDIRECT(L$1&amp;"!$a1:$a10000")=汇总!$A83),COUNTIF(INDIRECT(L$1&amp;"!$a1:$a10000"),汇总!$A83)),L82)</f>
        <v>2417.8519999999999</v>
      </c>
      <c r="M83" s="109" cm="1">
        <f t="array" aca="1" ref="M83" ca="1">IFERROR(INDEX(_xlfn._xlws.FILTER(INDIRECT(M$1&amp;"!$E1:$E10000"),INDIRECT(M$1&amp;"!$a1:$a10000")=汇总!$A83),COUNTIF(INDIRECT(M$1&amp;"!$a1:$a10000"),汇总!$A83)),M82)</f>
        <v>156.89808999999985</v>
      </c>
      <c r="N83" s="109" cm="1">
        <f t="array" aca="1" ref="N83" ca="1">IFERROR(INDEX(_xlfn._xlws.FILTER(INDIRECT(N$1&amp;"!$E1:$E10000"),INDIRECT(N$1&amp;"!$a1:$a10000")=汇总!$A83),COUNTIF(INDIRECT(N$1&amp;"!$a1:$a10000"),汇总!$A83)),N82)</f>
        <v>6667</v>
      </c>
      <c r="O83" s="109" cm="1">
        <f t="array" aca="1" ref="O83" ca="1">IFERROR(INDEX(_xlfn._xlws.FILTER(INDIRECT(O$1&amp;"!$E1:$E10000"),INDIRECT(O$1&amp;"!$a1:$a10000")=汇总!$A83),COUNTIF(INDIRECT(O$1&amp;"!$a1:$a10000"),汇总!$A83)),O82)</f>
        <v>2</v>
      </c>
      <c r="P83" s="109" cm="1">
        <f t="array" aca="1" ref="P83" ca="1">IFERROR(INDEX(_xlfn._xlws.FILTER(INDIRECT(P$1&amp;"!$E1:$E10000"),INDIRECT(P$1&amp;"!$a1:$a10000")=汇总!$A83),COUNTIF(INDIRECT(P$1&amp;"!$a1:$a10000"),汇总!$A83)),P82)</f>
        <v>1002.3</v>
      </c>
      <c r="Q83" s="109" cm="1">
        <f t="array" aca="1" ref="Q83" ca="1">IFERROR(INDEX(_xlfn._xlws.FILTER(INDIRECT(Q$1&amp;"!$E1:$E10000"),INDIRECT(Q$1&amp;"!$a1:$a10000")=汇总!$A83),COUNTIF(INDIRECT(Q$1&amp;"!$a1:$a10000"),汇总!$A83)),Q82)</f>
        <v>9.0099999999999909</v>
      </c>
      <c r="R83" s="109" cm="1">
        <f t="array" aca="1" ref="R83" ca="1">IFERROR(INDEX(_xlfn._xlws.FILTER(INDIRECT(R$1&amp;"!$E1:$E10000"),INDIRECT(R$1&amp;"!$a1:$a10000")=汇总!$A83),COUNTIF(INDIRECT(R$1&amp;"!$a1:$a10000"),汇总!$A83)),R82)</f>
        <v>2911.134</v>
      </c>
      <c r="S83" s="109" cm="1">
        <f t="array" aca="1" ref="S83" ca="1">IFERROR(INDEX(_xlfn._xlws.FILTER(INDIRECT(S$1&amp;"!$E1:$E10000"),INDIRECT(S$1&amp;"!$a1:$a10000")=汇总!$A83),COUNTIF(INDIRECT(S$1&amp;"!$a1:$a10000"),汇总!$A83)),S82)</f>
        <v>0</v>
      </c>
    </row>
    <row r="84" spans="1:19" hidden="1">
      <c r="A84" s="1">
        <f t="shared" si="2"/>
        <v>46105</v>
      </c>
      <c r="B84" s="109" cm="1">
        <f t="array" aca="1" ref="B84" ca="1">IFERROR(INDEX(_xlfn._xlws.FILTER(INDIRECT(B$1&amp;"!$E1:$E10000"),INDIRECT(B$1&amp;"!$a1:$a10000")=汇总!$A84),COUNTIF(INDIRECT(B$1&amp;"!$a1:$a10000"),汇总!$A84)),B83)</f>
        <v>194.97042715068528</v>
      </c>
      <c r="C84" s="109" cm="1">
        <f t="array" aca="1" ref="C84" ca="1">IFERROR(INDEX(_xlfn._xlws.FILTER(INDIRECT(C$1&amp;"!$E1:$E10000"),INDIRECT(C$1&amp;"!$a1:$a10000")=汇总!$A84),COUNTIF(INDIRECT(C$1&amp;"!$a1:$a10000"),汇总!$A84)),C83)</f>
        <v>2160.1225315068496</v>
      </c>
      <c r="D84" s="109" cm="1">
        <f t="array" aca="1" ref="D84" ca="1">IFERROR(INDEX(_xlfn._xlws.FILTER(INDIRECT(D$1&amp;"!$E1:$E10000"),INDIRECT(D$1&amp;"!$a1:$a10000")=汇总!$A84),COUNTIF(INDIRECT(D$1&amp;"!$a1:$a10000"),汇总!$A84)),D83)</f>
        <v>4480</v>
      </c>
      <c r="E84" s="109" cm="1">
        <f t="array" aca="1" ref="E84" ca="1">IFERROR(INDEX(_xlfn._xlws.FILTER(INDIRECT(E$1&amp;"!$E1:$E10000"),INDIRECT(E$1&amp;"!$a1:$a10000")=汇总!$A84),COUNTIF(INDIRECT(E$1&amp;"!$a1:$a10000"),汇总!$A84)),E83)</f>
        <v>666.5936700000002</v>
      </c>
      <c r="F84" s="109" cm="1">
        <f t="array" aca="1" ref="F84" ca="1">IFERROR(INDEX(_xlfn._xlws.FILTER(INDIRECT(F$1&amp;"!$E1:$E10000"),INDIRECT(F$1&amp;"!$a1:$a10000")=汇总!$A84),COUNTIF(INDIRECT(F$1&amp;"!$a1:$a10000"),汇总!$A84)),F83)</f>
        <v>10024.588475342463</v>
      </c>
      <c r="G84" s="109" cm="1">
        <f t="array" aca="1" ref="G84" ca="1">IFERROR(INDEX(_xlfn._xlws.FILTER(INDIRECT(G$1&amp;"!$E1:$E10000"),INDIRECT(G$1&amp;"!$a1:$a10000")=汇总!$A84),COUNTIF(INDIRECT(G$1&amp;"!$a1:$a10000"),汇总!$A84)),G83)</f>
        <v>8394.4898880000001</v>
      </c>
      <c r="H84" s="109" cm="1">
        <f t="array" aca="1" ref="H84" ca="1">IFERROR(INDEX(_xlfn._xlws.FILTER(INDIRECT(H$1&amp;"!$E1:$E10000"),INDIRECT(H$1&amp;"!$a1:$a10000")=汇总!$A84),COUNTIF(INDIRECT(H$1&amp;"!$a1:$a10000"),汇总!$A84)),H83)</f>
        <v>69.92997430000014</v>
      </c>
      <c r="I84" s="109" cm="1">
        <f t="array" aca="1" ref="I84" ca="1">IFERROR(INDEX(_xlfn._xlws.FILTER(INDIRECT(I$1&amp;"!$E1:$E10000"),INDIRECT(I$1&amp;"!$a1:$a10000")=汇总!$A84),COUNTIF(INDIRECT(I$1&amp;"!$a1:$a10000"),汇总!$A84)),I83)</f>
        <v>452.95294699999999</v>
      </c>
      <c r="J84" s="109" cm="1">
        <f t="array" aca="1" ref="J84" ca="1">IFERROR(INDEX(_xlfn._xlws.FILTER(INDIRECT(J$1&amp;"!$E1:$E10000"),INDIRECT(J$1&amp;"!$a1:$a10000")=汇总!$A84),COUNTIF(INDIRECT(J$1&amp;"!$a1:$a10000"),汇总!$A84)),J83)</f>
        <v>2.5</v>
      </c>
      <c r="K84" s="109" cm="1">
        <f t="array" aca="1" ref="K84" ca="1">IFERROR(INDEX(_xlfn._xlws.FILTER(INDIRECT(K$1&amp;"!$E1:$E10000"),INDIRECT(K$1&amp;"!$a1:$a10000")=汇总!$A84),COUNTIF(INDIRECT(K$1&amp;"!$a1:$a10000"),汇总!$A84)),K83)</f>
        <v>543.53823999999997</v>
      </c>
      <c r="L84" s="109" cm="1">
        <f t="array" aca="1" ref="L84" ca="1">IFERROR(INDEX(_xlfn._xlws.FILTER(INDIRECT(L$1&amp;"!$E1:$E10000"),INDIRECT(L$1&amp;"!$a1:$a10000")=汇总!$A84),COUNTIF(INDIRECT(L$1&amp;"!$a1:$a10000"),汇总!$A84)),L83)</f>
        <v>90.3</v>
      </c>
      <c r="M84" s="109" cm="1">
        <f t="array" aca="1" ref="M84" ca="1">IFERROR(INDEX(_xlfn._xlws.FILTER(INDIRECT(M$1&amp;"!$E1:$E10000"),INDIRECT(M$1&amp;"!$a1:$a10000")=汇总!$A84),COUNTIF(INDIRECT(M$1&amp;"!$a1:$a10000"),汇总!$A84)),M83)</f>
        <v>156.89808999999985</v>
      </c>
      <c r="N84" s="109" cm="1">
        <f t="array" aca="1" ref="N84" ca="1">IFERROR(INDEX(_xlfn._xlws.FILTER(INDIRECT(N$1&amp;"!$E1:$E10000"),INDIRECT(N$1&amp;"!$a1:$a10000")=汇总!$A84),COUNTIF(INDIRECT(N$1&amp;"!$a1:$a10000"),汇总!$A84)),N83)</f>
        <v>6005</v>
      </c>
      <c r="O84" s="109" cm="1">
        <f t="array" aca="1" ref="O84" ca="1">IFERROR(INDEX(_xlfn._xlws.FILTER(INDIRECT(O$1&amp;"!$E1:$E10000"),INDIRECT(O$1&amp;"!$a1:$a10000")=汇总!$A84),COUNTIF(INDIRECT(O$1&amp;"!$a1:$a10000"),汇总!$A84)),O83)</f>
        <v>2</v>
      </c>
      <c r="P84" s="109" cm="1">
        <f t="array" aca="1" ref="P84" ca="1">IFERROR(INDEX(_xlfn._xlws.FILTER(INDIRECT(P$1&amp;"!$E1:$E10000"),INDIRECT(P$1&amp;"!$a1:$a10000")=汇总!$A84),COUNTIF(INDIRECT(P$1&amp;"!$a1:$a10000"),汇总!$A84)),P83)</f>
        <v>2.2999999999999545</v>
      </c>
      <c r="Q84" s="109" cm="1">
        <f t="array" aca="1" ref="Q84" ca="1">IFERROR(INDEX(_xlfn._xlws.FILTER(INDIRECT(Q$1&amp;"!$E1:$E10000"),INDIRECT(Q$1&amp;"!$a1:$a10000")=汇总!$A84),COUNTIF(INDIRECT(Q$1&amp;"!$a1:$a10000"),汇总!$A84)),Q83)</f>
        <v>515.20000000000005</v>
      </c>
      <c r="R84" s="109" cm="1">
        <f t="array" aca="1" ref="R84" ca="1">IFERROR(INDEX(_xlfn._xlws.FILTER(INDIRECT(R$1&amp;"!$E1:$E10000"),INDIRECT(R$1&amp;"!$a1:$a10000")=汇总!$A84),COUNTIF(INDIRECT(R$1&amp;"!$a1:$a10000"),汇总!$A84)),R83)</f>
        <v>2301.8339999999998</v>
      </c>
      <c r="S84" s="109" cm="1">
        <f t="array" aca="1" ref="S84" ca="1">IFERROR(INDEX(_xlfn._xlws.FILTER(INDIRECT(S$1&amp;"!$E1:$E10000"),INDIRECT(S$1&amp;"!$a1:$a10000")=汇总!$A84),COUNTIF(INDIRECT(S$1&amp;"!$a1:$a10000"),汇总!$A84)),S83)</f>
        <v>0</v>
      </c>
    </row>
    <row r="85" spans="1:19" hidden="1">
      <c r="A85" s="1">
        <f t="shared" si="2"/>
        <v>46106</v>
      </c>
      <c r="B85" s="109" cm="1">
        <f t="array" aca="1" ref="B85" ca="1">IFERROR(INDEX(_xlfn._xlws.FILTER(INDIRECT(B$1&amp;"!$E1:$E10000"),INDIRECT(B$1&amp;"!$a1:$a10000")=汇总!$A85),COUNTIF(INDIRECT(B$1&amp;"!$a1:$a10000"),汇总!$A85)),B84)</f>
        <v>300.97042715068528</v>
      </c>
      <c r="C85" s="109" cm="1">
        <f t="array" aca="1" ref="C85" ca="1">IFERROR(INDEX(_xlfn._xlws.FILTER(INDIRECT(C$1&amp;"!$E1:$E10000"),INDIRECT(C$1&amp;"!$a1:$a10000")=汇总!$A85),COUNTIF(INDIRECT(C$1&amp;"!$a1:$a10000"),汇总!$A85)),C84)</f>
        <v>1143.0525315068496</v>
      </c>
      <c r="D85" s="109" cm="1">
        <f t="array" aca="1" ref="D85" ca="1">IFERROR(INDEX(_xlfn._xlws.FILTER(INDIRECT(D$1&amp;"!$E1:$E10000"),INDIRECT(D$1&amp;"!$a1:$a10000")=汇总!$A85),COUNTIF(INDIRECT(D$1&amp;"!$a1:$a10000"),汇总!$A85)),D84)</f>
        <v>1597.4755400000004</v>
      </c>
      <c r="E85" s="109" cm="1">
        <f t="array" aca="1" ref="E85" ca="1">IFERROR(INDEX(_xlfn._xlws.FILTER(INDIRECT(E$1&amp;"!$E1:$E10000"),INDIRECT(E$1&amp;"!$a1:$a10000")=汇总!$A85),COUNTIF(INDIRECT(E$1&amp;"!$a1:$a10000"),汇总!$A85)),E84)</f>
        <v>666.5936700000002</v>
      </c>
      <c r="F85" s="109" cm="1">
        <f t="array" aca="1" ref="F85" ca="1">IFERROR(INDEX(_xlfn._xlws.FILTER(INDIRECT(F$1&amp;"!$E1:$E10000"),INDIRECT(F$1&amp;"!$a1:$a10000")=汇总!$A85),COUNTIF(INDIRECT(F$1&amp;"!$a1:$a10000"),汇总!$A85)),F84)</f>
        <v>10118.588475342463</v>
      </c>
      <c r="G85" s="109" cm="1">
        <f t="array" aca="1" ref="G85" ca="1">IFERROR(INDEX(_xlfn._xlws.FILTER(INDIRECT(G$1&amp;"!$E1:$E10000"),INDIRECT(G$1&amp;"!$a1:$a10000")=汇总!$A85),COUNTIF(INDIRECT(G$1&amp;"!$a1:$a10000"),汇总!$A85)),G84)</f>
        <v>8394.4898880000001</v>
      </c>
      <c r="H85" s="109" cm="1">
        <f t="array" aca="1" ref="H85" ca="1">IFERROR(INDEX(_xlfn._xlws.FILTER(INDIRECT(H$1&amp;"!$E1:$E10000"),INDIRECT(H$1&amp;"!$a1:$a10000")=汇总!$A85),COUNTIF(INDIRECT(H$1&amp;"!$a1:$a10000"),汇总!$A85)),H84)</f>
        <v>69.92997430000014</v>
      </c>
      <c r="I85" s="109" cm="1">
        <f t="array" aca="1" ref="I85" ca="1">IFERROR(INDEX(_xlfn._xlws.FILTER(INDIRECT(I$1&amp;"!$E1:$E10000"),INDIRECT(I$1&amp;"!$a1:$a10000")=汇总!$A85),COUNTIF(INDIRECT(I$1&amp;"!$a1:$a10000"),汇总!$A85)),I84)</f>
        <v>452.95294699999999</v>
      </c>
      <c r="J85" s="109" cm="1">
        <f t="array" aca="1" ref="J85" ca="1">IFERROR(INDEX(_xlfn._xlws.FILTER(INDIRECT(J$1&amp;"!$E1:$E10000"),INDIRECT(J$1&amp;"!$a1:$a10000")=汇总!$A85),COUNTIF(INDIRECT(J$1&amp;"!$a1:$a10000"),汇总!$A85)),J84)</f>
        <v>2.5</v>
      </c>
      <c r="K85" s="109" cm="1">
        <f t="array" aca="1" ref="K85" ca="1">IFERROR(INDEX(_xlfn._xlws.FILTER(INDIRECT(K$1&amp;"!$E1:$E10000"),INDIRECT(K$1&amp;"!$a1:$a10000")=汇总!$A85),COUNTIF(INDIRECT(K$1&amp;"!$a1:$a10000"),汇总!$A85)),K84)</f>
        <v>543.53823999999997</v>
      </c>
      <c r="L85" s="109" cm="1">
        <f t="array" aca="1" ref="L85" ca="1">IFERROR(INDEX(_xlfn._xlws.FILTER(INDIRECT(L$1&amp;"!$E1:$E10000"),INDIRECT(L$1&amp;"!$a1:$a10000")=汇总!$A85),COUNTIF(INDIRECT(L$1&amp;"!$a1:$a10000"),汇总!$A85)),L84)</f>
        <v>90.3</v>
      </c>
      <c r="M85" s="109" cm="1">
        <f t="array" aca="1" ref="M85" ca="1">IFERROR(INDEX(_xlfn._xlws.FILTER(INDIRECT(M$1&amp;"!$E1:$E10000"),INDIRECT(M$1&amp;"!$a1:$a10000")=汇总!$A85),COUNTIF(INDIRECT(M$1&amp;"!$a1:$a10000"),汇总!$A85)),M84)</f>
        <v>156.89808999999985</v>
      </c>
      <c r="N85" s="109" cm="1">
        <f t="array" aca="1" ref="N85" ca="1">IFERROR(INDEX(_xlfn._xlws.FILTER(INDIRECT(N$1&amp;"!$E1:$E10000"),INDIRECT(N$1&amp;"!$a1:$a10000")=汇总!$A85),COUNTIF(INDIRECT(N$1&amp;"!$a1:$a10000"),汇总!$A85)),N84)</f>
        <v>6005</v>
      </c>
      <c r="O85" s="109" cm="1">
        <f t="array" aca="1" ref="O85" ca="1">IFERROR(INDEX(_xlfn._xlws.FILTER(INDIRECT(O$1&amp;"!$E1:$E10000"),INDIRECT(O$1&amp;"!$a1:$a10000")=汇总!$A85),COUNTIF(INDIRECT(O$1&amp;"!$a1:$a10000"),汇总!$A85)),O84)</f>
        <v>2</v>
      </c>
      <c r="P85" s="109" cm="1">
        <f t="array" aca="1" ref="P85" ca="1">IFERROR(INDEX(_xlfn._xlws.FILTER(INDIRECT(P$1&amp;"!$E1:$E10000"),INDIRECT(P$1&amp;"!$a1:$a10000")=汇总!$A85),COUNTIF(INDIRECT(P$1&amp;"!$a1:$a10000"),汇总!$A85)),P84)</f>
        <v>2.2999999999999545</v>
      </c>
      <c r="Q85" s="109" cm="1">
        <f t="array" aca="1" ref="Q85" ca="1">IFERROR(INDEX(_xlfn._xlws.FILTER(INDIRECT(Q$1&amp;"!$E1:$E10000"),INDIRECT(Q$1&amp;"!$a1:$a10000")=汇总!$A85),COUNTIF(INDIRECT(Q$1&amp;"!$a1:$a10000"),汇总!$A85)),Q84)</f>
        <v>15.200000000000045</v>
      </c>
      <c r="R85" s="109" cm="1">
        <f t="array" aca="1" ref="R85" ca="1">IFERROR(INDEX(_xlfn._xlws.FILTER(INDIRECT(R$1&amp;"!$E1:$E10000"),INDIRECT(R$1&amp;"!$a1:$a10000")=汇总!$A85),COUNTIF(INDIRECT(R$1&amp;"!$a1:$a10000"),汇总!$A85)),R84)</f>
        <v>1254.644</v>
      </c>
      <c r="S85" s="109" cm="1">
        <f t="array" aca="1" ref="S85" ca="1">IFERROR(INDEX(_xlfn._xlws.FILTER(INDIRECT(S$1&amp;"!$E1:$E10000"),INDIRECT(S$1&amp;"!$a1:$a10000")=汇总!$A85),COUNTIF(INDIRECT(S$1&amp;"!$a1:$a10000"),汇总!$A85)),S84)</f>
        <v>0</v>
      </c>
    </row>
    <row r="86" spans="1:19" hidden="1">
      <c r="A86" s="1">
        <f t="shared" si="2"/>
        <v>46107</v>
      </c>
      <c r="B86" s="109" cm="1">
        <f t="array" aca="1" ref="B86" ca="1">IFERROR(INDEX(_xlfn._xlws.FILTER(INDIRECT(B$1&amp;"!$E1:$E10000"),INDIRECT(B$1&amp;"!$a1:$a10000")=汇总!$A86),COUNTIF(INDIRECT(B$1&amp;"!$a1:$a10000"),汇总!$A86)),B85)</f>
        <v>300.97042715068528</v>
      </c>
      <c r="C86" s="109" cm="1">
        <f t="array" aca="1" ref="C86" ca="1">IFERROR(INDEX(_xlfn._xlws.FILTER(INDIRECT(C$1&amp;"!$E1:$E10000"),INDIRECT(C$1&amp;"!$a1:$a10000")=汇总!$A86),COUNTIF(INDIRECT(C$1&amp;"!$a1:$a10000"),汇总!$A86)),C85)</f>
        <v>1143.0525315068496</v>
      </c>
      <c r="D86" s="109" cm="1">
        <f t="array" aca="1" ref="D86" ca="1">IFERROR(INDEX(_xlfn._xlws.FILTER(INDIRECT(D$1&amp;"!$E1:$E10000"),INDIRECT(D$1&amp;"!$a1:$a10000")=汇总!$A86),COUNTIF(INDIRECT(D$1&amp;"!$a1:$a10000"),汇总!$A86)),D85)</f>
        <v>1597.4755400000004</v>
      </c>
      <c r="E86" s="109" cm="1">
        <f t="array" aca="1" ref="E86" ca="1">IFERROR(INDEX(_xlfn._xlws.FILTER(INDIRECT(E$1&amp;"!$E1:$E10000"),INDIRECT(E$1&amp;"!$a1:$a10000")=汇总!$A86),COUNTIF(INDIRECT(E$1&amp;"!$a1:$a10000"),汇总!$A86)),E85)</f>
        <v>1533.6936700000001</v>
      </c>
      <c r="F86" s="109" cm="1">
        <f t="array" aca="1" ref="F86" ca="1">IFERROR(INDEX(_xlfn._xlws.FILTER(INDIRECT(F$1&amp;"!$E1:$E10000"),INDIRECT(F$1&amp;"!$a1:$a10000")=汇总!$A86),COUNTIF(INDIRECT(F$1&amp;"!$a1:$a10000"),汇总!$A86)),F85)</f>
        <v>10118.588475342463</v>
      </c>
      <c r="G86" s="109" cm="1">
        <f t="array" aca="1" ref="G86" ca="1">IFERROR(INDEX(_xlfn._xlws.FILTER(INDIRECT(G$1&amp;"!$E1:$E10000"),INDIRECT(G$1&amp;"!$a1:$a10000")=汇总!$A86),COUNTIF(INDIRECT(G$1&amp;"!$a1:$a10000"),汇总!$A86)),G85)</f>
        <v>8394.4898880000001</v>
      </c>
      <c r="H86" s="109" cm="1">
        <f t="array" aca="1" ref="H86" ca="1">IFERROR(INDEX(_xlfn._xlws.FILTER(INDIRECT(H$1&amp;"!$E1:$E10000"),INDIRECT(H$1&amp;"!$a1:$a10000")=汇总!$A86),COUNTIF(INDIRECT(H$1&amp;"!$a1:$a10000"),汇总!$A86)),H85)</f>
        <v>69.92997430000014</v>
      </c>
      <c r="I86" s="109" cm="1">
        <f t="array" aca="1" ref="I86" ca="1">IFERROR(INDEX(_xlfn._xlws.FILTER(INDIRECT(I$1&amp;"!$E1:$E10000"),INDIRECT(I$1&amp;"!$a1:$a10000")=汇总!$A86),COUNTIF(INDIRECT(I$1&amp;"!$a1:$a10000"),汇总!$A86)),I85)</f>
        <v>452.95294699999999</v>
      </c>
      <c r="J86" s="109" cm="1">
        <f t="array" aca="1" ref="J86" ca="1">IFERROR(INDEX(_xlfn._xlws.FILTER(INDIRECT(J$1&amp;"!$E1:$E10000"),INDIRECT(J$1&amp;"!$a1:$a10000")=汇总!$A86),COUNTIF(INDIRECT(J$1&amp;"!$a1:$a10000"),汇总!$A86)),J85)</f>
        <v>2.5</v>
      </c>
      <c r="K86" s="109" cm="1">
        <f t="array" aca="1" ref="K86" ca="1">IFERROR(INDEX(_xlfn._xlws.FILTER(INDIRECT(K$1&amp;"!$E1:$E10000"),INDIRECT(K$1&amp;"!$a1:$a10000")=汇总!$A86),COUNTIF(INDIRECT(K$1&amp;"!$a1:$a10000"),汇总!$A86)),K85)</f>
        <v>543.53823999999997</v>
      </c>
      <c r="L86" s="109" cm="1">
        <f t="array" aca="1" ref="L86" ca="1">IFERROR(INDEX(_xlfn._xlws.FILTER(INDIRECT(L$1&amp;"!$E1:$E10000"),INDIRECT(L$1&amp;"!$a1:$a10000")=汇总!$A86),COUNTIF(INDIRECT(L$1&amp;"!$a1:$a10000"),汇总!$A86)),L85)</f>
        <v>901.3</v>
      </c>
      <c r="M86" s="109" cm="1">
        <f t="array" aca="1" ref="M86" ca="1">IFERROR(INDEX(_xlfn._xlws.FILTER(INDIRECT(M$1&amp;"!$E1:$E10000"),INDIRECT(M$1&amp;"!$a1:$a10000")=汇总!$A86),COUNTIF(INDIRECT(M$1&amp;"!$a1:$a10000"),汇总!$A86)),M85)</f>
        <v>1687.8980899999999</v>
      </c>
      <c r="N86" s="109" cm="1">
        <f t="array" aca="1" ref="N86" ca="1">IFERROR(INDEX(_xlfn._xlws.FILTER(INDIRECT(N$1&amp;"!$E1:$E10000"),INDIRECT(N$1&amp;"!$a1:$a10000")=汇总!$A86),COUNTIF(INDIRECT(N$1&amp;"!$a1:$a10000"),汇总!$A86)),N85)</f>
        <v>6005</v>
      </c>
      <c r="O86" s="109" cm="1">
        <f t="array" aca="1" ref="O86" ca="1">IFERROR(INDEX(_xlfn._xlws.FILTER(INDIRECT(O$1&amp;"!$E1:$E10000"),INDIRECT(O$1&amp;"!$a1:$a10000")=汇总!$A86),COUNTIF(INDIRECT(O$1&amp;"!$a1:$a10000"),汇总!$A86)),O85)</f>
        <v>2</v>
      </c>
      <c r="P86" s="109" cm="1">
        <f t="array" aca="1" ref="P86" ca="1">IFERROR(INDEX(_xlfn._xlws.FILTER(INDIRECT(P$1&amp;"!$E1:$E10000"),INDIRECT(P$1&amp;"!$a1:$a10000")=汇总!$A86),COUNTIF(INDIRECT(P$1&amp;"!$a1:$a10000"),汇总!$A86)),P85)</f>
        <v>2.2999999999999545</v>
      </c>
      <c r="Q86" s="109" cm="1">
        <f t="array" aca="1" ref="Q86" ca="1">IFERROR(INDEX(_xlfn._xlws.FILTER(INDIRECT(Q$1&amp;"!$E1:$E10000"),INDIRECT(Q$1&amp;"!$a1:$a10000")=汇总!$A86),COUNTIF(INDIRECT(Q$1&amp;"!$a1:$a10000"),汇总!$A86)),Q85)</f>
        <v>103.60000000000005</v>
      </c>
      <c r="R86" s="109" cm="1">
        <f t="array" aca="1" ref="R86" ca="1">IFERROR(INDEX(_xlfn._xlws.FILTER(INDIRECT(R$1&amp;"!$E1:$E10000"),INDIRECT(R$1&amp;"!$a1:$a10000")=汇总!$A86),COUNTIF(INDIRECT(R$1&amp;"!$a1:$a10000"),汇总!$A86)),R85)</f>
        <v>1254.644</v>
      </c>
      <c r="S86" s="109" cm="1">
        <f t="array" aca="1" ref="S86" ca="1">IFERROR(INDEX(_xlfn._xlws.FILTER(INDIRECT(S$1&amp;"!$E1:$E10000"),INDIRECT(S$1&amp;"!$a1:$a10000")=汇总!$A86),COUNTIF(INDIRECT(S$1&amp;"!$a1:$a10000"),汇总!$A86)),S85)</f>
        <v>0</v>
      </c>
    </row>
    <row r="87" spans="1:19" hidden="1">
      <c r="A87" s="1">
        <f t="shared" si="2"/>
        <v>46108</v>
      </c>
      <c r="B87" s="109" cm="1">
        <f t="array" aca="1" ref="B87" ca="1">IFERROR(INDEX(_xlfn._xlws.FILTER(INDIRECT(B$1&amp;"!$E1:$E10000"),INDIRECT(B$1&amp;"!$a1:$a10000")=汇总!$A87),COUNTIF(INDIRECT(B$1&amp;"!$a1:$a10000"),汇总!$A87)),B86)</f>
        <v>400.97042715068528</v>
      </c>
      <c r="C87" s="109" cm="1">
        <f t="array" aca="1" ref="C87" ca="1">IFERROR(INDEX(_xlfn._xlws.FILTER(INDIRECT(C$1&amp;"!$E1:$E10000"),INDIRECT(C$1&amp;"!$a1:$a10000")=汇总!$A87),COUNTIF(INDIRECT(C$1&amp;"!$a1:$a10000"),汇总!$A87)),C86)</f>
        <v>3649.0525315068498</v>
      </c>
      <c r="D87" s="109" cm="1">
        <f t="array" aca="1" ref="D87" ca="1">IFERROR(INDEX(_xlfn._xlws.FILTER(INDIRECT(D$1&amp;"!$E1:$E10000"),INDIRECT(D$1&amp;"!$a1:$a10000")=汇总!$A87),COUNTIF(INDIRECT(D$1&amp;"!$a1:$a10000"),汇总!$A87)),D86)</f>
        <v>1597.4755400000004</v>
      </c>
      <c r="E87" s="109" cm="1">
        <f t="array" aca="1" ref="E87" ca="1">IFERROR(INDEX(_xlfn._xlws.FILTER(INDIRECT(E$1&amp;"!$E1:$E10000"),INDIRECT(E$1&amp;"!$a1:$a10000")=汇总!$A87),COUNTIF(INDIRECT(E$1&amp;"!$a1:$a10000"),汇总!$A87)),E86)</f>
        <v>1602.6936700000001</v>
      </c>
      <c r="F87" s="109" cm="1">
        <f t="array" aca="1" ref="F87" ca="1">IFERROR(INDEX(_xlfn._xlws.FILTER(INDIRECT(F$1&amp;"!$E1:$E10000"),INDIRECT(F$1&amp;"!$a1:$a10000")=汇总!$A87),COUNTIF(INDIRECT(F$1&amp;"!$a1:$a10000"),汇总!$A87)),F86)</f>
        <v>8170</v>
      </c>
      <c r="G87" s="109" cm="1">
        <f t="array" aca="1" ref="G87" ca="1">IFERROR(INDEX(_xlfn._xlws.FILTER(INDIRECT(G$1&amp;"!$E1:$E10000"),INDIRECT(G$1&amp;"!$a1:$a10000")=汇总!$A87),COUNTIF(INDIRECT(G$1&amp;"!$a1:$a10000"),汇总!$A87)),G86)</f>
        <v>8737</v>
      </c>
      <c r="H87" s="109" cm="1">
        <f t="array" aca="1" ref="H87" ca="1">IFERROR(INDEX(_xlfn._xlws.FILTER(INDIRECT(H$1&amp;"!$E1:$E10000"),INDIRECT(H$1&amp;"!$a1:$a10000")=汇总!$A87),COUNTIF(INDIRECT(H$1&amp;"!$a1:$a10000"),汇总!$A87)),H86)</f>
        <v>169.92997430000014</v>
      </c>
      <c r="I87" s="109" cm="1">
        <f t="array" aca="1" ref="I87" ca="1">IFERROR(INDEX(_xlfn._xlws.FILTER(INDIRECT(I$1&amp;"!$E1:$E10000"),INDIRECT(I$1&amp;"!$a1:$a10000")=汇总!$A87),COUNTIF(INDIRECT(I$1&amp;"!$a1:$a10000"),汇总!$A87)),I86)</f>
        <v>197.65294699999998</v>
      </c>
      <c r="J87" s="109" cm="1">
        <f t="array" aca="1" ref="J87" ca="1">IFERROR(INDEX(_xlfn._xlws.FILTER(INDIRECT(J$1&amp;"!$E1:$E10000"),INDIRECT(J$1&amp;"!$a1:$a10000")=汇总!$A87),COUNTIF(INDIRECT(J$1&amp;"!$a1:$a10000"),汇总!$A87)),J86)</f>
        <v>2.5</v>
      </c>
      <c r="K87" s="109" cm="1">
        <f t="array" aca="1" ref="K87" ca="1">IFERROR(INDEX(_xlfn._xlws.FILTER(INDIRECT(K$1&amp;"!$E1:$E10000"),INDIRECT(K$1&amp;"!$a1:$a10000")=汇总!$A87),COUNTIF(INDIRECT(K$1&amp;"!$a1:$a10000"),汇总!$A87)),K86)</f>
        <v>543.53823999999997</v>
      </c>
      <c r="L87" s="109" cm="1">
        <f t="array" aca="1" ref="L87" ca="1">IFERROR(INDEX(_xlfn._xlws.FILTER(INDIRECT(L$1&amp;"!$E1:$E10000"),INDIRECT(L$1&amp;"!$a1:$a10000")=汇总!$A87),COUNTIF(INDIRECT(L$1&amp;"!$a1:$a10000"),汇总!$A87)),L86)</f>
        <v>1386</v>
      </c>
      <c r="M87" s="109" cm="1">
        <f t="array" aca="1" ref="M87" ca="1">IFERROR(INDEX(_xlfn._xlws.FILTER(INDIRECT(M$1&amp;"!$E1:$E10000"),INDIRECT(M$1&amp;"!$a1:$a10000")=汇总!$A87),COUNTIF(INDIRECT(M$1&amp;"!$a1:$a10000"),汇总!$A87)),M86)</f>
        <v>1687.8980899999999</v>
      </c>
      <c r="N87" s="109" cm="1">
        <f t="array" aca="1" ref="N87" ca="1">IFERROR(INDEX(_xlfn._xlws.FILTER(INDIRECT(N$1&amp;"!$E1:$E10000"),INDIRECT(N$1&amp;"!$a1:$a10000")=汇总!$A87),COUNTIF(INDIRECT(N$1&amp;"!$a1:$a10000"),汇总!$A87)),N86)</f>
        <v>6005</v>
      </c>
      <c r="O87" s="109" cm="1">
        <f t="array" aca="1" ref="O87" ca="1">IFERROR(INDEX(_xlfn._xlws.FILTER(INDIRECT(O$1&amp;"!$E1:$E10000"),INDIRECT(O$1&amp;"!$a1:$a10000")=汇总!$A87),COUNTIF(INDIRECT(O$1&amp;"!$a1:$a10000"),汇总!$A87)),O86)</f>
        <v>2</v>
      </c>
      <c r="P87" s="109" cm="1">
        <f t="array" aca="1" ref="P87" ca="1">IFERROR(INDEX(_xlfn._xlws.FILTER(INDIRECT(P$1&amp;"!$E1:$E10000"),INDIRECT(P$1&amp;"!$a1:$a10000")=汇总!$A87),COUNTIF(INDIRECT(P$1&amp;"!$a1:$a10000"),汇总!$A87)),P86)</f>
        <v>2.2999999999999545</v>
      </c>
      <c r="Q87" s="109" cm="1">
        <f t="array" aca="1" ref="Q87" ca="1">IFERROR(INDEX(_xlfn._xlws.FILTER(INDIRECT(Q$1&amp;"!$E1:$E10000"),INDIRECT(Q$1&amp;"!$a1:$a10000")=汇总!$A87),COUNTIF(INDIRECT(Q$1&amp;"!$a1:$a10000"),汇总!$A87)),Q86)</f>
        <v>103.60000000000005</v>
      </c>
      <c r="R87" s="109" cm="1">
        <f t="array" aca="1" ref="R87" ca="1">IFERROR(INDEX(_xlfn._xlws.FILTER(INDIRECT(R$1&amp;"!$E1:$E10000"),INDIRECT(R$1&amp;"!$a1:$a10000")=汇总!$A87),COUNTIF(INDIRECT(R$1&amp;"!$a1:$a10000"),汇总!$A87)),R86)</f>
        <v>1348.644</v>
      </c>
      <c r="S87" s="109" cm="1">
        <f t="array" aca="1" ref="S87" ca="1">IFERROR(INDEX(_xlfn._xlws.FILTER(INDIRECT(S$1&amp;"!$E1:$E10000"),INDIRECT(S$1&amp;"!$a1:$a10000")=汇总!$A87),COUNTIF(INDIRECT(S$1&amp;"!$a1:$a10000"),汇总!$A87)),S86)</f>
        <v>0</v>
      </c>
    </row>
    <row r="88" spans="1:19" hidden="1">
      <c r="A88" s="1">
        <f t="shared" si="2"/>
        <v>46109</v>
      </c>
      <c r="B88" s="109" cm="1">
        <f t="array" aca="1" ref="B88" ca="1">IFERROR(INDEX(_xlfn._xlws.FILTER(INDIRECT(B$1&amp;"!$E1:$E10000"),INDIRECT(B$1&amp;"!$a1:$a10000")=汇总!$A88),COUNTIF(INDIRECT(B$1&amp;"!$a1:$a10000"),汇总!$A88)),B87)</f>
        <v>400.97042715068528</v>
      </c>
      <c r="C88" s="109" cm="1">
        <f t="array" aca="1" ref="C88" ca="1">IFERROR(INDEX(_xlfn._xlws.FILTER(INDIRECT(C$1&amp;"!$E1:$E10000"),INDIRECT(C$1&amp;"!$a1:$a10000")=汇总!$A88),COUNTIF(INDIRECT(C$1&amp;"!$a1:$a10000"),汇总!$A88)),C87)</f>
        <v>3649.0525315068498</v>
      </c>
      <c r="D88" s="109" cm="1">
        <f t="array" aca="1" ref="D88" ca="1">IFERROR(INDEX(_xlfn._xlws.FILTER(INDIRECT(D$1&amp;"!$E1:$E10000"),INDIRECT(D$1&amp;"!$a1:$a10000")=汇总!$A88),COUNTIF(INDIRECT(D$1&amp;"!$a1:$a10000"),汇总!$A88)),D87)</f>
        <v>1597.4755400000004</v>
      </c>
      <c r="E88" s="109" cm="1">
        <f t="array" aca="1" ref="E88" ca="1">IFERROR(INDEX(_xlfn._xlws.FILTER(INDIRECT(E$1&amp;"!$E1:$E10000"),INDIRECT(E$1&amp;"!$a1:$a10000")=汇总!$A88),COUNTIF(INDIRECT(E$1&amp;"!$a1:$a10000"),汇总!$A88)),E87)</f>
        <v>1602.6936700000001</v>
      </c>
      <c r="F88" s="109" cm="1">
        <f t="array" aca="1" ref="F88" ca="1">IFERROR(INDEX(_xlfn._xlws.FILTER(INDIRECT(F$1&amp;"!$E1:$E10000"),INDIRECT(F$1&amp;"!$a1:$a10000")=汇总!$A88),COUNTIF(INDIRECT(F$1&amp;"!$a1:$a10000"),汇总!$A88)),F87)</f>
        <v>8170</v>
      </c>
      <c r="G88" s="109" cm="1">
        <f t="array" aca="1" ref="G88" ca="1">IFERROR(INDEX(_xlfn._xlws.FILTER(INDIRECT(G$1&amp;"!$E1:$E10000"),INDIRECT(G$1&amp;"!$a1:$a10000")=汇总!$A88),COUNTIF(INDIRECT(G$1&amp;"!$a1:$a10000"),汇总!$A88)),G87)</f>
        <v>8737</v>
      </c>
      <c r="H88" s="109" cm="1">
        <f t="array" aca="1" ref="H88" ca="1">IFERROR(INDEX(_xlfn._xlws.FILTER(INDIRECT(H$1&amp;"!$E1:$E10000"),INDIRECT(H$1&amp;"!$a1:$a10000")=汇总!$A88),COUNTIF(INDIRECT(H$1&amp;"!$a1:$a10000"),汇总!$A88)),H87)</f>
        <v>169.92997430000014</v>
      </c>
      <c r="I88" s="109" cm="1">
        <f t="array" aca="1" ref="I88" ca="1">IFERROR(INDEX(_xlfn._xlws.FILTER(INDIRECT(I$1&amp;"!$E1:$E10000"),INDIRECT(I$1&amp;"!$a1:$a10000")=汇总!$A88),COUNTIF(INDIRECT(I$1&amp;"!$a1:$a10000"),汇总!$A88)),I87)</f>
        <v>197.65294699999998</v>
      </c>
      <c r="J88" s="109" cm="1">
        <f t="array" aca="1" ref="J88" ca="1">IFERROR(INDEX(_xlfn._xlws.FILTER(INDIRECT(J$1&amp;"!$E1:$E10000"),INDIRECT(J$1&amp;"!$a1:$a10000")=汇总!$A88),COUNTIF(INDIRECT(J$1&amp;"!$a1:$a10000"),汇总!$A88)),J87)</f>
        <v>2.5</v>
      </c>
      <c r="K88" s="109" cm="1">
        <f t="array" aca="1" ref="K88" ca="1">IFERROR(INDEX(_xlfn._xlws.FILTER(INDIRECT(K$1&amp;"!$E1:$E10000"),INDIRECT(K$1&amp;"!$a1:$a10000")=汇总!$A88),COUNTIF(INDIRECT(K$1&amp;"!$a1:$a10000"),汇总!$A88)),K87)</f>
        <v>543.53823999999997</v>
      </c>
      <c r="L88" s="109" cm="1">
        <f t="array" aca="1" ref="L88" ca="1">IFERROR(INDEX(_xlfn._xlws.FILTER(INDIRECT(L$1&amp;"!$E1:$E10000"),INDIRECT(L$1&amp;"!$a1:$a10000")=汇总!$A88),COUNTIF(INDIRECT(L$1&amp;"!$a1:$a10000"),汇总!$A88)),L87)</f>
        <v>1386</v>
      </c>
      <c r="M88" s="109" cm="1">
        <f t="array" aca="1" ref="M88" ca="1">IFERROR(INDEX(_xlfn._xlws.FILTER(INDIRECT(M$1&amp;"!$E1:$E10000"),INDIRECT(M$1&amp;"!$a1:$a10000")=汇总!$A88),COUNTIF(INDIRECT(M$1&amp;"!$a1:$a10000"),汇总!$A88)),M87)</f>
        <v>1687.8980899999999</v>
      </c>
      <c r="N88" s="109" cm="1">
        <f t="array" aca="1" ref="N88" ca="1">IFERROR(INDEX(_xlfn._xlws.FILTER(INDIRECT(N$1&amp;"!$E1:$E10000"),INDIRECT(N$1&amp;"!$a1:$a10000")=汇总!$A88),COUNTIF(INDIRECT(N$1&amp;"!$a1:$a10000"),汇总!$A88)),N87)</f>
        <v>6005</v>
      </c>
      <c r="O88" s="109" cm="1">
        <f t="array" aca="1" ref="O88" ca="1">IFERROR(INDEX(_xlfn._xlws.FILTER(INDIRECT(O$1&amp;"!$E1:$E10000"),INDIRECT(O$1&amp;"!$a1:$a10000")=汇总!$A88),COUNTIF(INDIRECT(O$1&amp;"!$a1:$a10000"),汇总!$A88)),O87)</f>
        <v>2</v>
      </c>
      <c r="P88" s="109" cm="1">
        <f t="array" aca="1" ref="P88" ca="1">IFERROR(INDEX(_xlfn._xlws.FILTER(INDIRECT(P$1&amp;"!$E1:$E10000"),INDIRECT(P$1&amp;"!$a1:$a10000")=汇总!$A88),COUNTIF(INDIRECT(P$1&amp;"!$a1:$a10000"),汇总!$A88)),P87)</f>
        <v>2.2999999999999545</v>
      </c>
      <c r="Q88" s="109" cm="1">
        <f t="array" aca="1" ref="Q88" ca="1">IFERROR(INDEX(_xlfn._xlws.FILTER(INDIRECT(Q$1&amp;"!$E1:$E10000"),INDIRECT(Q$1&amp;"!$a1:$a10000")=汇总!$A88),COUNTIF(INDIRECT(Q$1&amp;"!$a1:$a10000"),汇总!$A88)),Q87)</f>
        <v>103.60000000000005</v>
      </c>
      <c r="R88" s="109" cm="1">
        <f t="array" aca="1" ref="R88" ca="1">IFERROR(INDEX(_xlfn._xlws.FILTER(INDIRECT(R$1&amp;"!$E1:$E10000"),INDIRECT(R$1&amp;"!$a1:$a10000")=汇总!$A88),COUNTIF(INDIRECT(R$1&amp;"!$a1:$a10000"),汇总!$A88)),R87)</f>
        <v>1348.644</v>
      </c>
      <c r="S88" s="109" cm="1">
        <f t="array" aca="1" ref="S88" ca="1">IFERROR(INDEX(_xlfn._xlws.FILTER(INDIRECT(S$1&amp;"!$E1:$E10000"),INDIRECT(S$1&amp;"!$a1:$a10000")=汇总!$A88),COUNTIF(INDIRECT(S$1&amp;"!$a1:$a10000"),汇总!$A88)),S87)</f>
        <v>0</v>
      </c>
    </row>
    <row r="89" spans="1:19" hidden="1">
      <c r="A89" s="1">
        <f t="shared" si="2"/>
        <v>46110</v>
      </c>
      <c r="B89" s="109" cm="1">
        <f t="array" aca="1" ref="B89" ca="1">IFERROR(INDEX(_xlfn._xlws.FILTER(INDIRECT(B$1&amp;"!$E1:$E10000"),INDIRECT(B$1&amp;"!$a1:$a10000")=汇总!$A89),COUNTIF(INDIRECT(B$1&amp;"!$a1:$a10000"),汇总!$A89)),B88)</f>
        <v>400.97042715068528</v>
      </c>
      <c r="C89" s="109" cm="1">
        <f t="array" aca="1" ref="C89" ca="1">IFERROR(INDEX(_xlfn._xlws.FILTER(INDIRECT(C$1&amp;"!$E1:$E10000"),INDIRECT(C$1&amp;"!$a1:$a10000")=汇总!$A89),COUNTIF(INDIRECT(C$1&amp;"!$a1:$a10000"),汇总!$A89)),C88)</f>
        <v>3649.0525315068498</v>
      </c>
      <c r="D89" s="109" cm="1">
        <f t="array" aca="1" ref="D89" ca="1">IFERROR(INDEX(_xlfn._xlws.FILTER(INDIRECT(D$1&amp;"!$E1:$E10000"),INDIRECT(D$1&amp;"!$a1:$a10000")=汇总!$A89),COUNTIF(INDIRECT(D$1&amp;"!$a1:$a10000"),汇总!$A89)),D88)</f>
        <v>1597.4755400000004</v>
      </c>
      <c r="E89" s="109" cm="1">
        <f t="array" aca="1" ref="E89" ca="1">IFERROR(INDEX(_xlfn._xlws.FILTER(INDIRECT(E$1&amp;"!$E1:$E10000"),INDIRECT(E$1&amp;"!$a1:$a10000")=汇总!$A89),COUNTIF(INDIRECT(E$1&amp;"!$a1:$a10000"),汇总!$A89)),E88)</f>
        <v>1602.6936700000001</v>
      </c>
      <c r="F89" s="109" cm="1">
        <f t="array" aca="1" ref="F89" ca="1">IFERROR(INDEX(_xlfn._xlws.FILTER(INDIRECT(F$1&amp;"!$E1:$E10000"),INDIRECT(F$1&amp;"!$a1:$a10000")=汇总!$A89),COUNTIF(INDIRECT(F$1&amp;"!$a1:$a10000"),汇总!$A89)),F88)</f>
        <v>8170</v>
      </c>
      <c r="G89" s="109" cm="1">
        <f t="array" aca="1" ref="G89" ca="1">IFERROR(INDEX(_xlfn._xlws.FILTER(INDIRECT(G$1&amp;"!$E1:$E10000"),INDIRECT(G$1&amp;"!$a1:$a10000")=汇总!$A89),COUNTIF(INDIRECT(G$1&amp;"!$a1:$a10000"),汇总!$A89)),G88)</f>
        <v>8737</v>
      </c>
      <c r="H89" s="109" cm="1">
        <f t="array" aca="1" ref="H89" ca="1">IFERROR(INDEX(_xlfn._xlws.FILTER(INDIRECT(H$1&amp;"!$E1:$E10000"),INDIRECT(H$1&amp;"!$a1:$a10000")=汇总!$A89),COUNTIF(INDIRECT(H$1&amp;"!$a1:$a10000"),汇总!$A89)),H88)</f>
        <v>169.92997430000014</v>
      </c>
      <c r="I89" s="109" cm="1">
        <f t="array" aca="1" ref="I89" ca="1">IFERROR(INDEX(_xlfn._xlws.FILTER(INDIRECT(I$1&amp;"!$E1:$E10000"),INDIRECT(I$1&amp;"!$a1:$a10000")=汇总!$A89),COUNTIF(INDIRECT(I$1&amp;"!$a1:$a10000"),汇总!$A89)),I88)</f>
        <v>197.65294699999998</v>
      </c>
      <c r="J89" s="109" cm="1">
        <f t="array" aca="1" ref="J89" ca="1">IFERROR(INDEX(_xlfn._xlws.FILTER(INDIRECT(J$1&amp;"!$E1:$E10000"),INDIRECT(J$1&amp;"!$a1:$a10000")=汇总!$A89),COUNTIF(INDIRECT(J$1&amp;"!$a1:$a10000"),汇总!$A89)),J88)</f>
        <v>2.5</v>
      </c>
      <c r="K89" s="109" cm="1">
        <f t="array" aca="1" ref="K89" ca="1">IFERROR(INDEX(_xlfn._xlws.FILTER(INDIRECT(K$1&amp;"!$E1:$E10000"),INDIRECT(K$1&amp;"!$a1:$a10000")=汇总!$A89),COUNTIF(INDIRECT(K$1&amp;"!$a1:$a10000"),汇总!$A89)),K88)</f>
        <v>543.53823999999997</v>
      </c>
      <c r="L89" s="109" cm="1">
        <f t="array" aca="1" ref="L89" ca="1">IFERROR(INDEX(_xlfn._xlws.FILTER(INDIRECT(L$1&amp;"!$E1:$E10000"),INDIRECT(L$1&amp;"!$a1:$a10000")=汇总!$A89),COUNTIF(INDIRECT(L$1&amp;"!$a1:$a10000"),汇总!$A89)),L88)</f>
        <v>1386</v>
      </c>
      <c r="M89" s="109" cm="1">
        <f t="array" aca="1" ref="M89" ca="1">IFERROR(INDEX(_xlfn._xlws.FILTER(INDIRECT(M$1&amp;"!$E1:$E10000"),INDIRECT(M$1&amp;"!$a1:$a10000")=汇总!$A89),COUNTIF(INDIRECT(M$1&amp;"!$a1:$a10000"),汇总!$A89)),M88)</f>
        <v>1687.8980899999999</v>
      </c>
      <c r="N89" s="109" cm="1">
        <f t="array" aca="1" ref="N89" ca="1">IFERROR(INDEX(_xlfn._xlws.FILTER(INDIRECT(N$1&amp;"!$E1:$E10000"),INDIRECT(N$1&amp;"!$a1:$a10000")=汇总!$A89),COUNTIF(INDIRECT(N$1&amp;"!$a1:$a10000"),汇总!$A89)),N88)</f>
        <v>6005</v>
      </c>
      <c r="O89" s="109" cm="1">
        <f t="array" aca="1" ref="O89" ca="1">IFERROR(INDEX(_xlfn._xlws.FILTER(INDIRECT(O$1&amp;"!$E1:$E10000"),INDIRECT(O$1&amp;"!$a1:$a10000")=汇总!$A89),COUNTIF(INDIRECT(O$1&amp;"!$a1:$a10000"),汇总!$A89)),O88)</f>
        <v>2</v>
      </c>
      <c r="P89" s="109" cm="1">
        <f t="array" aca="1" ref="P89" ca="1">IFERROR(INDEX(_xlfn._xlws.FILTER(INDIRECT(P$1&amp;"!$E1:$E10000"),INDIRECT(P$1&amp;"!$a1:$a10000")=汇总!$A89),COUNTIF(INDIRECT(P$1&amp;"!$a1:$a10000"),汇总!$A89)),P88)</f>
        <v>2.2999999999999545</v>
      </c>
      <c r="Q89" s="109" cm="1">
        <f t="array" aca="1" ref="Q89" ca="1">IFERROR(INDEX(_xlfn._xlws.FILTER(INDIRECT(Q$1&amp;"!$E1:$E10000"),INDIRECT(Q$1&amp;"!$a1:$a10000")=汇总!$A89),COUNTIF(INDIRECT(Q$1&amp;"!$a1:$a10000"),汇总!$A89)),Q88)</f>
        <v>103.60000000000005</v>
      </c>
      <c r="R89" s="109" cm="1">
        <f t="array" aca="1" ref="R89" ca="1">IFERROR(INDEX(_xlfn._xlws.FILTER(INDIRECT(R$1&amp;"!$E1:$E10000"),INDIRECT(R$1&amp;"!$a1:$a10000")=汇总!$A89),COUNTIF(INDIRECT(R$1&amp;"!$a1:$a10000"),汇总!$A89)),R88)</f>
        <v>1348.644</v>
      </c>
      <c r="S89" s="109" cm="1">
        <f t="array" aca="1" ref="S89" ca="1">IFERROR(INDEX(_xlfn._xlws.FILTER(INDIRECT(S$1&amp;"!$E1:$E10000"),INDIRECT(S$1&amp;"!$a1:$a10000")=汇总!$A89),COUNTIF(INDIRECT(S$1&amp;"!$a1:$a10000"),汇总!$A89)),S88)</f>
        <v>0</v>
      </c>
    </row>
    <row r="90" spans="1:19" hidden="1">
      <c r="A90" s="1">
        <f t="shared" ref="A90:A121" si="3">+A89+1</f>
        <v>46111</v>
      </c>
      <c r="B90" s="109" cm="1">
        <f t="array" aca="1" ref="B90" ca="1">IFERROR(INDEX(_xlfn._xlws.FILTER(INDIRECT(B$1&amp;"!$E1:$E10000"),INDIRECT(B$1&amp;"!$a1:$a10000")=汇总!$A90),COUNTIF(INDIRECT(B$1&amp;"!$a1:$a10000"),汇总!$A90)),B89)</f>
        <v>1710.9726271506856</v>
      </c>
      <c r="C90" s="109" cm="1">
        <f t="array" aca="1" ref="C90" ca="1">IFERROR(INDEX(_xlfn._xlws.FILTER(INDIRECT(C$1&amp;"!$E1:$E10000"),INDIRECT(C$1&amp;"!$a1:$a10000")=汇总!$A90),COUNTIF(INDIRECT(C$1&amp;"!$a1:$a10000"),汇总!$A90)),C89)</f>
        <v>1749.0525315068498</v>
      </c>
      <c r="D90" s="109" cm="1">
        <f t="array" aca="1" ref="D90" ca="1">IFERROR(INDEX(_xlfn._xlws.FILTER(INDIRECT(D$1&amp;"!$E1:$E10000"),INDIRECT(D$1&amp;"!$a1:$a10000")=汇总!$A90),COUNTIF(INDIRECT(D$1&amp;"!$a1:$a10000"),汇总!$A90)),D89)</f>
        <v>653</v>
      </c>
      <c r="E90" s="109" cm="1">
        <f t="array" aca="1" ref="E90" ca="1">IFERROR(INDEX(_xlfn._xlws.FILTER(INDIRECT(E$1&amp;"!$E1:$E10000"),INDIRECT(E$1&amp;"!$a1:$a10000")=汇总!$A90),COUNTIF(INDIRECT(E$1&amp;"!$a1:$a10000"),汇总!$A90)),E89)</f>
        <v>1602.6936700000001</v>
      </c>
      <c r="F90" s="109" cm="1">
        <f t="array" aca="1" ref="F90" ca="1">IFERROR(INDEX(_xlfn._xlws.FILTER(INDIRECT(F$1&amp;"!$E1:$E10000"),INDIRECT(F$1&amp;"!$a1:$a10000")=汇总!$A90),COUNTIF(INDIRECT(F$1&amp;"!$a1:$a10000"),汇总!$A90)),F89)</f>
        <v>8352</v>
      </c>
      <c r="G90" s="109" cm="1">
        <f t="array" aca="1" ref="G90" ca="1">IFERROR(INDEX(_xlfn._xlws.FILTER(INDIRECT(G$1&amp;"!$E1:$E10000"),INDIRECT(G$1&amp;"!$a1:$a10000")=汇总!$A90),COUNTIF(INDIRECT(G$1&amp;"!$a1:$a10000"),汇总!$A90)),G89)</f>
        <v>6771.4</v>
      </c>
      <c r="H90" s="109" cm="1">
        <f t="array" aca="1" ref="H90" ca="1">IFERROR(INDEX(_xlfn._xlws.FILTER(INDIRECT(H$1&amp;"!$E1:$E10000"),INDIRECT(H$1&amp;"!$a1:$a10000")=汇总!$A90),COUNTIF(INDIRECT(H$1&amp;"!$a1:$a10000"),汇总!$A90)),H89)</f>
        <v>169.92997430000014</v>
      </c>
      <c r="I90" s="109" cm="1">
        <f t="array" aca="1" ref="I90" ca="1">IFERROR(INDEX(_xlfn._xlws.FILTER(INDIRECT(I$1&amp;"!$E1:$E10000"),INDIRECT(I$1&amp;"!$a1:$a10000")=汇总!$A90),COUNTIF(INDIRECT(I$1&amp;"!$a1:$a10000"),汇总!$A90)),I89)</f>
        <v>197.65294699999998</v>
      </c>
      <c r="J90" s="109" cm="1">
        <f t="array" aca="1" ref="J90" ca="1">IFERROR(INDEX(_xlfn._xlws.FILTER(INDIRECT(J$1&amp;"!$E1:$E10000"),INDIRECT(J$1&amp;"!$a1:$a10000")=汇总!$A90),COUNTIF(INDIRECT(J$1&amp;"!$a1:$a10000"),汇总!$A90)),J89)</f>
        <v>2.5</v>
      </c>
      <c r="K90" s="109" cm="1">
        <f t="array" aca="1" ref="K90" ca="1">IFERROR(INDEX(_xlfn._xlws.FILTER(INDIRECT(K$1&amp;"!$E1:$E10000"),INDIRECT(K$1&amp;"!$a1:$a10000")=汇总!$A90),COUNTIF(INDIRECT(K$1&amp;"!$a1:$a10000"),汇总!$A90)),K89)</f>
        <v>69.392000000000053</v>
      </c>
      <c r="L90" s="109" cm="1">
        <f t="array" aca="1" ref="L90" ca="1">IFERROR(INDEX(_xlfn._xlws.FILTER(INDIRECT(L$1&amp;"!$E1:$E10000"),INDIRECT(L$1&amp;"!$a1:$a10000")=汇总!$A90),COUNTIF(INDIRECT(L$1&amp;"!$a1:$a10000"),汇总!$A90)),L89)</f>
        <v>537.49779999999964</v>
      </c>
      <c r="M90" s="109" cm="1">
        <f t="array" aca="1" ref="M90" ca="1">IFERROR(INDEX(_xlfn._xlws.FILTER(INDIRECT(M$1&amp;"!$E1:$E10000"),INDIRECT(M$1&amp;"!$a1:$a10000")=汇总!$A90),COUNTIF(INDIRECT(M$1&amp;"!$a1:$a10000"),汇总!$A90)),M89)</f>
        <v>24.898089999999911</v>
      </c>
      <c r="N90" s="109" cm="1">
        <f t="array" aca="1" ref="N90" ca="1">IFERROR(INDEX(_xlfn._xlws.FILTER(INDIRECT(N$1&amp;"!$E1:$E10000"),INDIRECT(N$1&amp;"!$a1:$a10000")=汇总!$A90),COUNTIF(INDIRECT(N$1&amp;"!$a1:$a10000"),汇总!$A90)),N89)</f>
        <v>7802</v>
      </c>
      <c r="O90" s="109" cm="1">
        <f t="array" aca="1" ref="O90" ca="1">IFERROR(INDEX(_xlfn._xlws.FILTER(INDIRECT(O$1&amp;"!$E1:$E10000"),INDIRECT(O$1&amp;"!$a1:$a10000")=汇总!$A90),COUNTIF(INDIRECT(O$1&amp;"!$a1:$a10000"),汇总!$A90)),O89)</f>
        <v>2</v>
      </c>
      <c r="P90" s="109" cm="1">
        <f t="array" aca="1" ref="P90" ca="1">IFERROR(INDEX(_xlfn._xlws.FILTER(INDIRECT(P$1&amp;"!$E1:$E10000"),INDIRECT(P$1&amp;"!$a1:$a10000")=汇总!$A90),COUNTIF(INDIRECT(P$1&amp;"!$a1:$a10000"),汇总!$A90)),P89)</f>
        <v>2.2999999999999545</v>
      </c>
      <c r="Q90" s="109" cm="1">
        <f t="array" aca="1" ref="Q90" ca="1">IFERROR(INDEX(_xlfn._xlws.FILTER(INDIRECT(Q$1&amp;"!$E1:$E10000"),INDIRECT(Q$1&amp;"!$a1:$a10000")=汇总!$A90),COUNTIF(INDIRECT(Q$1&amp;"!$a1:$a10000"),汇总!$A90)),Q89)</f>
        <v>103.60000000000005</v>
      </c>
      <c r="R90" s="109" cm="1">
        <f t="array" aca="1" ref="R90" ca="1">IFERROR(INDEX(_xlfn._xlws.FILTER(INDIRECT(R$1&amp;"!$E1:$E10000"),INDIRECT(R$1&amp;"!$a1:$a10000")=汇总!$A90),COUNTIF(INDIRECT(R$1&amp;"!$a1:$a10000"),汇总!$A90)),R89)</f>
        <v>1348.644</v>
      </c>
      <c r="S90" s="109" cm="1">
        <f t="array" aca="1" ref="S90" ca="1">IFERROR(INDEX(_xlfn._xlws.FILTER(INDIRECT(S$1&amp;"!$E1:$E10000"),INDIRECT(S$1&amp;"!$a1:$a10000")=汇总!$A90),COUNTIF(INDIRECT(S$1&amp;"!$a1:$a10000"),汇总!$A90)),S89)</f>
        <v>0</v>
      </c>
    </row>
    <row r="91" spans="1:19" hidden="1">
      <c r="A91" s="1">
        <f t="shared" si="3"/>
        <v>46112</v>
      </c>
      <c r="B91" s="109" cm="1">
        <f t="array" aca="1" ref="B91" ca="1">IFERROR(INDEX(_xlfn._xlws.FILTER(INDIRECT(B$1&amp;"!$E1:$E10000"),INDIRECT(B$1&amp;"!$a1:$a10000")=汇总!$A91),COUNTIF(INDIRECT(B$1&amp;"!$a1:$a10000"),汇总!$A91)),B90)</f>
        <v>1976.9726271506856</v>
      </c>
      <c r="C91" s="109" cm="1">
        <f t="array" aca="1" ref="C91" ca="1">IFERROR(INDEX(_xlfn._xlws.FILTER(INDIRECT(C$1&amp;"!$E1:$E10000"),INDIRECT(C$1&amp;"!$a1:$a10000")=汇总!$A91),COUNTIF(INDIRECT(C$1&amp;"!$a1:$a10000"),汇总!$A91)),C90)</f>
        <v>1799.0525315068498</v>
      </c>
      <c r="D91" s="109" cm="1">
        <f t="array" aca="1" ref="D91" ca="1">IFERROR(INDEX(_xlfn._xlws.FILTER(INDIRECT(D$1&amp;"!$E1:$E10000"),INDIRECT(D$1&amp;"!$a1:$a10000")=汇总!$A91),COUNTIF(INDIRECT(D$1&amp;"!$a1:$a10000"),汇总!$A91)),D90)</f>
        <v>653</v>
      </c>
      <c r="E91" s="109" cm="1">
        <f t="array" aca="1" ref="E91" ca="1">IFERROR(INDEX(_xlfn._xlws.FILTER(INDIRECT(E$1&amp;"!$E1:$E10000"),INDIRECT(E$1&amp;"!$a1:$a10000")=汇总!$A91),COUNTIF(INDIRECT(E$1&amp;"!$a1:$a10000"),汇总!$A91)),E90)</f>
        <v>232.69367000000011</v>
      </c>
      <c r="F91" s="109" cm="1">
        <f t="array" aca="1" ref="F91" ca="1">IFERROR(INDEX(_xlfn._xlws.FILTER(INDIRECT(F$1&amp;"!$E1:$E10000"),INDIRECT(F$1&amp;"!$a1:$a10000")=汇总!$A91),COUNTIF(INDIRECT(F$1&amp;"!$a1:$a10000"),汇总!$A91)),F90)</f>
        <v>7350</v>
      </c>
      <c r="G91" s="109" cm="1">
        <f t="array" aca="1" ref="G91" ca="1">IFERROR(INDEX(_xlfn._xlws.FILTER(INDIRECT(G$1&amp;"!$E1:$E10000"),INDIRECT(G$1&amp;"!$a1:$a10000")=汇总!$A91),COUNTIF(INDIRECT(G$1&amp;"!$a1:$a10000"),汇总!$A91)),G90)</f>
        <v>6771.4</v>
      </c>
      <c r="H91" s="109" cm="1">
        <f t="array" aca="1" ref="H91" ca="1">IFERROR(INDEX(_xlfn._xlws.FILTER(INDIRECT(H$1&amp;"!$E1:$E10000"),INDIRECT(H$1&amp;"!$a1:$a10000")=汇总!$A91),COUNTIF(INDIRECT(H$1&amp;"!$a1:$a10000"),汇总!$A91)),H90)</f>
        <v>889.92997430000014</v>
      </c>
      <c r="I91" s="109" cm="1">
        <f t="array" aca="1" ref="I91" ca="1">IFERROR(INDEX(_xlfn._xlws.FILTER(INDIRECT(I$1&amp;"!$E1:$E10000"),INDIRECT(I$1&amp;"!$a1:$a10000")=汇总!$A91),COUNTIF(INDIRECT(I$1&amp;"!$a1:$a10000"),汇总!$A91)),I90)</f>
        <v>848.36158699999987</v>
      </c>
      <c r="J91" s="109" cm="1">
        <f t="array" aca="1" ref="J91" ca="1">IFERROR(INDEX(_xlfn._xlws.FILTER(INDIRECT(J$1&amp;"!$E1:$E10000"),INDIRECT(J$1&amp;"!$a1:$a10000")=汇总!$A91),COUNTIF(INDIRECT(J$1&amp;"!$a1:$a10000"),汇总!$A91)),J90)</f>
        <v>2.5</v>
      </c>
      <c r="K91" s="109" cm="1">
        <f t="array" aca="1" ref="K91" ca="1">IFERROR(INDEX(_xlfn._xlws.FILTER(INDIRECT(K$1&amp;"!$E1:$E10000"),INDIRECT(K$1&amp;"!$a1:$a10000")=汇总!$A91),COUNTIF(INDIRECT(K$1&amp;"!$a1:$a10000"),汇总!$A91)),K90)</f>
        <v>69.392000000000053</v>
      </c>
      <c r="L91" s="109" cm="1">
        <f t="array" aca="1" ref="L91" ca="1">IFERROR(INDEX(_xlfn._xlws.FILTER(INDIRECT(L$1&amp;"!$E1:$E10000"),INDIRECT(L$1&amp;"!$a1:$a10000")=汇总!$A91),COUNTIF(INDIRECT(L$1&amp;"!$a1:$a10000"),汇总!$A91)),L90)</f>
        <v>537.49779999999964</v>
      </c>
      <c r="M91" s="109" cm="1">
        <f t="array" aca="1" ref="M91" ca="1">IFERROR(INDEX(_xlfn._xlws.FILTER(INDIRECT(M$1&amp;"!$E1:$E10000"),INDIRECT(M$1&amp;"!$a1:$a10000")=汇总!$A91),COUNTIF(INDIRECT(M$1&amp;"!$a1:$a10000"),汇总!$A91)),M90)</f>
        <v>24.898089999999911</v>
      </c>
      <c r="N91" s="109" cm="1">
        <f t="array" aca="1" ref="N91" ca="1">IFERROR(INDEX(_xlfn._xlws.FILTER(INDIRECT(N$1&amp;"!$E1:$E10000"),INDIRECT(N$1&amp;"!$a1:$a10000")=汇总!$A91),COUNTIF(INDIRECT(N$1&amp;"!$a1:$a10000"),汇总!$A91)),N90)</f>
        <v>5652</v>
      </c>
      <c r="O91" s="109" cm="1">
        <f t="array" aca="1" ref="O91" ca="1">IFERROR(INDEX(_xlfn._xlws.FILTER(INDIRECT(O$1&amp;"!$E1:$E10000"),INDIRECT(O$1&amp;"!$a1:$a10000")=汇总!$A91),COUNTIF(INDIRECT(O$1&amp;"!$a1:$a10000"),汇总!$A91)),O90)</f>
        <v>2</v>
      </c>
      <c r="P91" s="109" cm="1">
        <f t="array" aca="1" ref="P91" ca="1">IFERROR(INDEX(_xlfn._xlws.FILTER(INDIRECT(P$1&amp;"!$E1:$E10000"),INDIRECT(P$1&amp;"!$a1:$a10000")=汇总!$A91),COUNTIF(INDIRECT(P$1&amp;"!$a1:$a10000"),汇总!$A91)),P90)</f>
        <v>2.2999999999999545</v>
      </c>
      <c r="Q91" s="109" cm="1">
        <f t="array" aca="1" ref="Q91" ca="1">IFERROR(INDEX(_xlfn._xlws.FILTER(INDIRECT(Q$1&amp;"!$E1:$E10000"),INDIRECT(Q$1&amp;"!$a1:$a10000")=汇总!$A91),COUNTIF(INDIRECT(Q$1&amp;"!$a1:$a10000"),汇总!$A91)),Q90)</f>
        <v>2253.6</v>
      </c>
      <c r="R91" s="109" cm="1">
        <f t="array" aca="1" ref="R91" ca="1">IFERROR(INDEX(_xlfn._xlws.FILTER(INDIRECT(R$1&amp;"!$E1:$E10000"),INDIRECT(R$1&amp;"!$a1:$a10000")=汇总!$A91),COUNTIF(INDIRECT(R$1&amp;"!$a1:$a10000"),汇总!$A91)),R90)</f>
        <v>1348.644</v>
      </c>
      <c r="S91" s="109" cm="1">
        <f t="array" aca="1" ref="S91" ca="1">IFERROR(INDEX(_xlfn._xlws.FILTER(INDIRECT(S$1&amp;"!$E1:$E10000"),INDIRECT(S$1&amp;"!$a1:$a10000")=汇总!$A91),COUNTIF(INDIRECT(S$1&amp;"!$a1:$a10000"),汇总!$A91)),S90)</f>
        <v>0</v>
      </c>
    </row>
    <row r="92" spans="1:19" hidden="1">
      <c r="A92" s="1">
        <f t="shared" si="3"/>
        <v>46113</v>
      </c>
      <c r="B92" s="109" cm="1">
        <f t="array" aca="1" ref="B92" ca="1">IFERROR(INDEX(_xlfn._xlws.FILTER(INDIRECT(B$1&amp;"!$E1:$E10000"),INDIRECT(B$1&amp;"!$a1:$a10000")=汇总!$A92),COUNTIF(INDIRECT(B$1&amp;"!$a1:$a10000"),汇总!$A92)),B91)</f>
        <v>2036.9726271506856</v>
      </c>
      <c r="C92" s="109" cm="1">
        <f t="array" aca="1" ref="C92" ca="1">IFERROR(INDEX(_xlfn._xlws.FILTER(INDIRECT(C$1&amp;"!$E1:$E10000"),INDIRECT(C$1&amp;"!$a1:$a10000")=汇总!$A92),COUNTIF(INDIRECT(C$1&amp;"!$a1:$a10000"),汇总!$A92)),C91)</f>
        <v>1799.0525315068498</v>
      </c>
      <c r="D92" s="109" cm="1">
        <f t="array" aca="1" ref="D92" ca="1">IFERROR(INDEX(_xlfn._xlws.FILTER(INDIRECT(D$1&amp;"!$E1:$E10000"),INDIRECT(D$1&amp;"!$a1:$a10000")=汇总!$A92),COUNTIF(INDIRECT(D$1&amp;"!$a1:$a10000"),汇总!$A92)),D91)</f>
        <v>1504.7305000000001</v>
      </c>
      <c r="E92" s="109" cm="1">
        <f t="array" aca="1" ref="E92" ca="1">IFERROR(INDEX(_xlfn._xlws.FILTER(INDIRECT(E$1&amp;"!$E1:$E10000"),INDIRECT(E$1&amp;"!$a1:$a10000")=汇总!$A92),COUNTIF(INDIRECT(E$1&amp;"!$a1:$a10000"),汇总!$A92)),E91)</f>
        <v>232.69367000000011</v>
      </c>
      <c r="F92" s="109" cm="1">
        <f t="array" aca="1" ref="F92" ca="1">IFERROR(INDEX(_xlfn._xlws.FILTER(INDIRECT(F$1&amp;"!$E1:$E10000"),INDIRECT(F$1&amp;"!$a1:$a10000")=汇总!$A92),COUNTIF(INDIRECT(F$1&amp;"!$a1:$a10000"),汇总!$A92)),F91)</f>
        <v>7350</v>
      </c>
      <c r="G92" s="109" cm="1">
        <f t="array" aca="1" ref="G92" ca="1">IFERROR(INDEX(_xlfn._xlws.FILTER(INDIRECT(G$1&amp;"!$E1:$E10000"),INDIRECT(G$1&amp;"!$a1:$a10000")=汇总!$A92),COUNTIF(INDIRECT(G$1&amp;"!$a1:$a10000"),汇总!$A92)),G91)</f>
        <v>6771.4</v>
      </c>
      <c r="H92" s="109" cm="1">
        <f t="array" aca="1" ref="H92" ca="1">IFERROR(INDEX(_xlfn._xlws.FILTER(INDIRECT(H$1&amp;"!$E1:$E10000"),INDIRECT(H$1&amp;"!$a1:$a10000")=汇总!$A92),COUNTIF(INDIRECT(H$1&amp;"!$a1:$a10000"),汇总!$A92)),H91)</f>
        <v>889.92997430000014</v>
      </c>
      <c r="I92" s="109" cm="1">
        <f t="array" aca="1" ref="I92" ca="1">IFERROR(INDEX(_xlfn._xlws.FILTER(INDIRECT(I$1&amp;"!$E1:$E10000"),INDIRECT(I$1&amp;"!$a1:$a10000")=汇总!$A92),COUNTIF(INDIRECT(I$1&amp;"!$a1:$a10000"),汇总!$A92)),I91)</f>
        <v>848.36158699999987</v>
      </c>
      <c r="J92" s="109" cm="1">
        <f t="array" aca="1" ref="J92" ca="1">IFERROR(INDEX(_xlfn._xlws.FILTER(INDIRECT(J$1&amp;"!$E1:$E10000"),INDIRECT(J$1&amp;"!$a1:$a10000")=汇总!$A92),COUNTIF(INDIRECT(J$1&amp;"!$a1:$a10000"),汇总!$A92)),J91)</f>
        <v>2.5</v>
      </c>
      <c r="K92" s="109" cm="1">
        <f t="array" aca="1" ref="K92" ca="1">IFERROR(INDEX(_xlfn._xlws.FILTER(INDIRECT(K$1&amp;"!$E1:$E10000"),INDIRECT(K$1&amp;"!$a1:$a10000")=汇总!$A92),COUNTIF(INDIRECT(K$1&amp;"!$a1:$a10000"),汇总!$A92)),K91)</f>
        <v>69.392000000000053</v>
      </c>
      <c r="L92" s="109" cm="1">
        <f t="array" aca="1" ref="L92" ca="1">IFERROR(INDEX(_xlfn._xlws.FILTER(INDIRECT(L$1&amp;"!$E1:$E10000"),INDIRECT(L$1&amp;"!$a1:$a10000")=汇总!$A92),COUNTIF(INDIRECT(L$1&amp;"!$a1:$a10000"),汇总!$A92)),L91)</f>
        <v>537.49779999999964</v>
      </c>
      <c r="M92" s="109" cm="1">
        <f t="array" aca="1" ref="M92" ca="1">IFERROR(INDEX(_xlfn._xlws.FILTER(INDIRECT(M$1&amp;"!$E1:$E10000"),INDIRECT(M$1&amp;"!$a1:$a10000")=汇总!$A92),COUNTIF(INDIRECT(M$1&amp;"!$a1:$a10000"),汇总!$A92)),M91)</f>
        <v>24.898089999999911</v>
      </c>
      <c r="N92" s="109" cm="1">
        <f t="array" aca="1" ref="N92" ca="1">IFERROR(INDEX(_xlfn._xlws.FILTER(INDIRECT(N$1&amp;"!$E1:$E10000"),INDIRECT(N$1&amp;"!$a1:$a10000")=汇总!$A92),COUNTIF(INDIRECT(N$1&amp;"!$a1:$a10000"),汇总!$A92)),N91)</f>
        <v>5652</v>
      </c>
      <c r="O92" s="109" cm="1">
        <f t="array" aca="1" ref="O92" ca="1">IFERROR(INDEX(_xlfn._xlws.FILTER(INDIRECT(O$1&amp;"!$E1:$E10000"),INDIRECT(O$1&amp;"!$a1:$a10000")=汇总!$A92),COUNTIF(INDIRECT(O$1&amp;"!$a1:$a10000"),汇总!$A92)),O91)</f>
        <v>2</v>
      </c>
      <c r="P92" s="109" cm="1">
        <f t="array" aca="1" ref="P92" ca="1">IFERROR(INDEX(_xlfn._xlws.FILTER(INDIRECT(P$1&amp;"!$E1:$E10000"),INDIRECT(P$1&amp;"!$a1:$a10000")=汇总!$A92),COUNTIF(INDIRECT(P$1&amp;"!$a1:$a10000"),汇总!$A92)),P91)</f>
        <v>2.2999999999999545</v>
      </c>
      <c r="Q92" s="109" cm="1">
        <f t="array" aca="1" ref="Q92" ca="1">IFERROR(INDEX(_xlfn._xlws.FILTER(INDIRECT(Q$1&amp;"!$E1:$E10000"),INDIRECT(Q$1&amp;"!$a1:$a10000")=汇总!$A92),COUNTIF(INDIRECT(Q$1&amp;"!$a1:$a10000"),汇总!$A92)),Q91)</f>
        <v>55.599999999999909</v>
      </c>
      <c r="R92" s="109" cm="1">
        <f t="array" aca="1" ref="R92" ca="1">IFERROR(INDEX(_xlfn._xlws.FILTER(INDIRECT(R$1&amp;"!$E1:$E10000"),INDIRECT(R$1&amp;"!$a1:$a10000")=汇总!$A92),COUNTIF(INDIRECT(R$1&amp;"!$a1:$a10000"),汇总!$A92)),R91)</f>
        <v>333.7266999452055</v>
      </c>
      <c r="S92" s="109" cm="1">
        <f t="array" aca="1" ref="S92" ca="1">IFERROR(INDEX(_xlfn._xlws.FILTER(INDIRECT(S$1&amp;"!$E1:$E10000"),INDIRECT(S$1&amp;"!$a1:$a10000")=汇总!$A92),COUNTIF(INDIRECT(S$1&amp;"!$a1:$a10000"),汇总!$A92)),S91)</f>
        <v>0</v>
      </c>
    </row>
    <row r="93" spans="1:19" hidden="1">
      <c r="A93" s="1">
        <f t="shared" si="3"/>
        <v>46114</v>
      </c>
      <c r="B93" s="109" cm="1">
        <f t="array" aca="1" ref="B93" ca="1">IFERROR(INDEX(_xlfn._xlws.FILTER(INDIRECT(B$1&amp;"!$E1:$E10000"),INDIRECT(B$1&amp;"!$a1:$a10000")=汇总!$A93),COUNTIF(INDIRECT(B$1&amp;"!$a1:$a10000"),汇总!$A93)),B92)</f>
        <v>2036.9726271506856</v>
      </c>
      <c r="C93" s="109" cm="1">
        <f t="array" aca="1" ref="C93" ca="1">IFERROR(INDEX(_xlfn._xlws.FILTER(INDIRECT(C$1&amp;"!$E1:$E10000"),INDIRECT(C$1&amp;"!$a1:$a10000")=汇总!$A93),COUNTIF(INDIRECT(C$1&amp;"!$a1:$a10000"),汇总!$A93)),C92)</f>
        <v>1799.0525315068498</v>
      </c>
      <c r="D93" s="109" cm="1">
        <f t="array" aca="1" ref="D93" ca="1">IFERROR(INDEX(_xlfn._xlws.FILTER(INDIRECT(D$1&amp;"!$E1:$E10000"),INDIRECT(D$1&amp;"!$a1:$a10000")=汇总!$A93),COUNTIF(INDIRECT(D$1&amp;"!$a1:$a10000"),汇总!$A93)),D92)</f>
        <v>1504.7305000000001</v>
      </c>
      <c r="E93" s="109" cm="1">
        <f t="array" aca="1" ref="E93" ca="1">IFERROR(INDEX(_xlfn._xlws.FILTER(INDIRECT(E$1&amp;"!$E1:$E10000"),INDIRECT(E$1&amp;"!$a1:$a10000")=汇总!$A93),COUNTIF(INDIRECT(E$1&amp;"!$a1:$a10000"),汇总!$A93)),E92)</f>
        <v>232.69367000000011</v>
      </c>
      <c r="F93" s="109" cm="1">
        <f t="array" aca="1" ref="F93" ca="1">IFERROR(INDEX(_xlfn._xlws.FILTER(INDIRECT(F$1&amp;"!$E1:$E10000"),INDIRECT(F$1&amp;"!$a1:$a10000")=汇总!$A93),COUNTIF(INDIRECT(F$1&amp;"!$a1:$a10000"),汇总!$A93)),F92)</f>
        <v>7350</v>
      </c>
      <c r="G93" s="109" cm="1">
        <f t="array" aca="1" ref="G93" ca="1">IFERROR(INDEX(_xlfn._xlws.FILTER(INDIRECT(G$1&amp;"!$E1:$E10000"),INDIRECT(G$1&amp;"!$a1:$a10000")=汇总!$A93),COUNTIF(INDIRECT(G$1&amp;"!$a1:$a10000"),汇总!$A93)),G92)</f>
        <v>6771.4</v>
      </c>
      <c r="H93" s="109" cm="1">
        <f t="array" aca="1" ref="H93" ca="1">IFERROR(INDEX(_xlfn._xlws.FILTER(INDIRECT(H$1&amp;"!$E1:$E10000"),INDIRECT(H$1&amp;"!$a1:$a10000")=汇总!$A93),COUNTIF(INDIRECT(H$1&amp;"!$a1:$a10000"),汇总!$A93)),H92)</f>
        <v>889.92997430000014</v>
      </c>
      <c r="I93" s="109" cm="1">
        <f t="array" aca="1" ref="I93" ca="1">IFERROR(INDEX(_xlfn._xlws.FILTER(INDIRECT(I$1&amp;"!$E1:$E10000"),INDIRECT(I$1&amp;"!$a1:$a10000")=汇总!$A93),COUNTIF(INDIRECT(I$1&amp;"!$a1:$a10000"),汇总!$A93)),I92)</f>
        <v>848.36158699999987</v>
      </c>
      <c r="J93" s="109" cm="1">
        <f t="array" aca="1" ref="J93" ca="1">IFERROR(INDEX(_xlfn._xlws.FILTER(INDIRECT(J$1&amp;"!$E1:$E10000"),INDIRECT(J$1&amp;"!$a1:$a10000")=汇总!$A93),COUNTIF(INDIRECT(J$1&amp;"!$a1:$a10000"),汇总!$A93)),J92)</f>
        <v>2.5</v>
      </c>
      <c r="K93" s="109" cm="1">
        <f t="array" aca="1" ref="K93" ca="1">IFERROR(INDEX(_xlfn._xlws.FILTER(INDIRECT(K$1&amp;"!$E1:$E10000"),INDIRECT(K$1&amp;"!$a1:$a10000")=汇总!$A93),COUNTIF(INDIRECT(K$1&amp;"!$a1:$a10000"),汇总!$A93)),K92)</f>
        <v>69.392000000000053</v>
      </c>
      <c r="L93" s="109" cm="1">
        <f t="array" aca="1" ref="L93" ca="1">IFERROR(INDEX(_xlfn._xlws.FILTER(INDIRECT(L$1&amp;"!$E1:$E10000"),INDIRECT(L$1&amp;"!$a1:$a10000")=汇总!$A93),COUNTIF(INDIRECT(L$1&amp;"!$a1:$a10000"),汇总!$A93)),L92)</f>
        <v>537.49779999999964</v>
      </c>
      <c r="M93" s="109" cm="1">
        <f t="array" aca="1" ref="M93" ca="1">IFERROR(INDEX(_xlfn._xlws.FILTER(INDIRECT(M$1&amp;"!$E1:$E10000"),INDIRECT(M$1&amp;"!$a1:$a10000")=汇总!$A93),COUNTIF(INDIRECT(M$1&amp;"!$a1:$a10000"),汇总!$A93)),M92)</f>
        <v>24.898089999999911</v>
      </c>
      <c r="N93" s="109" cm="1">
        <f t="array" aca="1" ref="N93" ca="1">IFERROR(INDEX(_xlfn._xlws.FILTER(INDIRECT(N$1&amp;"!$E1:$E10000"),INDIRECT(N$1&amp;"!$a1:$a10000")=汇总!$A93),COUNTIF(INDIRECT(N$1&amp;"!$a1:$a10000"),汇总!$A93)),N92)</f>
        <v>5652</v>
      </c>
      <c r="O93" s="109" cm="1">
        <f t="array" aca="1" ref="O93" ca="1">IFERROR(INDEX(_xlfn._xlws.FILTER(INDIRECT(O$1&amp;"!$E1:$E10000"),INDIRECT(O$1&amp;"!$a1:$a10000")=汇总!$A93),COUNTIF(INDIRECT(O$1&amp;"!$a1:$a10000"),汇总!$A93)),O92)</f>
        <v>2</v>
      </c>
      <c r="P93" s="109" cm="1">
        <f t="array" aca="1" ref="P93" ca="1">IFERROR(INDEX(_xlfn._xlws.FILTER(INDIRECT(P$1&amp;"!$E1:$E10000"),INDIRECT(P$1&amp;"!$a1:$a10000")=汇总!$A93),COUNTIF(INDIRECT(P$1&amp;"!$a1:$a10000"),汇总!$A93)),P92)</f>
        <v>2.2999999999999545</v>
      </c>
      <c r="Q93" s="109" cm="1">
        <f t="array" aca="1" ref="Q93" ca="1">IFERROR(INDEX(_xlfn._xlws.FILTER(INDIRECT(Q$1&amp;"!$E1:$E10000"),INDIRECT(Q$1&amp;"!$a1:$a10000")=汇总!$A93),COUNTIF(INDIRECT(Q$1&amp;"!$a1:$a10000"),汇总!$A93)),Q92)</f>
        <v>55.599999999999909</v>
      </c>
      <c r="R93" s="109" cm="1">
        <f t="array" aca="1" ref="R93" ca="1">IFERROR(INDEX(_xlfn._xlws.FILTER(INDIRECT(R$1&amp;"!$E1:$E10000"),INDIRECT(R$1&amp;"!$a1:$a10000")=汇总!$A93),COUNTIF(INDIRECT(R$1&amp;"!$a1:$a10000"),汇总!$A93)),R92)</f>
        <v>333.7266999452055</v>
      </c>
      <c r="S93" s="109" cm="1">
        <f t="array" aca="1" ref="S93" ca="1">IFERROR(INDEX(_xlfn._xlws.FILTER(INDIRECT(S$1&amp;"!$E1:$E10000"),INDIRECT(S$1&amp;"!$a1:$a10000")=汇总!$A93),COUNTIF(INDIRECT(S$1&amp;"!$a1:$a10000"),汇总!$A93)),S92)</f>
        <v>107.36596</v>
      </c>
    </row>
    <row r="94" spans="1:19" hidden="1">
      <c r="A94" s="1">
        <f t="shared" si="3"/>
        <v>46115</v>
      </c>
      <c r="B94" s="109" cm="1">
        <f t="array" aca="1" ref="B94" ca="1">IFERROR(INDEX(_xlfn._xlws.FILTER(INDIRECT(B$1&amp;"!$E1:$E10000"),INDIRECT(B$1&amp;"!$a1:$a10000")=汇总!$A94),COUNTIF(INDIRECT(B$1&amp;"!$a1:$a10000"),汇总!$A94)),B93)</f>
        <v>2136.9726271506856</v>
      </c>
      <c r="C94" s="109" cm="1">
        <f t="array" aca="1" ref="C94" ca="1">IFERROR(INDEX(_xlfn._xlws.FILTER(INDIRECT(C$1&amp;"!$E1:$E10000"),INDIRECT(C$1&amp;"!$a1:$a10000")=汇总!$A94),COUNTIF(INDIRECT(C$1&amp;"!$a1:$a10000"),汇总!$A94)),C93)</f>
        <v>1799.0525315068498</v>
      </c>
      <c r="D94" s="109" cm="1">
        <f t="array" aca="1" ref="D94" ca="1">IFERROR(INDEX(_xlfn._xlws.FILTER(INDIRECT(D$1&amp;"!$E1:$E10000"),INDIRECT(D$1&amp;"!$a1:$a10000")=汇总!$A94),COUNTIF(INDIRECT(D$1&amp;"!$a1:$a10000"),汇总!$A94)),D93)</f>
        <v>2104.7305000000001</v>
      </c>
      <c r="E94" s="109" cm="1">
        <f t="array" aca="1" ref="E94" ca="1">IFERROR(INDEX(_xlfn._xlws.FILTER(INDIRECT(E$1&amp;"!$E1:$E10000"),INDIRECT(E$1&amp;"!$a1:$a10000")=汇总!$A94),COUNTIF(INDIRECT(E$1&amp;"!$a1:$a10000"),汇总!$A94)),E93)</f>
        <v>3235</v>
      </c>
      <c r="F94" s="109" cm="1">
        <f t="array" aca="1" ref="F94" ca="1">IFERROR(INDEX(_xlfn._xlws.FILTER(INDIRECT(F$1&amp;"!$E1:$E10000"),INDIRECT(F$1&amp;"!$a1:$a10000")=汇总!$A94),COUNTIF(INDIRECT(F$1&amp;"!$a1:$a10000"),汇总!$A94)),F93)</f>
        <v>7350</v>
      </c>
      <c r="G94" s="109" cm="1">
        <f t="array" aca="1" ref="G94" ca="1">IFERROR(INDEX(_xlfn._xlws.FILTER(INDIRECT(G$1&amp;"!$E1:$E10000"),INDIRECT(G$1&amp;"!$a1:$a10000")=汇总!$A94),COUNTIF(INDIRECT(G$1&amp;"!$a1:$a10000"),汇总!$A94)),G93)</f>
        <v>6771.4</v>
      </c>
      <c r="H94" s="109" cm="1">
        <f t="array" aca="1" ref="H94" ca="1">IFERROR(INDEX(_xlfn._xlws.FILTER(INDIRECT(H$1&amp;"!$E1:$E10000"),INDIRECT(H$1&amp;"!$a1:$a10000")=汇总!$A94),COUNTIF(INDIRECT(H$1&amp;"!$a1:$a10000"),汇总!$A94)),H93)</f>
        <v>431.92997430000014</v>
      </c>
      <c r="I94" s="109" cm="1">
        <f t="array" aca="1" ref="I94" ca="1">IFERROR(INDEX(_xlfn._xlws.FILTER(INDIRECT(I$1&amp;"!$E1:$E10000"),INDIRECT(I$1&amp;"!$a1:$a10000")=汇总!$A94),COUNTIF(INDIRECT(I$1&amp;"!$a1:$a10000"),汇总!$A94)),I93)</f>
        <v>834.68823299999985</v>
      </c>
      <c r="J94" s="109" cm="1">
        <f t="array" aca="1" ref="J94" ca="1">IFERROR(INDEX(_xlfn._xlws.FILTER(INDIRECT(J$1&amp;"!$E1:$E10000"),INDIRECT(J$1&amp;"!$a1:$a10000")=汇总!$A94),COUNTIF(INDIRECT(J$1&amp;"!$a1:$a10000"),汇总!$A94)),J93)</f>
        <v>2.5</v>
      </c>
      <c r="K94" s="109" cm="1">
        <f t="array" aca="1" ref="K94" ca="1">IFERROR(INDEX(_xlfn._xlws.FILTER(INDIRECT(K$1&amp;"!$E1:$E10000"),INDIRECT(K$1&amp;"!$a1:$a10000")=汇总!$A94),COUNTIF(INDIRECT(K$1&amp;"!$a1:$a10000"),汇总!$A94)),K93)</f>
        <v>787.39200000000005</v>
      </c>
      <c r="L94" s="109" cm="1">
        <f t="array" aca="1" ref="L94" ca="1">IFERROR(INDEX(_xlfn._xlws.FILTER(INDIRECT(L$1&amp;"!$E1:$E10000"),INDIRECT(L$1&amp;"!$a1:$a10000")=汇总!$A94),COUNTIF(INDIRECT(L$1&amp;"!$a1:$a10000"),汇总!$A94)),L93)</f>
        <v>537.49779999999964</v>
      </c>
      <c r="M94" s="109" cm="1">
        <f t="array" aca="1" ref="M94" ca="1">IFERROR(INDEX(_xlfn._xlws.FILTER(INDIRECT(M$1&amp;"!$E1:$E10000"),INDIRECT(M$1&amp;"!$a1:$a10000")=汇总!$A94),COUNTIF(INDIRECT(M$1&amp;"!$a1:$a10000"),汇总!$A94)),M93)</f>
        <v>24.898089999999911</v>
      </c>
      <c r="N94" s="109" cm="1">
        <f t="array" aca="1" ref="N94" ca="1">IFERROR(INDEX(_xlfn._xlws.FILTER(INDIRECT(N$1&amp;"!$E1:$E10000"),INDIRECT(N$1&amp;"!$a1:$a10000")=汇总!$A94),COUNTIF(INDIRECT(N$1&amp;"!$a1:$a10000"),汇总!$A94)),N93)</f>
        <v>5105.8639759999996</v>
      </c>
      <c r="O94" s="109" cm="1">
        <f t="array" aca="1" ref="O94" ca="1">IFERROR(INDEX(_xlfn._xlws.FILTER(INDIRECT(O$1&amp;"!$E1:$E10000"),INDIRECT(O$1&amp;"!$a1:$a10000")=汇总!$A94),COUNTIF(INDIRECT(O$1&amp;"!$a1:$a10000"),汇总!$A94)),O93)</f>
        <v>2</v>
      </c>
      <c r="P94" s="109" cm="1">
        <f t="array" aca="1" ref="P94" ca="1">IFERROR(INDEX(_xlfn._xlws.FILTER(INDIRECT(P$1&amp;"!$E1:$E10000"),INDIRECT(P$1&amp;"!$a1:$a10000")=汇总!$A94),COUNTIF(INDIRECT(P$1&amp;"!$a1:$a10000"),汇总!$A94)),P93)</f>
        <v>2.2999999999999545</v>
      </c>
      <c r="Q94" s="109" cm="1">
        <f t="array" aca="1" ref="Q94" ca="1">IFERROR(INDEX(_xlfn._xlws.FILTER(INDIRECT(Q$1&amp;"!$E1:$E10000"),INDIRECT(Q$1&amp;"!$a1:$a10000")=汇总!$A94),COUNTIF(INDIRECT(Q$1&amp;"!$a1:$a10000"),汇总!$A94)),Q93)</f>
        <v>55.599999999999909</v>
      </c>
      <c r="R94" s="109" cm="1">
        <f t="array" aca="1" ref="R94" ca="1">IFERROR(INDEX(_xlfn._xlws.FILTER(INDIRECT(R$1&amp;"!$E1:$E10000"),INDIRECT(R$1&amp;"!$a1:$a10000")=汇总!$A94),COUNTIF(INDIRECT(R$1&amp;"!$a1:$a10000"),汇总!$A94)),R93)</f>
        <v>333.7266999452055</v>
      </c>
      <c r="S94" s="109" cm="1">
        <f t="array" aca="1" ref="S94" ca="1">IFERROR(INDEX(_xlfn._xlws.FILTER(INDIRECT(S$1&amp;"!$E1:$E10000"),INDIRECT(S$1&amp;"!$a1:$a10000")=汇总!$A94),COUNTIF(INDIRECT(S$1&amp;"!$a1:$a10000"),汇总!$A94)),S93)</f>
        <v>107.36596</v>
      </c>
    </row>
    <row r="95" spans="1:19" hidden="1">
      <c r="A95" s="1">
        <f t="shared" si="3"/>
        <v>46116</v>
      </c>
      <c r="B95" s="109" cm="1">
        <f t="array" aca="1" ref="B95" ca="1">IFERROR(INDEX(_xlfn._xlws.FILTER(INDIRECT(B$1&amp;"!$E1:$E10000"),INDIRECT(B$1&amp;"!$a1:$a10000")=汇总!$A95),COUNTIF(INDIRECT(B$1&amp;"!$a1:$a10000"),汇总!$A95)),B94)</f>
        <v>2136.9726271506856</v>
      </c>
      <c r="C95" s="109" cm="1">
        <f t="array" aca="1" ref="C95" ca="1">IFERROR(INDEX(_xlfn._xlws.FILTER(INDIRECT(C$1&amp;"!$E1:$E10000"),INDIRECT(C$1&amp;"!$a1:$a10000")=汇总!$A95),COUNTIF(INDIRECT(C$1&amp;"!$a1:$a10000"),汇总!$A95)),C94)</f>
        <v>1799.0525315068498</v>
      </c>
      <c r="D95" s="109" cm="1">
        <f t="array" aca="1" ref="D95" ca="1">IFERROR(INDEX(_xlfn._xlws.FILTER(INDIRECT(D$1&amp;"!$E1:$E10000"),INDIRECT(D$1&amp;"!$a1:$a10000")=汇总!$A95),COUNTIF(INDIRECT(D$1&amp;"!$a1:$a10000"),汇总!$A95)),D94)</f>
        <v>2104.7305000000001</v>
      </c>
      <c r="E95" s="109" cm="1">
        <f t="array" aca="1" ref="E95" ca="1">IFERROR(INDEX(_xlfn._xlws.FILTER(INDIRECT(E$1&amp;"!$E1:$E10000"),INDIRECT(E$1&amp;"!$a1:$a10000")=汇总!$A95),COUNTIF(INDIRECT(E$1&amp;"!$a1:$a10000"),汇总!$A95)),E94)</f>
        <v>3235</v>
      </c>
      <c r="F95" s="109" cm="1">
        <f t="array" aca="1" ref="F95" ca="1">IFERROR(INDEX(_xlfn._xlws.FILTER(INDIRECT(F$1&amp;"!$E1:$E10000"),INDIRECT(F$1&amp;"!$a1:$a10000")=汇总!$A95),COUNTIF(INDIRECT(F$1&amp;"!$a1:$a10000"),汇总!$A95)),F94)</f>
        <v>7350</v>
      </c>
      <c r="G95" s="109" cm="1">
        <f t="array" aca="1" ref="G95" ca="1">IFERROR(INDEX(_xlfn._xlws.FILTER(INDIRECT(G$1&amp;"!$E1:$E10000"),INDIRECT(G$1&amp;"!$a1:$a10000")=汇总!$A95),COUNTIF(INDIRECT(G$1&amp;"!$a1:$a10000"),汇总!$A95)),G94)</f>
        <v>6771.4</v>
      </c>
      <c r="H95" s="109" cm="1">
        <f t="array" aca="1" ref="H95" ca="1">IFERROR(INDEX(_xlfn._xlws.FILTER(INDIRECT(H$1&amp;"!$E1:$E10000"),INDIRECT(H$1&amp;"!$a1:$a10000")=汇总!$A95),COUNTIF(INDIRECT(H$1&amp;"!$a1:$a10000"),汇总!$A95)),H94)</f>
        <v>431.92997430000014</v>
      </c>
      <c r="I95" s="109" cm="1">
        <f t="array" aca="1" ref="I95" ca="1">IFERROR(INDEX(_xlfn._xlws.FILTER(INDIRECT(I$1&amp;"!$E1:$E10000"),INDIRECT(I$1&amp;"!$a1:$a10000")=汇总!$A95),COUNTIF(INDIRECT(I$1&amp;"!$a1:$a10000"),汇总!$A95)),I94)</f>
        <v>834.68823299999985</v>
      </c>
      <c r="J95" s="109" cm="1">
        <f t="array" aca="1" ref="J95" ca="1">IFERROR(INDEX(_xlfn._xlws.FILTER(INDIRECT(J$1&amp;"!$E1:$E10000"),INDIRECT(J$1&amp;"!$a1:$a10000")=汇总!$A95),COUNTIF(INDIRECT(J$1&amp;"!$a1:$a10000"),汇总!$A95)),J94)</f>
        <v>2.5</v>
      </c>
      <c r="K95" s="109" cm="1">
        <f t="array" aca="1" ref="K95" ca="1">IFERROR(INDEX(_xlfn._xlws.FILTER(INDIRECT(K$1&amp;"!$E1:$E10000"),INDIRECT(K$1&amp;"!$a1:$a10000")=汇总!$A95),COUNTIF(INDIRECT(K$1&amp;"!$a1:$a10000"),汇总!$A95)),K94)</f>
        <v>787.39200000000005</v>
      </c>
      <c r="L95" s="109" cm="1">
        <f t="array" aca="1" ref="L95" ca="1">IFERROR(INDEX(_xlfn._xlws.FILTER(INDIRECT(L$1&amp;"!$E1:$E10000"),INDIRECT(L$1&amp;"!$a1:$a10000")=汇总!$A95),COUNTIF(INDIRECT(L$1&amp;"!$a1:$a10000"),汇总!$A95)),L94)</f>
        <v>537.49779999999964</v>
      </c>
      <c r="M95" s="109" cm="1">
        <f t="array" aca="1" ref="M95" ca="1">IFERROR(INDEX(_xlfn._xlws.FILTER(INDIRECT(M$1&amp;"!$E1:$E10000"),INDIRECT(M$1&amp;"!$a1:$a10000")=汇总!$A95),COUNTIF(INDIRECT(M$1&amp;"!$a1:$a10000"),汇总!$A95)),M94)</f>
        <v>24.898089999999911</v>
      </c>
      <c r="N95" s="109" cm="1">
        <f t="array" aca="1" ref="N95" ca="1">IFERROR(INDEX(_xlfn._xlws.FILTER(INDIRECT(N$1&amp;"!$E1:$E10000"),INDIRECT(N$1&amp;"!$a1:$a10000")=汇总!$A95),COUNTIF(INDIRECT(N$1&amp;"!$a1:$a10000"),汇总!$A95)),N94)</f>
        <v>5105.8639759999996</v>
      </c>
      <c r="O95" s="109" cm="1">
        <f t="array" aca="1" ref="O95" ca="1">IFERROR(INDEX(_xlfn._xlws.FILTER(INDIRECT(O$1&amp;"!$E1:$E10000"),INDIRECT(O$1&amp;"!$a1:$a10000")=汇总!$A95),COUNTIF(INDIRECT(O$1&amp;"!$a1:$a10000"),汇总!$A95)),O94)</f>
        <v>2</v>
      </c>
      <c r="P95" s="109" cm="1">
        <f t="array" aca="1" ref="P95" ca="1">IFERROR(INDEX(_xlfn._xlws.FILTER(INDIRECT(P$1&amp;"!$E1:$E10000"),INDIRECT(P$1&amp;"!$a1:$a10000")=汇总!$A95),COUNTIF(INDIRECT(P$1&amp;"!$a1:$a10000"),汇总!$A95)),P94)</f>
        <v>2.2999999999999545</v>
      </c>
      <c r="Q95" s="109" cm="1">
        <f t="array" aca="1" ref="Q95" ca="1">IFERROR(INDEX(_xlfn._xlws.FILTER(INDIRECT(Q$1&amp;"!$E1:$E10000"),INDIRECT(Q$1&amp;"!$a1:$a10000")=汇总!$A95),COUNTIF(INDIRECT(Q$1&amp;"!$a1:$a10000"),汇总!$A95)),Q94)</f>
        <v>55.599999999999909</v>
      </c>
      <c r="R95" s="109" cm="1">
        <f t="array" aca="1" ref="R95" ca="1">IFERROR(INDEX(_xlfn._xlws.FILTER(INDIRECT(R$1&amp;"!$E1:$E10000"),INDIRECT(R$1&amp;"!$a1:$a10000")=汇总!$A95),COUNTIF(INDIRECT(R$1&amp;"!$a1:$a10000"),汇总!$A95)),R94)</f>
        <v>333.7266999452055</v>
      </c>
      <c r="S95" s="109" cm="1">
        <f t="array" aca="1" ref="S95" ca="1">IFERROR(INDEX(_xlfn._xlws.FILTER(INDIRECT(S$1&amp;"!$E1:$E10000"),INDIRECT(S$1&amp;"!$a1:$a10000")=汇总!$A95),COUNTIF(INDIRECT(S$1&amp;"!$a1:$a10000"),汇总!$A95)),S94)</f>
        <v>107.36596</v>
      </c>
    </row>
    <row r="96" spans="1:19" hidden="1">
      <c r="A96" s="1">
        <f t="shared" si="3"/>
        <v>46117</v>
      </c>
      <c r="B96" s="109" cm="1">
        <f t="array" aca="1" ref="B96" ca="1">IFERROR(INDEX(_xlfn._xlws.FILTER(INDIRECT(B$1&amp;"!$E1:$E10000"),INDIRECT(B$1&amp;"!$a1:$a10000")=汇总!$A96),COUNTIF(INDIRECT(B$1&amp;"!$a1:$a10000"),汇总!$A96)),B95)</f>
        <v>2136.9726271506856</v>
      </c>
      <c r="C96" s="109" cm="1">
        <f t="array" aca="1" ref="C96" ca="1">IFERROR(INDEX(_xlfn._xlws.FILTER(INDIRECT(C$1&amp;"!$E1:$E10000"),INDIRECT(C$1&amp;"!$a1:$a10000")=汇总!$A96),COUNTIF(INDIRECT(C$1&amp;"!$a1:$a10000"),汇总!$A96)),C95)</f>
        <v>1799.0525315068498</v>
      </c>
      <c r="D96" s="109" cm="1">
        <f t="array" aca="1" ref="D96" ca="1">IFERROR(INDEX(_xlfn._xlws.FILTER(INDIRECT(D$1&amp;"!$E1:$E10000"),INDIRECT(D$1&amp;"!$a1:$a10000")=汇总!$A96),COUNTIF(INDIRECT(D$1&amp;"!$a1:$a10000"),汇总!$A96)),D95)</f>
        <v>2104.7305000000001</v>
      </c>
      <c r="E96" s="109" cm="1">
        <f t="array" aca="1" ref="E96" ca="1">IFERROR(INDEX(_xlfn._xlws.FILTER(INDIRECT(E$1&amp;"!$E1:$E10000"),INDIRECT(E$1&amp;"!$a1:$a10000")=汇总!$A96),COUNTIF(INDIRECT(E$1&amp;"!$a1:$a10000"),汇总!$A96)),E95)</f>
        <v>3235</v>
      </c>
      <c r="F96" s="109" cm="1">
        <f t="array" aca="1" ref="F96" ca="1">IFERROR(INDEX(_xlfn._xlws.FILTER(INDIRECT(F$1&amp;"!$E1:$E10000"),INDIRECT(F$1&amp;"!$a1:$a10000")=汇总!$A96),COUNTIF(INDIRECT(F$1&amp;"!$a1:$a10000"),汇总!$A96)),F95)</f>
        <v>7350</v>
      </c>
      <c r="G96" s="109" cm="1">
        <f t="array" aca="1" ref="G96" ca="1">IFERROR(INDEX(_xlfn._xlws.FILTER(INDIRECT(G$1&amp;"!$E1:$E10000"),INDIRECT(G$1&amp;"!$a1:$a10000")=汇总!$A96),COUNTIF(INDIRECT(G$1&amp;"!$a1:$a10000"),汇总!$A96)),G95)</f>
        <v>6771.4</v>
      </c>
      <c r="H96" s="109" cm="1">
        <f t="array" aca="1" ref="H96" ca="1">IFERROR(INDEX(_xlfn._xlws.FILTER(INDIRECT(H$1&amp;"!$E1:$E10000"),INDIRECT(H$1&amp;"!$a1:$a10000")=汇总!$A96),COUNTIF(INDIRECT(H$1&amp;"!$a1:$a10000"),汇总!$A96)),H95)</f>
        <v>431.92997430000014</v>
      </c>
      <c r="I96" s="109" cm="1">
        <f t="array" aca="1" ref="I96" ca="1">IFERROR(INDEX(_xlfn._xlws.FILTER(INDIRECT(I$1&amp;"!$E1:$E10000"),INDIRECT(I$1&amp;"!$a1:$a10000")=汇总!$A96),COUNTIF(INDIRECT(I$1&amp;"!$a1:$a10000"),汇总!$A96)),I95)</f>
        <v>834.68823299999985</v>
      </c>
      <c r="J96" s="109" cm="1">
        <f t="array" aca="1" ref="J96" ca="1">IFERROR(INDEX(_xlfn._xlws.FILTER(INDIRECT(J$1&amp;"!$E1:$E10000"),INDIRECT(J$1&amp;"!$a1:$a10000")=汇总!$A96),COUNTIF(INDIRECT(J$1&amp;"!$a1:$a10000"),汇总!$A96)),J95)</f>
        <v>2.5</v>
      </c>
      <c r="K96" s="109" cm="1">
        <f t="array" aca="1" ref="K96" ca="1">IFERROR(INDEX(_xlfn._xlws.FILTER(INDIRECT(K$1&amp;"!$E1:$E10000"),INDIRECT(K$1&amp;"!$a1:$a10000")=汇总!$A96),COUNTIF(INDIRECT(K$1&amp;"!$a1:$a10000"),汇总!$A96)),K95)</f>
        <v>787.39200000000005</v>
      </c>
      <c r="L96" s="109" cm="1">
        <f t="array" aca="1" ref="L96" ca="1">IFERROR(INDEX(_xlfn._xlws.FILTER(INDIRECT(L$1&amp;"!$E1:$E10000"),INDIRECT(L$1&amp;"!$a1:$a10000")=汇总!$A96),COUNTIF(INDIRECT(L$1&amp;"!$a1:$a10000"),汇总!$A96)),L95)</f>
        <v>537.49779999999964</v>
      </c>
      <c r="M96" s="109" cm="1">
        <f t="array" aca="1" ref="M96" ca="1">IFERROR(INDEX(_xlfn._xlws.FILTER(INDIRECT(M$1&amp;"!$E1:$E10000"),INDIRECT(M$1&amp;"!$a1:$a10000")=汇总!$A96),COUNTIF(INDIRECT(M$1&amp;"!$a1:$a10000"),汇总!$A96)),M95)</f>
        <v>24.898089999999911</v>
      </c>
      <c r="N96" s="109" cm="1">
        <f t="array" aca="1" ref="N96" ca="1">IFERROR(INDEX(_xlfn._xlws.FILTER(INDIRECT(N$1&amp;"!$E1:$E10000"),INDIRECT(N$1&amp;"!$a1:$a10000")=汇总!$A96),COUNTIF(INDIRECT(N$1&amp;"!$a1:$a10000"),汇总!$A96)),N95)</f>
        <v>5105.8639759999996</v>
      </c>
      <c r="O96" s="109" cm="1">
        <f t="array" aca="1" ref="O96" ca="1">IFERROR(INDEX(_xlfn._xlws.FILTER(INDIRECT(O$1&amp;"!$E1:$E10000"),INDIRECT(O$1&amp;"!$a1:$a10000")=汇总!$A96),COUNTIF(INDIRECT(O$1&amp;"!$a1:$a10000"),汇总!$A96)),O95)</f>
        <v>2</v>
      </c>
      <c r="P96" s="109" cm="1">
        <f t="array" aca="1" ref="P96" ca="1">IFERROR(INDEX(_xlfn._xlws.FILTER(INDIRECT(P$1&amp;"!$E1:$E10000"),INDIRECT(P$1&amp;"!$a1:$a10000")=汇总!$A96),COUNTIF(INDIRECT(P$1&amp;"!$a1:$a10000"),汇总!$A96)),P95)</f>
        <v>2.2999999999999545</v>
      </c>
      <c r="Q96" s="109" cm="1">
        <f t="array" aca="1" ref="Q96" ca="1">IFERROR(INDEX(_xlfn._xlws.FILTER(INDIRECT(Q$1&amp;"!$E1:$E10000"),INDIRECT(Q$1&amp;"!$a1:$a10000")=汇总!$A96),COUNTIF(INDIRECT(Q$1&amp;"!$a1:$a10000"),汇总!$A96)),Q95)</f>
        <v>55.599999999999909</v>
      </c>
      <c r="R96" s="109" cm="1">
        <f t="array" aca="1" ref="R96" ca="1">IFERROR(INDEX(_xlfn._xlws.FILTER(INDIRECT(R$1&amp;"!$E1:$E10000"),INDIRECT(R$1&amp;"!$a1:$a10000")=汇总!$A96),COUNTIF(INDIRECT(R$1&amp;"!$a1:$a10000"),汇总!$A96)),R95)</f>
        <v>333.7266999452055</v>
      </c>
      <c r="S96" s="109" cm="1">
        <f t="array" aca="1" ref="S96" ca="1">IFERROR(INDEX(_xlfn._xlws.FILTER(INDIRECT(S$1&amp;"!$E1:$E10000"),INDIRECT(S$1&amp;"!$a1:$a10000")=汇总!$A96),COUNTIF(INDIRECT(S$1&amp;"!$a1:$a10000"),汇总!$A96)),S95)</f>
        <v>107.36596</v>
      </c>
    </row>
    <row r="97" spans="1:21" hidden="1">
      <c r="A97" s="1">
        <f t="shared" si="3"/>
        <v>46118</v>
      </c>
      <c r="B97" s="109" cm="1">
        <f t="array" aca="1" ref="B97" ca="1">IFERROR(INDEX(_xlfn._xlws.FILTER(INDIRECT(B$1&amp;"!$E1:$E10000"),INDIRECT(B$1&amp;"!$a1:$a10000")=汇总!$A97),COUNTIF(INDIRECT(B$1&amp;"!$a1:$a10000"),汇总!$A97)),B96)</f>
        <v>2136.9726271506856</v>
      </c>
      <c r="C97" s="109" cm="1">
        <f t="array" aca="1" ref="C97" ca="1">IFERROR(INDEX(_xlfn._xlws.FILTER(INDIRECT(C$1&amp;"!$E1:$E10000"),INDIRECT(C$1&amp;"!$a1:$a10000")=汇总!$A97),COUNTIF(INDIRECT(C$1&amp;"!$a1:$a10000"),汇总!$A97)),C96)</f>
        <v>1799.0525315068498</v>
      </c>
      <c r="D97" s="109" cm="1">
        <f t="array" aca="1" ref="D97" ca="1">IFERROR(INDEX(_xlfn._xlws.FILTER(INDIRECT(D$1&amp;"!$E1:$E10000"),INDIRECT(D$1&amp;"!$a1:$a10000")=汇总!$A97),COUNTIF(INDIRECT(D$1&amp;"!$a1:$a10000"),汇总!$A97)),D96)</f>
        <v>2104.7305000000001</v>
      </c>
      <c r="E97" s="109" cm="1">
        <f t="array" aca="1" ref="E97" ca="1">IFERROR(INDEX(_xlfn._xlws.FILTER(INDIRECT(E$1&amp;"!$E1:$E10000"),INDIRECT(E$1&amp;"!$a1:$a10000")=汇总!$A97),COUNTIF(INDIRECT(E$1&amp;"!$a1:$a10000"),汇总!$A97)),E96)</f>
        <v>3235</v>
      </c>
      <c r="F97" s="109" cm="1">
        <f t="array" aca="1" ref="F97" ca="1">IFERROR(INDEX(_xlfn._xlws.FILTER(INDIRECT(F$1&amp;"!$E1:$E10000"),INDIRECT(F$1&amp;"!$a1:$a10000")=汇总!$A97),COUNTIF(INDIRECT(F$1&amp;"!$a1:$a10000"),汇总!$A97)),F96)</f>
        <v>7350</v>
      </c>
      <c r="G97" s="109" cm="1">
        <f t="array" aca="1" ref="G97" ca="1">IFERROR(INDEX(_xlfn._xlws.FILTER(INDIRECT(G$1&amp;"!$E1:$E10000"),INDIRECT(G$1&amp;"!$a1:$a10000")=汇总!$A97),COUNTIF(INDIRECT(G$1&amp;"!$a1:$a10000"),汇总!$A97)),G96)</f>
        <v>6771.4</v>
      </c>
      <c r="H97" s="109" cm="1">
        <f t="array" aca="1" ref="H97" ca="1">IFERROR(INDEX(_xlfn._xlws.FILTER(INDIRECT(H$1&amp;"!$E1:$E10000"),INDIRECT(H$1&amp;"!$a1:$a10000")=汇总!$A97),COUNTIF(INDIRECT(H$1&amp;"!$a1:$a10000"),汇总!$A97)),H96)</f>
        <v>431.92997430000014</v>
      </c>
      <c r="I97" s="109" cm="1">
        <f t="array" aca="1" ref="I97" ca="1">IFERROR(INDEX(_xlfn._xlws.FILTER(INDIRECT(I$1&amp;"!$E1:$E10000"),INDIRECT(I$1&amp;"!$a1:$a10000")=汇总!$A97),COUNTIF(INDIRECT(I$1&amp;"!$a1:$a10000"),汇总!$A97)),I96)</f>
        <v>834.68823299999985</v>
      </c>
      <c r="J97" s="109" cm="1">
        <f t="array" aca="1" ref="J97" ca="1">IFERROR(INDEX(_xlfn._xlws.FILTER(INDIRECT(J$1&amp;"!$E1:$E10000"),INDIRECT(J$1&amp;"!$a1:$a10000")=汇总!$A97),COUNTIF(INDIRECT(J$1&amp;"!$a1:$a10000"),汇总!$A97)),J96)</f>
        <v>2.5</v>
      </c>
      <c r="K97" s="109" cm="1">
        <f t="array" aca="1" ref="K97" ca="1">IFERROR(INDEX(_xlfn._xlws.FILTER(INDIRECT(K$1&amp;"!$E1:$E10000"),INDIRECT(K$1&amp;"!$a1:$a10000")=汇总!$A97),COUNTIF(INDIRECT(K$1&amp;"!$a1:$a10000"),汇总!$A97)),K96)</f>
        <v>787.39200000000005</v>
      </c>
      <c r="L97" s="109" cm="1">
        <f t="array" aca="1" ref="L97" ca="1">IFERROR(INDEX(_xlfn._xlws.FILTER(INDIRECT(L$1&amp;"!$E1:$E10000"),INDIRECT(L$1&amp;"!$a1:$a10000")=汇总!$A97),COUNTIF(INDIRECT(L$1&amp;"!$a1:$a10000"),汇总!$A97)),L96)</f>
        <v>537.49779999999964</v>
      </c>
      <c r="M97" s="109" cm="1">
        <f t="array" aca="1" ref="M97" ca="1">IFERROR(INDEX(_xlfn._xlws.FILTER(INDIRECT(M$1&amp;"!$E1:$E10000"),INDIRECT(M$1&amp;"!$a1:$a10000")=汇总!$A97),COUNTIF(INDIRECT(M$1&amp;"!$a1:$a10000"),汇总!$A97)),M96)</f>
        <v>24.898089999999911</v>
      </c>
      <c r="N97" s="109" cm="1">
        <f t="array" aca="1" ref="N97" ca="1">IFERROR(INDEX(_xlfn._xlws.FILTER(INDIRECT(N$1&amp;"!$E1:$E10000"),INDIRECT(N$1&amp;"!$a1:$a10000")=汇总!$A97),COUNTIF(INDIRECT(N$1&amp;"!$a1:$a10000"),汇总!$A97)),N96)</f>
        <v>5105.8639759999996</v>
      </c>
      <c r="O97" s="109" cm="1">
        <f t="array" aca="1" ref="O97" ca="1">IFERROR(INDEX(_xlfn._xlws.FILTER(INDIRECT(O$1&amp;"!$E1:$E10000"),INDIRECT(O$1&amp;"!$a1:$a10000")=汇总!$A97),COUNTIF(INDIRECT(O$1&amp;"!$a1:$a10000"),汇总!$A97)),O96)</f>
        <v>2</v>
      </c>
      <c r="P97" s="109" cm="1">
        <f t="array" aca="1" ref="P97" ca="1">IFERROR(INDEX(_xlfn._xlws.FILTER(INDIRECT(P$1&amp;"!$E1:$E10000"),INDIRECT(P$1&amp;"!$a1:$a10000")=汇总!$A97),COUNTIF(INDIRECT(P$1&amp;"!$a1:$a10000"),汇总!$A97)),P96)</f>
        <v>2.2999999999999545</v>
      </c>
      <c r="Q97" s="109" cm="1">
        <f t="array" aca="1" ref="Q97" ca="1">IFERROR(INDEX(_xlfn._xlws.FILTER(INDIRECT(Q$1&amp;"!$E1:$E10000"),INDIRECT(Q$1&amp;"!$a1:$a10000")=汇总!$A97),COUNTIF(INDIRECT(Q$1&amp;"!$a1:$a10000"),汇总!$A97)),Q96)</f>
        <v>55.599999999999909</v>
      </c>
      <c r="R97" s="109" cm="1">
        <f t="array" aca="1" ref="R97" ca="1">IFERROR(INDEX(_xlfn._xlws.FILTER(INDIRECT(R$1&amp;"!$E1:$E10000"),INDIRECT(R$1&amp;"!$a1:$a10000")=汇总!$A97),COUNTIF(INDIRECT(R$1&amp;"!$a1:$a10000"),汇总!$A97)),R96)</f>
        <v>333.7266999452055</v>
      </c>
      <c r="S97" s="109" cm="1">
        <f t="array" aca="1" ref="S97" ca="1">IFERROR(INDEX(_xlfn._xlws.FILTER(INDIRECT(S$1&amp;"!$E1:$E10000"),INDIRECT(S$1&amp;"!$a1:$a10000")=汇总!$A97),COUNTIF(INDIRECT(S$1&amp;"!$a1:$a10000"),汇总!$A97)),S96)</f>
        <v>107.36596</v>
      </c>
    </row>
    <row r="98" spans="1:21">
      <c r="A98" s="1">
        <f t="shared" si="3"/>
        <v>46119</v>
      </c>
      <c r="B98" s="109" cm="1">
        <f t="array" aca="1" ref="B98" ca="1">IFERROR(INDEX(_xlfn._xlws.FILTER(INDIRECT(B$1&amp;"!$E1:$E10000"),INDIRECT(B$1&amp;"!$a1:$a10000")=汇总!$A98),COUNTIF(INDIRECT(B$1&amp;"!$a1:$a10000"),汇总!$A98)),B97)</f>
        <v>382.97262715068564</v>
      </c>
      <c r="C98" s="109" cm="1">
        <f t="array" aca="1" ref="C98" ca="1">IFERROR(INDEX(_xlfn._xlws.FILTER(INDIRECT(C$1&amp;"!$E1:$E10000"),INDIRECT(C$1&amp;"!$a1:$a10000")=汇总!$A98),COUNTIF(INDIRECT(C$1&amp;"!$a1:$a10000"),汇总!$A98)),C97)</f>
        <v>1799.0525315068498</v>
      </c>
      <c r="D98" s="109" cm="1">
        <f t="array" aca="1" ref="D98" ca="1">IFERROR(INDEX(_xlfn._xlws.FILTER(INDIRECT(D$1&amp;"!$E1:$E10000"),INDIRECT(D$1&amp;"!$a1:$a10000")=汇总!$A98),COUNTIF(INDIRECT(D$1&amp;"!$a1:$a10000"),汇总!$A98)),D97)</f>
        <v>2104.7305000000001</v>
      </c>
      <c r="E98" s="109" cm="1">
        <f t="array" aca="1" ref="E98" ca="1">IFERROR(INDEX(_xlfn._xlws.FILTER(INDIRECT(E$1&amp;"!$E1:$E10000"),INDIRECT(E$1&amp;"!$a1:$a10000")=汇总!$A98),COUNTIF(INDIRECT(E$1&amp;"!$a1:$a10000"),汇总!$A98)),E97)</f>
        <v>3235</v>
      </c>
      <c r="F98" s="109" cm="1">
        <f t="array" aca="1" ref="F98" ca="1">IFERROR(INDEX(_xlfn._xlws.FILTER(INDIRECT(F$1&amp;"!$E1:$E10000"),INDIRECT(F$1&amp;"!$a1:$a10000")=汇总!$A98),COUNTIF(INDIRECT(F$1&amp;"!$a1:$a10000"),汇总!$A98)),F97)</f>
        <v>7350</v>
      </c>
      <c r="G98" s="109" cm="1">
        <f t="array" aca="1" ref="G98" ca="1">IFERROR(INDEX(_xlfn._xlws.FILTER(INDIRECT(G$1&amp;"!$E1:$E10000"),INDIRECT(G$1&amp;"!$a1:$a10000")=汇总!$A98),COUNTIF(INDIRECT(G$1&amp;"!$a1:$a10000"),汇总!$A98)),G97)</f>
        <v>6771.4</v>
      </c>
      <c r="H98" s="109" cm="1">
        <f t="array" aca="1" ref="H98" ca="1">IFERROR(INDEX(_xlfn._xlws.FILTER(INDIRECT(H$1&amp;"!$E1:$E10000"),INDIRECT(H$1&amp;"!$a1:$a10000")=汇总!$A98),COUNTIF(INDIRECT(H$1&amp;"!$a1:$a10000"),汇总!$A98)),H97)</f>
        <v>431.92997430000014</v>
      </c>
      <c r="I98" s="109" cm="1">
        <f t="array" aca="1" ref="I98" ca="1">IFERROR(INDEX(_xlfn._xlws.FILTER(INDIRECT(I$1&amp;"!$E1:$E10000"),INDIRECT(I$1&amp;"!$a1:$a10000")=汇总!$A98),COUNTIF(INDIRECT(I$1&amp;"!$a1:$a10000"),汇总!$A98)),I97)</f>
        <v>171.20810899999981</v>
      </c>
      <c r="J98" s="109" cm="1">
        <f t="array" aca="1" ref="J98" ca="1">IFERROR(INDEX(_xlfn._xlws.FILTER(INDIRECT(J$1&amp;"!$E1:$E10000"),INDIRECT(J$1&amp;"!$a1:$a10000")=汇总!$A98),COUNTIF(INDIRECT(J$1&amp;"!$a1:$a10000"),汇总!$A98)),J97)</f>
        <v>2.5</v>
      </c>
      <c r="K98" s="109" cm="1">
        <f t="array" aca="1" ref="K98" ca="1">IFERROR(INDEX(_xlfn._xlws.FILTER(INDIRECT(K$1&amp;"!$E1:$E10000"),INDIRECT(K$1&amp;"!$a1:$a10000")=汇总!$A98),COUNTIF(INDIRECT(K$1&amp;"!$a1:$a10000"),汇总!$A98)),K97)</f>
        <v>787.39200000000005</v>
      </c>
      <c r="L98" s="109" cm="1">
        <f t="array" aca="1" ref="L98" ca="1">IFERROR(INDEX(_xlfn._xlws.FILTER(INDIRECT(L$1&amp;"!$E1:$E10000"),INDIRECT(L$1&amp;"!$a1:$a10000")=汇总!$A98),COUNTIF(INDIRECT(L$1&amp;"!$a1:$a10000"),汇总!$A98)),L97)</f>
        <v>537.49779999999964</v>
      </c>
      <c r="M98" s="109" cm="1">
        <f t="array" aca="1" ref="M98" ca="1">IFERROR(INDEX(_xlfn._xlws.FILTER(INDIRECT(M$1&amp;"!$E1:$E10000"),INDIRECT(M$1&amp;"!$a1:$a10000")=汇总!$A98),COUNTIF(INDIRECT(M$1&amp;"!$a1:$a10000"),汇总!$A98)),M97)</f>
        <v>24.898089999999911</v>
      </c>
      <c r="N98" s="109" cm="1">
        <f t="array" aca="1" ref="N98" ca="1">IFERROR(INDEX(_xlfn._xlws.FILTER(INDIRECT(N$1&amp;"!$E1:$E10000"),INDIRECT(N$1&amp;"!$a1:$a10000")=汇总!$A98),COUNTIF(INDIRECT(N$1&amp;"!$a1:$a10000"),汇总!$A98)),N97)</f>
        <v>4355.8639759999996</v>
      </c>
      <c r="O98" s="109" cm="1">
        <f t="array" aca="1" ref="O98" ca="1">IFERROR(INDEX(_xlfn._xlws.FILTER(INDIRECT(O$1&amp;"!$E1:$E10000"),INDIRECT(O$1&amp;"!$a1:$a10000")=汇总!$A98),COUNTIF(INDIRECT(O$1&amp;"!$a1:$a10000"),汇总!$A98)),O97)</f>
        <v>2</v>
      </c>
      <c r="P98" s="109" cm="1">
        <f t="array" aca="1" ref="P98" ca="1">IFERROR(INDEX(_xlfn._xlws.FILTER(INDIRECT(P$1&amp;"!$E1:$E10000"),INDIRECT(P$1&amp;"!$a1:$a10000")=汇总!$A98),COUNTIF(INDIRECT(P$1&amp;"!$a1:$a10000"),汇总!$A98)),P97)</f>
        <v>2.2999999999999545</v>
      </c>
      <c r="Q98" s="109" cm="1">
        <f t="array" aca="1" ref="Q98" ca="1">IFERROR(INDEX(_xlfn._xlws.FILTER(INDIRECT(Q$1&amp;"!$E1:$E10000"),INDIRECT(Q$1&amp;"!$a1:$a10000")=汇总!$A98),COUNTIF(INDIRECT(Q$1&amp;"!$a1:$a10000"),汇总!$A98)),Q97)</f>
        <v>665.19999999999993</v>
      </c>
      <c r="R98" s="109" cm="1">
        <f t="array" aca="1" ref="R98" ca="1">IFERROR(INDEX(_xlfn._xlws.FILTER(INDIRECT(R$1&amp;"!$E1:$E10000"),INDIRECT(R$1&amp;"!$a1:$a10000")=汇总!$A98),COUNTIF(INDIRECT(R$1&amp;"!$a1:$a10000"),汇总!$A98)),R97)</f>
        <v>333.7266999452055</v>
      </c>
      <c r="S98" s="109" cm="1">
        <f t="array" aca="1" ref="S98" ca="1">IFERROR(INDEX(_xlfn._xlws.FILTER(INDIRECT(S$1&amp;"!$E1:$E10000"),INDIRECT(S$1&amp;"!$a1:$a10000")=汇总!$A98),COUNTIF(INDIRECT(S$1&amp;"!$a1:$a10000"),汇总!$A98)),S97)</f>
        <v>107.36596</v>
      </c>
      <c r="T98" s="109" cm="1">
        <f t="array" aca="1" ref="T98" ca="1">IFERROR(INDEX(_xlfn._xlws.FILTER(INDIRECT(T$1&amp;"!$E1:$E10000"),INDIRECT(T$1&amp;"!$a1:$a10000")=汇总!$A98),COUNTIF(INDIRECT(T$1&amp;"!$a1:$a10000"),汇总!$A98)),T97)</f>
        <v>0</v>
      </c>
      <c r="U98" s="109"/>
    </row>
    <row r="99" spans="1:21">
      <c r="A99" s="1">
        <f t="shared" si="3"/>
        <v>46120</v>
      </c>
      <c r="B99" s="109" cm="1">
        <f t="array" aca="1" ref="B99" ca="1">IFERROR(INDEX(_xlfn._xlws.FILTER(INDIRECT(B$1&amp;"!$E1:$E10000"),INDIRECT(B$1&amp;"!$a1:$a10000")=汇总!$A99),COUNTIF(INDIRECT(B$1&amp;"!$a1:$a10000"),汇总!$A99)),B98)</f>
        <v>319.27262715068565</v>
      </c>
      <c r="C99" s="109" cm="1">
        <f t="array" aca="1" ref="C99" ca="1">IFERROR(INDEX(_xlfn._xlws.FILTER(INDIRECT(C$1&amp;"!$E1:$E10000"),INDIRECT(C$1&amp;"!$a1:$a10000")=汇总!$A99),COUNTIF(INDIRECT(C$1&amp;"!$a1:$a10000"),汇总!$A99)),C98)</f>
        <v>2141.7865315068498</v>
      </c>
      <c r="D99" s="109" cm="1">
        <f t="array" aca="1" ref="D99" ca="1">IFERROR(INDEX(_xlfn._xlws.FILTER(INDIRECT(D$1&amp;"!$E1:$E10000"),INDIRECT(D$1&amp;"!$a1:$a10000")=汇总!$A99),COUNTIF(INDIRECT(D$1&amp;"!$a1:$a10000"),汇总!$A99)),D98)</f>
        <v>80.460490000000163</v>
      </c>
      <c r="E99" s="109" cm="1">
        <f t="array" aca="1" ref="E99" ca="1">IFERROR(INDEX(_xlfn._xlws.FILTER(INDIRECT(E$1&amp;"!$E1:$E10000"),INDIRECT(E$1&amp;"!$a1:$a10000")=汇总!$A99),COUNTIF(INDIRECT(E$1&amp;"!$a1:$a10000"),汇总!$A99)),E98)</f>
        <v>25.880849999999782</v>
      </c>
      <c r="F99" s="109" cm="1">
        <f t="array" aca="1" ref="F99" ca="1">IFERROR(INDEX(_xlfn._xlws.FILTER(INDIRECT(F$1&amp;"!$E1:$E10000"),INDIRECT(F$1&amp;"!$a1:$a10000")=汇总!$A99),COUNTIF(INDIRECT(F$1&amp;"!$a1:$a10000"),汇总!$A99)),F98)</f>
        <v>7350</v>
      </c>
      <c r="G99" s="109" cm="1">
        <f t="array" aca="1" ref="G99" ca="1">IFERROR(INDEX(_xlfn._xlws.FILTER(INDIRECT(G$1&amp;"!$E1:$E10000"),INDIRECT(G$1&amp;"!$a1:$a10000")=汇总!$A99),COUNTIF(INDIRECT(G$1&amp;"!$a1:$a10000"),汇总!$A99)),G98)</f>
        <v>6771.4</v>
      </c>
      <c r="H99" s="109" cm="1">
        <f t="array" aca="1" ref="H99" ca="1">IFERROR(INDEX(_xlfn._xlws.FILTER(INDIRECT(H$1&amp;"!$E1:$E10000"),INDIRECT(H$1&amp;"!$a1:$a10000")=汇总!$A99),COUNTIF(INDIRECT(H$1&amp;"!$a1:$a10000"),汇总!$A99)),H98)</f>
        <v>431.92997430000014</v>
      </c>
      <c r="I99" s="109" cm="1">
        <f t="array" aca="1" ref="I99" ca="1">IFERROR(INDEX(_xlfn._xlws.FILTER(INDIRECT(I$1&amp;"!$E1:$E10000"),INDIRECT(I$1&amp;"!$a1:$a10000")=汇总!$A99),COUNTIF(INDIRECT(I$1&amp;"!$a1:$a10000"),汇总!$A99)),I98)</f>
        <v>171.20810899999981</v>
      </c>
      <c r="J99" s="109" cm="1">
        <f t="array" aca="1" ref="J99" ca="1">IFERROR(INDEX(_xlfn._xlws.FILTER(INDIRECT(J$1&amp;"!$E1:$E10000"),INDIRECT(J$1&amp;"!$a1:$a10000")=汇总!$A99),COUNTIF(INDIRECT(J$1&amp;"!$a1:$a10000"),汇总!$A99)),J98)</f>
        <v>2.5</v>
      </c>
      <c r="K99" s="109" cm="1">
        <f t="array" aca="1" ref="K99" ca="1">IFERROR(INDEX(_xlfn._xlws.FILTER(INDIRECT(K$1&amp;"!$E1:$E10000"),INDIRECT(K$1&amp;"!$a1:$a10000")=汇总!$A99),COUNTIF(INDIRECT(K$1&amp;"!$a1:$a10000"),汇总!$A99)),K98)</f>
        <v>2085.3919999999998</v>
      </c>
      <c r="L99" s="109" cm="1">
        <f t="array" aca="1" ref="L99" ca="1">IFERROR(INDEX(_xlfn._xlws.FILTER(INDIRECT(L$1&amp;"!$E1:$E10000"),INDIRECT(L$1&amp;"!$a1:$a10000")=汇总!$A99),COUNTIF(INDIRECT(L$1&amp;"!$a1:$a10000"),汇总!$A99)),L98)</f>
        <v>537.49779999999964</v>
      </c>
      <c r="M99" s="109" cm="1">
        <f t="array" aca="1" ref="M99" ca="1">IFERROR(INDEX(_xlfn._xlws.FILTER(INDIRECT(M$1&amp;"!$E1:$E10000"),INDIRECT(M$1&amp;"!$a1:$a10000")=汇总!$A99),COUNTIF(INDIRECT(M$1&amp;"!$a1:$a10000"),汇总!$A99)),M98)</f>
        <v>24.898089999999911</v>
      </c>
      <c r="N99" s="109" cm="1">
        <f t="array" aca="1" ref="N99" ca="1">IFERROR(INDEX(_xlfn._xlws.FILTER(INDIRECT(N$1&amp;"!$E1:$E10000"),INDIRECT(N$1&amp;"!$a1:$a10000")=汇总!$A99),COUNTIF(INDIRECT(N$1&amp;"!$a1:$a10000"),汇总!$A99)),N98)</f>
        <v>3562.9253869999993</v>
      </c>
      <c r="O99" s="109" cm="1">
        <f t="array" aca="1" ref="O99" ca="1">IFERROR(INDEX(_xlfn._xlws.FILTER(INDIRECT(O$1&amp;"!$E1:$E10000"),INDIRECT(O$1&amp;"!$a1:$a10000")=汇总!$A99),COUNTIF(INDIRECT(O$1&amp;"!$a1:$a10000"),汇总!$A99)),O98)</f>
        <v>2</v>
      </c>
      <c r="P99" s="109" cm="1">
        <f t="array" aca="1" ref="P99" ca="1">IFERROR(INDEX(_xlfn._xlws.FILTER(INDIRECT(P$1&amp;"!$E1:$E10000"),INDIRECT(P$1&amp;"!$a1:$a10000")=汇总!$A99),COUNTIF(INDIRECT(P$1&amp;"!$a1:$a10000"),汇总!$A99)),P98)</f>
        <v>2.2999999999999545</v>
      </c>
      <c r="Q99" s="109" cm="1">
        <f t="array" aca="1" ref="Q99" ca="1">IFERROR(INDEX(_xlfn._xlws.FILTER(INDIRECT(Q$1&amp;"!$E1:$E10000"),INDIRECT(Q$1&amp;"!$a1:$a10000")=汇总!$A99),COUNTIF(INDIRECT(Q$1&amp;"!$a1:$a10000"),汇总!$A99)),Q98)</f>
        <v>3029.2</v>
      </c>
      <c r="R99" s="109" cm="1">
        <f t="array" aca="1" ref="R99" ca="1">IFERROR(INDEX(_xlfn._xlws.FILTER(INDIRECT(R$1&amp;"!$E1:$E10000"),INDIRECT(R$1&amp;"!$a1:$a10000")=汇总!$A99),COUNTIF(INDIRECT(R$1&amp;"!$a1:$a10000"),汇总!$A99)),R98)</f>
        <v>333.7266999452055</v>
      </c>
      <c r="S99" s="109" cm="1">
        <f t="array" aca="1" ref="S99" ca="1">IFERROR(INDEX(_xlfn._xlws.FILTER(INDIRECT(S$1&amp;"!$E1:$E10000"),INDIRECT(S$1&amp;"!$a1:$a10000")=汇总!$A99),COUNTIF(INDIRECT(S$1&amp;"!$a1:$a10000"),汇总!$A99)),S98)</f>
        <v>5094</v>
      </c>
      <c r="T99" s="109" cm="1">
        <f t="array" aca="1" ref="T99" ca="1">IFERROR(INDEX(_xlfn._xlws.FILTER(INDIRECT(T$1&amp;"!$E1:$E10000"),INDIRECT(T$1&amp;"!$a1:$a10000")=汇总!$A99),COUNTIF(INDIRECT(T$1&amp;"!$a1:$a10000"),汇总!$A99)),T98)</f>
        <v>0</v>
      </c>
    </row>
    <row r="100" spans="1:21">
      <c r="A100" s="1">
        <f t="shared" si="3"/>
        <v>46121</v>
      </c>
      <c r="B100" s="109" cm="1">
        <f t="array" aca="1" ref="B100" ca="1">IFERROR(INDEX(_xlfn._xlws.FILTER(INDIRECT(B$1&amp;"!$E1:$E10000"),INDIRECT(B$1&amp;"!$a1:$a10000")=汇总!$A100),COUNTIF(INDIRECT(B$1&amp;"!$a1:$a10000"),汇总!$A100)),B99)</f>
        <v>1059.2726271506856</v>
      </c>
      <c r="C100" s="109" cm="1">
        <f t="array" aca="1" ref="C100" ca="1">IFERROR(INDEX(_xlfn._xlws.FILTER(INDIRECT(C$1&amp;"!$E1:$E10000"),INDIRECT(C$1&amp;"!$a1:$a10000")=汇总!$A100),COUNTIF(INDIRECT(C$1&amp;"!$a1:$a10000"),汇总!$A100)),C99)</f>
        <v>1141.7865315068498</v>
      </c>
      <c r="D100" s="109" cm="1">
        <f t="array" aca="1" ref="D100" ca="1">IFERROR(INDEX(_xlfn._xlws.FILTER(INDIRECT(D$1&amp;"!$E1:$E10000"),INDIRECT(D$1&amp;"!$a1:$a10000")=汇总!$A100),COUNTIF(INDIRECT(D$1&amp;"!$a1:$a10000"),汇总!$A100)),D99)</f>
        <v>2080.4604900000004</v>
      </c>
      <c r="E100" s="109" cm="1">
        <f t="array" aca="1" ref="E100" ca="1">IFERROR(INDEX(_xlfn._xlws.FILTER(INDIRECT(E$1&amp;"!$E1:$E10000"),INDIRECT(E$1&amp;"!$a1:$a10000")=汇总!$A100),COUNTIF(INDIRECT(E$1&amp;"!$a1:$a10000"),汇总!$A100)),E99)</f>
        <v>25.880849999999782</v>
      </c>
      <c r="F100" s="109" cm="1">
        <f t="array" aca="1" ref="F100" ca="1">IFERROR(INDEX(_xlfn._xlws.FILTER(INDIRECT(F$1&amp;"!$E1:$E10000"),INDIRECT(F$1&amp;"!$a1:$a10000")=汇总!$A100),COUNTIF(INDIRECT(F$1&amp;"!$a1:$a10000"),汇总!$A100)),F99)</f>
        <v>7350</v>
      </c>
      <c r="G100" s="109" cm="1">
        <f t="array" aca="1" ref="G100" ca="1">IFERROR(INDEX(_xlfn._xlws.FILTER(INDIRECT(G$1&amp;"!$E1:$E10000"),INDIRECT(G$1&amp;"!$a1:$a10000")=汇总!$A100),COUNTIF(INDIRECT(G$1&amp;"!$a1:$a10000"),汇总!$A100)),G99)</f>
        <v>6771.4</v>
      </c>
      <c r="H100" s="109" cm="1">
        <f t="array" aca="1" ref="H100" ca="1">IFERROR(INDEX(_xlfn._xlws.FILTER(INDIRECT(H$1&amp;"!$E1:$E10000"),INDIRECT(H$1&amp;"!$a1:$a10000")=汇总!$A100),COUNTIF(INDIRECT(H$1&amp;"!$a1:$a10000"),汇总!$A100)),H99)</f>
        <v>431.92997430000014</v>
      </c>
      <c r="I100" s="109" cm="1">
        <f t="array" aca="1" ref="I100" ca="1">IFERROR(INDEX(_xlfn._xlws.FILTER(INDIRECT(I$1&amp;"!$E1:$E10000"),INDIRECT(I$1&amp;"!$a1:$a10000")=汇总!$A100),COUNTIF(INDIRECT(I$1&amp;"!$a1:$a10000"),汇总!$A100)),I99)</f>
        <v>171.20810899999981</v>
      </c>
      <c r="J100" s="109" cm="1">
        <f t="array" aca="1" ref="J100" ca="1">IFERROR(INDEX(_xlfn._xlws.FILTER(INDIRECT(J$1&amp;"!$E1:$E10000"),INDIRECT(J$1&amp;"!$a1:$a10000")=汇总!$A100),COUNTIF(INDIRECT(J$1&amp;"!$a1:$a10000"),汇总!$A100)),J99)</f>
        <v>2.5</v>
      </c>
      <c r="K100" s="109" cm="1">
        <f t="array" aca="1" ref="K100" ca="1">IFERROR(INDEX(_xlfn._xlws.FILTER(INDIRECT(K$1&amp;"!$E1:$E10000"),INDIRECT(K$1&amp;"!$a1:$a10000")=汇总!$A100),COUNTIF(INDIRECT(K$1&amp;"!$a1:$a10000"),汇总!$A100)),K99)</f>
        <v>1085.3919999999998</v>
      </c>
      <c r="L100" s="109" cm="1">
        <f t="array" aca="1" ref="L100" ca="1">IFERROR(INDEX(_xlfn._xlws.FILTER(INDIRECT(L$1&amp;"!$E1:$E10000"),INDIRECT(L$1&amp;"!$a1:$a10000")=汇总!$A100),COUNTIF(INDIRECT(L$1&amp;"!$a1:$a10000"),汇总!$A100)),L99)</f>
        <v>1062.4977999999996</v>
      </c>
      <c r="M100" s="109" cm="1">
        <f t="array" aca="1" ref="M100" ca="1">IFERROR(INDEX(_xlfn._xlws.FILTER(INDIRECT(M$1&amp;"!$E1:$E10000"),INDIRECT(M$1&amp;"!$a1:$a10000")=汇总!$A100),COUNTIF(INDIRECT(M$1&amp;"!$a1:$a10000"),汇总!$A100)),M99)</f>
        <v>24.898089999999911</v>
      </c>
      <c r="N100" s="109" cm="1">
        <f t="array" aca="1" ref="N100" ca="1">IFERROR(INDEX(_xlfn._xlws.FILTER(INDIRECT(N$1&amp;"!$E1:$E10000"),INDIRECT(N$1&amp;"!$a1:$a10000")=汇总!$A100),COUNTIF(INDIRECT(N$1&amp;"!$a1:$a10000"),汇总!$A100)),N99)</f>
        <v>3412.9253869999993</v>
      </c>
      <c r="O100" s="109" cm="1">
        <f t="array" aca="1" ref="O100" ca="1">IFERROR(INDEX(_xlfn._xlws.FILTER(INDIRECT(O$1&amp;"!$E1:$E10000"),INDIRECT(O$1&amp;"!$a1:$a10000")=汇总!$A100),COUNTIF(INDIRECT(O$1&amp;"!$a1:$a10000"),汇总!$A100)),O99)</f>
        <v>2</v>
      </c>
      <c r="P100" s="109" cm="1">
        <f t="array" aca="1" ref="P100" ca="1">IFERROR(INDEX(_xlfn._xlws.FILTER(INDIRECT(P$1&amp;"!$E1:$E10000"),INDIRECT(P$1&amp;"!$a1:$a10000")=汇总!$A100),COUNTIF(INDIRECT(P$1&amp;"!$a1:$a10000"),汇总!$A100)),P99)</f>
        <v>2.2999999999999545</v>
      </c>
      <c r="Q100" s="109" cm="1">
        <f t="array" aca="1" ref="Q100" ca="1">IFERROR(INDEX(_xlfn._xlws.FILTER(INDIRECT(Q$1&amp;"!$E1:$E10000"),INDIRECT(Q$1&amp;"!$a1:$a10000")=汇总!$A100),COUNTIF(INDIRECT(Q$1&amp;"!$a1:$a10000"),汇总!$A100)),Q99)</f>
        <v>1185.3759399999999</v>
      </c>
      <c r="R100" s="109" cm="1">
        <f t="array" aca="1" ref="R100" ca="1">IFERROR(INDEX(_xlfn._xlws.FILTER(INDIRECT(R$1&amp;"!$E1:$E10000"),INDIRECT(R$1&amp;"!$a1:$a10000")=汇总!$A100),COUNTIF(INDIRECT(R$1&amp;"!$a1:$a10000"),汇总!$A100)),R99)</f>
        <v>333.7266999452055</v>
      </c>
      <c r="S100" s="109" cm="1">
        <f t="array" aca="1" ref="S100" ca="1">IFERROR(INDEX(_xlfn._xlws.FILTER(INDIRECT(S$1&amp;"!$E1:$E10000"),INDIRECT(S$1&amp;"!$a1:$a10000")=汇总!$A100),COUNTIF(INDIRECT(S$1&amp;"!$a1:$a10000"),汇总!$A100)),S99)</f>
        <v>2894</v>
      </c>
      <c r="T100" s="109" cm="1">
        <f t="array" aca="1" ref="T100" ca="1">IFERROR(INDEX(_xlfn._xlws.FILTER(INDIRECT(T$1&amp;"!$E1:$E10000"),INDIRECT(T$1&amp;"!$a1:$a10000")=汇总!$A100),COUNTIF(INDIRECT(T$1&amp;"!$a1:$a10000"),汇总!$A100)),T99)</f>
        <v>0</v>
      </c>
    </row>
    <row r="101" spans="1:21">
      <c r="A101" s="1">
        <f t="shared" si="3"/>
        <v>46122</v>
      </c>
      <c r="B101" s="109" cm="1">
        <f t="array" aca="1" ref="B101" ca="1">IFERROR(INDEX(_xlfn._xlws.FILTER(INDIRECT(B$1&amp;"!$E1:$E10000"),INDIRECT(B$1&amp;"!$a1:$a10000")=汇总!$A101),COUNTIF(INDIRECT(B$1&amp;"!$a1:$a10000"),汇总!$A101)),B100)</f>
        <v>59.272627150685594</v>
      </c>
      <c r="C101" s="109" cm="1">
        <f t="array" aca="1" ref="C101" ca="1">IFERROR(INDEX(_xlfn._xlws.FILTER(INDIRECT(C$1&amp;"!$E1:$E10000"),INDIRECT(C$1&amp;"!$a1:$a10000")=汇总!$A101),COUNTIF(INDIRECT(C$1&amp;"!$a1:$a10000"),汇总!$A101)),C100)</f>
        <v>1074.9620225068497</v>
      </c>
      <c r="D101" s="109" cm="1">
        <f t="array" aca="1" ref="D101" ca="1">IFERROR(INDEX(_xlfn._xlws.FILTER(INDIRECT(D$1&amp;"!$E1:$E10000"),INDIRECT(D$1&amp;"!$a1:$a10000")=汇总!$A101),COUNTIF(INDIRECT(D$1&amp;"!$a1:$a10000"),汇总!$A101)),D100)</f>
        <v>1972.5584900000003</v>
      </c>
      <c r="E101" s="109" cm="1">
        <f t="array" aca="1" ref="E101" ca="1">IFERROR(INDEX(_xlfn._xlws.FILTER(INDIRECT(E$1&amp;"!$E1:$E10000"),INDIRECT(E$1&amp;"!$a1:$a10000")=汇总!$A101),COUNTIF(INDIRECT(E$1&amp;"!$a1:$a10000"),汇总!$A101)),E100)</f>
        <v>1748.4758499999996</v>
      </c>
      <c r="F101" s="109" cm="1">
        <f t="array" aca="1" ref="F101" ca="1">IFERROR(INDEX(_xlfn._xlws.FILTER(INDIRECT(F$1&amp;"!$E1:$E10000"),INDIRECT(F$1&amp;"!$a1:$a10000")=汇总!$A101),COUNTIF(INDIRECT(F$1&amp;"!$a1:$a10000"),汇总!$A101)),F100)</f>
        <v>7350</v>
      </c>
      <c r="G101" s="109" cm="1">
        <f t="array" aca="1" ref="G101" ca="1">IFERROR(INDEX(_xlfn._xlws.FILTER(INDIRECT(G$1&amp;"!$E1:$E10000"),INDIRECT(G$1&amp;"!$a1:$a10000")=汇总!$A101),COUNTIF(INDIRECT(G$1&amp;"!$a1:$a10000"),汇总!$A101)),G100)</f>
        <v>6771.4</v>
      </c>
      <c r="H101" s="109" cm="1">
        <f t="array" aca="1" ref="H101" ca="1">IFERROR(INDEX(_xlfn._xlws.FILTER(INDIRECT(H$1&amp;"!$E1:$E10000"),INDIRECT(H$1&amp;"!$a1:$a10000")=汇总!$A101),COUNTIF(INDIRECT(H$1&amp;"!$a1:$a10000"),汇总!$A101)),H100)</f>
        <v>119</v>
      </c>
      <c r="I101" s="109" cm="1">
        <f t="array" aca="1" ref="I101" ca="1">IFERROR(INDEX(_xlfn._xlws.FILTER(INDIRECT(I$1&amp;"!$E1:$E10000"),INDIRECT(I$1&amp;"!$a1:$a10000")=汇总!$A101),COUNTIF(INDIRECT(I$1&amp;"!$a1:$a10000"),汇总!$A101)),I100)</f>
        <v>17.531308999999823</v>
      </c>
      <c r="J101" s="109" cm="1">
        <f t="array" aca="1" ref="J101" ca="1">IFERROR(INDEX(_xlfn._xlws.FILTER(INDIRECT(J$1&amp;"!$E1:$E10000"),INDIRECT(J$1&amp;"!$a1:$a10000")=汇总!$A101),COUNTIF(INDIRECT(J$1&amp;"!$a1:$a10000"),汇总!$A101)),J100)</f>
        <v>2.5</v>
      </c>
      <c r="K101" s="109" cm="1">
        <f t="array" aca="1" ref="K101" ca="1">IFERROR(INDEX(_xlfn._xlws.FILTER(INDIRECT(K$1&amp;"!$E1:$E10000"),INDIRECT(K$1&amp;"!$a1:$a10000")=汇总!$A101),COUNTIF(INDIRECT(K$1&amp;"!$a1:$a10000"),汇总!$A101)),K100)</f>
        <v>554.08799999999985</v>
      </c>
      <c r="L101" s="109" cm="1">
        <f t="array" aca="1" ref="L101" ca="1">IFERROR(INDEX(_xlfn._xlws.FILTER(INDIRECT(L$1&amp;"!$E1:$E10000"),INDIRECT(L$1&amp;"!$a1:$a10000")=汇总!$A101),COUNTIF(INDIRECT(L$1&amp;"!$a1:$a10000"),汇总!$A101)),L100)</f>
        <v>54.77379999999971</v>
      </c>
      <c r="M101" s="109" cm="1">
        <f t="array" aca="1" ref="M101" ca="1">IFERROR(INDEX(_xlfn._xlws.FILTER(INDIRECT(M$1&amp;"!$E1:$E10000"),INDIRECT(M$1&amp;"!$a1:$a10000")=汇总!$A101),COUNTIF(INDIRECT(M$1&amp;"!$a1:$a10000"),汇总!$A101)),M100)</f>
        <v>53.3</v>
      </c>
      <c r="N101" s="109" cm="1">
        <f t="array" aca="1" ref="N101" ca="1">IFERROR(INDEX(_xlfn._xlws.FILTER(INDIRECT(N$1&amp;"!$E1:$E10000"),INDIRECT(N$1&amp;"!$a1:$a10000")=汇总!$A101),COUNTIF(INDIRECT(N$1&amp;"!$a1:$a10000"),汇总!$A101)),N100)</f>
        <v>45.520386999999104</v>
      </c>
      <c r="O101" s="109" cm="1">
        <f t="array" aca="1" ref="O101" ca="1">IFERROR(INDEX(_xlfn._xlws.FILTER(INDIRECT(O$1&amp;"!$E1:$E10000"),INDIRECT(O$1&amp;"!$a1:$a10000")=汇总!$A101),COUNTIF(INDIRECT(O$1&amp;"!$a1:$a10000"),汇总!$A101)),O100)</f>
        <v>2</v>
      </c>
      <c r="P101" s="109" cm="1">
        <f t="array" aca="1" ref="P101" ca="1">IFERROR(INDEX(_xlfn._xlws.FILTER(INDIRECT(P$1&amp;"!$E1:$E10000"),INDIRECT(P$1&amp;"!$a1:$a10000")=汇总!$A101),COUNTIF(INDIRECT(P$1&amp;"!$a1:$a10000"),汇总!$A101)),P100)</f>
        <v>11.45999999999998</v>
      </c>
      <c r="Q101" s="109" cm="1">
        <f t="array" aca="1" ref="Q101" ca="1">IFERROR(INDEX(_xlfn._xlws.FILTER(INDIRECT(Q$1&amp;"!$E1:$E10000"),INDIRECT(Q$1&amp;"!$a1:$a10000")=汇总!$A101),COUNTIF(INDIRECT(Q$1&amp;"!$a1:$a10000"),汇总!$A101)),Q100)</f>
        <v>65.3759399999999</v>
      </c>
      <c r="R101" s="109" cm="1">
        <f t="array" aca="1" ref="R101" ca="1">IFERROR(INDEX(_xlfn._xlws.FILTER(INDIRECT(R$1&amp;"!$E1:$E10000"),INDIRECT(R$1&amp;"!$a1:$a10000")=汇总!$A101),COUNTIF(INDIRECT(R$1&amp;"!$a1:$a10000"),汇总!$A101)),R100)</f>
        <v>333.7266999452055</v>
      </c>
      <c r="S101" s="109" cm="1">
        <f t="array" aca="1" ref="S101" ca="1">IFERROR(INDEX(_xlfn._xlws.FILTER(INDIRECT(S$1&amp;"!$E1:$E10000"),INDIRECT(S$1&amp;"!$a1:$a10000")=汇总!$A101),COUNTIF(INDIRECT(S$1&amp;"!$a1:$a10000"),汇总!$A101)),S100)</f>
        <v>634</v>
      </c>
      <c r="T101" s="109" cm="1">
        <f t="array" aca="1" ref="T101" ca="1">IFERROR(INDEX(_xlfn._xlws.FILTER(INDIRECT(T$1&amp;"!$E1:$E10000"),INDIRECT(T$1&amp;"!$a1:$a10000")=汇总!$A101),COUNTIF(INDIRECT(T$1&amp;"!$a1:$a10000"),汇总!$A101)),T100)</f>
        <v>0</v>
      </c>
    </row>
    <row r="102" spans="1:21">
      <c r="A102" s="1">
        <f t="shared" si="3"/>
        <v>46123</v>
      </c>
      <c r="B102" s="109" cm="1">
        <f t="array" aca="1" ref="B102" ca="1">IFERROR(INDEX(_xlfn._xlws.FILTER(INDIRECT(B$1&amp;"!$E1:$E10000"),INDIRECT(B$1&amp;"!$a1:$a10000")=汇总!$A102),COUNTIF(INDIRECT(B$1&amp;"!$a1:$a10000"),汇总!$A102)),B101)</f>
        <v>59.272627150685594</v>
      </c>
      <c r="C102" s="109" cm="1">
        <f t="array" aca="1" ref="C102" ca="1">IFERROR(INDEX(_xlfn._xlws.FILTER(INDIRECT(C$1&amp;"!$E1:$E10000"),INDIRECT(C$1&amp;"!$a1:$a10000")=汇总!$A102),COUNTIF(INDIRECT(C$1&amp;"!$a1:$a10000"),汇总!$A102)),C101)</f>
        <v>1074.9620225068497</v>
      </c>
      <c r="D102" s="109" cm="1">
        <f t="array" aca="1" ref="D102" ca="1">IFERROR(INDEX(_xlfn._xlws.FILTER(INDIRECT(D$1&amp;"!$E1:$E10000"),INDIRECT(D$1&amp;"!$a1:$a10000")=汇总!$A102),COUNTIF(INDIRECT(D$1&amp;"!$a1:$a10000"),汇总!$A102)),D101)</f>
        <v>1972.5584900000003</v>
      </c>
      <c r="E102" s="109" cm="1">
        <f t="array" aca="1" ref="E102" ca="1">IFERROR(INDEX(_xlfn._xlws.FILTER(INDIRECT(E$1&amp;"!$E1:$E10000"),INDIRECT(E$1&amp;"!$a1:$a10000")=汇总!$A102),COUNTIF(INDIRECT(E$1&amp;"!$a1:$a10000"),汇总!$A102)),E101)</f>
        <v>1748.4758499999996</v>
      </c>
      <c r="F102" s="109" cm="1">
        <f t="array" aca="1" ref="F102" ca="1">IFERROR(INDEX(_xlfn._xlws.FILTER(INDIRECT(F$1&amp;"!$E1:$E10000"),INDIRECT(F$1&amp;"!$a1:$a10000")=汇总!$A102),COUNTIF(INDIRECT(F$1&amp;"!$a1:$a10000"),汇总!$A102)),F101)</f>
        <v>7350</v>
      </c>
      <c r="G102" s="109" cm="1">
        <f t="array" aca="1" ref="G102" ca="1">IFERROR(INDEX(_xlfn._xlws.FILTER(INDIRECT(G$1&amp;"!$E1:$E10000"),INDIRECT(G$1&amp;"!$a1:$a10000")=汇总!$A102),COUNTIF(INDIRECT(G$1&amp;"!$a1:$a10000"),汇总!$A102)),G101)</f>
        <v>6771.4</v>
      </c>
      <c r="H102" s="109" cm="1">
        <f t="array" aca="1" ref="H102" ca="1">IFERROR(INDEX(_xlfn._xlws.FILTER(INDIRECT(H$1&amp;"!$E1:$E10000"),INDIRECT(H$1&amp;"!$a1:$a10000")=汇总!$A102),COUNTIF(INDIRECT(H$1&amp;"!$a1:$a10000"),汇总!$A102)),H101)</f>
        <v>119</v>
      </c>
      <c r="I102" s="109" cm="1">
        <f t="array" aca="1" ref="I102" ca="1">IFERROR(INDEX(_xlfn._xlws.FILTER(INDIRECT(I$1&amp;"!$E1:$E10000"),INDIRECT(I$1&amp;"!$a1:$a10000")=汇总!$A102),COUNTIF(INDIRECT(I$1&amp;"!$a1:$a10000"),汇总!$A102)),I101)</f>
        <v>17.531308999999823</v>
      </c>
      <c r="J102" s="109" cm="1">
        <f t="array" aca="1" ref="J102" ca="1">IFERROR(INDEX(_xlfn._xlws.FILTER(INDIRECT(J$1&amp;"!$E1:$E10000"),INDIRECT(J$1&amp;"!$a1:$a10000")=汇总!$A102),COUNTIF(INDIRECT(J$1&amp;"!$a1:$a10000"),汇总!$A102)),J101)</f>
        <v>2.5</v>
      </c>
      <c r="K102" s="109" cm="1">
        <f t="array" aca="1" ref="K102" ca="1">IFERROR(INDEX(_xlfn._xlws.FILTER(INDIRECT(K$1&amp;"!$E1:$E10000"),INDIRECT(K$1&amp;"!$a1:$a10000")=汇总!$A102),COUNTIF(INDIRECT(K$1&amp;"!$a1:$a10000"),汇总!$A102)),K101)</f>
        <v>554.08799999999985</v>
      </c>
      <c r="L102" s="109" cm="1">
        <f t="array" aca="1" ref="L102" ca="1">IFERROR(INDEX(_xlfn._xlws.FILTER(INDIRECT(L$1&amp;"!$E1:$E10000"),INDIRECT(L$1&amp;"!$a1:$a10000")=汇总!$A102),COUNTIF(INDIRECT(L$1&amp;"!$a1:$a10000"),汇总!$A102)),L101)</f>
        <v>54.77379999999971</v>
      </c>
      <c r="M102" s="109" cm="1">
        <f t="array" aca="1" ref="M102" ca="1">IFERROR(INDEX(_xlfn._xlws.FILTER(INDIRECT(M$1&amp;"!$E1:$E10000"),INDIRECT(M$1&amp;"!$a1:$a10000")=汇总!$A102),COUNTIF(INDIRECT(M$1&amp;"!$a1:$a10000"),汇总!$A102)),M101)</f>
        <v>53.3</v>
      </c>
      <c r="N102" s="109" cm="1">
        <f t="array" aca="1" ref="N102" ca="1">IFERROR(INDEX(_xlfn._xlws.FILTER(INDIRECT(N$1&amp;"!$E1:$E10000"),INDIRECT(N$1&amp;"!$a1:$a10000")=汇总!$A102),COUNTIF(INDIRECT(N$1&amp;"!$a1:$a10000"),汇总!$A102)),N101)</f>
        <v>45.520386999999104</v>
      </c>
      <c r="O102" s="109" cm="1">
        <f t="array" aca="1" ref="O102" ca="1">IFERROR(INDEX(_xlfn._xlws.FILTER(INDIRECT(O$1&amp;"!$E1:$E10000"),INDIRECT(O$1&amp;"!$a1:$a10000")=汇总!$A102),COUNTIF(INDIRECT(O$1&amp;"!$a1:$a10000"),汇总!$A102)),O101)</f>
        <v>2</v>
      </c>
      <c r="P102" s="109" cm="1">
        <f t="array" aca="1" ref="P102" ca="1">IFERROR(INDEX(_xlfn._xlws.FILTER(INDIRECT(P$1&amp;"!$E1:$E10000"),INDIRECT(P$1&amp;"!$a1:$a10000")=汇总!$A102),COUNTIF(INDIRECT(P$1&amp;"!$a1:$a10000"),汇总!$A102)),P101)</f>
        <v>11.45999999999998</v>
      </c>
      <c r="Q102" s="109" cm="1">
        <f t="array" aca="1" ref="Q102" ca="1">IFERROR(INDEX(_xlfn._xlws.FILTER(INDIRECT(Q$1&amp;"!$E1:$E10000"),INDIRECT(Q$1&amp;"!$a1:$a10000")=汇总!$A102),COUNTIF(INDIRECT(Q$1&amp;"!$a1:$a10000"),汇总!$A102)),Q101)</f>
        <v>65.3759399999999</v>
      </c>
      <c r="R102" s="109" cm="1">
        <f t="array" aca="1" ref="R102" ca="1">IFERROR(INDEX(_xlfn._xlws.FILTER(INDIRECT(R$1&amp;"!$E1:$E10000"),INDIRECT(R$1&amp;"!$a1:$a10000")=汇总!$A102),COUNTIF(INDIRECT(R$1&amp;"!$a1:$a10000"),汇总!$A102)),R101)</f>
        <v>333.7266999452055</v>
      </c>
      <c r="S102" s="109" cm="1">
        <f t="array" aca="1" ref="S102" ca="1">IFERROR(INDEX(_xlfn._xlws.FILTER(INDIRECT(S$1&amp;"!$E1:$E10000"),INDIRECT(S$1&amp;"!$a1:$a10000")=汇总!$A102),COUNTIF(INDIRECT(S$1&amp;"!$a1:$a10000"),汇总!$A102)),S101)</f>
        <v>634</v>
      </c>
      <c r="T102" s="109" cm="1">
        <f t="array" aca="1" ref="T102" ca="1">IFERROR(INDEX(_xlfn._xlws.FILTER(INDIRECT(T$1&amp;"!$E1:$E10000"),INDIRECT(T$1&amp;"!$a1:$a10000")=汇总!$A102),COUNTIF(INDIRECT(T$1&amp;"!$a1:$a10000"),汇总!$A102)),T101)</f>
        <v>0</v>
      </c>
    </row>
    <row r="103" spans="1:21">
      <c r="A103" s="1">
        <f t="shared" si="3"/>
        <v>46124</v>
      </c>
      <c r="B103" s="109" cm="1">
        <f t="array" aca="1" ref="B103" ca="1">IFERROR(INDEX(_xlfn._xlws.FILTER(INDIRECT(B$1&amp;"!$E1:$E10000"),INDIRECT(B$1&amp;"!$a1:$a10000")=汇总!$A103),COUNTIF(INDIRECT(B$1&amp;"!$a1:$a10000"),汇总!$A103)),B102)</f>
        <v>59.272627150685594</v>
      </c>
      <c r="C103" s="109" cm="1">
        <f t="array" aca="1" ref="C103" ca="1">IFERROR(INDEX(_xlfn._xlws.FILTER(INDIRECT(C$1&amp;"!$E1:$E10000"),INDIRECT(C$1&amp;"!$a1:$a10000")=汇总!$A103),COUNTIF(INDIRECT(C$1&amp;"!$a1:$a10000"),汇总!$A103)),C102)</f>
        <v>1074.9620225068497</v>
      </c>
      <c r="D103" s="109" cm="1">
        <f t="array" aca="1" ref="D103" ca="1">IFERROR(INDEX(_xlfn._xlws.FILTER(INDIRECT(D$1&amp;"!$E1:$E10000"),INDIRECT(D$1&amp;"!$a1:$a10000")=汇总!$A103),COUNTIF(INDIRECT(D$1&amp;"!$a1:$a10000"),汇总!$A103)),D102)</f>
        <v>1972.5584900000003</v>
      </c>
      <c r="E103" s="109" cm="1">
        <f t="array" aca="1" ref="E103" ca="1">IFERROR(INDEX(_xlfn._xlws.FILTER(INDIRECT(E$1&amp;"!$E1:$E10000"),INDIRECT(E$1&amp;"!$a1:$a10000")=汇总!$A103),COUNTIF(INDIRECT(E$1&amp;"!$a1:$a10000"),汇总!$A103)),E102)</f>
        <v>1748.4758499999996</v>
      </c>
      <c r="F103" s="109" cm="1">
        <f t="array" aca="1" ref="F103" ca="1">IFERROR(INDEX(_xlfn._xlws.FILTER(INDIRECT(F$1&amp;"!$E1:$E10000"),INDIRECT(F$1&amp;"!$a1:$a10000")=汇总!$A103),COUNTIF(INDIRECT(F$1&amp;"!$a1:$a10000"),汇总!$A103)),F102)</f>
        <v>7350</v>
      </c>
      <c r="G103" s="109" cm="1">
        <f t="array" aca="1" ref="G103" ca="1">IFERROR(INDEX(_xlfn._xlws.FILTER(INDIRECT(G$1&amp;"!$E1:$E10000"),INDIRECT(G$1&amp;"!$a1:$a10000")=汇总!$A103),COUNTIF(INDIRECT(G$1&amp;"!$a1:$a10000"),汇总!$A103)),G102)</f>
        <v>6771.4</v>
      </c>
      <c r="H103" s="109" cm="1">
        <f t="array" aca="1" ref="H103" ca="1">IFERROR(INDEX(_xlfn._xlws.FILTER(INDIRECT(H$1&amp;"!$E1:$E10000"),INDIRECT(H$1&amp;"!$a1:$a10000")=汇总!$A103),COUNTIF(INDIRECT(H$1&amp;"!$a1:$a10000"),汇总!$A103)),H102)</f>
        <v>119</v>
      </c>
      <c r="I103" s="109" cm="1">
        <f t="array" aca="1" ref="I103" ca="1">IFERROR(INDEX(_xlfn._xlws.FILTER(INDIRECT(I$1&amp;"!$E1:$E10000"),INDIRECT(I$1&amp;"!$a1:$a10000")=汇总!$A103),COUNTIF(INDIRECT(I$1&amp;"!$a1:$a10000"),汇总!$A103)),I102)</f>
        <v>17.531308999999823</v>
      </c>
      <c r="J103" s="109" cm="1">
        <f t="array" aca="1" ref="J103" ca="1">IFERROR(INDEX(_xlfn._xlws.FILTER(INDIRECT(J$1&amp;"!$E1:$E10000"),INDIRECT(J$1&amp;"!$a1:$a10000")=汇总!$A103),COUNTIF(INDIRECT(J$1&amp;"!$a1:$a10000"),汇总!$A103)),J102)</f>
        <v>2.5</v>
      </c>
      <c r="K103" s="109" cm="1">
        <f t="array" aca="1" ref="K103" ca="1">IFERROR(INDEX(_xlfn._xlws.FILTER(INDIRECT(K$1&amp;"!$E1:$E10000"),INDIRECT(K$1&amp;"!$a1:$a10000")=汇总!$A103),COUNTIF(INDIRECT(K$1&amp;"!$a1:$a10000"),汇总!$A103)),K102)</f>
        <v>554.08799999999985</v>
      </c>
      <c r="L103" s="109" cm="1">
        <f t="array" aca="1" ref="L103" ca="1">IFERROR(INDEX(_xlfn._xlws.FILTER(INDIRECT(L$1&amp;"!$E1:$E10000"),INDIRECT(L$1&amp;"!$a1:$a10000")=汇总!$A103),COUNTIF(INDIRECT(L$1&amp;"!$a1:$a10000"),汇总!$A103)),L102)</f>
        <v>54.77379999999971</v>
      </c>
      <c r="M103" s="109" cm="1">
        <f t="array" aca="1" ref="M103" ca="1">IFERROR(INDEX(_xlfn._xlws.FILTER(INDIRECT(M$1&amp;"!$E1:$E10000"),INDIRECT(M$1&amp;"!$a1:$a10000")=汇总!$A103),COUNTIF(INDIRECT(M$1&amp;"!$a1:$a10000"),汇总!$A103)),M102)</f>
        <v>53.3</v>
      </c>
      <c r="N103" s="109" cm="1">
        <f t="array" aca="1" ref="N103" ca="1">IFERROR(INDEX(_xlfn._xlws.FILTER(INDIRECT(N$1&amp;"!$E1:$E10000"),INDIRECT(N$1&amp;"!$a1:$a10000")=汇总!$A103),COUNTIF(INDIRECT(N$1&amp;"!$a1:$a10000"),汇总!$A103)),N102)</f>
        <v>45.520386999999104</v>
      </c>
      <c r="O103" s="109" cm="1">
        <f t="array" aca="1" ref="O103" ca="1">IFERROR(INDEX(_xlfn._xlws.FILTER(INDIRECT(O$1&amp;"!$E1:$E10000"),INDIRECT(O$1&amp;"!$a1:$a10000")=汇总!$A103),COUNTIF(INDIRECT(O$1&amp;"!$a1:$a10000"),汇总!$A103)),O102)</f>
        <v>2</v>
      </c>
      <c r="P103" s="109" cm="1">
        <f t="array" aca="1" ref="P103" ca="1">IFERROR(INDEX(_xlfn._xlws.FILTER(INDIRECT(P$1&amp;"!$E1:$E10000"),INDIRECT(P$1&amp;"!$a1:$a10000")=汇总!$A103),COUNTIF(INDIRECT(P$1&amp;"!$a1:$a10000"),汇总!$A103)),P102)</f>
        <v>11.45999999999998</v>
      </c>
      <c r="Q103" s="109" cm="1">
        <f t="array" aca="1" ref="Q103" ca="1">IFERROR(INDEX(_xlfn._xlws.FILTER(INDIRECT(Q$1&amp;"!$E1:$E10000"),INDIRECT(Q$1&amp;"!$a1:$a10000")=汇总!$A103),COUNTIF(INDIRECT(Q$1&amp;"!$a1:$a10000"),汇总!$A103)),Q102)</f>
        <v>65.3759399999999</v>
      </c>
      <c r="R103" s="109" cm="1">
        <f t="array" aca="1" ref="R103" ca="1">IFERROR(INDEX(_xlfn._xlws.FILTER(INDIRECT(R$1&amp;"!$E1:$E10000"),INDIRECT(R$1&amp;"!$a1:$a10000")=汇总!$A103),COUNTIF(INDIRECT(R$1&amp;"!$a1:$a10000"),汇总!$A103)),R102)</f>
        <v>333.7266999452055</v>
      </c>
      <c r="S103" s="109" cm="1">
        <f t="array" aca="1" ref="S103" ca="1">IFERROR(INDEX(_xlfn._xlws.FILTER(INDIRECT(S$1&amp;"!$E1:$E10000"),INDIRECT(S$1&amp;"!$a1:$a10000")=汇总!$A103),COUNTIF(INDIRECT(S$1&amp;"!$a1:$a10000"),汇总!$A103)),S102)</f>
        <v>634</v>
      </c>
      <c r="T103" s="109" cm="1">
        <f t="array" aca="1" ref="T103" ca="1">IFERROR(INDEX(_xlfn._xlws.FILTER(INDIRECT(T$1&amp;"!$E1:$E10000"),INDIRECT(T$1&amp;"!$a1:$a10000")=汇总!$A103),COUNTIF(INDIRECT(T$1&amp;"!$a1:$a10000"),汇总!$A103)),T102)</f>
        <v>0</v>
      </c>
    </row>
    <row r="104" spans="1:21">
      <c r="A104" s="1">
        <f t="shared" si="3"/>
        <v>46125</v>
      </c>
      <c r="B104" s="109" cm="1">
        <f t="array" aca="1" ref="B104" ca="1">IFERROR(INDEX(_xlfn._xlws.FILTER(INDIRECT(B$1&amp;"!$E1:$E10000"),INDIRECT(B$1&amp;"!$a1:$a10000")=汇总!$A104),COUNTIF(INDIRECT(B$1&amp;"!$a1:$a10000"),汇总!$A104)),B103)</f>
        <v>662</v>
      </c>
      <c r="C104" s="109" cm="1">
        <f t="array" aca="1" ref="C104" ca="1">IFERROR(INDEX(_xlfn._xlws.FILTER(INDIRECT(C$1&amp;"!$E1:$E10000"),INDIRECT(C$1&amp;"!$a1:$a10000")=汇总!$A104),COUNTIF(INDIRECT(C$1&amp;"!$a1:$a10000"),汇总!$A104)),C103)</f>
        <v>1074.9620225068497</v>
      </c>
      <c r="D104" s="109" cm="1">
        <f t="array" aca="1" ref="D104" ca="1">IFERROR(INDEX(_xlfn._xlws.FILTER(INDIRECT(D$1&amp;"!$E1:$E10000"),INDIRECT(D$1&amp;"!$a1:$a10000")=汇总!$A104),COUNTIF(INDIRECT(D$1&amp;"!$a1:$a10000"),汇总!$A104)),D103)</f>
        <v>1679.7384900000004</v>
      </c>
      <c r="E104" s="109" cm="1">
        <f t="array" aca="1" ref="E104" ca="1">IFERROR(INDEX(_xlfn._xlws.FILTER(INDIRECT(E$1&amp;"!$E1:$E10000"),INDIRECT(E$1&amp;"!$a1:$a10000")=汇总!$A104),COUNTIF(INDIRECT(E$1&amp;"!$a1:$a10000"),汇总!$A104)),E103)</f>
        <v>1748.4758499999996</v>
      </c>
      <c r="F104" s="109" cm="1">
        <f t="array" aca="1" ref="F104" ca="1">IFERROR(INDEX(_xlfn._xlws.FILTER(INDIRECT(F$1&amp;"!$E1:$E10000"),INDIRECT(F$1&amp;"!$a1:$a10000")=汇总!$A104),COUNTIF(INDIRECT(F$1&amp;"!$a1:$a10000"),汇总!$A104)),F103)</f>
        <v>7350</v>
      </c>
      <c r="G104" s="109" cm="1">
        <f t="array" aca="1" ref="G104" ca="1">IFERROR(INDEX(_xlfn._xlws.FILTER(INDIRECT(G$1&amp;"!$E1:$E10000"),INDIRECT(G$1&amp;"!$a1:$a10000")=汇总!$A104),COUNTIF(INDIRECT(G$1&amp;"!$a1:$a10000"),汇总!$A104)),G103)</f>
        <v>7703</v>
      </c>
      <c r="H104" s="109" cm="1">
        <f t="array" aca="1" ref="H104" ca="1">IFERROR(INDEX(_xlfn._xlws.FILTER(INDIRECT(H$1&amp;"!$E1:$E10000"),INDIRECT(H$1&amp;"!$a1:$a10000")=汇总!$A104),COUNTIF(INDIRECT(H$1&amp;"!$a1:$a10000"),汇总!$A104)),H103)</f>
        <v>219</v>
      </c>
      <c r="I104" s="109" cm="1">
        <f t="array" aca="1" ref="I104" ca="1">IFERROR(INDEX(_xlfn._xlws.FILTER(INDIRECT(I$1&amp;"!$E1:$E10000"),INDIRECT(I$1&amp;"!$a1:$a10000")=汇总!$A104),COUNTIF(INDIRECT(I$1&amp;"!$a1:$a10000"),汇总!$A104)),I103)</f>
        <v>17.531308999999823</v>
      </c>
      <c r="J104" s="109" cm="1">
        <f t="array" aca="1" ref="J104" ca="1">IFERROR(INDEX(_xlfn._xlws.FILTER(INDIRECT(J$1&amp;"!$E1:$E10000"),INDIRECT(J$1&amp;"!$a1:$a10000")=汇总!$A104),COUNTIF(INDIRECT(J$1&amp;"!$a1:$a10000"),汇总!$A104)),J103)</f>
        <v>2.5</v>
      </c>
      <c r="K104" s="109" cm="1">
        <f t="array" aca="1" ref="K104" ca="1">IFERROR(INDEX(_xlfn._xlws.FILTER(INDIRECT(K$1&amp;"!$E1:$E10000"),INDIRECT(K$1&amp;"!$a1:$a10000")=汇总!$A104),COUNTIF(INDIRECT(K$1&amp;"!$a1:$a10000"),汇总!$A104)),K103)</f>
        <v>899.08799999999985</v>
      </c>
      <c r="L104" s="109" cm="1">
        <f t="array" aca="1" ref="L104" ca="1">IFERROR(INDEX(_xlfn._xlws.FILTER(INDIRECT(L$1&amp;"!$E1:$E10000"),INDIRECT(L$1&amp;"!$a1:$a10000")=汇总!$A104),COUNTIF(INDIRECT(L$1&amp;"!$a1:$a10000"),汇总!$A104)),L103)</f>
        <v>48.473799999999713</v>
      </c>
      <c r="M104" s="109" cm="1">
        <f t="array" aca="1" ref="M104" ca="1">IFERROR(INDEX(_xlfn._xlws.FILTER(INDIRECT(M$1&amp;"!$E1:$E10000"),INDIRECT(M$1&amp;"!$a1:$a10000")=汇总!$A104),COUNTIF(INDIRECT(M$1&amp;"!$a1:$a10000"),汇总!$A104)),M103)</f>
        <v>53.3</v>
      </c>
      <c r="N104" s="109" cm="1">
        <f t="array" aca="1" ref="N104" ca="1">IFERROR(INDEX(_xlfn._xlws.FILTER(INDIRECT(N$1&amp;"!$E1:$E10000"),INDIRECT(N$1&amp;"!$a1:$a10000")=汇总!$A104),COUNTIF(INDIRECT(N$1&amp;"!$a1:$a10000"),汇总!$A104)),N103)</f>
        <v>45.520386999999104</v>
      </c>
      <c r="O104" s="109" cm="1">
        <f t="array" aca="1" ref="O104" ca="1">IFERROR(INDEX(_xlfn._xlws.FILTER(INDIRECT(O$1&amp;"!$E1:$E10000"),INDIRECT(O$1&amp;"!$a1:$a10000")=汇总!$A104),COUNTIF(INDIRECT(O$1&amp;"!$a1:$a10000"),汇总!$A104)),O103)</f>
        <v>2</v>
      </c>
      <c r="P104" s="109" cm="1">
        <f t="array" aca="1" ref="P104" ca="1">IFERROR(INDEX(_xlfn._xlws.FILTER(INDIRECT(P$1&amp;"!$E1:$E10000"),INDIRECT(P$1&amp;"!$a1:$a10000")=汇总!$A104),COUNTIF(INDIRECT(P$1&amp;"!$a1:$a10000"),汇总!$A104)),P103)</f>
        <v>11.45999999999998</v>
      </c>
      <c r="Q104" s="109" cm="1">
        <f t="array" aca="1" ref="Q104" ca="1">IFERROR(INDEX(_xlfn._xlws.FILTER(INDIRECT(Q$1&amp;"!$E1:$E10000"),INDIRECT(Q$1&amp;"!$a1:$a10000")=汇总!$A104),COUNTIF(INDIRECT(Q$1&amp;"!$a1:$a10000"),汇总!$A104)),Q103)</f>
        <v>65.3759399999999</v>
      </c>
      <c r="R104" s="109" cm="1">
        <f t="array" aca="1" ref="R104" ca="1">IFERROR(INDEX(_xlfn._xlws.FILTER(INDIRECT(R$1&amp;"!$E1:$E10000"),INDIRECT(R$1&amp;"!$a1:$a10000")=汇总!$A104),COUNTIF(INDIRECT(R$1&amp;"!$a1:$a10000"),汇总!$A104)),R103)</f>
        <v>333.7266999452055</v>
      </c>
      <c r="S104" s="109" cm="1">
        <f t="array" aca="1" ref="S104" ca="1">IFERROR(INDEX(_xlfn._xlws.FILTER(INDIRECT(S$1&amp;"!$E1:$E10000"),INDIRECT(S$1&amp;"!$a1:$a10000")=汇总!$A104),COUNTIF(INDIRECT(S$1&amp;"!$a1:$a10000"),汇总!$A104)),S103)</f>
        <v>634</v>
      </c>
      <c r="T104" s="109" cm="1">
        <f t="array" aca="1" ref="T104" ca="1">IFERROR(INDEX(_xlfn._xlws.FILTER(INDIRECT(T$1&amp;"!$E1:$E10000"),INDIRECT(T$1&amp;"!$a1:$a10000")=汇总!$A104),COUNTIF(INDIRECT(T$1&amp;"!$a1:$a10000"),汇总!$A104)),T103)</f>
        <v>0</v>
      </c>
    </row>
    <row r="105" spans="1:21">
      <c r="A105" s="1">
        <f t="shared" si="3"/>
        <v>46126</v>
      </c>
      <c r="B105" s="109" cm="1">
        <f t="array" aca="1" ref="B105" ca="1">IFERROR(INDEX(_xlfn._xlws.FILTER(INDIRECT(B$1&amp;"!$E1:$E10000"),INDIRECT(B$1&amp;"!$a1:$a10000")=汇总!$A105),COUNTIF(INDIRECT(B$1&amp;"!$a1:$a10000"),汇总!$A105)),B104)</f>
        <v>360.12060000000002</v>
      </c>
      <c r="C105" s="109" cm="1">
        <f t="array" aca="1" ref="C105" ca="1">IFERROR(INDEX(_xlfn._xlws.FILTER(INDIRECT(C$1&amp;"!$E1:$E10000"),INDIRECT(C$1&amp;"!$a1:$a10000")=汇总!$A105),COUNTIF(INDIRECT(C$1&amp;"!$a1:$a10000"),汇总!$A105)),C104)</f>
        <v>1074.9620225068497</v>
      </c>
      <c r="D105" s="109" cm="1">
        <f t="array" aca="1" ref="D105" ca="1">IFERROR(INDEX(_xlfn._xlws.FILTER(INDIRECT(D$1&amp;"!$E1:$E10000"),INDIRECT(D$1&amp;"!$a1:$a10000")=汇总!$A105),COUNTIF(INDIRECT(D$1&amp;"!$a1:$a10000"),汇总!$A105)),D104)</f>
        <v>2018.4384900000005</v>
      </c>
      <c r="E105" s="109" cm="1">
        <f t="array" aca="1" ref="E105" ca="1">IFERROR(INDEX(_xlfn._xlws.FILTER(INDIRECT(E$1&amp;"!$E1:$E10000"),INDIRECT(E$1&amp;"!$a1:$a10000")=汇总!$A105),COUNTIF(INDIRECT(E$1&amp;"!$a1:$a10000"),汇总!$A105)),E104)</f>
        <v>679.61834999999985</v>
      </c>
      <c r="F105" s="109" cm="1">
        <f t="array" aca="1" ref="F105" ca="1">IFERROR(INDEX(_xlfn._xlws.FILTER(INDIRECT(F$1&amp;"!$E1:$E10000"),INDIRECT(F$1&amp;"!$a1:$a10000")=汇总!$A105),COUNTIF(INDIRECT(F$1&amp;"!$a1:$a10000"),汇总!$A105)),F104)</f>
        <v>7350</v>
      </c>
      <c r="G105" s="109" cm="1">
        <f t="array" aca="1" ref="G105" ca="1">IFERROR(INDEX(_xlfn._xlws.FILTER(INDIRECT(G$1&amp;"!$E1:$E10000"),INDIRECT(G$1&amp;"!$a1:$a10000")=汇总!$A105),COUNTIF(INDIRECT(G$1&amp;"!$a1:$a10000"),汇总!$A105)),G104)</f>
        <v>7703</v>
      </c>
      <c r="H105" s="109" cm="1">
        <f t="array" aca="1" ref="H105" ca="1">IFERROR(INDEX(_xlfn._xlws.FILTER(INDIRECT(H$1&amp;"!$E1:$E10000"),INDIRECT(H$1&amp;"!$a1:$a10000")=汇总!$A105),COUNTIF(INDIRECT(H$1&amp;"!$a1:$a10000"),汇总!$A105)),H104)</f>
        <v>219</v>
      </c>
      <c r="I105" s="109" cm="1">
        <f t="array" aca="1" ref="I105" ca="1">IFERROR(INDEX(_xlfn._xlws.FILTER(INDIRECT(I$1&amp;"!$E1:$E10000"),INDIRECT(I$1&amp;"!$a1:$a10000")=汇总!$A105),COUNTIF(INDIRECT(I$1&amp;"!$a1:$a10000"),汇总!$A105)),I104)</f>
        <v>17.531308999999823</v>
      </c>
      <c r="J105" s="109" cm="1">
        <f t="array" aca="1" ref="J105" ca="1">IFERROR(INDEX(_xlfn._xlws.FILTER(INDIRECT(J$1&amp;"!$E1:$E10000"),INDIRECT(J$1&amp;"!$a1:$a10000")=汇总!$A105),COUNTIF(INDIRECT(J$1&amp;"!$a1:$a10000"),汇总!$A105)),J104)</f>
        <v>2.5</v>
      </c>
      <c r="K105" s="109" cm="1">
        <f t="array" aca="1" ref="K105" ca="1">IFERROR(INDEX(_xlfn._xlws.FILTER(INDIRECT(K$1&amp;"!$E1:$E10000"),INDIRECT(K$1&amp;"!$a1:$a10000")=汇总!$A105),COUNTIF(INDIRECT(K$1&amp;"!$a1:$a10000"),汇总!$A105)),K104)</f>
        <v>899.08799999999985</v>
      </c>
      <c r="L105" s="109" cm="1">
        <f t="array" aca="1" ref="L105" ca="1">IFERROR(INDEX(_xlfn._xlws.FILTER(INDIRECT(L$1&amp;"!$E1:$E10000"),INDIRECT(L$1&amp;"!$a1:$a10000")=汇总!$A105),COUNTIF(INDIRECT(L$1&amp;"!$a1:$a10000"),汇总!$A105)),L104)</f>
        <v>48.473799999999713</v>
      </c>
      <c r="M105" s="109" cm="1">
        <f t="array" aca="1" ref="M105" ca="1">IFERROR(INDEX(_xlfn._xlws.FILTER(INDIRECT(M$1&amp;"!$E1:$E10000"),INDIRECT(M$1&amp;"!$a1:$a10000")=汇总!$A105),COUNTIF(INDIRECT(M$1&amp;"!$a1:$a10000"),汇总!$A105)),M104)</f>
        <v>53.3</v>
      </c>
      <c r="N105" s="109" cm="1">
        <f t="array" aca="1" ref="N105" ca="1">IFERROR(INDEX(_xlfn._xlws.FILTER(INDIRECT(N$1&amp;"!$E1:$E10000"),INDIRECT(N$1&amp;"!$a1:$a10000")=汇总!$A105),COUNTIF(INDIRECT(N$1&amp;"!$a1:$a10000"),汇总!$A105)),N104)</f>
        <v>45.520386999999104</v>
      </c>
      <c r="O105" s="109" cm="1">
        <f t="array" aca="1" ref="O105" ca="1">IFERROR(INDEX(_xlfn._xlws.FILTER(INDIRECT(O$1&amp;"!$E1:$E10000"),INDIRECT(O$1&amp;"!$a1:$a10000")=汇总!$A105),COUNTIF(INDIRECT(O$1&amp;"!$a1:$a10000"),汇总!$A105)),O104)</f>
        <v>2</v>
      </c>
      <c r="P105" s="109" cm="1">
        <f t="array" aca="1" ref="P105" ca="1">IFERROR(INDEX(_xlfn._xlws.FILTER(INDIRECT(P$1&amp;"!$E1:$E10000"),INDIRECT(P$1&amp;"!$a1:$a10000")=汇总!$A105),COUNTIF(INDIRECT(P$1&amp;"!$a1:$a10000"),汇总!$A105)),P104)</f>
        <v>11.45999999999998</v>
      </c>
      <c r="Q105" s="109" cm="1">
        <f t="array" aca="1" ref="Q105" ca="1">IFERROR(INDEX(_xlfn._xlws.FILTER(INDIRECT(Q$1&amp;"!$E1:$E10000"),INDIRECT(Q$1&amp;"!$a1:$a10000")=汇总!$A105),COUNTIF(INDIRECT(Q$1&amp;"!$a1:$a10000"),汇总!$A105)),Q104)</f>
        <v>65.3759399999999</v>
      </c>
      <c r="R105" s="109" cm="1">
        <f t="array" aca="1" ref="R105" ca="1">IFERROR(INDEX(_xlfn._xlws.FILTER(INDIRECT(R$1&amp;"!$E1:$E10000"),INDIRECT(R$1&amp;"!$a1:$a10000")=汇总!$A105),COUNTIF(INDIRECT(R$1&amp;"!$a1:$a10000"),汇总!$A105)),R104)</f>
        <v>333.7266999452055</v>
      </c>
      <c r="S105" s="109" cm="1">
        <f t="array" aca="1" ref="S105" ca="1">IFERROR(INDEX(_xlfn._xlws.FILTER(INDIRECT(S$1&amp;"!$E1:$E10000"),INDIRECT(S$1&amp;"!$a1:$a10000")=汇总!$A105),COUNTIF(INDIRECT(S$1&amp;"!$a1:$a10000"),汇总!$A105)),S104)</f>
        <v>34</v>
      </c>
      <c r="T105" s="109" cm="1">
        <f t="array" aca="1" ref="T105" ca="1">IFERROR(INDEX(_xlfn._xlws.FILTER(INDIRECT(T$1&amp;"!$E1:$E10000"),INDIRECT(T$1&amp;"!$a1:$a10000")=汇总!$A105),COUNTIF(INDIRECT(T$1&amp;"!$a1:$a10000"),汇总!$A105)),T104)</f>
        <v>0</v>
      </c>
    </row>
    <row r="106" spans="1:21">
      <c r="A106" s="1">
        <f t="shared" si="3"/>
        <v>46127</v>
      </c>
      <c r="B106" s="109" cm="1">
        <f t="array" aca="1" ref="B106" ca="1">IFERROR(INDEX(_xlfn._xlws.FILTER(INDIRECT(B$1&amp;"!$E1:$E10000"),INDIRECT(B$1&amp;"!$a1:$a10000")=汇总!$A106),COUNTIF(INDIRECT(B$1&amp;"!$a1:$a10000"),汇总!$A106)),B105)</f>
        <v>748.12059999999997</v>
      </c>
      <c r="C106" s="109" cm="1">
        <f t="array" aca="1" ref="C106" ca="1">IFERROR(INDEX(_xlfn._xlws.FILTER(INDIRECT(C$1&amp;"!$E1:$E10000"),INDIRECT(C$1&amp;"!$a1:$a10000")=汇总!$A106),COUNTIF(INDIRECT(C$1&amp;"!$a1:$a10000"),汇总!$A106)),C105)</f>
        <v>1357</v>
      </c>
      <c r="D106" s="109" cm="1">
        <f t="array" aca="1" ref="D106" ca="1">IFERROR(INDEX(_xlfn._xlws.FILTER(INDIRECT(D$1&amp;"!$E1:$E10000"),INDIRECT(D$1&amp;"!$a1:$a10000")=汇总!$A106),COUNTIF(INDIRECT(D$1&amp;"!$a1:$a10000"),汇总!$A106)),D105)</f>
        <v>62.720310000000495</v>
      </c>
      <c r="E106" s="109" cm="1">
        <f t="array" aca="1" ref="E106" ca="1">IFERROR(INDEX(_xlfn._xlws.FILTER(INDIRECT(E$1&amp;"!$E1:$E10000"),INDIRECT(E$1&amp;"!$a1:$a10000")=汇总!$A106),COUNTIF(INDIRECT(E$1&amp;"!$a1:$a10000"),汇总!$A106)),E105)</f>
        <v>910.01834999999983</v>
      </c>
      <c r="F106" s="109" cm="1">
        <f t="array" aca="1" ref="F106" ca="1">IFERROR(INDEX(_xlfn._xlws.FILTER(INDIRECT(F$1&amp;"!$E1:$E10000"),INDIRECT(F$1&amp;"!$a1:$a10000")=汇总!$A106),COUNTIF(INDIRECT(F$1&amp;"!$a1:$a10000"),汇总!$A106)),F105)</f>
        <v>9096</v>
      </c>
      <c r="G106" s="109" cm="1">
        <f t="array" aca="1" ref="G106" ca="1">IFERROR(INDEX(_xlfn._xlws.FILTER(INDIRECT(G$1&amp;"!$E1:$E10000"),INDIRECT(G$1&amp;"!$a1:$a10000")=汇总!$A106),COUNTIF(INDIRECT(G$1&amp;"!$a1:$a10000"),汇总!$A106)),G105)</f>
        <v>8780.4</v>
      </c>
      <c r="H106" s="109" cm="1">
        <f t="array" aca="1" ref="H106" ca="1">IFERROR(INDEX(_xlfn._xlws.FILTER(INDIRECT(H$1&amp;"!$E1:$E10000"),INDIRECT(H$1&amp;"!$a1:$a10000")=汇总!$A106),COUNTIF(INDIRECT(H$1&amp;"!$a1:$a10000"),汇总!$A106)),H105)</f>
        <v>219</v>
      </c>
      <c r="I106" s="109" cm="1">
        <f t="array" aca="1" ref="I106" ca="1">IFERROR(INDEX(_xlfn._xlws.FILTER(INDIRECT(I$1&amp;"!$E1:$E10000"),INDIRECT(I$1&amp;"!$a1:$a10000")=汇总!$A106),COUNTIF(INDIRECT(I$1&amp;"!$a1:$a10000"),汇总!$A106)),I105)</f>
        <v>17.531308999999823</v>
      </c>
      <c r="J106" s="109" cm="1">
        <f t="array" aca="1" ref="J106" ca="1">IFERROR(INDEX(_xlfn._xlws.FILTER(INDIRECT(J$1&amp;"!$E1:$E10000"),INDIRECT(J$1&amp;"!$a1:$a10000")=汇总!$A106),COUNTIF(INDIRECT(J$1&amp;"!$a1:$a10000"),汇总!$A106)),J105)</f>
        <v>2.5</v>
      </c>
      <c r="K106" s="109" cm="1">
        <f t="array" aca="1" ref="K106" ca="1">IFERROR(INDEX(_xlfn._xlws.FILTER(INDIRECT(K$1&amp;"!$E1:$E10000"),INDIRECT(K$1&amp;"!$a1:$a10000")=汇总!$A106),COUNTIF(INDIRECT(K$1&amp;"!$a1:$a10000"),汇总!$A106)),K105)</f>
        <v>891.08799999999985</v>
      </c>
      <c r="L106" s="109" cm="1">
        <f t="array" aca="1" ref="L106" ca="1">IFERROR(INDEX(_xlfn._xlws.FILTER(INDIRECT(L$1&amp;"!$E1:$E10000"),INDIRECT(L$1&amp;"!$a1:$a10000")=汇总!$A106),COUNTIF(INDIRECT(L$1&amp;"!$a1:$a10000"),汇总!$A106)),L105)</f>
        <v>48.473799999999713</v>
      </c>
      <c r="M106" s="109" cm="1">
        <f t="array" aca="1" ref="M106" ca="1">IFERROR(INDEX(_xlfn._xlws.FILTER(INDIRECT(M$1&amp;"!$E1:$E10000"),INDIRECT(M$1&amp;"!$a1:$a10000")=汇总!$A106),COUNTIF(INDIRECT(M$1&amp;"!$a1:$a10000"),汇总!$A106)),M105)</f>
        <v>53.3</v>
      </c>
      <c r="N106" s="109" cm="1">
        <f t="array" aca="1" ref="N106" ca="1">IFERROR(INDEX(_xlfn._xlws.FILTER(INDIRECT(N$1&amp;"!$E1:$E10000"),INDIRECT(N$1&amp;"!$a1:$a10000")=汇总!$A106),COUNTIF(INDIRECT(N$1&amp;"!$a1:$a10000"),汇总!$A106)),N105)</f>
        <v>45.520386999999104</v>
      </c>
      <c r="O106" s="109" cm="1">
        <f t="array" aca="1" ref="O106" ca="1">IFERROR(INDEX(_xlfn._xlws.FILTER(INDIRECT(O$1&amp;"!$E1:$E10000"),INDIRECT(O$1&amp;"!$a1:$a10000")=汇总!$A106),COUNTIF(INDIRECT(O$1&amp;"!$a1:$a10000"),汇总!$A106)),O105)</f>
        <v>2</v>
      </c>
      <c r="P106" s="109" cm="1">
        <f t="array" aca="1" ref="P106" ca="1">IFERROR(INDEX(_xlfn._xlws.FILTER(INDIRECT(P$1&amp;"!$E1:$E10000"),INDIRECT(P$1&amp;"!$a1:$a10000")=汇总!$A106),COUNTIF(INDIRECT(P$1&amp;"!$a1:$a10000"),汇总!$A106)),P105)</f>
        <v>19.45999999999998</v>
      </c>
      <c r="Q106" s="109" cm="1">
        <f t="array" aca="1" ref="Q106" ca="1">IFERROR(INDEX(_xlfn._xlws.FILTER(INDIRECT(Q$1&amp;"!$E1:$E10000"),INDIRECT(Q$1&amp;"!$a1:$a10000")=汇总!$A106),COUNTIF(INDIRECT(Q$1&amp;"!$a1:$a10000"),汇总!$A106)),Q105)</f>
        <v>65.3759399999999</v>
      </c>
      <c r="R106" s="109" cm="1">
        <f t="array" aca="1" ref="R106" ca="1">IFERROR(INDEX(_xlfn._xlws.FILTER(INDIRECT(R$1&amp;"!$E1:$E10000"),INDIRECT(R$1&amp;"!$a1:$a10000")=汇总!$A106),COUNTIF(INDIRECT(R$1&amp;"!$a1:$a10000"),汇总!$A106)),R105)</f>
        <v>444.7266999452055</v>
      </c>
      <c r="S106" s="109" cm="1">
        <f t="array" aca="1" ref="S106" ca="1">IFERROR(INDEX(_xlfn._xlws.FILTER(INDIRECT(S$1&amp;"!$E1:$E10000"),INDIRECT(S$1&amp;"!$a1:$a10000")=汇总!$A106),COUNTIF(INDIRECT(S$1&amp;"!$a1:$a10000"),汇总!$A106)),S105)</f>
        <v>34</v>
      </c>
      <c r="T106" s="109" cm="1">
        <f t="array" aca="1" ref="T106" ca="1">IFERROR(INDEX(_xlfn._xlws.FILTER(INDIRECT(T$1&amp;"!$E1:$E10000"),INDIRECT(T$1&amp;"!$a1:$a10000")=汇总!$A106),COUNTIF(INDIRECT(T$1&amp;"!$a1:$a10000"),汇总!$A106)),T105)</f>
        <v>0</v>
      </c>
    </row>
    <row r="107" spans="1:21">
      <c r="A107" s="1">
        <f t="shared" si="3"/>
        <v>46128</v>
      </c>
      <c r="B107" s="109" cm="1">
        <f t="array" aca="1" ref="B107" ca="1">IFERROR(INDEX(_xlfn._xlws.FILTER(INDIRECT(B$1&amp;"!$E1:$E10000"),INDIRECT(B$1&amp;"!$a1:$a10000")=汇总!$A107),COUNTIF(INDIRECT(B$1&amp;"!$a1:$a10000"),汇总!$A107)),B106)</f>
        <v>748.12059999999997</v>
      </c>
      <c r="C107" s="109" cm="1">
        <f t="array" aca="1" ref="C107" ca="1">IFERROR(INDEX(_xlfn._xlws.FILTER(INDIRECT(C$1&amp;"!$E1:$E10000"),INDIRECT(C$1&amp;"!$a1:$a10000")=汇总!$A107),COUNTIF(INDIRECT(C$1&amp;"!$a1:$a10000"),汇总!$A107)),C106)</f>
        <v>1662</v>
      </c>
      <c r="D107" s="109" cm="1">
        <f t="array" aca="1" ref="D107" ca="1">IFERROR(INDEX(_xlfn._xlws.FILTER(INDIRECT(D$1&amp;"!$E1:$E10000"),INDIRECT(D$1&amp;"!$a1:$a10000")=汇总!$A107),COUNTIF(INDIRECT(D$1&amp;"!$a1:$a10000"),汇总!$A107)),D106)</f>
        <v>62.720310000000495</v>
      </c>
      <c r="E107" s="109" cm="1">
        <f t="array" aca="1" ref="E107" ca="1">IFERROR(INDEX(_xlfn._xlws.FILTER(INDIRECT(E$1&amp;"!$E1:$E10000"),INDIRECT(E$1&amp;"!$a1:$a10000")=汇总!$A107),COUNTIF(INDIRECT(E$1&amp;"!$a1:$a10000"),汇总!$A107)),E106)</f>
        <v>913.00834999999984</v>
      </c>
      <c r="F107" s="109" cm="1">
        <f t="array" aca="1" ref="F107" ca="1">IFERROR(INDEX(_xlfn._xlws.FILTER(INDIRECT(F$1&amp;"!$E1:$E10000"),INDIRECT(F$1&amp;"!$a1:$a10000")=汇总!$A107),COUNTIF(INDIRECT(F$1&amp;"!$a1:$a10000"),汇总!$A107)),F106)</f>
        <v>11482</v>
      </c>
      <c r="G107" s="109" cm="1">
        <f t="array" aca="1" ref="G107" ca="1">IFERROR(INDEX(_xlfn._xlws.FILTER(INDIRECT(G$1&amp;"!$E1:$E10000"),INDIRECT(G$1&amp;"!$a1:$a10000")=汇总!$A107),COUNTIF(INDIRECT(G$1&amp;"!$a1:$a10000"),汇总!$A107)),G106)</f>
        <v>8047.4</v>
      </c>
      <c r="H107" s="109" cm="1">
        <f t="array" aca="1" ref="H107" ca="1">IFERROR(INDEX(_xlfn._xlws.FILTER(INDIRECT(H$1&amp;"!$E1:$E10000"),INDIRECT(H$1&amp;"!$a1:$a10000")=汇总!$A107),COUNTIF(INDIRECT(H$1&amp;"!$a1:$a10000"),汇总!$A107)),H106)</f>
        <v>219</v>
      </c>
      <c r="I107" s="109" cm="1">
        <f t="array" aca="1" ref="I107" ca="1">IFERROR(INDEX(_xlfn._xlws.FILTER(INDIRECT(I$1&amp;"!$E1:$E10000"),INDIRECT(I$1&amp;"!$a1:$a10000")=汇总!$A107),COUNTIF(INDIRECT(I$1&amp;"!$a1:$a10000"),汇总!$A107)),I106)</f>
        <v>17.531308999999823</v>
      </c>
      <c r="J107" s="109" cm="1">
        <f t="array" aca="1" ref="J107" ca="1">IFERROR(INDEX(_xlfn._xlws.FILTER(INDIRECT(J$1&amp;"!$E1:$E10000"),INDIRECT(J$1&amp;"!$a1:$a10000")=汇总!$A107),COUNTIF(INDIRECT(J$1&amp;"!$a1:$a10000"),汇总!$A107)),J106)</f>
        <v>2.5</v>
      </c>
      <c r="K107" s="109" cm="1">
        <f t="array" aca="1" ref="K107" ca="1">IFERROR(INDEX(_xlfn._xlws.FILTER(INDIRECT(K$1&amp;"!$E1:$E10000"),INDIRECT(K$1&amp;"!$a1:$a10000")=汇总!$A107),COUNTIF(INDIRECT(K$1&amp;"!$a1:$a10000"),汇总!$A107)),K106)</f>
        <v>891.08799999999985</v>
      </c>
      <c r="L107" s="109" cm="1">
        <f t="array" aca="1" ref="L107" ca="1">IFERROR(INDEX(_xlfn._xlws.FILTER(INDIRECT(L$1&amp;"!$E1:$E10000"),INDIRECT(L$1&amp;"!$a1:$a10000")=汇总!$A107),COUNTIF(INDIRECT(L$1&amp;"!$a1:$a10000"),汇总!$A107)),L106)</f>
        <v>48.473799999999713</v>
      </c>
      <c r="M107" s="109" cm="1">
        <f t="array" aca="1" ref="M107" ca="1">IFERROR(INDEX(_xlfn._xlws.FILTER(INDIRECT(M$1&amp;"!$E1:$E10000"),INDIRECT(M$1&amp;"!$a1:$a10000")=汇总!$A107),COUNTIF(INDIRECT(M$1&amp;"!$a1:$a10000"),汇总!$A107)),M106)</f>
        <v>53.3</v>
      </c>
      <c r="N107" s="109" cm="1">
        <f t="array" aca="1" ref="N107" ca="1">IFERROR(INDEX(_xlfn._xlws.FILTER(INDIRECT(N$1&amp;"!$E1:$E10000"),INDIRECT(N$1&amp;"!$a1:$a10000")=汇总!$A107),COUNTIF(INDIRECT(N$1&amp;"!$a1:$a10000"),汇总!$A107)),N106)</f>
        <v>387.52038699999912</v>
      </c>
      <c r="O107" s="109" cm="1">
        <f t="array" aca="1" ref="O107" ca="1">IFERROR(INDEX(_xlfn._xlws.FILTER(INDIRECT(O$1&amp;"!$E1:$E10000"),INDIRECT(O$1&amp;"!$a1:$a10000")=汇总!$A107),COUNTIF(INDIRECT(O$1&amp;"!$a1:$a10000"),汇总!$A107)),O106)</f>
        <v>2</v>
      </c>
      <c r="P107" s="109" cm="1">
        <f t="array" aca="1" ref="P107" ca="1">IFERROR(INDEX(_xlfn._xlws.FILTER(INDIRECT(P$1&amp;"!$E1:$E10000"),INDIRECT(P$1&amp;"!$a1:$a10000")=汇总!$A107),COUNTIF(INDIRECT(P$1&amp;"!$a1:$a10000"),汇总!$A107)),P106)</f>
        <v>19.45999999999998</v>
      </c>
      <c r="Q107" s="109" cm="1">
        <f t="array" aca="1" ref="Q107" ca="1">IFERROR(INDEX(_xlfn._xlws.FILTER(INDIRECT(Q$1&amp;"!$E1:$E10000"),INDIRECT(Q$1&amp;"!$a1:$a10000")=汇总!$A107),COUNTIF(INDIRECT(Q$1&amp;"!$a1:$a10000"),汇总!$A107)),Q106)</f>
        <v>65.3759399999999</v>
      </c>
      <c r="R107" s="109" cm="1">
        <f t="array" aca="1" ref="R107" ca="1">IFERROR(INDEX(_xlfn._xlws.FILTER(INDIRECT(R$1&amp;"!$E1:$E10000"),INDIRECT(R$1&amp;"!$a1:$a10000")=汇总!$A107),COUNTIF(INDIRECT(R$1&amp;"!$a1:$a10000"),汇总!$A107)),R106)</f>
        <v>7372.7266999452058</v>
      </c>
      <c r="S107" s="109" cm="1">
        <f t="array" aca="1" ref="S107" ca="1">IFERROR(INDEX(_xlfn._xlws.FILTER(INDIRECT(S$1&amp;"!$E1:$E10000"),INDIRECT(S$1&amp;"!$a1:$a10000")=汇总!$A107),COUNTIF(INDIRECT(S$1&amp;"!$a1:$a10000"),汇总!$A107)),S106)</f>
        <v>34</v>
      </c>
      <c r="T107" s="109" cm="1">
        <f t="array" aca="1" ref="T107" ca="1">IFERROR(INDEX(_xlfn._xlws.FILTER(INDIRECT(T$1&amp;"!$E1:$E10000"),INDIRECT(T$1&amp;"!$a1:$a10000")=汇总!$A107),COUNTIF(INDIRECT(T$1&amp;"!$a1:$a10000"),汇总!$A107)),T106)</f>
        <v>0</v>
      </c>
    </row>
    <row r="108" spans="1:21">
      <c r="A108" s="1">
        <f t="shared" si="3"/>
        <v>46129</v>
      </c>
      <c r="B108" s="109" cm="1">
        <f t="array" aca="1" ref="B108" ca="1">IFERROR(INDEX(_xlfn._xlws.FILTER(INDIRECT(B$1&amp;"!$E1:$E10000"),INDIRECT(B$1&amp;"!$a1:$a10000")=汇总!$A108),COUNTIF(INDIRECT(B$1&amp;"!$a1:$a10000"),汇总!$A108)),B107)</f>
        <v>168.12059999999997</v>
      </c>
      <c r="C108" s="109" cm="1">
        <f t="array" aca="1" ref="C108" ca="1">IFERROR(INDEX(_xlfn._xlws.FILTER(INDIRECT(C$1&amp;"!$E1:$E10000"),INDIRECT(C$1&amp;"!$a1:$a10000")=汇总!$A108),COUNTIF(INDIRECT(C$1&amp;"!$a1:$a10000"),汇总!$A108)),C107)</f>
        <v>2172</v>
      </c>
      <c r="D108" s="109" cm="1">
        <f t="array" aca="1" ref="D108" ca="1">IFERROR(INDEX(_xlfn._xlws.FILTER(INDIRECT(D$1&amp;"!$E1:$E10000"),INDIRECT(D$1&amp;"!$a1:$a10000")=汇总!$A108),COUNTIF(INDIRECT(D$1&amp;"!$a1:$a10000"),汇总!$A108)),D107)</f>
        <v>3566.7203100000006</v>
      </c>
      <c r="E108" s="109" cm="1">
        <f t="array" aca="1" ref="E108" ca="1">IFERROR(INDEX(_xlfn._xlws.FILTER(INDIRECT(E$1&amp;"!$E1:$E10000"),INDIRECT(E$1&amp;"!$a1:$a10000")=汇总!$A108),COUNTIF(INDIRECT(E$1&amp;"!$a1:$a10000"),汇总!$A108)),E107)</f>
        <v>916.2983499999998</v>
      </c>
      <c r="F108" s="109" cm="1">
        <f t="array" aca="1" ref="F108" ca="1">IFERROR(INDEX(_xlfn._xlws.FILTER(INDIRECT(F$1&amp;"!$E1:$E10000"),INDIRECT(F$1&amp;"!$a1:$a10000")=汇总!$A108),COUNTIF(INDIRECT(F$1&amp;"!$a1:$a10000"),汇总!$A108)),F107)</f>
        <v>11482</v>
      </c>
      <c r="G108" s="109" cm="1">
        <f t="array" aca="1" ref="G108" ca="1">IFERROR(INDEX(_xlfn._xlws.FILTER(INDIRECT(G$1&amp;"!$E1:$E10000"),INDIRECT(G$1&amp;"!$a1:$a10000")=汇总!$A108),COUNTIF(INDIRECT(G$1&amp;"!$a1:$a10000"),汇总!$A108)),G107)</f>
        <v>5293.4</v>
      </c>
      <c r="H108" s="109" cm="1">
        <f t="array" aca="1" ref="H108" ca="1">IFERROR(INDEX(_xlfn._xlws.FILTER(INDIRECT(H$1&amp;"!$E1:$E10000"),INDIRECT(H$1&amp;"!$a1:$a10000")=汇总!$A108),COUNTIF(INDIRECT(H$1&amp;"!$a1:$a10000"),汇总!$A108)),H107)</f>
        <v>419</v>
      </c>
      <c r="I108" s="109" cm="1">
        <f t="array" aca="1" ref="I108" ca="1">IFERROR(INDEX(_xlfn._xlws.FILTER(INDIRECT(I$1&amp;"!$E1:$E10000"),INDIRECT(I$1&amp;"!$a1:$a10000")=汇总!$A108),COUNTIF(INDIRECT(I$1&amp;"!$a1:$a10000"),汇总!$A108)),I107)</f>
        <v>17.531308999999823</v>
      </c>
      <c r="J108" s="109" cm="1">
        <f t="array" aca="1" ref="J108" ca="1">IFERROR(INDEX(_xlfn._xlws.FILTER(INDIRECT(J$1&amp;"!$E1:$E10000"),INDIRECT(J$1&amp;"!$a1:$a10000")=汇总!$A108),COUNTIF(INDIRECT(J$1&amp;"!$a1:$a10000"),汇总!$A108)),J107)</f>
        <v>2.5</v>
      </c>
      <c r="K108" s="109" cm="1">
        <f t="array" aca="1" ref="K108" ca="1">IFERROR(INDEX(_xlfn._xlws.FILTER(INDIRECT(K$1&amp;"!$E1:$E10000"),INDIRECT(K$1&amp;"!$a1:$a10000")=汇总!$A108),COUNTIF(INDIRECT(K$1&amp;"!$a1:$a10000"),汇总!$A108)),K107)</f>
        <v>374.21890499999984</v>
      </c>
      <c r="L108" s="109" cm="1">
        <f t="array" aca="1" ref="L108" ca="1">IFERROR(INDEX(_xlfn._xlws.FILTER(INDIRECT(L$1&amp;"!$E1:$E10000"),INDIRECT(L$1&amp;"!$a1:$a10000")=汇总!$A108),COUNTIF(INDIRECT(L$1&amp;"!$a1:$a10000"),汇总!$A108)),L107)</f>
        <v>113.47379999999971</v>
      </c>
      <c r="M108" s="109" cm="1">
        <f t="array" aca="1" ref="M108" ca="1">IFERROR(INDEX(_xlfn._xlws.FILTER(INDIRECT(M$1&amp;"!$E1:$E10000"),INDIRECT(M$1&amp;"!$a1:$a10000")=汇总!$A108),COUNTIF(INDIRECT(M$1&amp;"!$a1:$a10000"),汇总!$A108)),M107)</f>
        <v>53.3</v>
      </c>
      <c r="N108" s="109" cm="1">
        <f t="array" aca="1" ref="N108" ca="1">IFERROR(INDEX(_xlfn._xlws.FILTER(INDIRECT(N$1&amp;"!$E1:$E10000"),INDIRECT(N$1&amp;"!$a1:$a10000")=汇总!$A108),COUNTIF(INDIRECT(N$1&amp;"!$a1:$a10000"),汇总!$A108)),N107)</f>
        <v>387.52038699999912</v>
      </c>
      <c r="O108" s="109" cm="1">
        <f t="array" aca="1" ref="O108" ca="1">IFERROR(INDEX(_xlfn._xlws.FILTER(INDIRECT(O$1&amp;"!$E1:$E10000"),INDIRECT(O$1&amp;"!$a1:$a10000")=汇总!$A108),COUNTIF(INDIRECT(O$1&amp;"!$a1:$a10000"),汇总!$A108)),O107)</f>
        <v>2</v>
      </c>
      <c r="P108" s="109" cm="1">
        <f t="array" aca="1" ref="P108" ca="1">IFERROR(INDEX(_xlfn._xlws.FILTER(INDIRECT(P$1&amp;"!$E1:$E10000"),INDIRECT(P$1&amp;"!$a1:$a10000")=汇总!$A108),COUNTIF(INDIRECT(P$1&amp;"!$a1:$a10000"),汇总!$A108)),P107)</f>
        <v>19.45999999999998</v>
      </c>
      <c r="Q108" s="109" cm="1">
        <f t="array" aca="1" ref="Q108" ca="1">IFERROR(INDEX(_xlfn._xlws.FILTER(INDIRECT(Q$1&amp;"!$E1:$E10000"),INDIRECT(Q$1&amp;"!$a1:$a10000")=汇总!$A108),COUNTIF(INDIRECT(Q$1&amp;"!$a1:$a10000"),汇总!$A108)),Q107)</f>
        <v>65.3759399999999</v>
      </c>
      <c r="R108" s="109" cm="1">
        <f t="array" aca="1" ref="R108" ca="1">IFERROR(INDEX(_xlfn._xlws.FILTER(INDIRECT(R$1&amp;"!$E1:$E10000"),INDIRECT(R$1&amp;"!$a1:$a10000")=汇总!$A108),COUNTIF(INDIRECT(R$1&amp;"!$a1:$a10000"),汇总!$A108)),R107)</f>
        <v>6359.7266999452058</v>
      </c>
      <c r="S108" s="109" cm="1">
        <f t="array" aca="1" ref="S108" ca="1">IFERROR(INDEX(_xlfn._xlws.FILTER(INDIRECT(S$1&amp;"!$E1:$E10000"),INDIRECT(S$1&amp;"!$a1:$a10000")=汇总!$A108),COUNTIF(INDIRECT(S$1&amp;"!$a1:$a10000"),汇总!$A108)),S107)</f>
        <v>34</v>
      </c>
      <c r="T108" s="109" cm="1">
        <f t="array" aca="1" ref="T108" ca="1">IFERROR(INDEX(_xlfn._xlws.FILTER(INDIRECT(T$1&amp;"!$E1:$E10000"),INDIRECT(T$1&amp;"!$a1:$a10000")=汇总!$A108),COUNTIF(INDIRECT(T$1&amp;"!$a1:$a10000"),汇总!$A108)),T107)</f>
        <v>0</v>
      </c>
    </row>
    <row r="109" spans="1:21">
      <c r="A109" s="1">
        <f t="shared" si="3"/>
        <v>46130</v>
      </c>
      <c r="B109" s="109" cm="1">
        <f t="array" aca="1" ref="B109" ca="1">IFERROR(INDEX(_xlfn._xlws.FILTER(INDIRECT(B$1&amp;"!$E1:$E10000"),INDIRECT(B$1&amp;"!$a1:$a10000")=汇总!$A109),COUNTIF(INDIRECT(B$1&amp;"!$a1:$a10000"),汇总!$A109)),B108)</f>
        <v>168.12059999999997</v>
      </c>
      <c r="C109" s="109" cm="1">
        <f t="array" aca="1" ref="C109" ca="1">IFERROR(INDEX(_xlfn._xlws.FILTER(INDIRECT(C$1&amp;"!$E1:$E10000"),INDIRECT(C$1&amp;"!$a1:$a10000")=汇总!$A109),COUNTIF(INDIRECT(C$1&amp;"!$a1:$a10000"),汇总!$A109)),C108)</f>
        <v>2172</v>
      </c>
      <c r="D109" s="109" cm="1">
        <f t="array" aca="1" ref="D109" ca="1">IFERROR(INDEX(_xlfn._xlws.FILTER(INDIRECT(D$1&amp;"!$E1:$E10000"),INDIRECT(D$1&amp;"!$a1:$a10000")=汇总!$A109),COUNTIF(INDIRECT(D$1&amp;"!$a1:$a10000"),汇总!$A109)),D108)</f>
        <v>3566.7203100000006</v>
      </c>
      <c r="E109" s="109" cm="1">
        <f t="array" aca="1" ref="E109" ca="1">IFERROR(INDEX(_xlfn._xlws.FILTER(INDIRECT(E$1&amp;"!$E1:$E10000"),INDIRECT(E$1&amp;"!$a1:$a10000")=汇总!$A109),COUNTIF(INDIRECT(E$1&amp;"!$a1:$a10000"),汇总!$A109)),E108)</f>
        <v>916.2983499999998</v>
      </c>
      <c r="F109" s="109" cm="1">
        <f t="array" aca="1" ref="F109" ca="1">IFERROR(INDEX(_xlfn._xlws.FILTER(INDIRECT(F$1&amp;"!$E1:$E10000"),INDIRECT(F$1&amp;"!$a1:$a10000")=汇总!$A109),COUNTIF(INDIRECT(F$1&amp;"!$a1:$a10000"),汇总!$A109)),F108)</f>
        <v>11482</v>
      </c>
      <c r="G109" s="109" cm="1">
        <f t="array" aca="1" ref="G109" ca="1">IFERROR(INDEX(_xlfn._xlws.FILTER(INDIRECT(G$1&amp;"!$E1:$E10000"),INDIRECT(G$1&amp;"!$a1:$a10000")=汇总!$A109),COUNTIF(INDIRECT(G$1&amp;"!$a1:$a10000"),汇总!$A109)),G108)</f>
        <v>5293.4</v>
      </c>
      <c r="H109" s="109" cm="1">
        <f t="array" aca="1" ref="H109" ca="1">IFERROR(INDEX(_xlfn._xlws.FILTER(INDIRECT(H$1&amp;"!$E1:$E10000"),INDIRECT(H$1&amp;"!$a1:$a10000")=汇总!$A109),COUNTIF(INDIRECT(H$1&amp;"!$a1:$a10000"),汇总!$A109)),H108)</f>
        <v>419</v>
      </c>
      <c r="I109" s="109" cm="1">
        <f t="array" aca="1" ref="I109" ca="1">IFERROR(INDEX(_xlfn._xlws.FILTER(INDIRECT(I$1&amp;"!$E1:$E10000"),INDIRECT(I$1&amp;"!$a1:$a10000")=汇总!$A109),COUNTIF(INDIRECT(I$1&amp;"!$a1:$a10000"),汇总!$A109)),I108)</f>
        <v>17.531308999999823</v>
      </c>
      <c r="J109" s="109" cm="1">
        <f t="array" aca="1" ref="J109" ca="1">IFERROR(INDEX(_xlfn._xlws.FILTER(INDIRECT(J$1&amp;"!$E1:$E10000"),INDIRECT(J$1&amp;"!$a1:$a10000")=汇总!$A109),COUNTIF(INDIRECT(J$1&amp;"!$a1:$a10000"),汇总!$A109)),J108)</f>
        <v>2.5</v>
      </c>
      <c r="K109" s="109" cm="1">
        <f t="array" aca="1" ref="K109" ca="1">IFERROR(INDEX(_xlfn._xlws.FILTER(INDIRECT(K$1&amp;"!$E1:$E10000"),INDIRECT(K$1&amp;"!$a1:$a10000")=汇总!$A109),COUNTIF(INDIRECT(K$1&amp;"!$a1:$a10000"),汇总!$A109)),K108)</f>
        <v>374.21890499999984</v>
      </c>
      <c r="L109" s="109" cm="1">
        <f t="array" aca="1" ref="L109" ca="1">IFERROR(INDEX(_xlfn._xlws.FILTER(INDIRECT(L$1&amp;"!$E1:$E10000"),INDIRECT(L$1&amp;"!$a1:$a10000")=汇总!$A109),COUNTIF(INDIRECT(L$1&amp;"!$a1:$a10000"),汇总!$A109)),L108)</f>
        <v>113.47379999999971</v>
      </c>
      <c r="M109" s="109" cm="1">
        <f t="array" aca="1" ref="M109" ca="1">IFERROR(INDEX(_xlfn._xlws.FILTER(INDIRECT(M$1&amp;"!$E1:$E10000"),INDIRECT(M$1&amp;"!$a1:$a10000")=汇总!$A109),COUNTIF(INDIRECT(M$1&amp;"!$a1:$a10000"),汇总!$A109)),M108)</f>
        <v>53.3</v>
      </c>
      <c r="N109" s="109" cm="1">
        <f t="array" aca="1" ref="N109" ca="1">IFERROR(INDEX(_xlfn._xlws.FILTER(INDIRECT(N$1&amp;"!$E1:$E10000"),INDIRECT(N$1&amp;"!$a1:$a10000")=汇总!$A109),COUNTIF(INDIRECT(N$1&amp;"!$a1:$a10000"),汇总!$A109)),N108)</f>
        <v>387.52038699999912</v>
      </c>
      <c r="O109" s="109" cm="1">
        <f t="array" aca="1" ref="O109" ca="1">IFERROR(INDEX(_xlfn._xlws.FILTER(INDIRECT(O$1&amp;"!$E1:$E10000"),INDIRECT(O$1&amp;"!$a1:$a10000")=汇总!$A109),COUNTIF(INDIRECT(O$1&amp;"!$a1:$a10000"),汇总!$A109)),O108)</f>
        <v>2</v>
      </c>
      <c r="P109" s="109" cm="1">
        <f t="array" aca="1" ref="P109" ca="1">IFERROR(INDEX(_xlfn._xlws.FILTER(INDIRECT(P$1&amp;"!$E1:$E10000"),INDIRECT(P$1&amp;"!$a1:$a10000")=汇总!$A109),COUNTIF(INDIRECT(P$1&amp;"!$a1:$a10000"),汇总!$A109)),P108)</f>
        <v>19.45999999999998</v>
      </c>
      <c r="Q109" s="109" cm="1">
        <f t="array" aca="1" ref="Q109" ca="1">IFERROR(INDEX(_xlfn._xlws.FILTER(INDIRECT(Q$1&amp;"!$E1:$E10000"),INDIRECT(Q$1&amp;"!$a1:$a10000")=汇总!$A109),COUNTIF(INDIRECT(Q$1&amp;"!$a1:$a10000"),汇总!$A109)),Q108)</f>
        <v>65.3759399999999</v>
      </c>
      <c r="R109" s="109" cm="1">
        <f t="array" aca="1" ref="R109" ca="1">IFERROR(INDEX(_xlfn._xlws.FILTER(INDIRECT(R$1&amp;"!$E1:$E10000"),INDIRECT(R$1&amp;"!$a1:$a10000")=汇总!$A109),COUNTIF(INDIRECT(R$1&amp;"!$a1:$a10000"),汇总!$A109)),R108)</f>
        <v>6359.7266999452058</v>
      </c>
      <c r="S109" s="109" cm="1">
        <f t="array" aca="1" ref="S109" ca="1">IFERROR(INDEX(_xlfn._xlws.FILTER(INDIRECT(S$1&amp;"!$E1:$E10000"),INDIRECT(S$1&amp;"!$a1:$a10000")=汇总!$A109),COUNTIF(INDIRECT(S$1&amp;"!$a1:$a10000"),汇总!$A109)),S108)</f>
        <v>34</v>
      </c>
      <c r="T109" s="109" cm="1">
        <f t="array" aca="1" ref="T109" ca="1">IFERROR(INDEX(_xlfn._xlws.FILTER(INDIRECT(T$1&amp;"!$E1:$E10000"),INDIRECT(T$1&amp;"!$a1:$a10000")=汇总!$A109),COUNTIF(INDIRECT(T$1&amp;"!$a1:$a10000"),汇总!$A109)),T108)</f>
        <v>0</v>
      </c>
    </row>
    <row r="110" spans="1:21">
      <c r="A110" s="1">
        <f t="shared" si="3"/>
        <v>46131</v>
      </c>
      <c r="B110" s="109" cm="1">
        <f t="array" aca="1" ref="B110" ca="1">IFERROR(INDEX(_xlfn._xlws.FILTER(INDIRECT(B$1&amp;"!$E1:$E10000"),INDIRECT(B$1&amp;"!$a1:$a10000")=汇总!$A110),COUNTIF(INDIRECT(B$1&amp;"!$a1:$a10000"),汇总!$A110)),B109)</f>
        <v>168.12059999999997</v>
      </c>
      <c r="C110" s="109" cm="1">
        <f t="array" aca="1" ref="C110" ca="1">IFERROR(INDEX(_xlfn._xlws.FILTER(INDIRECT(C$1&amp;"!$E1:$E10000"),INDIRECT(C$1&amp;"!$a1:$a10000")=汇总!$A110),COUNTIF(INDIRECT(C$1&amp;"!$a1:$a10000"),汇总!$A110)),C109)</f>
        <v>2172</v>
      </c>
      <c r="D110" s="109" cm="1">
        <f t="array" aca="1" ref="D110" ca="1">IFERROR(INDEX(_xlfn._xlws.FILTER(INDIRECT(D$1&amp;"!$E1:$E10000"),INDIRECT(D$1&amp;"!$a1:$a10000")=汇总!$A110),COUNTIF(INDIRECT(D$1&amp;"!$a1:$a10000"),汇总!$A110)),D109)</f>
        <v>3566.7203100000006</v>
      </c>
      <c r="E110" s="109" cm="1">
        <f t="array" aca="1" ref="E110" ca="1">IFERROR(INDEX(_xlfn._xlws.FILTER(INDIRECT(E$1&amp;"!$E1:$E10000"),INDIRECT(E$1&amp;"!$a1:$a10000")=汇总!$A110),COUNTIF(INDIRECT(E$1&amp;"!$a1:$a10000"),汇总!$A110)),E109)</f>
        <v>916.2983499999998</v>
      </c>
      <c r="F110" s="109" cm="1">
        <f t="array" aca="1" ref="F110" ca="1">IFERROR(INDEX(_xlfn._xlws.FILTER(INDIRECT(F$1&amp;"!$E1:$E10000"),INDIRECT(F$1&amp;"!$a1:$a10000")=汇总!$A110),COUNTIF(INDIRECT(F$1&amp;"!$a1:$a10000"),汇总!$A110)),F109)</f>
        <v>11482</v>
      </c>
      <c r="G110" s="109" cm="1">
        <f t="array" aca="1" ref="G110" ca="1">IFERROR(INDEX(_xlfn._xlws.FILTER(INDIRECT(G$1&amp;"!$E1:$E10000"),INDIRECT(G$1&amp;"!$a1:$a10000")=汇总!$A110),COUNTIF(INDIRECT(G$1&amp;"!$a1:$a10000"),汇总!$A110)),G109)</f>
        <v>5293.4</v>
      </c>
      <c r="H110" s="109" cm="1">
        <f t="array" aca="1" ref="H110" ca="1">IFERROR(INDEX(_xlfn._xlws.FILTER(INDIRECT(H$1&amp;"!$E1:$E10000"),INDIRECT(H$1&amp;"!$a1:$a10000")=汇总!$A110),COUNTIF(INDIRECT(H$1&amp;"!$a1:$a10000"),汇总!$A110)),H109)</f>
        <v>419</v>
      </c>
      <c r="I110" s="109" cm="1">
        <f t="array" aca="1" ref="I110" ca="1">IFERROR(INDEX(_xlfn._xlws.FILTER(INDIRECT(I$1&amp;"!$E1:$E10000"),INDIRECT(I$1&amp;"!$a1:$a10000")=汇总!$A110),COUNTIF(INDIRECT(I$1&amp;"!$a1:$a10000"),汇总!$A110)),I109)</f>
        <v>17.531308999999823</v>
      </c>
      <c r="J110" s="109" cm="1">
        <f t="array" aca="1" ref="J110" ca="1">IFERROR(INDEX(_xlfn._xlws.FILTER(INDIRECT(J$1&amp;"!$E1:$E10000"),INDIRECT(J$1&amp;"!$a1:$a10000")=汇总!$A110),COUNTIF(INDIRECT(J$1&amp;"!$a1:$a10000"),汇总!$A110)),J109)</f>
        <v>2.5</v>
      </c>
      <c r="K110" s="109" cm="1">
        <f t="array" aca="1" ref="K110" ca="1">IFERROR(INDEX(_xlfn._xlws.FILTER(INDIRECT(K$1&amp;"!$E1:$E10000"),INDIRECT(K$1&amp;"!$a1:$a10000")=汇总!$A110),COUNTIF(INDIRECT(K$1&amp;"!$a1:$a10000"),汇总!$A110)),K109)</f>
        <v>374.21890499999984</v>
      </c>
      <c r="L110" s="109" cm="1">
        <f t="array" aca="1" ref="L110" ca="1">IFERROR(INDEX(_xlfn._xlws.FILTER(INDIRECT(L$1&amp;"!$E1:$E10000"),INDIRECT(L$1&amp;"!$a1:$a10000")=汇总!$A110),COUNTIF(INDIRECT(L$1&amp;"!$a1:$a10000"),汇总!$A110)),L109)</f>
        <v>113.47379999999971</v>
      </c>
      <c r="M110" s="109" cm="1">
        <f t="array" aca="1" ref="M110" ca="1">IFERROR(INDEX(_xlfn._xlws.FILTER(INDIRECT(M$1&amp;"!$E1:$E10000"),INDIRECT(M$1&amp;"!$a1:$a10000")=汇总!$A110),COUNTIF(INDIRECT(M$1&amp;"!$a1:$a10000"),汇总!$A110)),M109)</f>
        <v>53.3</v>
      </c>
      <c r="N110" s="109" cm="1">
        <f t="array" aca="1" ref="N110" ca="1">IFERROR(INDEX(_xlfn._xlws.FILTER(INDIRECT(N$1&amp;"!$E1:$E10000"),INDIRECT(N$1&amp;"!$a1:$a10000")=汇总!$A110),COUNTIF(INDIRECT(N$1&amp;"!$a1:$a10000"),汇总!$A110)),N109)</f>
        <v>387.52038699999912</v>
      </c>
      <c r="O110" s="109" cm="1">
        <f t="array" aca="1" ref="O110" ca="1">IFERROR(INDEX(_xlfn._xlws.FILTER(INDIRECT(O$1&amp;"!$E1:$E10000"),INDIRECT(O$1&amp;"!$a1:$a10000")=汇总!$A110),COUNTIF(INDIRECT(O$1&amp;"!$a1:$a10000"),汇总!$A110)),O109)</f>
        <v>2</v>
      </c>
      <c r="P110" s="109" cm="1">
        <f t="array" aca="1" ref="P110" ca="1">IFERROR(INDEX(_xlfn._xlws.FILTER(INDIRECT(P$1&amp;"!$E1:$E10000"),INDIRECT(P$1&amp;"!$a1:$a10000")=汇总!$A110),COUNTIF(INDIRECT(P$1&amp;"!$a1:$a10000"),汇总!$A110)),P109)</f>
        <v>19.45999999999998</v>
      </c>
      <c r="Q110" s="109" cm="1">
        <f t="array" aca="1" ref="Q110" ca="1">IFERROR(INDEX(_xlfn._xlws.FILTER(INDIRECT(Q$1&amp;"!$E1:$E10000"),INDIRECT(Q$1&amp;"!$a1:$a10000")=汇总!$A110),COUNTIF(INDIRECT(Q$1&amp;"!$a1:$a10000"),汇总!$A110)),Q109)</f>
        <v>65.3759399999999</v>
      </c>
      <c r="R110" s="109" cm="1">
        <f t="array" aca="1" ref="R110" ca="1">IFERROR(INDEX(_xlfn._xlws.FILTER(INDIRECT(R$1&amp;"!$E1:$E10000"),INDIRECT(R$1&amp;"!$a1:$a10000")=汇总!$A110),COUNTIF(INDIRECT(R$1&amp;"!$a1:$a10000"),汇总!$A110)),R109)</f>
        <v>6359.7266999452058</v>
      </c>
      <c r="S110" s="109" cm="1">
        <f t="array" aca="1" ref="S110" ca="1">IFERROR(INDEX(_xlfn._xlws.FILTER(INDIRECT(S$1&amp;"!$E1:$E10000"),INDIRECT(S$1&amp;"!$a1:$a10000")=汇总!$A110),COUNTIF(INDIRECT(S$1&amp;"!$a1:$a10000"),汇总!$A110)),S109)</f>
        <v>34</v>
      </c>
      <c r="T110" s="109" cm="1">
        <f t="array" aca="1" ref="T110" ca="1">IFERROR(INDEX(_xlfn._xlws.FILTER(INDIRECT(T$1&amp;"!$E1:$E10000"),INDIRECT(T$1&amp;"!$a1:$a10000")=汇总!$A110),COUNTIF(INDIRECT(T$1&amp;"!$a1:$a10000"),汇总!$A110)),T109)</f>
        <v>0</v>
      </c>
    </row>
    <row r="111" spans="1:21">
      <c r="A111" s="1">
        <f t="shared" si="3"/>
        <v>46132</v>
      </c>
      <c r="B111" s="109" cm="1">
        <f t="array" aca="1" ref="B111" ca="1">IFERROR(INDEX(_xlfn._xlws.FILTER(INDIRECT(B$1&amp;"!$E1:$E10000"),INDIRECT(B$1&amp;"!$a1:$a10000")=汇总!$A111),COUNTIF(INDIRECT(B$1&amp;"!$a1:$a10000"),汇总!$A111)),B110)</f>
        <v>1324.8706</v>
      </c>
      <c r="C111" s="109" cm="1">
        <f t="array" aca="1" ref="C111" ca="1">IFERROR(INDEX(_xlfn._xlws.FILTER(INDIRECT(C$1&amp;"!$E1:$E10000"),INDIRECT(C$1&amp;"!$a1:$a10000")=汇总!$A111),COUNTIF(INDIRECT(C$1&amp;"!$a1:$a10000"),汇总!$A111)),C110)</f>
        <v>2172</v>
      </c>
      <c r="D111" s="109" cm="1">
        <f t="array" aca="1" ref="D111" ca="1">IFERROR(INDEX(_xlfn._xlws.FILTER(INDIRECT(D$1&amp;"!$E1:$E10000"),INDIRECT(D$1&amp;"!$a1:$a10000")=汇总!$A111),COUNTIF(INDIRECT(D$1&amp;"!$a1:$a10000"),汇总!$A111)),D110)</f>
        <v>5572.5373100000006</v>
      </c>
      <c r="E111" s="109" cm="1">
        <f t="array" aca="1" ref="E111" ca="1">IFERROR(INDEX(_xlfn._xlws.FILTER(INDIRECT(E$1&amp;"!$E1:$E10000"),INDIRECT(E$1&amp;"!$a1:$a10000")=汇总!$A111),COUNTIF(INDIRECT(E$1&amp;"!$a1:$a10000"),汇总!$A111)),E110)</f>
        <v>916.2983499999998</v>
      </c>
      <c r="F111" s="109" cm="1">
        <f t="array" aca="1" ref="F111" ca="1">IFERROR(INDEX(_xlfn._xlws.FILTER(INDIRECT(F$1&amp;"!$E1:$E10000"),INDIRECT(F$1&amp;"!$a1:$a10000")=汇总!$A111),COUNTIF(INDIRECT(F$1&amp;"!$a1:$a10000"),汇总!$A111)),F110)</f>
        <v>11482</v>
      </c>
      <c r="G111" s="109" cm="1">
        <f t="array" aca="1" ref="G111" ca="1">IFERROR(INDEX(_xlfn._xlws.FILTER(INDIRECT(G$1&amp;"!$E1:$E10000"),INDIRECT(G$1&amp;"!$a1:$a10000")=汇总!$A111),COUNTIF(INDIRECT(G$1&amp;"!$a1:$a10000"),汇总!$A111)),G110)</f>
        <v>17750.15655</v>
      </c>
      <c r="H111" s="109" cm="1">
        <f t="array" aca="1" ref="H111" ca="1">IFERROR(INDEX(_xlfn._xlws.FILTER(INDIRECT(H$1&amp;"!$E1:$E10000"),INDIRECT(H$1&amp;"!$a1:$a10000")=汇总!$A111),COUNTIF(INDIRECT(H$1&amp;"!$a1:$a10000"),汇总!$A111)),H110)</f>
        <v>408.64</v>
      </c>
      <c r="I111" s="109" cm="1">
        <f t="array" aca="1" ref="I111" ca="1">IFERROR(INDEX(_xlfn._xlws.FILTER(INDIRECT(I$1&amp;"!$E1:$E10000"),INDIRECT(I$1&amp;"!$a1:$a10000")=汇总!$A111),COUNTIF(INDIRECT(I$1&amp;"!$a1:$a10000"),汇总!$A111)),I110)</f>
        <v>17.531308999999823</v>
      </c>
      <c r="J111" s="109" cm="1">
        <f t="array" aca="1" ref="J111" ca="1">IFERROR(INDEX(_xlfn._xlws.FILTER(INDIRECT(J$1&amp;"!$E1:$E10000"),INDIRECT(J$1&amp;"!$a1:$a10000")=汇总!$A111),COUNTIF(INDIRECT(J$1&amp;"!$a1:$a10000"),汇总!$A111)),J110)</f>
        <v>2.5</v>
      </c>
      <c r="K111" s="109" cm="1">
        <f t="array" aca="1" ref="K111" ca="1">IFERROR(INDEX(_xlfn._xlws.FILTER(INDIRECT(K$1&amp;"!$E1:$E10000"),INDIRECT(K$1&amp;"!$a1:$a10000")=汇总!$A111),COUNTIF(INDIRECT(K$1&amp;"!$a1:$a10000"),汇总!$A111)),K110)</f>
        <v>584.21890499999984</v>
      </c>
      <c r="L111" s="109" cm="1">
        <f t="array" aca="1" ref="L111" ca="1">IFERROR(INDEX(_xlfn._xlws.FILTER(INDIRECT(L$1&amp;"!$E1:$E10000"),INDIRECT(L$1&amp;"!$a1:$a10000")=汇总!$A111),COUNTIF(INDIRECT(L$1&amp;"!$a1:$a10000"),汇总!$A111)),L110)</f>
        <v>143.26379999999972</v>
      </c>
      <c r="M111" s="109" cm="1">
        <f t="array" aca="1" ref="M111" ca="1">IFERROR(INDEX(_xlfn._xlws.FILTER(INDIRECT(M$1&amp;"!$E1:$E10000"),INDIRECT(M$1&amp;"!$a1:$a10000")=汇总!$A111),COUNTIF(INDIRECT(M$1&amp;"!$a1:$a10000"),汇总!$A111)),M110)</f>
        <v>53.3</v>
      </c>
      <c r="N111" s="109" cm="1">
        <f t="array" aca="1" ref="N111" ca="1">IFERROR(INDEX(_xlfn._xlws.FILTER(INDIRECT(N$1&amp;"!$E1:$E10000"),INDIRECT(N$1&amp;"!$a1:$a10000")=汇总!$A111),COUNTIF(INDIRECT(N$1&amp;"!$a1:$a10000"),汇总!$A111)),N110)</f>
        <v>387.52038699999912</v>
      </c>
      <c r="O111" s="109" cm="1">
        <f t="array" aca="1" ref="O111" ca="1">IFERROR(INDEX(_xlfn._xlws.FILTER(INDIRECT(O$1&amp;"!$E1:$E10000"),INDIRECT(O$1&amp;"!$a1:$a10000")=汇总!$A111),COUNTIF(INDIRECT(O$1&amp;"!$a1:$a10000"),汇总!$A111)),O110)</f>
        <v>2</v>
      </c>
      <c r="P111" s="109" cm="1">
        <f t="array" aca="1" ref="P111" ca="1">IFERROR(INDEX(_xlfn._xlws.FILTER(INDIRECT(P$1&amp;"!$E1:$E10000"),INDIRECT(P$1&amp;"!$a1:$a10000")=汇总!$A111),COUNTIF(INDIRECT(P$1&amp;"!$a1:$a10000"),汇总!$A111)),P110)</f>
        <v>19.45999999999998</v>
      </c>
      <c r="Q111" s="109" cm="1">
        <f t="array" aca="1" ref="Q111" ca="1">IFERROR(INDEX(_xlfn._xlws.FILTER(INDIRECT(Q$1&amp;"!$E1:$E10000"),INDIRECT(Q$1&amp;"!$a1:$a10000")=汇总!$A111),COUNTIF(INDIRECT(Q$1&amp;"!$a1:$a10000"),汇总!$A111)),Q110)</f>
        <v>65.3759399999999</v>
      </c>
      <c r="R111" s="109" cm="1">
        <f t="array" aca="1" ref="R111" ca="1">IFERROR(INDEX(_xlfn._xlws.FILTER(INDIRECT(R$1&amp;"!$E1:$E10000"),INDIRECT(R$1&amp;"!$a1:$a10000")=汇总!$A111),COUNTIF(INDIRECT(R$1&amp;"!$a1:$a10000"),汇总!$A111)),R110)</f>
        <v>6359.7266999452058</v>
      </c>
      <c r="S111" s="109" cm="1">
        <f t="array" aca="1" ref="S111" ca="1">IFERROR(INDEX(_xlfn._xlws.FILTER(INDIRECT(S$1&amp;"!$E1:$E10000"),INDIRECT(S$1&amp;"!$a1:$a10000")=汇总!$A111),COUNTIF(INDIRECT(S$1&amp;"!$a1:$a10000"),汇总!$A111)),S110)</f>
        <v>2858.88</v>
      </c>
      <c r="T111" s="109" cm="1">
        <f t="array" aca="1" ref="T111" ca="1">IFERROR(INDEX(_xlfn._xlws.FILTER(INDIRECT(T$1&amp;"!$E1:$E10000"),INDIRECT(T$1&amp;"!$a1:$a10000")=汇总!$A111),COUNTIF(INDIRECT(T$1&amp;"!$a1:$a10000"),汇总!$A111)),T110)</f>
        <v>0</v>
      </c>
    </row>
    <row r="112" spans="1:21">
      <c r="A112" s="1">
        <f t="shared" si="3"/>
        <v>46133</v>
      </c>
      <c r="B112" s="109" cm="1">
        <f t="array" aca="1" ref="B112" ca="1">IFERROR(INDEX(_xlfn._xlws.FILTER(INDIRECT(B$1&amp;"!$E1:$E10000"),INDIRECT(B$1&amp;"!$a1:$a10000")=汇总!$A112),COUNTIF(INDIRECT(B$1&amp;"!$a1:$a10000"),汇总!$A112)),B111)</f>
        <v>1828.4705999999999</v>
      </c>
      <c r="C112" s="109" cm="1">
        <f t="array" aca="1" ref="C112" ca="1">IFERROR(INDEX(_xlfn._xlws.FILTER(INDIRECT(C$1&amp;"!$E1:$E10000"),INDIRECT(C$1&amp;"!$a1:$a10000")=汇总!$A112),COUNTIF(INDIRECT(C$1&amp;"!$a1:$a10000"),汇总!$A112)),C111)</f>
        <v>2322</v>
      </c>
      <c r="D112" s="109" cm="1">
        <f t="array" aca="1" ref="D112" ca="1">IFERROR(INDEX(_xlfn._xlws.FILTER(INDIRECT(D$1&amp;"!$E1:$E10000"),INDIRECT(D$1&amp;"!$a1:$a10000")=汇总!$A112),COUNTIF(INDIRECT(D$1&amp;"!$a1:$a10000"),汇总!$A112)),D111)</f>
        <v>746.53731000000062</v>
      </c>
      <c r="E112" s="109" cm="1">
        <f t="array" aca="1" ref="E112" ca="1">IFERROR(INDEX(_xlfn._xlws.FILTER(INDIRECT(E$1&amp;"!$E1:$E10000"),INDIRECT(E$1&amp;"!$a1:$a10000")=汇总!$A112),COUNTIF(INDIRECT(E$1&amp;"!$a1:$a10000"),汇总!$A112)),E111)</f>
        <v>1436.4106499999998</v>
      </c>
      <c r="F112" s="109" cm="1">
        <f t="array" aca="1" ref="F112" ca="1">IFERROR(INDEX(_xlfn._xlws.FILTER(INDIRECT(F$1&amp;"!$E1:$E10000"),INDIRECT(F$1&amp;"!$a1:$a10000")=汇总!$A112),COUNTIF(INDIRECT(F$1&amp;"!$a1:$a10000"),汇总!$A112)),F111)</f>
        <v>10782</v>
      </c>
      <c r="G112" s="109" cm="1">
        <f t="array" aca="1" ref="G112" ca="1">IFERROR(INDEX(_xlfn._xlws.FILTER(INDIRECT(G$1&amp;"!$E1:$E10000"),INDIRECT(G$1&amp;"!$a1:$a10000")=汇总!$A112),COUNTIF(INDIRECT(G$1&amp;"!$a1:$a10000"),汇总!$A112)),G111)</f>
        <v>16750.15655</v>
      </c>
      <c r="H112" s="109" cm="1">
        <f t="array" aca="1" ref="H112" ca="1">IFERROR(INDEX(_xlfn._xlws.FILTER(INDIRECT(H$1&amp;"!$E1:$E10000"),INDIRECT(H$1&amp;"!$a1:$a10000")=汇总!$A112),COUNTIF(INDIRECT(H$1&amp;"!$a1:$a10000"),汇总!$A112)),H111)</f>
        <v>1249.6399999999999</v>
      </c>
      <c r="I112" s="109" cm="1">
        <f t="array" aca="1" ref="I112" ca="1">IFERROR(INDEX(_xlfn._xlws.FILTER(INDIRECT(I$1&amp;"!$E1:$E10000"),INDIRECT(I$1&amp;"!$a1:$a10000")=汇总!$A112),COUNTIF(INDIRECT(I$1&amp;"!$a1:$a10000"),汇总!$A112)),I111)</f>
        <v>17.531308999999823</v>
      </c>
      <c r="J112" s="109" cm="1">
        <f t="array" aca="1" ref="J112" ca="1">IFERROR(INDEX(_xlfn._xlws.FILTER(INDIRECT(J$1&amp;"!$E1:$E10000"),INDIRECT(J$1&amp;"!$a1:$a10000")=汇总!$A112),COUNTIF(INDIRECT(J$1&amp;"!$a1:$a10000"),汇总!$A112)),J111)</f>
        <v>2.5</v>
      </c>
      <c r="K112" s="109" cm="1">
        <f t="array" aca="1" ref="K112" ca="1">IFERROR(INDEX(_xlfn._xlws.FILTER(INDIRECT(K$1&amp;"!$E1:$E10000"),INDIRECT(K$1&amp;"!$a1:$a10000")=汇总!$A112),COUNTIF(INDIRECT(K$1&amp;"!$a1:$a10000"),汇总!$A112)),K111)</f>
        <v>1084.2189049999997</v>
      </c>
      <c r="L112" s="109" cm="1">
        <f t="array" aca="1" ref="L112" ca="1">IFERROR(INDEX(_xlfn._xlws.FILTER(INDIRECT(L$1&amp;"!$E1:$E10000"),INDIRECT(L$1&amp;"!$a1:$a10000")=汇总!$A112),COUNTIF(INDIRECT(L$1&amp;"!$a1:$a10000"),汇总!$A112)),L111)</f>
        <v>1561.3137999999997</v>
      </c>
      <c r="M112" s="109" cm="1">
        <f t="array" aca="1" ref="M112" ca="1">IFERROR(INDEX(_xlfn._xlws.FILTER(INDIRECT(M$1&amp;"!$E1:$E10000"),INDIRECT(M$1&amp;"!$a1:$a10000")=汇总!$A112),COUNTIF(INDIRECT(M$1&amp;"!$a1:$a10000"),汇总!$A112)),M111)</f>
        <v>113.29999999999995</v>
      </c>
      <c r="N112" s="109" cm="1">
        <f t="array" aca="1" ref="N112" ca="1">IFERROR(INDEX(_xlfn._xlws.FILTER(INDIRECT(N$1&amp;"!$E1:$E10000"),INDIRECT(N$1&amp;"!$a1:$a10000")=汇总!$A112),COUNTIF(INDIRECT(N$1&amp;"!$a1:$a10000"),汇总!$A112)),N111)</f>
        <v>387.52038699999912</v>
      </c>
      <c r="O112" s="109" cm="1">
        <f t="array" aca="1" ref="O112" ca="1">IFERROR(INDEX(_xlfn._xlws.FILTER(INDIRECT(O$1&amp;"!$E1:$E10000"),INDIRECT(O$1&amp;"!$a1:$a10000")=汇总!$A112),COUNTIF(INDIRECT(O$1&amp;"!$a1:$a10000"),汇总!$A112)),O111)</f>
        <v>2</v>
      </c>
      <c r="P112" s="109" cm="1">
        <f t="array" aca="1" ref="P112" ca="1">IFERROR(INDEX(_xlfn._xlws.FILTER(INDIRECT(P$1&amp;"!$E1:$E10000"),INDIRECT(P$1&amp;"!$a1:$a10000")=汇总!$A112),COUNTIF(INDIRECT(P$1&amp;"!$a1:$a10000"),汇总!$A112)),P111)</f>
        <v>19.45999999999998</v>
      </c>
      <c r="Q112" s="109" cm="1">
        <f t="array" aca="1" ref="Q112" ca="1">IFERROR(INDEX(_xlfn._xlws.FILTER(INDIRECT(Q$1&amp;"!$E1:$E10000"),INDIRECT(Q$1&amp;"!$a1:$a10000")=汇总!$A112),COUNTIF(INDIRECT(Q$1&amp;"!$a1:$a10000"),汇总!$A112)),Q111)</f>
        <v>65.3759399999999</v>
      </c>
      <c r="R112" s="109" cm="1">
        <f t="array" aca="1" ref="R112" ca="1">IFERROR(INDEX(_xlfn._xlws.FILTER(INDIRECT(R$1&amp;"!$E1:$E10000"),INDIRECT(R$1&amp;"!$a1:$a10000")=汇总!$A112),COUNTIF(INDIRECT(R$1&amp;"!$a1:$a10000"),汇总!$A112)),R111)</f>
        <v>6359.7266999452058</v>
      </c>
      <c r="S112" s="109" cm="1">
        <f t="array" aca="1" ref="S112" ca="1">IFERROR(INDEX(_xlfn._xlws.FILTER(INDIRECT(S$1&amp;"!$E1:$E10000"),INDIRECT(S$1&amp;"!$a1:$a10000")=汇总!$A112),COUNTIF(INDIRECT(S$1&amp;"!$a1:$a10000"),汇总!$A112)),S111)</f>
        <v>2258.88</v>
      </c>
      <c r="T112" s="109" cm="1">
        <f t="array" aca="1" ref="T112" ca="1">IFERROR(INDEX(_xlfn._xlws.FILTER(INDIRECT(T$1&amp;"!$E1:$E10000"),INDIRECT(T$1&amp;"!$a1:$a10000")=汇总!$A112),COUNTIF(INDIRECT(T$1&amp;"!$a1:$a10000"),汇总!$A112)),T111)</f>
        <v>0</v>
      </c>
    </row>
    <row r="113" spans="1:20">
      <c r="A113" s="1">
        <f t="shared" si="3"/>
        <v>46134</v>
      </c>
      <c r="B113" s="109" cm="1">
        <f t="array" aca="1" ref="B113" ca="1">IFERROR(INDEX(_xlfn._xlws.FILTER(INDIRECT(B$1&amp;"!$E1:$E10000"),INDIRECT(B$1&amp;"!$a1:$a10000")=汇总!$A113),COUNTIF(INDIRECT(B$1&amp;"!$a1:$a10000"),汇总!$A113)),B112)</f>
        <v>2071.7705999999998</v>
      </c>
      <c r="C113" s="109" cm="1">
        <f t="array" aca="1" ref="C113" ca="1">IFERROR(INDEX(_xlfn._xlws.FILTER(INDIRECT(C$1&amp;"!$E1:$E10000"),INDIRECT(C$1&amp;"!$a1:$a10000")=汇总!$A113),COUNTIF(INDIRECT(C$1&amp;"!$a1:$a10000"),汇总!$A113)),C112)</f>
        <v>1829.87</v>
      </c>
      <c r="D113" s="109" cm="1">
        <f t="array" aca="1" ref="D113" ca="1">IFERROR(INDEX(_xlfn._xlws.FILTER(INDIRECT(D$1&amp;"!$E1:$E10000"),INDIRECT(D$1&amp;"!$a1:$a10000")=汇总!$A113),COUNTIF(INDIRECT(D$1&amp;"!$a1:$a10000"),汇总!$A113)),D112)</f>
        <v>40.553010000000711</v>
      </c>
      <c r="E113" s="109" cm="1">
        <f t="array" aca="1" ref="E113" ca="1">IFERROR(INDEX(_xlfn._xlws.FILTER(INDIRECT(E$1&amp;"!$E1:$E10000"),INDIRECT(E$1&amp;"!$a1:$a10000")=汇总!$A113),COUNTIF(INDIRECT(E$1&amp;"!$a1:$a10000"),汇总!$A113)),E112)</f>
        <v>246.3806499999998</v>
      </c>
      <c r="F113" s="109" cm="1">
        <f t="array" aca="1" ref="F113" ca="1">IFERROR(INDEX(_xlfn._xlws.FILTER(INDIRECT(F$1&amp;"!$E1:$E10000"),INDIRECT(F$1&amp;"!$a1:$a10000")=汇总!$A113),COUNTIF(INDIRECT(F$1&amp;"!$a1:$a10000"),汇总!$A113)),F112)</f>
        <v>10738</v>
      </c>
      <c r="G113" s="109" cm="1">
        <f t="array" aca="1" ref="G113" ca="1">IFERROR(INDEX(_xlfn._xlws.FILTER(INDIRECT(G$1&amp;"!$E1:$E10000"),INDIRECT(G$1&amp;"!$a1:$a10000")=汇总!$A113),COUNTIF(INDIRECT(G$1&amp;"!$a1:$a10000"),汇总!$A113)),G112)</f>
        <v>15310.48006</v>
      </c>
      <c r="H113" s="109" cm="1">
        <f t="array" aca="1" ref="H113" ca="1">IFERROR(INDEX(_xlfn._xlws.FILTER(INDIRECT(H$1&amp;"!$E1:$E10000"),INDIRECT(H$1&amp;"!$a1:$a10000")=汇总!$A113),COUNTIF(INDIRECT(H$1&amp;"!$a1:$a10000"),汇总!$A113)),H112)</f>
        <v>449.63999999999987</v>
      </c>
      <c r="I113" s="109" cm="1">
        <f t="array" aca="1" ref="I113" ca="1">IFERROR(INDEX(_xlfn._xlws.FILTER(INDIRECT(I$1&amp;"!$E1:$E10000"),INDIRECT(I$1&amp;"!$a1:$a10000")=汇总!$A113),COUNTIF(INDIRECT(I$1&amp;"!$a1:$a10000"),汇总!$A113)),I112)</f>
        <v>538.70880899999986</v>
      </c>
      <c r="J113" s="109" cm="1">
        <f t="array" aca="1" ref="J113" ca="1">IFERROR(INDEX(_xlfn._xlws.FILTER(INDIRECT(J$1&amp;"!$E1:$E10000"),INDIRECT(J$1&amp;"!$a1:$a10000")=汇总!$A113),COUNTIF(INDIRECT(J$1&amp;"!$a1:$a10000"),汇总!$A113)),J112)</f>
        <v>2.5</v>
      </c>
      <c r="K113" s="109" cm="1">
        <f t="array" aca="1" ref="K113" ca="1">IFERROR(INDEX(_xlfn._xlws.FILTER(INDIRECT(K$1&amp;"!$E1:$E10000"),INDIRECT(K$1&amp;"!$a1:$a10000")=汇总!$A113),COUNTIF(INDIRECT(K$1&amp;"!$a1:$a10000"),汇总!$A113)),K112)</f>
        <v>1084.2189049999997</v>
      </c>
      <c r="L113" s="109" cm="1">
        <f t="array" aca="1" ref="L113" ca="1">IFERROR(INDEX(_xlfn._xlws.FILTER(INDIRECT(L$1&amp;"!$E1:$E10000"),INDIRECT(L$1&amp;"!$a1:$a10000")=汇总!$A113),COUNTIF(INDIRECT(L$1&amp;"!$a1:$a10000"),汇总!$A113)),L112)</f>
        <v>1561.3137999999997</v>
      </c>
      <c r="M113" s="109" cm="1">
        <f t="array" aca="1" ref="M113" ca="1">IFERROR(INDEX(_xlfn._xlws.FILTER(INDIRECT(M$1&amp;"!$E1:$E10000"),INDIRECT(M$1&amp;"!$a1:$a10000")=汇总!$A113),COUNTIF(INDIRECT(M$1&amp;"!$a1:$a10000"),汇总!$A113)),M112)</f>
        <v>70.990959999999959</v>
      </c>
      <c r="N113" s="109" cm="1">
        <f t="array" aca="1" ref="N113" ca="1">IFERROR(INDEX(_xlfn._xlws.FILTER(INDIRECT(N$1&amp;"!$E1:$E10000"),INDIRECT(N$1&amp;"!$a1:$a10000")=汇总!$A113),COUNTIF(INDIRECT(N$1&amp;"!$a1:$a10000"),汇总!$A113)),N112)</f>
        <v>177.52038699999912</v>
      </c>
      <c r="O113" s="109" cm="1">
        <f t="array" aca="1" ref="O113" ca="1">IFERROR(INDEX(_xlfn._xlws.FILTER(INDIRECT(O$1&amp;"!$E1:$E10000"),INDIRECT(O$1&amp;"!$a1:$a10000")=汇总!$A113),COUNTIF(INDIRECT(O$1&amp;"!$a1:$a10000"),汇总!$A113)),O112)</f>
        <v>2</v>
      </c>
      <c r="P113" s="109" cm="1">
        <f t="array" aca="1" ref="P113" ca="1">IFERROR(INDEX(_xlfn._xlws.FILTER(INDIRECT(P$1&amp;"!$E1:$E10000"),INDIRECT(P$1&amp;"!$a1:$a10000")=汇总!$A113),COUNTIF(INDIRECT(P$1&amp;"!$a1:$a10000"),汇总!$A113)),P112)</f>
        <v>19.45999999999998</v>
      </c>
      <c r="Q113" s="109" cm="1">
        <f t="array" aca="1" ref="Q113" ca="1">IFERROR(INDEX(_xlfn._xlws.FILTER(INDIRECT(Q$1&amp;"!$E1:$E10000"),INDIRECT(Q$1&amp;"!$a1:$a10000")=汇总!$A113),COUNTIF(INDIRECT(Q$1&amp;"!$a1:$a10000"),汇总!$A113)),Q112)</f>
        <v>275.3759399999999</v>
      </c>
      <c r="R113" s="109" cm="1">
        <f t="array" aca="1" ref="R113" ca="1">IFERROR(INDEX(_xlfn._xlws.FILTER(INDIRECT(R$1&amp;"!$E1:$E10000"),INDIRECT(R$1&amp;"!$a1:$a10000")=汇总!$A113),COUNTIF(INDIRECT(R$1&amp;"!$a1:$a10000"),汇总!$A113)),R112)</f>
        <v>3159.7266999452058</v>
      </c>
      <c r="S113" s="109" cm="1">
        <f t="array" aca="1" ref="S113" ca="1">IFERROR(INDEX(_xlfn._xlws.FILTER(INDIRECT(S$1&amp;"!$E1:$E10000"),INDIRECT(S$1&amp;"!$a1:$a10000")=汇总!$A113),COUNTIF(INDIRECT(S$1&amp;"!$a1:$a10000"),汇总!$A113)),S112)</f>
        <v>2258.88</v>
      </c>
      <c r="T113" s="109" cm="1">
        <f t="array" aca="1" ref="T113" ca="1">IFERROR(INDEX(_xlfn._xlws.FILTER(INDIRECT(T$1&amp;"!$E1:$E10000"),INDIRECT(T$1&amp;"!$a1:$a10000")=汇总!$A113),COUNTIF(INDIRECT(T$1&amp;"!$a1:$a10000"),汇总!$A113)),T112)</f>
        <v>0</v>
      </c>
    </row>
    <row r="114" spans="1:20">
      <c r="A114" s="1">
        <f t="shared" si="3"/>
        <v>46135</v>
      </c>
      <c r="B114" s="109" cm="1">
        <f t="array" aca="1" ref="B114" ca="1">IFERROR(INDEX(_xlfn._xlws.FILTER(INDIRECT(B$1&amp;"!$E1:$E10000"),INDIRECT(B$1&amp;"!$a1:$a10000")=汇总!$A114),COUNTIF(INDIRECT(B$1&amp;"!$a1:$a10000"),汇总!$A114)),B113)</f>
        <v>2071.7705999999998</v>
      </c>
      <c r="C114" s="109" cm="1">
        <f t="array" aca="1" ref="C114" ca="1">IFERROR(INDEX(_xlfn._xlws.FILTER(INDIRECT(C$1&amp;"!$E1:$E10000"),INDIRECT(C$1&amp;"!$a1:$a10000")=汇总!$A114),COUNTIF(INDIRECT(C$1&amp;"!$a1:$a10000"),汇总!$A114)),C113)</f>
        <v>1829.87</v>
      </c>
      <c r="D114" s="109" cm="1">
        <f t="array" aca="1" ref="D114" ca="1">IFERROR(INDEX(_xlfn._xlws.FILTER(INDIRECT(D$1&amp;"!$E1:$E10000"),INDIRECT(D$1&amp;"!$a1:$a10000")=汇总!$A114),COUNTIF(INDIRECT(D$1&amp;"!$a1:$a10000"),汇总!$A114)),D113)</f>
        <v>1880.8260100000009</v>
      </c>
      <c r="E114" s="109" cm="1">
        <f t="array" aca="1" ref="E114" ca="1">IFERROR(INDEX(_xlfn._xlws.FILTER(INDIRECT(E$1&amp;"!$E1:$E10000"),INDIRECT(E$1&amp;"!$a1:$a10000")=汇总!$A114),COUNTIF(INDIRECT(E$1&amp;"!$a1:$a10000"),汇总!$A114)),E113)</f>
        <v>144.72064999999981</v>
      </c>
      <c r="F114" s="109" cm="1">
        <f t="array" aca="1" ref="F114" ca="1">IFERROR(INDEX(_xlfn._xlws.FILTER(INDIRECT(F$1&amp;"!$E1:$E10000"),INDIRECT(F$1&amp;"!$a1:$a10000")=汇总!$A114),COUNTIF(INDIRECT(F$1&amp;"!$a1:$a10000"),汇总!$A114)),F113)</f>
        <v>10738</v>
      </c>
      <c r="G114" s="109" cm="1">
        <f t="array" aca="1" ref="G114" ca="1">IFERROR(INDEX(_xlfn._xlws.FILTER(INDIRECT(G$1&amp;"!$E1:$E10000"),INDIRECT(G$1&amp;"!$a1:$a10000")=汇总!$A114),COUNTIF(INDIRECT(G$1&amp;"!$a1:$a10000"),汇总!$A114)),G113)</f>
        <v>15310.48006</v>
      </c>
      <c r="H114" s="109" cm="1">
        <f t="array" aca="1" ref="H114" ca="1">IFERROR(INDEX(_xlfn._xlws.FILTER(INDIRECT(H$1&amp;"!$E1:$E10000"),INDIRECT(H$1&amp;"!$a1:$a10000")=汇总!$A114),COUNTIF(INDIRECT(H$1&amp;"!$a1:$a10000"),汇总!$A114)),H113)</f>
        <v>449.63999999999987</v>
      </c>
      <c r="I114" s="109" cm="1">
        <f t="array" aca="1" ref="I114" ca="1">IFERROR(INDEX(_xlfn._xlws.FILTER(INDIRECT(I$1&amp;"!$E1:$E10000"),INDIRECT(I$1&amp;"!$a1:$a10000")=汇总!$A114),COUNTIF(INDIRECT(I$1&amp;"!$a1:$a10000"),汇总!$A114)),I113)</f>
        <v>538.70880899999986</v>
      </c>
      <c r="J114" s="109" cm="1">
        <f t="array" aca="1" ref="J114" ca="1">IFERROR(INDEX(_xlfn._xlws.FILTER(INDIRECT(J$1&amp;"!$E1:$E10000"),INDIRECT(J$1&amp;"!$a1:$a10000")=汇总!$A114),COUNTIF(INDIRECT(J$1&amp;"!$a1:$a10000"),汇总!$A114)),J113)</f>
        <v>2.5</v>
      </c>
      <c r="K114" s="109" cm="1">
        <f t="array" aca="1" ref="K114" ca="1">IFERROR(INDEX(_xlfn._xlws.FILTER(INDIRECT(K$1&amp;"!$E1:$E10000"),INDIRECT(K$1&amp;"!$a1:$a10000")=汇总!$A114),COUNTIF(INDIRECT(K$1&amp;"!$a1:$a10000"),汇总!$A114)),K113)</f>
        <v>1084.2189049999997</v>
      </c>
      <c r="L114" s="109" cm="1">
        <f t="array" aca="1" ref="L114" ca="1">IFERROR(INDEX(_xlfn._xlws.FILTER(INDIRECT(L$1&amp;"!$E1:$E10000"),INDIRECT(L$1&amp;"!$a1:$a10000")=汇总!$A114),COUNTIF(INDIRECT(L$1&amp;"!$a1:$a10000"),汇总!$A114)),L113)</f>
        <v>1561.3137999999997</v>
      </c>
      <c r="M114" s="109" cm="1">
        <f t="array" aca="1" ref="M114" ca="1">IFERROR(INDEX(_xlfn._xlws.FILTER(INDIRECT(M$1&amp;"!$E1:$E10000"),INDIRECT(M$1&amp;"!$a1:$a10000")=汇总!$A114),COUNTIF(INDIRECT(M$1&amp;"!$a1:$a10000"),汇总!$A114)),M113)</f>
        <v>10.546659999999932</v>
      </c>
      <c r="N114" s="109" cm="1">
        <f t="array" aca="1" ref="N114" ca="1">IFERROR(INDEX(_xlfn._xlws.FILTER(INDIRECT(N$1&amp;"!$E1:$E10000"),INDIRECT(N$1&amp;"!$a1:$a10000")=汇总!$A114),COUNTIF(INDIRECT(N$1&amp;"!$a1:$a10000"),汇总!$A114)),N113)</f>
        <v>726.52038699999912</v>
      </c>
      <c r="O114" s="109" cm="1">
        <f t="array" aca="1" ref="O114" ca="1">IFERROR(INDEX(_xlfn._xlws.FILTER(INDIRECT(O$1&amp;"!$E1:$E10000"),INDIRECT(O$1&amp;"!$a1:$a10000")=汇总!$A114),COUNTIF(INDIRECT(O$1&amp;"!$a1:$a10000"),汇总!$A114)),O113)</f>
        <v>2</v>
      </c>
      <c r="P114" s="109" cm="1">
        <f t="array" aca="1" ref="P114" ca="1">IFERROR(INDEX(_xlfn._xlws.FILTER(INDIRECT(P$1&amp;"!$E1:$E10000"),INDIRECT(P$1&amp;"!$a1:$a10000")=汇总!$A114),COUNTIF(INDIRECT(P$1&amp;"!$a1:$a10000"),汇总!$A114)),P113)</f>
        <v>19.45999999999998</v>
      </c>
      <c r="Q114" s="109" cm="1">
        <f t="array" aca="1" ref="Q114" ca="1">IFERROR(INDEX(_xlfn._xlws.FILTER(INDIRECT(Q$1&amp;"!$E1:$E10000"),INDIRECT(Q$1&amp;"!$a1:$a10000")=汇总!$A114),COUNTIF(INDIRECT(Q$1&amp;"!$a1:$a10000"),汇总!$A114)),Q113)</f>
        <v>57.272474999999908</v>
      </c>
      <c r="R114" s="109" cm="1">
        <f t="array" aca="1" ref="R114" ca="1">IFERROR(INDEX(_xlfn._xlws.FILTER(INDIRECT(R$1&amp;"!$E1:$E10000"),INDIRECT(R$1&amp;"!$a1:$a10000")=汇总!$A114),COUNTIF(INDIRECT(R$1&amp;"!$a1:$a10000"),汇总!$A114)),R113)</f>
        <v>5688.9006999452058</v>
      </c>
      <c r="S114" s="109" cm="1">
        <f t="array" aca="1" ref="S114" ca="1">IFERROR(INDEX(_xlfn._xlws.FILTER(INDIRECT(S$1&amp;"!$E1:$E10000"),INDIRECT(S$1&amp;"!$a1:$a10000")=汇总!$A114),COUNTIF(INDIRECT(S$1&amp;"!$a1:$a10000"),汇总!$A114)),S113)</f>
        <v>2258.88</v>
      </c>
      <c r="T114" s="109" cm="1">
        <f t="array" aca="1" ref="T114" ca="1">IFERROR(INDEX(_xlfn._xlws.FILTER(INDIRECT(T$1&amp;"!$E1:$E10000"),INDIRECT(T$1&amp;"!$a1:$a10000")=汇总!$A114),COUNTIF(INDIRECT(T$1&amp;"!$a1:$a10000"),汇总!$A114)),T113)</f>
        <v>0</v>
      </c>
    </row>
    <row r="115" spans="1:20">
      <c r="A115" s="1">
        <f t="shared" si="3"/>
        <v>46136</v>
      </c>
      <c r="B115" s="109" cm="1">
        <f t="array" aca="1" ref="B115" ca="1">IFERROR(INDEX(_xlfn._xlws.FILTER(INDIRECT(B$1&amp;"!$E1:$E10000"),INDIRECT(B$1&amp;"!$a1:$a10000")=汇总!$A115),COUNTIF(INDIRECT(B$1&amp;"!$a1:$a10000"),汇总!$A115)),B114)</f>
        <v>1811.7705999999998</v>
      </c>
      <c r="C115" s="109" cm="1">
        <f t="array" aca="1" ref="C115" ca="1">IFERROR(INDEX(_xlfn._xlws.FILTER(INDIRECT(C$1&amp;"!$E1:$E10000"),INDIRECT(C$1&amp;"!$a1:$a10000")=汇总!$A115),COUNTIF(INDIRECT(C$1&amp;"!$a1:$a10000"),汇总!$A115)),C114)</f>
        <v>1829.87</v>
      </c>
      <c r="D115" s="109" cm="1">
        <f t="array" aca="1" ref="D115" ca="1">IFERROR(INDEX(_xlfn._xlws.FILTER(INDIRECT(D$1&amp;"!$E1:$E10000"),INDIRECT(D$1&amp;"!$a1:$a10000")=汇总!$A115),COUNTIF(INDIRECT(D$1&amp;"!$a1:$a10000"),汇总!$A115)),D114)</f>
        <v>3180.8260100000007</v>
      </c>
      <c r="E115" s="109" cm="1">
        <f t="array" aca="1" ref="E115" ca="1">IFERROR(INDEX(_xlfn._xlws.FILTER(INDIRECT(E$1&amp;"!$E1:$E10000"),INDIRECT(E$1&amp;"!$a1:$a10000")=汇总!$A115),COUNTIF(INDIRECT(E$1&amp;"!$a1:$a10000"),汇总!$A115)),E114)</f>
        <v>8204.7206499999993</v>
      </c>
      <c r="F115" s="109" cm="1">
        <f t="array" aca="1" ref="F115" ca="1">IFERROR(INDEX(_xlfn._xlws.FILTER(INDIRECT(F$1&amp;"!$E1:$E10000"),INDIRECT(F$1&amp;"!$a1:$a10000")=汇总!$A115),COUNTIF(INDIRECT(F$1&amp;"!$a1:$a10000"),汇总!$A115)),F114)</f>
        <v>12823</v>
      </c>
      <c r="G115" s="109" cm="1">
        <f t="array" aca="1" ref="G115" ca="1">IFERROR(INDEX(_xlfn._xlws.FILTER(INDIRECT(G$1&amp;"!$E1:$E10000"),INDIRECT(G$1&amp;"!$a1:$a10000")=汇总!$A115),COUNTIF(INDIRECT(G$1&amp;"!$a1:$a10000"),汇总!$A115)),G114)</f>
        <v>15310.48006</v>
      </c>
      <c r="H115" s="109" cm="1">
        <f t="array" aca="1" ref="H115" ca="1">IFERROR(INDEX(_xlfn._xlws.FILTER(INDIRECT(H$1&amp;"!$E1:$E10000"),INDIRECT(H$1&amp;"!$a1:$a10000")=汇总!$A115),COUNTIF(INDIRECT(H$1&amp;"!$a1:$a10000"),汇总!$A115)),H114)</f>
        <v>649.63999999999987</v>
      </c>
      <c r="I115" s="109" cm="1">
        <f t="array" aca="1" ref="I115" ca="1">IFERROR(INDEX(_xlfn._xlws.FILTER(INDIRECT(I$1&amp;"!$E1:$E10000"),INDIRECT(I$1&amp;"!$a1:$a10000")=汇总!$A115),COUNTIF(INDIRECT(I$1&amp;"!$a1:$a10000"),汇总!$A115)),I114)</f>
        <v>743.07880899999986</v>
      </c>
      <c r="J115" s="109" cm="1">
        <f t="array" aca="1" ref="J115" ca="1">IFERROR(INDEX(_xlfn._xlws.FILTER(INDIRECT(J$1&amp;"!$E1:$E10000"),INDIRECT(J$1&amp;"!$a1:$a10000")=汇总!$A115),COUNTIF(INDIRECT(J$1&amp;"!$a1:$a10000"),汇总!$A115)),J114)</f>
        <v>2.5</v>
      </c>
      <c r="K115" s="109" cm="1">
        <f t="array" aca="1" ref="K115" ca="1">IFERROR(INDEX(_xlfn._xlws.FILTER(INDIRECT(K$1&amp;"!$E1:$E10000"),INDIRECT(K$1&amp;"!$a1:$a10000")=汇总!$A115),COUNTIF(INDIRECT(K$1&amp;"!$a1:$a10000"),汇总!$A115)),K114)</f>
        <v>1167.3527909999998</v>
      </c>
      <c r="L115" s="109" cm="1">
        <f t="array" aca="1" ref="L115" ca="1">IFERROR(INDEX(_xlfn._xlws.FILTER(INDIRECT(L$1&amp;"!$E1:$E10000"),INDIRECT(L$1&amp;"!$a1:$a10000")=汇总!$A115),COUNTIF(INDIRECT(L$1&amp;"!$a1:$a10000"),汇总!$A115)),L114)</f>
        <v>1561.3137999999997</v>
      </c>
      <c r="M115" s="109" cm="1">
        <f t="array" aca="1" ref="M115" ca="1">IFERROR(INDEX(_xlfn._xlws.FILTER(INDIRECT(M$1&amp;"!$E1:$E10000"),INDIRECT(M$1&amp;"!$a1:$a10000")=汇总!$A115),COUNTIF(INDIRECT(M$1&amp;"!$a1:$a10000"),汇总!$A115)),M114)</f>
        <v>10.546659999999932</v>
      </c>
      <c r="N115" s="109" cm="1">
        <f t="array" aca="1" ref="N115" ca="1">IFERROR(INDEX(_xlfn._xlws.FILTER(INDIRECT(N$1&amp;"!$E1:$E10000"),INDIRECT(N$1&amp;"!$a1:$a10000")=汇总!$A115),COUNTIF(INDIRECT(N$1&amp;"!$a1:$a10000"),汇总!$A115)),N114)</f>
        <v>726.52038699999912</v>
      </c>
      <c r="O115" s="109" cm="1">
        <f t="array" aca="1" ref="O115" ca="1">IFERROR(INDEX(_xlfn._xlws.FILTER(INDIRECT(O$1&amp;"!$E1:$E10000"),INDIRECT(O$1&amp;"!$a1:$a10000")=汇总!$A115),COUNTIF(INDIRECT(O$1&amp;"!$a1:$a10000"),汇总!$A115)),O114)</f>
        <v>2</v>
      </c>
      <c r="P115" s="109" cm="1">
        <f t="array" aca="1" ref="P115" ca="1">IFERROR(INDEX(_xlfn._xlws.FILTER(INDIRECT(P$1&amp;"!$E1:$E10000"),INDIRECT(P$1&amp;"!$a1:$a10000")=汇总!$A115),COUNTIF(INDIRECT(P$1&amp;"!$a1:$a10000"),汇总!$A115)),P114)</f>
        <v>19.45999999999998</v>
      </c>
      <c r="Q115" s="109" cm="1">
        <f t="array" aca="1" ref="Q115" ca="1">IFERROR(INDEX(_xlfn._xlws.FILTER(INDIRECT(Q$1&amp;"!$E1:$E10000"),INDIRECT(Q$1&amp;"!$a1:$a10000")=汇总!$A115),COUNTIF(INDIRECT(Q$1&amp;"!$a1:$a10000"),汇总!$A115)),Q114)</f>
        <v>68.140724999999904</v>
      </c>
      <c r="R115" s="109" cm="1">
        <f t="array" aca="1" ref="R115" ca="1">IFERROR(INDEX(_xlfn._xlws.FILTER(INDIRECT(R$1&amp;"!$E1:$E10000"),INDIRECT(R$1&amp;"!$a1:$a10000")=汇总!$A115),COUNTIF(INDIRECT(R$1&amp;"!$a1:$a10000"),汇总!$A115)),R114)</f>
        <v>5602.7706999452057</v>
      </c>
      <c r="S115" s="109" cm="1">
        <f t="array" aca="1" ref="S115" ca="1">IFERROR(INDEX(_xlfn._xlws.FILTER(INDIRECT(S$1&amp;"!$E1:$E10000"),INDIRECT(S$1&amp;"!$a1:$a10000")=汇总!$A115),COUNTIF(INDIRECT(S$1&amp;"!$a1:$a10000"),汇总!$A115)),S114)</f>
        <v>1458.88</v>
      </c>
      <c r="T115" s="109" cm="1">
        <f t="array" aca="1" ref="T115" ca="1">IFERROR(INDEX(_xlfn._xlws.FILTER(INDIRECT(T$1&amp;"!$E1:$E10000"),INDIRECT(T$1&amp;"!$a1:$a10000")=汇总!$A115),COUNTIF(INDIRECT(T$1&amp;"!$a1:$a10000"),汇总!$A115)),T114)</f>
        <v>0</v>
      </c>
    </row>
    <row r="116" spans="1:20">
      <c r="A116" s="1">
        <f t="shared" si="3"/>
        <v>46137</v>
      </c>
      <c r="B116" s="109" cm="1">
        <f t="array" aca="1" ref="B116" ca="1">IFERROR(INDEX(_xlfn._xlws.FILTER(INDIRECT(B$1&amp;"!$E1:$E10000"),INDIRECT(B$1&amp;"!$a1:$a10000")=汇总!$A116),COUNTIF(INDIRECT(B$1&amp;"!$a1:$a10000"),汇总!$A116)),B115)</f>
        <v>1811.7705999999998</v>
      </c>
      <c r="C116" s="109" cm="1">
        <f t="array" aca="1" ref="C116" ca="1">IFERROR(INDEX(_xlfn._xlws.FILTER(INDIRECT(C$1&amp;"!$E1:$E10000"),INDIRECT(C$1&amp;"!$a1:$a10000")=汇总!$A116),COUNTIF(INDIRECT(C$1&amp;"!$a1:$a10000"),汇总!$A116)),C115)</f>
        <v>1829.87</v>
      </c>
      <c r="D116" s="109" cm="1">
        <f t="array" aca="1" ref="D116" ca="1">IFERROR(INDEX(_xlfn._xlws.FILTER(INDIRECT(D$1&amp;"!$E1:$E10000"),INDIRECT(D$1&amp;"!$a1:$a10000")=汇总!$A116),COUNTIF(INDIRECT(D$1&amp;"!$a1:$a10000"),汇总!$A116)),D115)</f>
        <v>3180.8260100000007</v>
      </c>
      <c r="E116" s="109" cm="1">
        <f t="array" aca="1" ref="E116" ca="1">IFERROR(INDEX(_xlfn._xlws.FILTER(INDIRECT(E$1&amp;"!$E1:$E10000"),INDIRECT(E$1&amp;"!$a1:$a10000")=汇总!$A116),COUNTIF(INDIRECT(E$1&amp;"!$a1:$a10000"),汇总!$A116)),E115)</f>
        <v>8204.7206499999993</v>
      </c>
      <c r="F116" s="109" cm="1">
        <f t="array" aca="1" ref="F116" ca="1">IFERROR(INDEX(_xlfn._xlws.FILTER(INDIRECT(F$1&amp;"!$E1:$E10000"),INDIRECT(F$1&amp;"!$a1:$a10000")=汇总!$A116),COUNTIF(INDIRECT(F$1&amp;"!$a1:$a10000"),汇总!$A116)),F115)</f>
        <v>12823</v>
      </c>
      <c r="G116" s="109" cm="1">
        <f t="array" aca="1" ref="G116" ca="1">IFERROR(INDEX(_xlfn._xlws.FILTER(INDIRECT(G$1&amp;"!$E1:$E10000"),INDIRECT(G$1&amp;"!$a1:$a10000")=汇总!$A116),COUNTIF(INDIRECT(G$1&amp;"!$a1:$a10000"),汇总!$A116)),G115)</f>
        <v>15310.48006</v>
      </c>
      <c r="H116" s="109" cm="1">
        <f t="array" aca="1" ref="H116" ca="1">IFERROR(INDEX(_xlfn._xlws.FILTER(INDIRECT(H$1&amp;"!$E1:$E10000"),INDIRECT(H$1&amp;"!$a1:$a10000")=汇总!$A116),COUNTIF(INDIRECT(H$1&amp;"!$a1:$a10000"),汇总!$A116)),H115)</f>
        <v>649.63999999999987</v>
      </c>
      <c r="I116" s="109" cm="1">
        <f t="array" aca="1" ref="I116" ca="1">IFERROR(INDEX(_xlfn._xlws.FILTER(INDIRECT(I$1&amp;"!$E1:$E10000"),INDIRECT(I$1&amp;"!$a1:$a10000")=汇总!$A116),COUNTIF(INDIRECT(I$1&amp;"!$a1:$a10000"),汇总!$A116)),I115)</f>
        <v>743.07880899999986</v>
      </c>
      <c r="J116" s="109" cm="1">
        <f t="array" aca="1" ref="J116" ca="1">IFERROR(INDEX(_xlfn._xlws.FILTER(INDIRECT(J$1&amp;"!$E1:$E10000"),INDIRECT(J$1&amp;"!$a1:$a10000")=汇总!$A116),COUNTIF(INDIRECT(J$1&amp;"!$a1:$a10000"),汇总!$A116)),J115)</f>
        <v>2.5</v>
      </c>
      <c r="K116" s="109" cm="1">
        <f t="array" aca="1" ref="K116" ca="1">IFERROR(INDEX(_xlfn._xlws.FILTER(INDIRECT(K$1&amp;"!$E1:$E10000"),INDIRECT(K$1&amp;"!$a1:$a10000")=汇总!$A116),COUNTIF(INDIRECT(K$1&amp;"!$a1:$a10000"),汇总!$A116)),K115)</f>
        <v>1167.3527909999998</v>
      </c>
      <c r="L116" s="109" cm="1">
        <f t="array" aca="1" ref="L116" ca="1">IFERROR(INDEX(_xlfn._xlws.FILTER(INDIRECT(L$1&amp;"!$E1:$E10000"),INDIRECT(L$1&amp;"!$a1:$a10000")=汇总!$A116),COUNTIF(INDIRECT(L$1&amp;"!$a1:$a10000"),汇总!$A116)),L115)</f>
        <v>1561.3137999999997</v>
      </c>
      <c r="M116" s="109" cm="1">
        <f t="array" aca="1" ref="M116" ca="1">IFERROR(INDEX(_xlfn._xlws.FILTER(INDIRECT(M$1&amp;"!$E1:$E10000"),INDIRECT(M$1&amp;"!$a1:$a10000")=汇总!$A116),COUNTIF(INDIRECT(M$1&amp;"!$a1:$a10000"),汇总!$A116)),M115)</f>
        <v>10.546659999999932</v>
      </c>
      <c r="N116" s="109" cm="1">
        <f t="array" aca="1" ref="N116" ca="1">IFERROR(INDEX(_xlfn._xlws.FILTER(INDIRECT(N$1&amp;"!$E1:$E10000"),INDIRECT(N$1&amp;"!$a1:$a10000")=汇总!$A116),COUNTIF(INDIRECT(N$1&amp;"!$a1:$a10000"),汇总!$A116)),N115)</f>
        <v>726.52038699999912</v>
      </c>
      <c r="O116" s="109" cm="1">
        <f t="array" aca="1" ref="O116" ca="1">IFERROR(INDEX(_xlfn._xlws.FILTER(INDIRECT(O$1&amp;"!$E1:$E10000"),INDIRECT(O$1&amp;"!$a1:$a10000")=汇总!$A116),COUNTIF(INDIRECT(O$1&amp;"!$a1:$a10000"),汇总!$A116)),O115)</f>
        <v>2</v>
      </c>
      <c r="P116" s="109" cm="1">
        <f t="array" aca="1" ref="P116" ca="1">IFERROR(INDEX(_xlfn._xlws.FILTER(INDIRECT(P$1&amp;"!$E1:$E10000"),INDIRECT(P$1&amp;"!$a1:$a10000")=汇总!$A116),COUNTIF(INDIRECT(P$1&amp;"!$a1:$a10000"),汇总!$A116)),P115)</f>
        <v>19.45999999999998</v>
      </c>
      <c r="Q116" s="109" cm="1">
        <f t="array" aca="1" ref="Q116" ca="1">IFERROR(INDEX(_xlfn._xlws.FILTER(INDIRECT(Q$1&amp;"!$E1:$E10000"),INDIRECT(Q$1&amp;"!$a1:$a10000")=汇总!$A116),COUNTIF(INDIRECT(Q$1&amp;"!$a1:$a10000"),汇总!$A116)),Q115)</f>
        <v>68.140724999999904</v>
      </c>
      <c r="R116" s="109" cm="1">
        <f t="array" aca="1" ref="R116" ca="1">IFERROR(INDEX(_xlfn._xlws.FILTER(INDIRECT(R$1&amp;"!$E1:$E10000"),INDIRECT(R$1&amp;"!$a1:$a10000")=汇总!$A116),COUNTIF(INDIRECT(R$1&amp;"!$a1:$a10000"),汇总!$A116)),R115)</f>
        <v>5602.7706999452057</v>
      </c>
      <c r="S116" s="109" cm="1">
        <f t="array" aca="1" ref="S116" ca="1">IFERROR(INDEX(_xlfn._xlws.FILTER(INDIRECT(S$1&amp;"!$E1:$E10000"),INDIRECT(S$1&amp;"!$a1:$a10000")=汇总!$A116),COUNTIF(INDIRECT(S$1&amp;"!$a1:$a10000"),汇总!$A116)),S115)</f>
        <v>1458.88</v>
      </c>
      <c r="T116" s="109" cm="1">
        <f t="array" aca="1" ref="T116" ca="1">IFERROR(INDEX(_xlfn._xlws.FILTER(INDIRECT(T$1&amp;"!$E1:$E10000"),INDIRECT(T$1&amp;"!$a1:$a10000")=汇总!$A116),COUNTIF(INDIRECT(T$1&amp;"!$a1:$a10000"),汇总!$A116)),T115)</f>
        <v>0</v>
      </c>
    </row>
    <row r="117" spans="1:20">
      <c r="A117" s="1">
        <f t="shared" si="3"/>
        <v>46138</v>
      </c>
      <c r="B117" s="109" cm="1">
        <f t="array" aca="1" ref="B117" ca="1">IFERROR(INDEX(_xlfn._xlws.FILTER(INDIRECT(B$1&amp;"!$E1:$E10000"),INDIRECT(B$1&amp;"!$a1:$a10000")=汇总!$A117),COUNTIF(INDIRECT(B$1&amp;"!$a1:$a10000"),汇总!$A117)),B116)</f>
        <v>1811.7705999999998</v>
      </c>
      <c r="C117" s="109" cm="1">
        <f t="array" aca="1" ref="C117" ca="1">IFERROR(INDEX(_xlfn._xlws.FILTER(INDIRECT(C$1&amp;"!$E1:$E10000"),INDIRECT(C$1&amp;"!$a1:$a10000")=汇总!$A117),COUNTIF(INDIRECT(C$1&amp;"!$a1:$a10000"),汇总!$A117)),C116)</f>
        <v>1829.87</v>
      </c>
      <c r="D117" s="109" cm="1">
        <f t="array" aca="1" ref="D117" ca="1">IFERROR(INDEX(_xlfn._xlws.FILTER(INDIRECT(D$1&amp;"!$E1:$E10000"),INDIRECT(D$1&amp;"!$a1:$a10000")=汇总!$A117),COUNTIF(INDIRECT(D$1&amp;"!$a1:$a10000"),汇总!$A117)),D116)</f>
        <v>3180.8260100000007</v>
      </c>
      <c r="E117" s="109" cm="1">
        <f t="array" aca="1" ref="E117" ca="1">IFERROR(INDEX(_xlfn._xlws.FILTER(INDIRECT(E$1&amp;"!$E1:$E10000"),INDIRECT(E$1&amp;"!$a1:$a10000")=汇总!$A117),COUNTIF(INDIRECT(E$1&amp;"!$a1:$a10000"),汇总!$A117)),E116)</f>
        <v>8204.7206499999993</v>
      </c>
      <c r="F117" s="109" cm="1">
        <f t="array" aca="1" ref="F117" ca="1">IFERROR(INDEX(_xlfn._xlws.FILTER(INDIRECT(F$1&amp;"!$E1:$E10000"),INDIRECT(F$1&amp;"!$a1:$a10000")=汇总!$A117),COUNTIF(INDIRECT(F$1&amp;"!$a1:$a10000"),汇总!$A117)),F116)</f>
        <v>12823</v>
      </c>
      <c r="G117" s="109" cm="1">
        <f t="array" aca="1" ref="G117" ca="1">IFERROR(INDEX(_xlfn._xlws.FILTER(INDIRECT(G$1&amp;"!$E1:$E10000"),INDIRECT(G$1&amp;"!$a1:$a10000")=汇总!$A117),COUNTIF(INDIRECT(G$1&amp;"!$a1:$a10000"),汇总!$A117)),G116)</f>
        <v>15310.48006</v>
      </c>
      <c r="H117" s="109" cm="1">
        <f t="array" aca="1" ref="H117" ca="1">IFERROR(INDEX(_xlfn._xlws.FILTER(INDIRECT(H$1&amp;"!$E1:$E10000"),INDIRECT(H$1&amp;"!$a1:$a10000")=汇总!$A117),COUNTIF(INDIRECT(H$1&amp;"!$a1:$a10000"),汇总!$A117)),H116)</f>
        <v>649.63999999999987</v>
      </c>
      <c r="I117" s="109" cm="1">
        <f t="array" aca="1" ref="I117" ca="1">IFERROR(INDEX(_xlfn._xlws.FILTER(INDIRECT(I$1&amp;"!$E1:$E10000"),INDIRECT(I$1&amp;"!$a1:$a10000")=汇总!$A117),COUNTIF(INDIRECT(I$1&amp;"!$a1:$a10000"),汇总!$A117)),I116)</f>
        <v>743.07880899999986</v>
      </c>
      <c r="J117" s="109" cm="1">
        <f t="array" aca="1" ref="J117" ca="1">IFERROR(INDEX(_xlfn._xlws.FILTER(INDIRECT(J$1&amp;"!$E1:$E10000"),INDIRECT(J$1&amp;"!$a1:$a10000")=汇总!$A117),COUNTIF(INDIRECT(J$1&amp;"!$a1:$a10000"),汇总!$A117)),J116)</f>
        <v>2.5</v>
      </c>
      <c r="K117" s="109" cm="1">
        <f t="array" aca="1" ref="K117" ca="1">IFERROR(INDEX(_xlfn._xlws.FILTER(INDIRECT(K$1&amp;"!$E1:$E10000"),INDIRECT(K$1&amp;"!$a1:$a10000")=汇总!$A117),COUNTIF(INDIRECT(K$1&amp;"!$a1:$a10000"),汇总!$A117)),K116)</f>
        <v>1167.3527909999998</v>
      </c>
      <c r="L117" s="109" cm="1">
        <f t="array" aca="1" ref="L117" ca="1">IFERROR(INDEX(_xlfn._xlws.FILTER(INDIRECT(L$1&amp;"!$E1:$E10000"),INDIRECT(L$1&amp;"!$a1:$a10000")=汇总!$A117),COUNTIF(INDIRECT(L$1&amp;"!$a1:$a10000"),汇总!$A117)),L116)</f>
        <v>1561.3137999999997</v>
      </c>
      <c r="M117" s="109" cm="1">
        <f t="array" aca="1" ref="M117" ca="1">IFERROR(INDEX(_xlfn._xlws.FILTER(INDIRECT(M$1&amp;"!$E1:$E10000"),INDIRECT(M$1&amp;"!$a1:$a10000")=汇总!$A117),COUNTIF(INDIRECT(M$1&amp;"!$a1:$a10000"),汇总!$A117)),M116)</f>
        <v>10.546659999999932</v>
      </c>
      <c r="N117" s="109" cm="1">
        <f t="array" aca="1" ref="N117" ca="1">IFERROR(INDEX(_xlfn._xlws.FILTER(INDIRECT(N$1&amp;"!$E1:$E10000"),INDIRECT(N$1&amp;"!$a1:$a10000")=汇总!$A117),COUNTIF(INDIRECT(N$1&amp;"!$a1:$a10000"),汇总!$A117)),N116)</f>
        <v>726.52038699999912</v>
      </c>
      <c r="O117" s="109" cm="1">
        <f t="array" aca="1" ref="O117" ca="1">IFERROR(INDEX(_xlfn._xlws.FILTER(INDIRECT(O$1&amp;"!$E1:$E10000"),INDIRECT(O$1&amp;"!$a1:$a10000")=汇总!$A117),COUNTIF(INDIRECT(O$1&amp;"!$a1:$a10000"),汇总!$A117)),O116)</f>
        <v>2</v>
      </c>
      <c r="P117" s="109" cm="1">
        <f t="array" aca="1" ref="P117" ca="1">IFERROR(INDEX(_xlfn._xlws.FILTER(INDIRECT(P$1&amp;"!$E1:$E10000"),INDIRECT(P$1&amp;"!$a1:$a10000")=汇总!$A117),COUNTIF(INDIRECT(P$1&amp;"!$a1:$a10000"),汇总!$A117)),P116)</f>
        <v>19.45999999999998</v>
      </c>
      <c r="Q117" s="109" cm="1">
        <f t="array" aca="1" ref="Q117" ca="1">IFERROR(INDEX(_xlfn._xlws.FILTER(INDIRECT(Q$1&amp;"!$E1:$E10000"),INDIRECT(Q$1&amp;"!$a1:$a10000")=汇总!$A117),COUNTIF(INDIRECT(Q$1&amp;"!$a1:$a10000"),汇总!$A117)),Q116)</f>
        <v>68.140724999999904</v>
      </c>
      <c r="R117" s="109" cm="1">
        <f t="array" aca="1" ref="R117" ca="1">IFERROR(INDEX(_xlfn._xlws.FILTER(INDIRECT(R$1&amp;"!$E1:$E10000"),INDIRECT(R$1&amp;"!$a1:$a10000")=汇总!$A117),COUNTIF(INDIRECT(R$1&amp;"!$a1:$a10000"),汇总!$A117)),R116)</f>
        <v>5602.7706999452057</v>
      </c>
      <c r="S117" s="109" cm="1">
        <f t="array" aca="1" ref="S117" ca="1">IFERROR(INDEX(_xlfn._xlws.FILTER(INDIRECT(S$1&amp;"!$E1:$E10000"),INDIRECT(S$1&amp;"!$a1:$a10000")=汇总!$A117),COUNTIF(INDIRECT(S$1&amp;"!$a1:$a10000"),汇总!$A117)),S116)</f>
        <v>1458.88</v>
      </c>
      <c r="T117" s="109" cm="1">
        <f t="array" aca="1" ref="T117" ca="1">IFERROR(INDEX(_xlfn._xlws.FILTER(INDIRECT(T$1&amp;"!$E1:$E10000"),INDIRECT(T$1&amp;"!$a1:$a10000")=汇总!$A117),COUNTIF(INDIRECT(T$1&amp;"!$a1:$a10000"),汇总!$A117)),T116)</f>
        <v>0</v>
      </c>
    </row>
    <row r="118" spans="1:20">
      <c r="A118" s="1">
        <f t="shared" si="3"/>
        <v>46139</v>
      </c>
      <c r="B118" s="109" cm="1">
        <f t="array" aca="1" ref="B118" ca="1">IFERROR(INDEX(_xlfn._xlws.FILTER(INDIRECT(B$1&amp;"!$E1:$E10000"),INDIRECT(B$1&amp;"!$a1:$a10000")=汇总!$A118),COUNTIF(INDIRECT(B$1&amp;"!$a1:$a10000"),汇总!$A118)),B117)</f>
        <v>2172.7705999999998</v>
      </c>
      <c r="C118" s="109" cm="1">
        <f t="array" aca="1" ref="C118" ca="1">IFERROR(INDEX(_xlfn._xlws.FILTER(INDIRECT(C$1&amp;"!$E1:$E10000"),INDIRECT(C$1&amp;"!$a1:$a10000")=汇总!$A118),COUNTIF(INDIRECT(C$1&amp;"!$a1:$a10000"),汇总!$A118)),C117)</f>
        <v>169.02999999999977</v>
      </c>
      <c r="D118" s="109" cm="1">
        <f t="array" aca="1" ref="D118" ca="1">IFERROR(INDEX(_xlfn._xlws.FILTER(INDIRECT(D$1&amp;"!$E1:$E10000"),INDIRECT(D$1&amp;"!$a1:$a10000")=汇总!$A118),COUNTIF(INDIRECT(D$1&amp;"!$a1:$a10000"),汇总!$A118)),D117)</f>
        <v>7152.7955979999997</v>
      </c>
      <c r="E118" s="109" cm="1">
        <f t="array" aca="1" ref="E118" ca="1">IFERROR(INDEX(_xlfn._xlws.FILTER(INDIRECT(E$1&amp;"!$E1:$E10000"),INDIRECT(E$1&amp;"!$a1:$a10000")=汇总!$A118),COUNTIF(INDIRECT(E$1&amp;"!$a1:$a10000"),汇总!$A118)),E117)</f>
        <v>8742.1230499999983</v>
      </c>
      <c r="F118" s="109" cm="1">
        <f t="array" aca="1" ref="F118" ca="1">IFERROR(INDEX(_xlfn._xlws.FILTER(INDIRECT(F$1&amp;"!$E1:$E10000"),INDIRECT(F$1&amp;"!$a1:$a10000")=汇总!$A118),COUNTIF(INDIRECT(F$1&amp;"!$a1:$a10000"),汇总!$A118)),F117)</f>
        <v>14713.9324</v>
      </c>
      <c r="G118" s="109" cm="1">
        <f t="array" aca="1" ref="G118" ca="1">IFERROR(INDEX(_xlfn._xlws.FILTER(INDIRECT(G$1&amp;"!$E1:$E10000"),INDIRECT(G$1&amp;"!$a1:$a10000")=汇总!$A118),COUNTIF(INDIRECT(G$1&amp;"!$a1:$a10000"),汇总!$A118)),G117)</f>
        <v>16957.363659999999</v>
      </c>
      <c r="H118" s="109" cm="1">
        <f t="array" aca="1" ref="H118" ca="1">IFERROR(INDEX(_xlfn._xlws.FILTER(INDIRECT(H$1&amp;"!$E1:$E10000"),INDIRECT(H$1&amp;"!$a1:$a10000")=汇总!$A118),COUNTIF(INDIRECT(H$1&amp;"!$a1:$a10000"),汇总!$A118)),H117)</f>
        <v>649.63999999999987</v>
      </c>
      <c r="I118" s="109" cm="1">
        <f t="array" aca="1" ref="I118" ca="1">IFERROR(INDEX(_xlfn._xlws.FILTER(INDIRECT(I$1&amp;"!$E1:$E10000"),INDIRECT(I$1&amp;"!$a1:$a10000")=汇总!$A118),COUNTIF(INDIRECT(I$1&amp;"!$a1:$a10000"),汇总!$A118)),I117)</f>
        <v>743.07880899999986</v>
      </c>
      <c r="J118" s="109" cm="1">
        <f t="array" aca="1" ref="J118" ca="1">IFERROR(INDEX(_xlfn._xlws.FILTER(INDIRECT(J$1&amp;"!$E1:$E10000"),INDIRECT(J$1&amp;"!$a1:$a10000")=汇总!$A118),COUNTIF(INDIRECT(J$1&amp;"!$a1:$a10000"),汇总!$A118)),J117)</f>
        <v>2.5</v>
      </c>
      <c r="K118" s="109" cm="1">
        <f t="array" aca="1" ref="K118" ca="1">IFERROR(INDEX(_xlfn._xlws.FILTER(INDIRECT(K$1&amp;"!$E1:$E10000"),INDIRECT(K$1&amp;"!$a1:$a10000")=汇总!$A118),COUNTIF(INDIRECT(K$1&amp;"!$a1:$a10000"),汇总!$A118)),K117)</f>
        <v>1167.3527909999998</v>
      </c>
      <c r="L118" s="109" cm="1">
        <f t="array" aca="1" ref="L118" ca="1">IFERROR(INDEX(_xlfn._xlws.FILTER(INDIRECT(L$1&amp;"!$E1:$E10000"),INDIRECT(L$1&amp;"!$a1:$a10000")=汇总!$A118),COUNTIF(INDIRECT(L$1&amp;"!$a1:$a10000"),汇总!$A118)),L117)</f>
        <v>267.41380000000004</v>
      </c>
      <c r="M118" s="109" cm="1">
        <f t="array" aca="1" ref="M118" ca="1">IFERROR(INDEX(_xlfn._xlws.FILTER(INDIRECT(M$1&amp;"!$E1:$E10000"),INDIRECT(M$1&amp;"!$a1:$a10000")=汇总!$A118),COUNTIF(INDIRECT(M$1&amp;"!$a1:$a10000"),汇总!$A118)),M117)</f>
        <v>2476.2466599999998</v>
      </c>
      <c r="N118" s="109" cm="1">
        <f t="array" aca="1" ref="N118" ca="1">IFERROR(INDEX(_xlfn._xlws.FILTER(INDIRECT(N$1&amp;"!$E1:$E10000"),INDIRECT(N$1&amp;"!$a1:$a10000")=汇总!$A118),COUNTIF(INDIRECT(N$1&amp;"!$a1:$a10000"),汇总!$A118)),N117)</f>
        <v>726.52038699999912</v>
      </c>
      <c r="O118" s="109" cm="1">
        <f t="array" aca="1" ref="O118" ca="1">IFERROR(INDEX(_xlfn._xlws.FILTER(INDIRECT(O$1&amp;"!$E1:$E10000"),INDIRECT(O$1&amp;"!$a1:$a10000")=汇总!$A118),COUNTIF(INDIRECT(O$1&amp;"!$a1:$a10000"),汇总!$A118)),O117)</f>
        <v>2</v>
      </c>
      <c r="P118" s="109" cm="1">
        <f t="array" aca="1" ref="P118" ca="1">IFERROR(INDEX(_xlfn._xlws.FILTER(INDIRECT(P$1&amp;"!$E1:$E10000"),INDIRECT(P$1&amp;"!$a1:$a10000")=汇总!$A118),COUNTIF(INDIRECT(P$1&amp;"!$a1:$a10000"),汇总!$A118)),P117)</f>
        <v>19.45999999999998</v>
      </c>
      <c r="Q118" s="109" cm="1">
        <f t="array" aca="1" ref="Q118" ca="1">IFERROR(INDEX(_xlfn._xlws.FILTER(INDIRECT(Q$1&amp;"!$E1:$E10000"),INDIRECT(Q$1&amp;"!$a1:$a10000")=汇总!$A118),COUNTIF(INDIRECT(Q$1&amp;"!$a1:$a10000"),汇总!$A118)),Q117)</f>
        <v>1366.9407249999999</v>
      </c>
      <c r="R118" s="109" cm="1">
        <f t="array" aca="1" ref="R118" ca="1">IFERROR(INDEX(_xlfn._xlws.FILTER(INDIRECT(R$1&amp;"!$E1:$E10000"),INDIRECT(R$1&amp;"!$a1:$a10000")=汇总!$A118),COUNTIF(INDIRECT(R$1&amp;"!$a1:$a10000"),汇总!$A118)),R117)</f>
        <v>6415.6716106301374</v>
      </c>
      <c r="S118" s="109" cm="1">
        <f t="array" aca="1" ref="S118" ca="1">IFERROR(INDEX(_xlfn._xlws.FILTER(INDIRECT(S$1&amp;"!$E1:$E10000"),INDIRECT(S$1&amp;"!$a1:$a10000")=汇总!$A118),COUNTIF(INDIRECT(S$1&amp;"!$a1:$a10000"),汇总!$A118)),S117)</f>
        <v>1458.88</v>
      </c>
      <c r="T118" s="109" cm="1">
        <f t="array" aca="1" ref="T118" ca="1">IFERROR(INDEX(_xlfn._xlws.FILTER(INDIRECT(T$1&amp;"!$E1:$E10000"),INDIRECT(T$1&amp;"!$a1:$a10000")=汇总!$A118),COUNTIF(INDIRECT(T$1&amp;"!$a1:$a10000"),汇总!$A118)),T117)</f>
        <v>0</v>
      </c>
    </row>
    <row r="119" spans="1:20">
      <c r="A119" s="1">
        <f t="shared" si="3"/>
        <v>46140</v>
      </c>
      <c r="B119" s="109" cm="1">
        <f t="array" aca="1" ref="B119" ca="1">IFERROR(INDEX(_xlfn._xlws.FILTER(INDIRECT(B$1&amp;"!$E1:$E10000"),INDIRECT(B$1&amp;"!$a1:$a10000")=汇总!$A119),COUNTIF(INDIRECT(B$1&amp;"!$a1:$a10000"),汇总!$A119)),B118)</f>
        <v>2272.7705999999998</v>
      </c>
      <c r="C119" s="109" cm="1">
        <f t="array" aca="1" ref="C119" ca="1">IFERROR(INDEX(_xlfn._xlws.FILTER(INDIRECT(C$1&amp;"!$E1:$E10000"),INDIRECT(C$1&amp;"!$a1:$a10000")=汇总!$A119),COUNTIF(INDIRECT(C$1&amp;"!$a1:$a10000"),汇总!$A119)),C118)</f>
        <v>807.02999999999975</v>
      </c>
      <c r="D119" s="109" cm="1">
        <f t="array" aca="1" ref="D119" ca="1">IFERROR(INDEX(_xlfn._xlws.FILTER(INDIRECT(D$1&amp;"!$E1:$E10000"),INDIRECT(D$1&amp;"!$a1:$a10000")=汇总!$A119),COUNTIF(INDIRECT(D$1&amp;"!$a1:$a10000"),汇总!$A119)),D118)</f>
        <v>9167.0625980000004</v>
      </c>
      <c r="E119" s="109" cm="1">
        <f t="array" aca="1" ref="E119" ca="1">IFERROR(INDEX(_xlfn._xlws.FILTER(INDIRECT(E$1&amp;"!$E1:$E10000"),INDIRECT(E$1&amp;"!$a1:$a10000")=汇总!$A119),COUNTIF(INDIRECT(E$1&amp;"!$a1:$a10000"),汇总!$A119)),E118)</f>
        <v>718.44250999999838</v>
      </c>
      <c r="F119" s="109" cm="1">
        <f t="array" aca="1" ref="F119" ca="1">IFERROR(INDEX(_xlfn._xlws.FILTER(INDIRECT(F$1&amp;"!$E1:$E10000"),INDIRECT(F$1&amp;"!$a1:$a10000")=汇总!$A119),COUNTIF(INDIRECT(F$1&amp;"!$a1:$a10000"),汇总!$A119)),F118)</f>
        <v>15713.9324</v>
      </c>
      <c r="G119" s="109" cm="1">
        <f t="array" aca="1" ref="G119" ca="1">IFERROR(INDEX(_xlfn._xlws.FILTER(INDIRECT(G$1&amp;"!$E1:$E10000"),INDIRECT(G$1&amp;"!$a1:$a10000")=汇总!$A119),COUNTIF(INDIRECT(G$1&amp;"!$a1:$a10000"),汇总!$A119)),G118)</f>
        <v>18064.06366</v>
      </c>
      <c r="H119" s="109" cm="1">
        <f t="array" aca="1" ref="H119" ca="1">IFERROR(INDEX(_xlfn._xlws.FILTER(INDIRECT(H$1&amp;"!$E1:$E10000"),INDIRECT(H$1&amp;"!$a1:$a10000")=汇总!$A119),COUNTIF(INDIRECT(H$1&amp;"!$a1:$a10000"),汇总!$A119)),H118)</f>
        <v>1944.6399999999994</v>
      </c>
      <c r="I119" s="109" cm="1">
        <f t="array" aca="1" ref="I119" ca="1">IFERROR(INDEX(_xlfn._xlws.FILTER(INDIRECT(I$1&amp;"!$E1:$E10000"),INDIRECT(I$1&amp;"!$a1:$a10000")=汇总!$A119),COUNTIF(INDIRECT(I$1&amp;"!$a1:$a10000"),汇总!$A119)),I118)</f>
        <v>943.07880899999986</v>
      </c>
      <c r="J119" s="109" cm="1">
        <f t="array" aca="1" ref="J119" ca="1">IFERROR(INDEX(_xlfn._xlws.FILTER(INDIRECT(J$1&amp;"!$E1:$E10000"),INDIRECT(J$1&amp;"!$a1:$a10000")=汇总!$A119),COUNTIF(INDIRECT(J$1&amp;"!$a1:$a10000"),汇总!$A119)),J118)</f>
        <v>2.5</v>
      </c>
      <c r="K119" s="109" cm="1">
        <f t="array" aca="1" ref="K119" ca="1">IFERROR(INDEX(_xlfn._xlws.FILTER(INDIRECT(K$1&amp;"!$E1:$E10000"),INDIRECT(K$1&amp;"!$a1:$a10000")=汇总!$A119),COUNTIF(INDIRECT(K$1&amp;"!$a1:$a10000"),汇总!$A119)),K118)</f>
        <v>1267.3527909999998</v>
      </c>
      <c r="L119" s="109" cm="1">
        <f t="array" aca="1" ref="L119" ca="1">IFERROR(INDEX(_xlfn._xlws.FILTER(INDIRECT(L$1&amp;"!$E1:$E10000"),INDIRECT(L$1&amp;"!$a1:$a10000")=汇总!$A119),COUNTIF(INDIRECT(L$1&amp;"!$a1:$a10000"),汇总!$A119)),L118)</f>
        <v>3101.6329999999998</v>
      </c>
      <c r="M119" s="109" cm="1">
        <f t="array" aca="1" ref="M119" ca="1">IFERROR(INDEX(_xlfn._xlws.FILTER(INDIRECT(M$1&amp;"!$E1:$E10000"),INDIRECT(M$1&amp;"!$a1:$a10000")=汇总!$A119),COUNTIF(INDIRECT(M$1&amp;"!$a1:$a10000"),汇总!$A119)),M118)</f>
        <v>174.94665999999961</v>
      </c>
      <c r="N119" s="109" cm="1">
        <f t="array" aca="1" ref="N119" ca="1">IFERROR(INDEX(_xlfn._xlws.FILTER(INDIRECT(N$1&amp;"!$E1:$E10000"),INDIRECT(N$1&amp;"!$a1:$a10000")=汇总!$A119),COUNTIF(INDIRECT(N$1&amp;"!$a1:$a10000"),汇总!$A119)),N118)</f>
        <v>1526.5203869999991</v>
      </c>
      <c r="O119" s="109" cm="1">
        <f t="array" aca="1" ref="O119" ca="1">IFERROR(INDEX(_xlfn._xlws.FILTER(INDIRECT(O$1&amp;"!$E1:$E10000"),INDIRECT(O$1&amp;"!$a1:$a10000")=汇总!$A119),COUNTIF(INDIRECT(O$1&amp;"!$a1:$a10000"),汇总!$A119)),O118)</f>
        <v>2</v>
      </c>
      <c r="P119" s="109" cm="1">
        <f t="array" aca="1" ref="P119" ca="1">IFERROR(INDEX(_xlfn._xlws.FILTER(INDIRECT(P$1&amp;"!$E1:$E10000"),INDIRECT(P$1&amp;"!$a1:$a10000")=汇总!$A119),COUNTIF(INDIRECT(P$1&amp;"!$a1:$a10000"),汇总!$A119)),P118)</f>
        <v>868.9707999999996</v>
      </c>
      <c r="Q119" s="109" cm="1">
        <f t="array" aca="1" ref="Q119" ca="1">IFERROR(INDEX(_xlfn._xlws.FILTER(INDIRECT(Q$1&amp;"!$E1:$E10000"),INDIRECT(Q$1&amp;"!$a1:$a10000")=汇总!$A119),COUNTIF(INDIRECT(Q$1&amp;"!$a1:$a10000"),汇总!$A119)),Q118)</f>
        <v>2866.9407249999999</v>
      </c>
      <c r="R119" s="109" cm="1">
        <f t="array" aca="1" ref="R119" ca="1">IFERROR(INDEX(_xlfn._xlws.FILTER(INDIRECT(R$1&amp;"!$E1:$E10000"),INDIRECT(R$1&amp;"!$a1:$a10000")=汇总!$A119),COUNTIF(INDIRECT(R$1&amp;"!$a1:$a10000"),汇总!$A119)),R118)</f>
        <v>4778.3347999452053</v>
      </c>
      <c r="S119" s="109" cm="1">
        <f t="array" aca="1" ref="S119" ca="1">IFERROR(INDEX(_xlfn._xlws.FILTER(INDIRECT(S$1&amp;"!$E1:$E10000"),INDIRECT(S$1&amp;"!$a1:$a10000")=汇总!$A119),COUNTIF(INDIRECT(S$1&amp;"!$a1:$a10000"),汇总!$A119)),S118)</f>
        <v>1458.88</v>
      </c>
      <c r="T119" s="109" cm="1">
        <f t="array" aca="1" ref="T119" ca="1">IFERROR(INDEX(_xlfn._xlws.FILTER(INDIRECT(T$1&amp;"!$E1:$E10000"),INDIRECT(T$1&amp;"!$a1:$a10000")=汇总!$A119),COUNTIF(INDIRECT(T$1&amp;"!$a1:$a10000"),汇总!$A119)),T118)</f>
        <v>0</v>
      </c>
    </row>
    <row r="120" spans="1:20">
      <c r="A120" s="1">
        <f t="shared" si="3"/>
        <v>46141</v>
      </c>
      <c r="B120" s="109" cm="1">
        <f t="array" aca="1" ref="B120" ca="1">IFERROR(INDEX(_xlfn._xlws.FILTER(INDIRECT(B$1&amp;"!$E1:$E10000"),INDIRECT(B$1&amp;"!$a1:$a10000")=汇总!$A120),COUNTIF(INDIRECT(B$1&amp;"!$a1:$a10000"),汇总!$A120)),B119)</f>
        <v>2375.8206</v>
      </c>
      <c r="C120" s="109" cm="1">
        <f t="array" aca="1" ref="C120" ca="1">IFERROR(INDEX(_xlfn._xlws.FILTER(INDIRECT(C$1&amp;"!$E1:$E10000"),INDIRECT(C$1&amp;"!$a1:$a10000")=汇总!$A120),COUNTIF(INDIRECT(C$1&amp;"!$a1:$a10000"),汇总!$A120)),C119)</f>
        <v>807.02999999999975</v>
      </c>
      <c r="D120" s="109" cm="1">
        <f t="array" aca="1" ref="D120" ca="1">IFERROR(INDEX(_xlfn._xlws.FILTER(INDIRECT(D$1&amp;"!$E1:$E10000"),INDIRECT(D$1&amp;"!$a1:$a10000")=汇总!$A120),COUNTIF(INDIRECT(D$1&amp;"!$a1:$a10000"),汇总!$A120)),D119)</f>
        <v>4137.0625980000004</v>
      </c>
      <c r="E120" s="109" cm="1">
        <f t="array" aca="1" ref="E120" ca="1">IFERROR(INDEX(_xlfn._xlws.FILTER(INDIRECT(E$1&amp;"!$E1:$E10000"),INDIRECT(E$1&amp;"!$a1:$a10000")=汇总!$A120),COUNTIF(INDIRECT(E$1&amp;"!$a1:$a10000"),汇总!$A120)),E119)</f>
        <v>174.00350000000003</v>
      </c>
      <c r="F120" s="109" cm="1">
        <f t="array" aca="1" ref="F120" ca="1">IFERROR(INDEX(_xlfn._xlws.FILTER(INDIRECT(F$1&amp;"!$E1:$E10000"),INDIRECT(F$1&amp;"!$a1:$a10000")=汇总!$A120),COUNTIF(INDIRECT(F$1&amp;"!$a1:$a10000"),汇总!$A120)),F119)</f>
        <v>10421.562399999999</v>
      </c>
      <c r="G120" s="109" cm="1">
        <f t="array" aca="1" ref="G120" ca="1">IFERROR(INDEX(_xlfn._xlws.FILTER(INDIRECT(G$1&amp;"!$E1:$E10000"),INDIRECT(G$1&amp;"!$a1:$a10000")=汇总!$A120),COUNTIF(INDIRECT(G$1&amp;"!$a1:$a10000"),汇总!$A120)),G119)</f>
        <v>6890.48866</v>
      </c>
      <c r="H120" s="109" cm="1">
        <f t="array" aca="1" ref="H120" ca="1">IFERROR(INDEX(_xlfn._xlws.FILTER(INDIRECT(H$1&amp;"!$E1:$E10000"),INDIRECT(H$1&amp;"!$a1:$a10000")=汇总!$A120),COUNTIF(INDIRECT(H$1&amp;"!$a1:$a10000"),汇总!$A120)),H119)</f>
        <v>1146</v>
      </c>
      <c r="I120" s="109" cm="1">
        <f t="array" aca="1" ref="I120" ca="1">IFERROR(INDEX(_xlfn._xlws.FILTER(INDIRECT(I$1&amp;"!$E1:$E10000"),INDIRECT(I$1&amp;"!$a1:$a10000")=汇总!$A120),COUNTIF(INDIRECT(I$1&amp;"!$a1:$a10000"),汇总!$A120)),I119)</f>
        <v>43.078808999999865</v>
      </c>
      <c r="J120" s="109" cm="1">
        <f t="array" aca="1" ref="J120" ca="1">IFERROR(INDEX(_xlfn._xlws.FILTER(INDIRECT(J$1&amp;"!$E1:$E10000"),INDIRECT(J$1&amp;"!$a1:$a10000")=汇总!$A120),COUNTIF(INDIRECT(J$1&amp;"!$a1:$a10000"),汇总!$A120)),J119)</f>
        <v>0.5</v>
      </c>
      <c r="K120" s="109" cm="1">
        <f t="array" aca="1" ref="K120" ca="1">IFERROR(INDEX(_xlfn._xlws.FILTER(INDIRECT(K$1&amp;"!$E1:$E10000"),INDIRECT(K$1&amp;"!$a1:$a10000")=汇总!$A120),COUNTIF(INDIRECT(K$1&amp;"!$a1:$a10000"),汇总!$A120)),K119)</f>
        <v>967.3527909999998</v>
      </c>
      <c r="L120" s="109" cm="1">
        <f t="array" aca="1" ref="L120" ca="1">IFERROR(INDEX(_xlfn._xlws.FILTER(INDIRECT(L$1&amp;"!$E1:$E10000"),INDIRECT(L$1&amp;"!$a1:$a10000")=汇总!$A120),COUNTIF(INDIRECT(L$1&amp;"!$a1:$a10000"),汇总!$A120)),L119)</f>
        <v>1101.6329999999998</v>
      </c>
      <c r="M120" s="109" cm="1">
        <f t="array" aca="1" ref="M120" ca="1">IFERROR(INDEX(_xlfn._xlws.FILTER(INDIRECT(M$1&amp;"!$E1:$E10000"),INDIRECT(M$1&amp;"!$a1:$a10000")=汇总!$A120),COUNTIF(INDIRECT(M$1&amp;"!$a1:$a10000"),汇总!$A120)),M119)</f>
        <v>204.94665999999961</v>
      </c>
      <c r="N120" s="109" cm="1">
        <f t="array" aca="1" ref="N120" ca="1">IFERROR(INDEX(_xlfn._xlws.FILTER(INDIRECT(N$1&amp;"!$E1:$E10000"),INDIRECT(N$1&amp;"!$a1:$a10000")=汇总!$A120),COUNTIF(INDIRECT(N$1&amp;"!$a1:$a10000"),汇总!$A120)),N119)</f>
        <v>1496.5203869999991</v>
      </c>
      <c r="O120" s="109" cm="1">
        <f t="array" aca="1" ref="O120" ca="1">IFERROR(INDEX(_xlfn._xlws.FILTER(INDIRECT(O$1&amp;"!$E1:$E10000"),INDIRECT(O$1&amp;"!$a1:$a10000")=汇总!$A120),COUNTIF(INDIRECT(O$1&amp;"!$a1:$a10000"),汇总!$A120)),O119)</f>
        <v>2</v>
      </c>
      <c r="P120" s="109" cm="1">
        <f t="array" aca="1" ref="P120" ca="1">IFERROR(INDEX(_xlfn._xlws.FILTER(INDIRECT(P$1&amp;"!$E1:$E10000"),INDIRECT(P$1&amp;"!$a1:$a10000")=汇总!$A120),COUNTIF(INDIRECT(P$1&amp;"!$a1:$a10000"),汇总!$A120)),P119)</f>
        <v>64.970799999999599</v>
      </c>
      <c r="Q120" s="109" cm="1">
        <f t="array" aca="1" ref="Q120" ca="1">IFERROR(INDEX(_xlfn._xlws.FILTER(INDIRECT(Q$1&amp;"!$E1:$E10000"),INDIRECT(Q$1&amp;"!$a1:$a10000")=汇总!$A120),COUNTIF(INDIRECT(Q$1&amp;"!$a1:$a10000"),汇总!$A120)),Q119)</f>
        <v>30.302524999999605</v>
      </c>
      <c r="R120" s="109" cm="1">
        <f t="array" aca="1" ref="R120" ca="1">IFERROR(INDEX(_xlfn._xlws.FILTER(INDIRECT(R$1&amp;"!$E1:$E10000"),INDIRECT(R$1&amp;"!$a1:$a10000")=汇总!$A120),COUNTIF(INDIRECT(R$1&amp;"!$a1:$a10000"),汇总!$A120)),R119)</f>
        <v>1278.3347999452053</v>
      </c>
      <c r="S120" s="109" cm="1">
        <f t="array" aca="1" ref="S120" ca="1">IFERROR(INDEX(_xlfn._xlws.FILTER(INDIRECT(S$1&amp;"!$E1:$E10000"),INDIRECT(S$1&amp;"!$a1:$a10000")=汇总!$A120),COUNTIF(INDIRECT(S$1&amp;"!$a1:$a10000"),汇总!$A120)),S119)</f>
        <v>1458.88</v>
      </c>
      <c r="T120" s="109" cm="1">
        <f t="array" aca="1" ref="T120" ca="1">IFERROR(INDEX(_xlfn._xlws.FILTER(INDIRECT(T$1&amp;"!$E1:$E10000"),INDIRECT(T$1&amp;"!$a1:$a10000")=汇总!$A120),COUNTIF(INDIRECT(T$1&amp;"!$a1:$a10000"),汇总!$A120)),T119)</f>
        <v>0</v>
      </c>
    </row>
    <row r="121" spans="1:20">
      <c r="A121" s="1">
        <f t="shared" si="3"/>
        <v>46142</v>
      </c>
      <c r="B121" s="109" cm="1">
        <f t="array" aca="1" ref="B121" ca="1">IFERROR(INDEX(_xlfn._xlws.FILTER(INDIRECT(B$1&amp;"!$E1:$E10000"),INDIRECT(B$1&amp;"!$a1:$a10000")=汇总!$A121),COUNTIF(INDIRECT(B$1&amp;"!$a1:$a10000"),汇总!$A121)),B120)</f>
        <v>673.05065600000012</v>
      </c>
      <c r="C121" s="109" cm="1">
        <f t="array" aca="1" ref="C121" ca="1">IFERROR(INDEX(_xlfn._xlws.FILTER(INDIRECT(C$1&amp;"!$E1:$E10000"),INDIRECT(C$1&amp;"!$a1:$a10000")=汇总!$A121),COUNTIF(INDIRECT(C$1&amp;"!$a1:$a10000"),汇总!$A121)),C120)</f>
        <v>1013.0299999999997</v>
      </c>
      <c r="D121" s="109" cm="1">
        <f t="array" aca="1" ref="D121" ca="1">IFERROR(INDEX(_xlfn._xlws.FILTER(INDIRECT(D$1&amp;"!$E1:$E10000"),INDIRECT(D$1&amp;"!$a1:$a10000")=汇总!$A121),COUNTIF(INDIRECT(D$1&amp;"!$a1:$a10000"),汇总!$A121)),D120)</f>
        <v>7390.6496500547946</v>
      </c>
      <c r="E121" s="109" cm="1">
        <f t="array" aca="1" ref="E121" ca="1">IFERROR(INDEX(_xlfn._xlws.FILTER(INDIRECT(E$1&amp;"!$E1:$E10000"),INDIRECT(E$1&amp;"!$a1:$a10000")=汇总!$A121),COUNTIF(INDIRECT(E$1&amp;"!$a1:$a10000"),汇总!$A121)),E120)</f>
        <v>192.32350000000002</v>
      </c>
      <c r="F121" s="109" cm="1">
        <f t="array" aca="1" ref="F121" ca="1">IFERROR(INDEX(_xlfn._xlws.FILTER(INDIRECT(F$1&amp;"!$E1:$E10000"),INDIRECT(F$1&amp;"!$a1:$a10000")=汇总!$A121),COUNTIF(INDIRECT(F$1&amp;"!$a1:$a10000"),汇总!$A121)),F120)</f>
        <v>10421.562399999999</v>
      </c>
      <c r="G121" s="109" cm="1">
        <f t="array" aca="1" ref="G121" ca="1">IFERROR(INDEX(_xlfn._xlws.FILTER(INDIRECT(G$1&amp;"!$E1:$E10000"),INDIRECT(G$1&amp;"!$a1:$a10000")=汇总!$A121),COUNTIF(INDIRECT(G$1&amp;"!$a1:$a10000"),汇总!$A121)),G120)</f>
        <v>6890.48866</v>
      </c>
      <c r="H121" s="109" cm="1">
        <f t="array" aca="1" ref="H121" ca="1">IFERROR(INDEX(_xlfn._xlws.FILTER(INDIRECT(H$1&amp;"!$E1:$E10000"),INDIRECT(H$1&amp;"!$a1:$a10000")=汇总!$A121),COUNTIF(INDIRECT(H$1&amp;"!$a1:$a10000"),汇总!$A121)),H120)</f>
        <v>1191.8</v>
      </c>
      <c r="I121" s="109" cm="1">
        <f t="array" aca="1" ref="I121" ca="1">IFERROR(INDEX(_xlfn._xlws.FILTER(INDIRECT(I$1&amp;"!$E1:$E10000"),INDIRECT(I$1&amp;"!$a1:$a10000")=汇总!$A121),COUNTIF(INDIRECT(I$1&amp;"!$a1:$a10000"),汇总!$A121)),I120)</f>
        <v>59.566808999999864</v>
      </c>
      <c r="J121" s="109" cm="1">
        <f t="array" aca="1" ref="J121" ca="1">IFERROR(INDEX(_xlfn._xlws.FILTER(INDIRECT(J$1&amp;"!$E1:$E10000"),INDIRECT(J$1&amp;"!$a1:$a10000")=汇总!$A121),COUNTIF(INDIRECT(J$1&amp;"!$a1:$a10000"),汇总!$A121)),J120)</f>
        <v>0.5</v>
      </c>
      <c r="K121" s="109" cm="1">
        <f t="array" aca="1" ref="K121" ca="1">IFERROR(INDEX(_xlfn._xlws.FILTER(INDIRECT(K$1&amp;"!$E1:$E10000"),INDIRECT(K$1&amp;"!$a1:$a10000")=汇总!$A121),COUNTIF(INDIRECT(K$1&amp;"!$a1:$a10000"),汇总!$A121)),K120)</f>
        <v>967.3527909999998</v>
      </c>
      <c r="L121" s="109" cm="1">
        <f t="array" aca="1" ref="L121" ca="1">IFERROR(INDEX(_xlfn._xlws.FILTER(INDIRECT(L$1&amp;"!$E1:$E10000"),INDIRECT(L$1&amp;"!$a1:$a10000")=汇总!$A121),COUNTIF(INDIRECT(L$1&amp;"!$a1:$a10000"),汇总!$A121)),L120)</f>
        <v>831.12299999999982</v>
      </c>
      <c r="M121" s="109" cm="1">
        <f t="array" aca="1" ref="M121" ca="1">IFERROR(INDEX(_xlfn._xlws.FILTER(INDIRECT(M$1&amp;"!$E1:$E10000"),INDIRECT(M$1&amp;"!$a1:$a10000")=汇总!$A121),COUNTIF(INDIRECT(M$1&amp;"!$a1:$a10000"),汇总!$A121)),M120)</f>
        <v>122.94665999999961</v>
      </c>
      <c r="N121" s="109" cm="1">
        <f t="array" aca="1" ref="N121" ca="1">IFERROR(INDEX(_xlfn._xlws.FILTER(INDIRECT(N$1&amp;"!$E1:$E10000"),INDIRECT(N$1&amp;"!$a1:$a10000")=汇总!$A121),COUNTIF(INDIRECT(N$1&amp;"!$a1:$a10000"),汇总!$A121)),N120)</f>
        <v>1596.5203869999991</v>
      </c>
      <c r="O121" s="109" cm="1">
        <f t="array" aca="1" ref="O121" ca="1">IFERROR(INDEX(_xlfn._xlws.FILTER(INDIRECT(O$1&amp;"!$E1:$E10000"),INDIRECT(O$1&amp;"!$a1:$a10000")=汇总!$A121),COUNTIF(INDIRECT(O$1&amp;"!$a1:$a10000"),汇总!$A121)),O120)</f>
        <v>2</v>
      </c>
      <c r="P121" s="109" cm="1">
        <f t="array" aca="1" ref="P121" ca="1">IFERROR(INDEX(_xlfn._xlws.FILTER(INDIRECT(P$1&amp;"!$E1:$E10000"),INDIRECT(P$1&amp;"!$a1:$a10000")=汇总!$A121),COUNTIF(INDIRECT(P$1&amp;"!$a1:$a10000"),汇总!$A121)),P120)</f>
        <v>64.970799999999599</v>
      </c>
      <c r="Q121" s="109" cm="1">
        <f t="array" aca="1" ref="Q121" ca="1">IFERROR(INDEX(_xlfn._xlws.FILTER(INDIRECT(Q$1&amp;"!$E1:$E10000"),INDIRECT(Q$1&amp;"!$a1:$a10000")=汇总!$A121),COUNTIF(INDIRECT(Q$1&amp;"!$a1:$a10000"),汇总!$A121)),Q120)</f>
        <v>30.302524999999605</v>
      </c>
      <c r="R121" s="109" cm="1">
        <f t="array" aca="1" ref="R121" ca="1">IFERROR(INDEX(_xlfn._xlws.FILTER(INDIRECT(R$1&amp;"!$E1:$E10000"),INDIRECT(R$1&amp;"!$a1:$a10000")=汇总!$A121),COUNTIF(INDIRECT(R$1&amp;"!$a1:$a10000"),汇总!$A121)),R120)</f>
        <v>26.166117753424615</v>
      </c>
      <c r="S121" s="109" cm="1">
        <f t="array" aca="1" ref="S121" ca="1">IFERROR(INDEX(_xlfn._xlws.FILTER(INDIRECT(S$1&amp;"!$E1:$E10000"),INDIRECT(S$1&amp;"!$a1:$a10000")=汇总!$A121),COUNTIF(INDIRECT(S$1&amp;"!$a1:$a10000"),汇总!$A121)),S120)</f>
        <v>1458.88</v>
      </c>
      <c r="T121" s="109" cm="1">
        <f t="array" aca="1" ref="T121" ca="1">IFERROR(INDEX(_xlfn._xlws.FILTER(INDIRECT(T$1&amp;"!$E1:$E10000"),INDIRECT(T$1&amp;"!$a1:$a10000")=汇总!$A121),COUNTIF(INDIRECT(T$1&amp;"!$a1:$a10000"),汇总!$A121)),T120)</f>
        <v>0</v>
      </c>
    </row>
    <row r="122" spans="1:20">
      <c r="A122" s="1">
        <f t="shared" ref="A122:A127" si="4">+A121+1</f>
        <v>46143</v>
      </c>
      <c r="B122" s="109" cm="1">
        <f t="array" aca="1" ref="B122" ca="1">IFERROR(INDEX(_xlfn._xlws.FILTER(INDIRECT(B$1&amp;"!$E1:$E10000"),INDIRECT(B$1&amp;"!$a1:$a10000")=汇总!$A122),COUNTIF(INDIRECT(B$1&amp;"!$a1:$a10000"),汇总!$A122)),B121)</f>
        <v>673.05065600000012</v>
      </c>
      <c r="C122" s="109" cm="1">
        <f t="array" aca="1" ref="C122" ca="1">IFERROR(INDEX(_xlfn._xlws.FILTER(INDIRECT(C$1&amp;"!$E1:$E10000"),INDIRECT(C$1&amp;"!$a1:$a10000")=汇总!$A122),COUNTIF(INDIRECT(C$1&amp;"!$a1:$a10000"),汇总!$A122)),C121)</f>
        <v>1013.0299999999997</v>
      </c>
      <c r="D122" s="109" cm="1">
        <f t="array" aca="1" ref="D122" ca="1">IFERROR(INDEX(_xlfn._xlws.FILTER(INDIRECT(D$1&amp;"!$E1:$E10000"),INDIRECT(D$1&amp;"!$a1:$a10000")=汇总!$A122),COUNTIF(INDIRECT(D$1&amp;"!$a1:$a10000"),汇总!$A122)),D121)</f>
        <v>7390.6496500547946</v>
      </c>
      <c r="E122" s="109" cm="1">
        <f t="array" aca="1" ref="E122" ca="1">IFERROR(INDEX(_xlfn._xlws.FILTER(INDIRECT(E$1&amp;"!$E1:$E10000"),INDIRECT(E$1&amp;"!$a1:$a10000")=汇总!$A122),COUNTIF(INDIRECT(E$1&amp;"!$a1:$a10000"),汇总!$A122)),E121)</f>
        <v>192.32350000000002</v>
      </c>
      <c r="F122" s="109" cm="1">
        <f t="array" aca="1" ref="F122" ca="1">IFERROR(INDEX(_xlfn._xlws.FILTER(INDIRECT(F$1&amp;"!$E1:$E10000"),INDIRECT(F$1&amp;"!$a1:$a10000")=汇总!$A122),COUNTIF(INDIRECT(F$1&amp;"!$a1:$a10000"),汇总!$A122)),F121)</f>
        <v>10421.562399999999</v>
      </c>
      <c r="G122" s="109" cm="1">
        <f t="array" aca="1" ref="G122" ca="1">IFERROR(INDEX(_xlfn._xlws.FILTER(INDIRECT(G$1&amp;"!$E1:$E10000"),INDIRECT(G$1&amp;"!$a1:$a10000")=汇总!$A122),COUNTIF(INDIRECT(G$1&amp;"!$a1:$a10000"),汇总!$A122)),G121)</f>
        <v>6890.48866</v>
      </c>
      <c r="H122" s="109" cm="1">
        <f t="array" aca="1" ref="H122" ca="1">IFERROR(INDEX(_xlfn._xlws.FILTER(INDIRECT(H$1&amp;"!$E1:$E10000"),INDIRECT(H$1&amp;"!$a1:$a10000")=汇总!$A122),COUNTIF(INDIRECT(H$1&amp;"!$a1:$a10000"),汇总!$A122)),H121)</f>
        <v>1191.8</v>
      </c>
      <c r="I122" s="109" cm="1">
        <f t="array" aca="1" ref="I122" ca="1">IFERROR(INDEX(_xlfn._xlws.FILTER(INDIRECT(I$1&amp;"!$E1:$E10000"),INDIRECT(I$1&amp;"!$a1:$a10000")=汇总!$A122),COUNTIF(INDIRECT(I$1&amp;"!$a1:$a10000"),汇总!$A122)),I121)</f>
        <v>59.566808999999864</v>
      </c>
      <c r="J122" s="109" cm="1">
        <f t="array" aca="1" ref="J122" ca="1">IFERROR(INDEX(_xlfn._xlws.FILTER(INDIRECT(J$1&amp;"!$E1:$E10000"),INDIRECT(J$1&amp;"!$a1:$a10000")=汇总!$A122),COUNTIF(INDIRECT(J$1&amp;"!$a1:$a10000"),汇总!$A122)),J121)</f>
        <v>0.5</v>
      </c>
      <c r="K122" s="109" cm="1">
        <f t="array" aca="1" ref="K122" ca="1">IFERROR(INDEX(_xlfn._xlws.FILTER(INDIRECT(K$1&amp;"!$E1:$E10000"),INDIRECT(K$1&amp;"!$a1:$a10000")=汇总!$A122),COUNTIF(INDIRECT(K$1&amp;"!$a1:$a10000"),汇总!$A122)),K121)</f>
        <v>967.3527909999998</v>
      </c>
      <c r="L122" s="109" cm="1">
        <f t="array" aca="1" ref="L122" ca="1">IFERROR(INDEX(_xlfn._xlws.FILTER(INDIRECT(L$1&amp;"!$E1:$E10000"),INDIRECT(L$1&amp;"!$a1:$a10000")=汇总!$A122),COUNTIF(INDIRECT(L$1&amp;"!$a1:$a10000"),汇总!$A122)),L121)</f>
        <v>831.12299999999982</v>
      </c>
      <c r="M122" s="109" cm="1">
        <f t="array" aca="1" ref="M122" ca="1">IFERROR(INDEX(_xlfn._xlws.FILTER(INDIRECT(M$1&amp;"!$E1:$E10000"),INDIRECT(M$1&amp;"!$a1:$a10000")=汇总!$A122),COUNTIF(INDIRECT(M$1&amp;"!$a1:$a10000"),汇总!$A122)),M121)</f>
        <v>122.94665999999961</v>
      </c>
      <c r="N122" s="109" cm="1">
        <f t="array" aca="1" ref="N122" ca="1">IFERROR(INDEX(_xlfn._xlws.FILTER(INDIRECT(N$1&amp;"!$E1:$E10000"),INDIRECT(N$1&amp;"!$a1:$a10000")=汇总!$A122),COUNTIF(INDIRECT(N$1&amp;"!$a1:$a10000"),汇总!$A122)),N121)</f>
        <v>1596.5203869999991</v>
      </c>
      <c r="O122" s="109" cm="1">
        <f t="array" aca="1" ref="O122" ca="1">IFERROR(INDEX(_xlfn._xlws.FILTER(INDIRECT(O$1&amp;"!$E1:$E10000"),INDIRECT(O$1&amp;"!$a1:$a10000")=汇总!$A122),COUNTIF(INDIRECT(O$1&amp;"!$a1:$a10000"),汇总!$A122)),O121)</f>
        <v>2</v>
      </c>
      <c r="P122" s="109" cm="1">
        <f t="array" aca="1" ref="P122" ca="1">IFERROR(INDEX(_xlfn._xlws.FILTER(INDIRECT(P$1&amp;"!$E1:$E10000"),INDIRECT(P$1&amp;"!$a1:$a10000")=汇总!$A122),COUNTIF(INDIRECT(P$1&amp;"!$a1:$a10000"),汇总!$A122)),P121)</f>
        <v>64.970799999999599</v>
      </c>
      <c r="Q122" s="109" cm="1">
        <f t="array" aca="1" ref="Q122" ca="1">IFERROR(INDEX(_xlfn._xlws.FILTER(INDIRECT(Q$1&amp;"!$E1:$E10000"),INDIRECT(Q$1&amp;"!$a1:$a10000")=汇总!$A122),COUNTIF(INDIRECT(Q$1&amp;"!$a1:$a10000"),汇总!$A122)),Q121)</f>
        <v>30.302524999999605</v>
      </c>
      <c r="R122" s="109" cm="1">
        <f t="array" aca="1" ref="R122" ca="1">IFERROR(INDEX(_xlfn._xlws.FILTER(INDIRECT(R$1&amp;"!$E1:$E10000"),INDIRECT(R$1&amp;"!$a1:$a10000")=汇总!$A122),COUNTIF(INDIRECT(R$1&amp;"!$a1:$a10000"),汇总!$A122)),R121)</f>
        <v>26.166117753424615</v>
      </c>
      <c r="S122" s="109" cm="1">
        <f t="array" aca="1" ref="S122" ca="1">IFERROR(INDEX(_xlfn._xlws.FILTER(INDIRECT(S$1&amp;"!$E1:$E10000"),INDIRECT(S$1&amp;"!$a1:$a10000")=汇总!$A122),COUNTIF(INDIRECT(S$1&amp;"!$a1:$a10000"),汇总!$A122)),S121)</f>
        <v>1458.88</v>
      </c>
      <c r="T122" s="109" cm="1">
        <f t="array" aca="1" ref="T122" ca="1">IFERROR(INDEX(_xlfn._xlws.FILTER(INDIRECT(T$1&amp;"!$E1:$E10000"),INDIRECT(T$1&amp;"!$a1:$a10000")=汇总!$A122),COUNTIF(INDIRECT(T$1&amp;"!$a1:$a10000"),汇总!$A122)),T121)</f>
        <v>0</v>
      </c>
    </row>
    <row r="123" spans="1:20">
      <c r="A123" s="1">
        <f t="shared" si="4"/>
        <v>46144</v>
      </c>
      <c r="B123" s="109" cm="1">
        <f t="array" aca="1" ref="B123" ca="1">IFERROR(INDEX(_xlfn._xlws.FILTER(INDIRECT(B$1&amp;"!$E1:$E10000"),INDIRECT(B$1&amp;"!$a1:$a10000")=汇总!$A123),COUNTIF(INDIRECT(B$1&amp;"!$a1:$a10000"),汇总!$A123)),B122)</f>
        <v>673.05065600000012</v>
      </c>
      <c r="C123" s="109" cm="1">
        <f t="array" aca="1" ref="C123" ca="1">IFERROR(INDEX(_xlfn._xlws.FILTER(INDIRECT(C$1&amp;"!$E1:$E10000"),INDIRECT(C$1&amp;"!$a1:$a10000")=汇总!$A123),COUNTIF(INDIRECT(C$1&amp;"!$a1:$a10000"),汇总!$A123)),C122)</f>
        <v>1013.0299999999997</v>
      </c>
      <c r="D123" s="109" cm="1">
        <f t="array" aca="1" ref="D123" ca="1">IFERROR(INDEX(_xlfn._xlws.FILTER(INDIRECT(D$1&amp;"!$E1:$E10000"),INDIRECT(D$1&amp;"!$a1:$a10000")=汇总!$A123),COUNTIF(INDIRECT(D$1&amp;"!$a1:$a10000"),汇总!$A123)),D122)</f>
        <v>7390.6496500547946</v>
      </c>
      <c r="E123" s="109" cm="1">
        <f t="array" aca="1" ref="E123" ca="1">IFERROR(INDEX(_xlfn._xlws.FILTER(INDIRECT(E$1&amp;"!$E1:$E10000"),INDIRECT(E$1&amp;"!$a1:$a10000")=汇总!$A123),COUNTIF(INDIRECT(E$1&amp;"!$a1:$a10000"),汇总!$A123)),E122)</f>
        <v>192.32350000000002</v>
      </c>
      <c r="F123" s="109" cm="1">
        <f t="array" aca="1" ref="F123" ca="1">IFERROR(INDEX(_xlfn._xlws.FILTER(INDIRECT(F$1&amp;"!$E1:$E10000"),INDIRECT(F$1&amp;"!$a1:$a10000")=汇总!$A123),COUNTIF(INDIRECT(F$1&amp;"!$a1:$a10000"),汇总!$A123)),F122)</f>
        <v>10421.562399999999</v>
      </c>
      <c r="G123" s="109" cm="1">
        <f t="array" aca="1" ref="G123" ca="1">IFERROR(INDEX(_xlfn._xlws.FILTER(INDIRECT(G$1&amp;"!$E1:$E10000"),INDIRECT(G$1&amp;"!$a1:$a10000")=汇总!$A123),COUNTIF(INDIRECT(G$1&amp;"!$a1:$a10000"),汇总!$A123)),G122)</f>
        <v>6890.48866</v>
      </c>
      <c r="H123" s="109" cm="1">
        <f t="array" aca="1" ref="H123" ca="1">IFERROR(INDEX(_xlfn._xlws.FILTER(INDIRECT(H$1&amp;"!$E1:$E10000"),INDIRECT(H$1&amp;"!$a1:$a10000")=汇总!$A123),COUNTIF(INDIRECT(H$1&amp;"!$a1:$a10000"),汇总!$A123)),H122)</f>
        <v>1191.8</v>
      </c>
      <c r="I123" s="109" cm="1">
        <f t="array" aca="1" ref="I123" ca="1">IFERROR(INDEX(_xlfn._xlws.FILTER(INDIRECT(I$1&amp;"!$E1:$E10000"),INDIRECT(I$1&amp;"!$a1:$a10000")=汇总!$A123),COUNTIF(INDIRECT(I$1&amp;"!$a1:$a10000"),汇总!$A123)),I122)</f>
        <v>59.566808999999864</v>
      </c>
      <c r="J123" s="109" cm="1">
        <f t="array" aca="1" ref="J123" ca="1">IFERROR(INDEX(_xlfn._xlws.FILTER(INDIRECT(J$1&amp;"!$E1:$E10000"),INDIRECT(J$1&amp;"!$a1:$a10000")=汇总!$A123),COUNTIF(INDIRECT(J$1&amp;"!$a1:$a10000"),汇总!$A123)),J122)</f>
        <v>0.5</v>
      </c>
      <c r="K123" s="109" cm="1">
        <f t="array" aca="1" ref="K123" ca="1">IFERROR(INDEX(_xlfn._xlws.FILTER(INDIRECT(K$1&amp;"!$E1:$E10000"),INDIRECT(K$1&amp;"!$a1:$a10000")=汇总!$A123),COUNTIF(INDIRECT(K$1&amp;"!$a1:$a10000"),汇总!$A123)),K122)</f>
        <v>967.3527909999998</v>
      </c>
      <c r="L123" s="109" cm="1">
        <f t="array" aca="1" ref="L123" ca="1">IFERROR(INDEX(_xlfn._xlws.FILTER(INDIRECT(L$1&amp;"!$E1:$E10000"),INDIRECT(L$1&amp;"!$a1:$a10000")=汇总!$A123),COUNTIF(INDIRECT(L$1&amp;"!$a1:$a10000"),汇总!$A123)),L122)</f>
        <v>831.12299999999982</v>
      </c>
      <c r="M123" s="109" cm="1">
        <f t="array" aca="1" ref="M123" ca="1">IFERROR(INDEX(_xlfn._xlws.FILTER(INDIRECT(M$1&amp;"!$E1:$E10000"),INDIRECT(M$1&amp;"!$a1:$a10000")=汇总!$A123),COUNTIF(INDIRECT(M$1&amp;"!$a1:$a10000"),汇总!$A123)),M122)</f>
        <v>122.94665999999961</v>
      </c>
      <c r="N123" s="109" cm="1">
        <f t="array" aca="1" ref="N123" ca="1">IFERROR(INDEX(_xlfn._xlws.FILTER(INDIRECT(N$1&amp;"!$E1:$E10000"),INDIRECT(N$1&amp;"!$a1:$a10000")=汇总!$A123),COUNTIF(INDIRECT(N$1&amp;"!$a1:$a10000"),汇总!$A123)),N122)</f>
        <v>1596.5203869999991</v>
      </c>
      <c r="O123" s="109" cm="1">
        <f t="array" aca="1" ref="O123" ca="1">IFERROR(INDEX(_xlfn._xlws.FILTER(INDIRECT(O$1&amp;"!$E1:$E10000"),INDIRECT(O$1&amp;"!$a1:$a10000")=汇总!$A123),COUNTIF(INDIRECT(O$1&amp;"!$a1:$a10000"),汇总!$A123)),O122)</f>
        <v>2</v>
      </c>
      <c r="P123" s="109" cm="1">
        <f t="array" aca="1" ref="P123" ca="1">IFERROR(INDEX(_xlfn._xlws.FILTER(INDIRECT(P$1&amp;"!$E1:$E10000"),INDIRECT(P$1&amp;"!$a1:$a10000")=汇总!$A123),COUNTIF(INDIRECT(P$1&amp;"!$a1:$a10000"),汇总!$A123)),P122)</f>
        <v>64.970799999999599</v>
      </c>
      <c r="Q123" s="109" cm="1">
        <f t="array" aca="1" ref="Q123" ca="1">IFERROR(INDEX(_xlfn._xlws.FILTER(INDIRECT(Q$1&amp;"!$E1:$E10000"),INDIRECT(Q$1&amp;"!$a1:$a10000")=汇总!$A123),COUNTIF(INDIRECT(Q$1&amp;"!$a1:$a10000"),汇总!$A123)),Q122)</f>
        <v>30.302524999999605</v>
      </c>
      <c r="R123" s="109" cm="1">
        <f t="array" aca="1" ref="R123" ca="1">IFERROR(INDEX(_xlfn._xlws.FILTER(INDIRECT(R$1&amp;"!$E1:$E10000"),INDIRECT(R$1&amp;"!$a1:$a10000")=汇总!$A123),COUNTIF(INDIRECT(R$1&amp;"!$a1:$a10000"),汇总!$A123)),R122)</f>
        <v>26.166117753424615</v>
      </c>
      <c r="S123" s="109" cm="1">
        <f t="array" aca="1" ref="S123" ca="1">IFERROR(INDEX(_xlfn._xlws.FILTER(INDIRECT(S$1&amp;"!$E1:$E10000"),INDIRECT(S$1&amp;"!$a1:$a10000")=汇总!$A123),COUNTIF(INDIRECT(S$1&amp;"!$a1:$a10000"),汇总!$A123)),S122)</f>
        <v>1458.88</v>
      </c>
      <c r="T123" s="109" cm="1">
        <f t="array" aca="1" ref="T123" ca="1">IFERROR(INDEX(_xlfn._xlws.FILTER(INDIRECT(T$1&amp;"!$E1:$E10000"),INDIRECT(T$1&amp;"!$a1:$a10000")=汇总!$A123),COUNTIF(INDIRECT(T$1&amp;"!$a1:$a10000"),汇总!$A123)),T122)</f>
        <v>0</v>
      </c>
    </row>
    <row r="124" spans="1:20">
      <c r="A124" s="1">
        <f t="shared" si="4"/>
        <v>46145</v>
      </c>
      <c r="B124" s="109" cm="1">
        <f t="array" aca="1" ref="B124" ca="1">IFERROR(INDEX(_xlfn._xlws.FILTER(INDIRECT(B$1&amp;"!$E1:$E10000"),INDIRECT(B$1&amp;"!$a1:$a10000")=汇总!$A124),COUNTIF(INDIRECT(B$1&amp;"!$a1:$a10000"),汇总!$A124)),B123)</f>
        <v>673.05065600000012</v>
      </c>
      <c r="C124" s="109" cm="1">
        <f t="array" aca="1" ref="C124" ca="1">IFERROR(INDEX(_xlfn._xlws.FILTER(INDIRECT(C$1&amp;"!$E1:$E10000"),INDIRECT(C$1&amp;"!$a1:$a10000")=汇总!$A124),COUNTIF(INDIRECT(C$1&amp;"!$a1:$a10000"),汇总!$A124)),C123)</f>
        <v>1013.0299999999997</v>
      </c>
      <c r="D124" s="109" cm="1">
        <f t="array" aca="1" ref="D124" ca="1">IFERROR(INDEX(_xlfn._xlws.FILTER(INDIRECT(D$1&amp;"!$E1:$E10000"),INDIRECT(D$1&amp;"!$a1:$a10000")=汇总!$A124),COUNTIF(INDIRECT(D$1&amp;"!$a1:$a10000"),汇总!$A124)),D123)</f>
        <v>7390.6496500547946</v>
      </c>
      <c r="E124" s="109" cm="1">
        <f t="array" aca="1" ref="E124" ca="1">IFERROR(INDEX(_xlfn._xlws.FILTER(INDIRECT(E$1&amp;"!$E1:$E10000"),INDIRECT(E$1&amp;"!$a1:$a10000")=汇总!$A124),COUNTIF(INDIRECT(E$1&amp;"!$a1:$a10000"),汇总!$A124)),E123)</f>
        <v>192.32350000000002</v>
      </c>
      <c r="F124" s="109" cm="1">
        <f t="array" aca="1" ref="F124" ca="1">IFERROR(INDEX(_xlfn._xlws.FILTER(INDIRECT(F$1&amp;"!$E1:$E10000"),INDIRECT(F$1&amp;"!$a1:$a10000")=汇总!$A124),COUNTIF(INDIRECT(F$1&amp;"!$a1:$a10000"),汇总!$A124)),F123)</f>
        <v>10421.562399999999</v>
      </c>
      <c r="G124" s="109" cm="1">
        <f t="array" aca="1" ref="G124" ca="1">IFERROR(INDEX(_xlfn._xlws.FILTER(INDIRECT(G$1&amp;"!$E1:$E10000"),INDIRECT(G$1&amp;"!$a1:$a10000")=汇总!$A124),COUNTIF(INDIRECT(G$1&amp;"!$a1:$a10000"),汇总!$A124)),G123)</f>
        <v>6890.48866</v>
      </c>
      <c r="H124" s="109" cm="1">
        <f t="array" aca="1" ref="H124" ca="1">IFERROR(INDEX(_xlfn._xlws.FILTER(INDIRECT(H$1&amp;"!$E1:$E10000"),INDIRECT(H$1&amp;"!$a1:$a10000")=汇总!$A124),COUNTIF(INDIRECT(H$1&amp;"!$a1:$a10000"),汇总!$A124)),H123)</f>
        <v>1191.8</v>
      </c>
      <c r="I124" s="109" cm="1">
        <f t="array" aca="1" ref="I124" ca="1">IFERROR(INDEX(_xlfn._xlws.FILTER(INDIRECT(I$1&amp;"!$E1:$E10000"),INDIRECT(I$1&amp;"!$a1:$a10000")=汇总!$A124),COUNTIF(INDIRECT(I$1&amp;"!$a1:$a10000"),汇总!$A124)),I123)</f>
        <v>59.566808999999864</v>
      </c>
      <c r="J124" s="109" cm="1">
        <f t="array" aca="1" ref="J124" ca="1">IFERROR(INDEX(_xlfn._xlws.FILTER(INDIRECT(J$1&amp;"!$E1:$E10000"),INDIRECT(J$1&amp;"!$a1:$a10000")=汇总!$A124),COUNTIF(INDIRECT(J$1&amp;"!$a1:$a10000"),汇总!$A124)),J123)</f>
        <v>0.5</v>
      </c>
      <c r="K124" s="109" cm="1">
        <f t="array" aca="1" ref="K124" ca="1">IFERROR(INDEX(_xlfn._xlws.FILTER(INDIRECT(K$1&amp;"!$E1:$E10000"),INDIRECT(K$1&amp;"!$a1:$a10000")=汇总!$A124),COUNTIF(INDIRECT(K$1&amp;"!$a1:$a10000"),汇总!$A124)),K123)</f>
        <v>967.3527909999998</v>
      </c>
      <c r="L124" s="109" cm="1">
        <f t="array" aca="1" ref="L124" ca="1">IFERROR(INDEX(_xlfn._xlws.FILTER(INDIRECT(L$1&amp;"!$E1:$E10000"),INDIRECT(L$1&amp;"!$a1:$a10000")=汇总!$A124),COUNTIF(INDIRECT(L$1&amp;"!$a1:$a10000"),汇总!$A124)),L123)</f>
        <v>831.12299999999982</v>
      </c>
      <c r="M124" s="109" cm="1">
        <f t="array" aca="1" ref="M124" ca="1">IFERROR(INDEX(_xlfn._xlws.FILTER(INDIRECT(M$1&amp;"!$E1:$E10000"),INDIRECT(M$1&amp;"!$a1:$a10000")=汇总!$A124),COUNTIF(INDIRECT(M$1&amp;"!$a1:$a10000"),汇总!$A124)),M123)</f>
        <v>122.94665999999961</v>
      </c>
      <c r="N124" s="109" cm="1">
        <f t="array" aca="1" ref="N124" ca="1">IFERROR(INDEX(_xlfn._xlws.FILTER(INDIRECT(N$1&amp;"!$E1:$E10000"),INDIRECT(N$1&amp;"!$a1:$a10000")=汇总!$A124),COUNTIF(INDIRECT(N$1&amp;"!$a1:$a10000"),汇总!$A124)),N123)</f>
        <v>1596.5203869999991</v>
      </c>
      <c r="O124" s="109" cm="1">
        <f t="array" aca="1" ref="O124" ca="1">IFERROR(INDEX(_xlfn._xlws.FILTER(INDIRECT(O$1&amp;"!$E1:$E10000"),INDIRECT(O$1&amp;"!$a1:$a10000")=汇总!$A124),COUNTIF(INDIRECT(O$1&amp;"!$a1:$a10000"),汇总!$A124)),O123)</f>
        <v>2</v>
      </c>
      <c r="P124" s="109" cm="1">
        <f t="array" aca="1" ref="P124" ca="1">IFERROR(INDEX(_xlfn._xlws.FILTER(INDIRECT(P$1&amp;"!$E1:$E10000"),INDIRECT(P$1&amp;"!$a1:$a10000")=汇总!$A124),COUNTIF(INDIRECT(P$1&amp;"!$a1:$a10000"),汇总!$A124)),P123)</f>
        <v>64.970799999999599</v>
      </c>
      <c r="Q124" s="109" cm="1">
        <f t="array" aca="1" ref="Q124" ca="1">IFERROR(INDEX(_xlfn._xlws.FILTER(INDIRECT(Q$1&amp;"!$E1:$E10000"),INDIRECT(Q$1&amp;"!$a1:$a10000")=汇总!$A124),COUNTIF(INDIRECT(Q$1&amp;"!$a1:$a10000"),汇总!$A124)),Q123)</f>
        <v>30.302524999999605</v>
      </c>
      <c r="R124" s="109" cm="1">
        <f t="array" aca="1" ref="R124" ca="1">IFERROR(INDEX(_xlfn._xlws.FILTER(INDIRECT(R$1&amp;"!$E1:$E10000"),INDIRECT(R$1&amp;"!$a1:$a10000")=汇总!$A124),COUNTIF(INDIRECT(R$1&amp;"!$a1:$a10000"),汇总!$A124)),R123)</f>
        <v>26.166117753424615</v>
      </c>
      <c r="S124" s="109" cm="1">
        <f t="array" aca="1" ref="S124" ca="1">IFERROR(INDEX(_xlfn._xlws.FILTER(INDIRECT(S$1&amp;"!$E1:$E10000"),INDIRECT(S$1&amp;"!$a1:$a10000")=汇总!$A124),COUNTIF(INDIRECT(S$1&amp;"!$a1:$a10000"),汇总!$A124)),S123)</f>
        <v>1458.88</v>
      </c>
      <c r="T124" s="109" cm="1">
        <f t="array" aca="1" ref="T124" ca="1">IFERROR(INDEX(_xlfn._xlws.FILTER(INDIRECT(T$1&amp;"!$E1:$E10000"),INDIRECT(T$1&amp;"!$a1:$a10000")=汇总!$A124),COUNTIF(INDIRECT(T$1&amp;"!$a1:$a10000"),汇总!$A124)),T123)</f>
        <v>0</v>
      </c>
    </row>
    <row r="125" spans="1:20">
      <c r="A125" s="1">
        <f t="shared" si="4"/>
        <v>46146</v>
      </c>
      <c r="B125" s="109" cm="1">
        <f t="array" aca="1" ref="B125" ca="1">IFERROR(INDEX(_xlfn._xlws.FILTER(INDIRECT(B$1&amp;"!$E1:$E10000"),INDIRECT(B$1&amp;"!$a1:$a10000")=汇总!$A125),COUNTIF(INDIRECT(B$1&amp;"!$a1:$a10000"),汇总!$A125)),B124)</f>
        <v>673.05065600000012</v>
      </c>
      <c r="C125" s="109" cm="1">
        <f t="array" aca="1" ref="C125" ca="1">IFERROR(INDEX(_xlfn._xlws.FILTER(INDIRECT(C$1&amp;"!$E1:$E10000"),INDIRECT(C$1&amp;"!$a1:$a10000")=汇总!$A125),COUNTIF(INDIRECT(C$1&amp;"!$a1:$a10000"),汇总!$A125)),C124)</f>
        <v>1013.0299999999997</v>
      </c>
      <c r="D125" s="109" cm="1">
        <f t="array" aca="1" ref="D125" ca="1">IFERROR(INDEX(_xlfn._xlws.FILTER(INDIRECT(D$1&amp;"!$E1:$E10000"),INDIRECT(D$1&amp;"!$a1:$a10000")=汇总!$A125),COUNTIF(INDIRECT(D$1&amp;"!$a1:$a10000"),汇总!$A125)),D124)</f>
        <v>7390.6496500547946</v>
      </c>
      <c r="E125" s="109" cm="1">
        <f t="array" aca="1" ref="E125" ca="1">IFERROR(INDEX(_xlfn._xlws.FILTER(INDIRECT(E$1&amp;"!$E1:$E10000"),INDIRECT(E$1&amp;"!$a1:$a10000")=汇总!$A125),COUNTIF(INDIRECT(E$1&amp;"!$a1:$a10000"),汇总!$A125)),E124)</f>
        <v>192.32350000000002</v>
      </c>
      <c r="F125" s="109" cm="1">
        <f t="array" aca="1" ref="F125" ca="1">IFERROR(INDEX(_xlfn._xlws.FILTER(INDIRECT(F$1&amp;"!$E1:$E10000"),INDIRECT(F$1&amp;"!$a1:$a10000")=汇总!$A125),COUNTIF(INDIRECT(F$1&amp;"!$a1:$a10000"),汇总!$A125)),F124)</f>
        <v>10421.562399999999</v>
      </c>
      <c r="G125" s="109" cm="1">
        <f t="array" aca="1" ref="G125" ca="1">IFERROR(INDEX(_xlfn._xlws.FILTER(INDIRECT(G$1&amp;"!$E1:$E10000"),INDIRECT(G$1&amp;"!$a1:$a10000")=汇总!$A125),COUNTIF(INDIRECT(G$1&amp;"!$a1:$a10000"),汇总!$A125)),G124)</f>
        <v>6890.48866</v>
      </c>
      <c r="H125" s="109" cm="1">
        <f t="array" aca="1" ref="H125" ca="1">IFERROR(INDEX(_xlfn._xlws.FILTER(INDIRECT(H$1&amp;"!$E1:$E10000"),INDIRECT(H$1&amp;"!$a1:$a10000")=汇总!$A125),COUNTIF(INDIRECT(H$1&amp;"!$a1:$a10000"),汇总!$A125)),H124)</f>
        <v>1191.8</v>
      </c>
      <c r="I125" s="109" cm="1">
        <f t="array" aca="1" ref="I125" ca="1">IFERROR(INDEX(_xlfn._xlws.FILTER(INDIRECT(I$1&amp;"!$E1:$E10000"),INDIRECT(I$1&amp;"!$a1:$a10000")=汇总!$A125),COUNTIF(INDIRECT(I$1&amp;"!$a1:$a10000"),汇总!$A125)),I124)</f>
        <v>59.566808999999864</v>
      </c>
      <c r="J125" s="109" cm="1">
        <f t="array" aca="1" ref="J125" ca="1">IFERROR(INDEX(_xlfn._xlws.FILTER(INDIRECT(J$1&amp;"!$E1:$E10000"),INDIRECT(J$1&amp;"!$a1:$a10000")=汇总!$A125),COUNTIF(INDIRECT(J$1&amp;"!$a1:$a10000"),汇总!$A125)),J124)</f>
        <v>0.5</v>
      </c>
      <c r="K125" s="109" cm="1">
        <f t="array" aca="1" ref="K125" ca="1">IFERROR(INDEX(_xlfn._xlws.FILTER(INDIRECT(K$1&amp;"!$E1:$E10000"),INDIRECT(K$1&amp;"!$a1:$a10000")=汇总!$A125),COUNTIF(INDIRECT(K$1&amp;"!$a1:$a10000"),汇总!$A125)),K124)</f>
        <v>967.3527909999998</v>
      </c>
      <c r="L125" s="109" cm="1">
        <f t="array" aca="1" ref="L125" ca="1">IFERROR(INDEX(_xlfn._xlws.FILTER(INDIRECT(L$1&amp;"!$E1:$E10000"),INDIRECT(L$1&amp;"!$a1:$a10000")=汇总!$A125),COUNTIF(INDIRECT(L$1&amp;"!$a1:$a10000"),汇总!$A125)),L124)</f>
        <v>831.12299999999982</v>
      </c>
      <c r="M125" s="109" cm="1">
        <f t="array" aca="1" ref="M125" ca="1">IFERROR(INDEX(_xlfn._xlws.FILTER(INDIRECT(M$1&amp;"!$E1:$E10000"),INDIRECT(M$1&amp;"!$a1:$a10000")=汇总!$A125),COUNTIF(INDIRECT(M$1&amp;"!$a1:$a10000"),汇总!$A125)),M124)</f>
        <v>122.94665999999961</v>
      </c>
      <c r="N125" s="109" cm="1">
        <f t="array" aca="1" ref="N125" ca="1">IFERROR(INDEX(_xlfn._xlws.FILTER(INDIRECT(N$1&amp;"!$E1:$E10000"),INDIRECT(N$1&amp;"!$a1:$a10000")=汇总!$A125),COUNTIF(INDIRECT(N$1&amp;"!$a1:$a10000"),汇总!$A125)),N124)</f>
        <v>1596.5203869999991</v>
      </c>
      <c r="O125" s="109" cm="1">
        <f t="array" aca="1" ref="O125" ca="1">IFERROR(INDEX(_xlfn._xlws.FILTER(INDIRECT(O$1&amp;"!$E1:$E10000"),INDIRECT(O$1&amp;"!$a1:$a10000")=汇总!$A125),COUNTIF(INDIRECT(O$1&amp;"!$a1:$a10000"),汇总!$A125)),O124)</f>
        <v>2</v>
      </c>
      <c r="P125" s="109" cm="1">
        <f t="array" aca="1" ref="P125" ca="1">IFERROR(INDEX(_xlfn._xlws.FILTER(INDIRECT(P$1&amp;"!$E1:$E10000"),INDIRECT(P$1&amp;"!$a1:$a10000")=汇总!$A125),COUNTIF(INDIRECT(P$1&amp;"!$a1:$a10000"),汇总!$A125)),P124)</f>
        <v>64.970799999999599</v>
      </c>
      <c r="Q125" s="109" cm="1">
        <f t="array" aca="1" ref="Q125" ca="1">IFERROR(INDEX(_xlfn._xlws.FILTER(INDIRECT(Q$1&amp;"!$E1:$E10000"),INDIRECT(Q$1&amp;"!$a1:$a10000")=汇总!$A125),COUNTIF(INDIRECT(Q$1&amp;"!$a1:$a10000"),汇总!$A125)),Q124)</f>
        <v>30.302524999999605</v>
      </c>
      <c r="R125" s="109" cm="1">
        <f t="array" aca="1" ref="R125" ca="1">IFERROR(INDEX(_xlfn._xlws.FILTER(INDIRECT(R$1&amp;"!$E1:$E10000"),INDIRECT(R$1&amp;"!$a1:$a10000")=汇总!$A125),COUNTIF(INDIRECT(R$1&amp;"!$a1:$a10000"),汇总!$A125)),R124)</f>
        <v>26.166117753424615</v>
      </c>
      <c r="S125" s="109" cm="1">
        <f t="array" aca="1" ref="S125" ca="1">IFERROR(INDEX(_xlfn._xlws.FILTER(INDIRECT(S$1&amp;"!$E1:$E10000"),INDIRECT(S$1&amp;"!$a1:$a10000")=汇总!$A125),COUNTIF(INDIRECT(S$1&amp;"!$a1:$a10000"),汇总!$A125)),S124)</f>
        <v>1458.88</v>
      </c>
      <c r="T125" s="109" cm="1">
        <f t="array" aca="1" ref="T125" ca="1">IFERROR(INDEX(_xlfn._xlws.FILTER(INDIRECT(T$1&amp;"!$E1:$E10000"),INDIRECT(T$1&amp;"!$a1:$a10000")=汇总!$A125),COUNTIF(INDIRECT(T$1&amp;"!$a1:$a10000"),汇总!$A125)),T124)</f>
        <v>0</v>
      </c>
    </row>
    <row r="126" spans="1:20">
      <c r="A126" s="1">
        <f t="shared" si="4"/>
        <v>46147</v>
      </c>
      <c r="B126" s="109" cm="1">
        <f t="array" aca="1" ref="B126" ca="1">IFERROR(INDEX(_xlfn._xlws.FILTER(INDIRECT(B$1&amp;"!$E1:$E10000"),INDIRECT(B$1&amp;"!$a1:$a10000")=汇总!$A126),COUNTIF(INDIRECT(B$1&amp;"!$a1:$a10000"),汇总!$A126)),B125)</f>
        <v>673.05065600000012</v>
      </c>
      <c r="C126" s="109" cm="1">
        <f t="array" aca="1" ref="C126" ca="1">IFERROR(INDEX(_xlfn._xlws.FILTER(INDIRECT(C$1&amp;"!$E1:$E10000"),INDIRECT(C$1&amp;"!$a1:$a10000")=汇总!$A126),COUNTIF(INDIRECT(C$1&amp;"!$a1:$a10000"),汇总!$A126)),C125)</f>
        <v>1013.0299999999997</v>
      </c>
      <c r="D126" s="109" cm="1">
        <f t="array" aca="1" ref="D126" ca="1">IFERROR(INDEX(_xlfn._xlws.FILTER(INDIRECT(D$1&amp;"!$E1:$E10000"),INDIRECT(D$1&amp;"!$a1:$a10000")=汇总!$A126),COUNTIF(INDIRECT(D$1&amp;"!$a1:$a10000"),汇总!$A126)),D125)</f>
        <v>7390.6496500547946</v>
      </c>
      <c r="E126" s="109" cm="1">
        <f t="array" aca="1" ref="E126" ca="1">IFERROR(INDEX(_xlfn._xlws.FILTER(INDIRECT(E$1&amp;"!$E1:$E10000"),INDIRECT(E$1&amp;"!$a1:$a10000")=汇总!$A126),COUNTIF(INDIRECT(E$1&amp;"!$a1:$a10000"),汇总!$A126)),E125)</f>
        <v>192.32350000000002</v>
      </c>
      <c r="F126" s="109" cm="1">
        <f t="array" aca="1" ref="F126" ca="1">IFERROR(INDEX(_xlfn._xlws.FILTER(INDIRECT(F$1&amp;"!$E1:$E10000"),INDIRECT(F$1&amp;"!$a1:$a10000")=汇总!$A126),COUNTIF(INDIRECT(F$1&amp;"!$a1:$a10000"),汇总!$A126)),F125)</f>
        <v>10421.562399999999</v>
      </c>
      <c r="G126" s="109" cm="1">
        <f t="array" aca="1" ref="G126" ca="1">IFERROR(INDEX(_xlfn._xlws.FILTER(INDIRECT(G$1&amp;"!$E1:$E10000"),INDIRECT(G$1&amp;"!$a1:$a10000")=汇总!$A126),COUNTIF(INDIRECT(G$1&amp;"!$a1:$a10000"),汇总!$A126)),G125)</f>
        <v>6890.48866</v>
      </c>
      <c r="H126" s="109" cm="1">
        <f t="array" aca="1" ref="H126" ca="1">IFERROR(INDEX(_xlfn._xlws.FILTER(INDIRECT(H$1&amp;"!$E1:$E10000"),INDIRECT(H$1&amp;"!$a1:$a10000")=汇总!$A126),COUNTIF(INDIRECT(H$1&amp;"!$a1:$a10000"),汇总!$A126)),H125)</f>
        <v>1191.8</v>
      </c>
      <c r="I126" s="109" cm="1">
        <f t="array" aca="1" ref="I126" ca="1">IFERROR(INDEX(_xlfn._xlws.FILTER(INDIRECT(I$1&amp;"!$E1:$E10000"),INDIRECT(I$1&amp;"!$a1:$a10000")=汇总!$A126),COUNTIF(INDIRECT(I$1&amp;"!$a1:$a10000"),汇总!$A126)),I125)</f>
        <v>59.566808999999864</v>
      </c>
      <c r="J126" s="109" cm="1">
        <f t="array" aca="1" ref="J126" ca="1">IFERROR(INDEX(_xlfn._xlws.FILTER(INDIRECT(J$1&amp;"!$E1:$E10000"),INDIRECT(J$1&amp;"!$a1:$a10000")=汇总!$A126),COUNTIF(INDIRECT(J$1&amp;"!$a1:$a10000"),汇总!$A126)),J125)</f>
        <v>0.5</v>
      </c>
      <c r="K126" s="109" cm="1">
        <f t="array" aca="1" ref="K126" ca="1">IFERROR(INDEX(_xlfn._xlws.FILTER(INDIRECT(K$1&amp;"!$E1:$E10000"),INDIRECT(K$1&amp;"!$a1:$a10000")=汇总!$A126),COUNTIF(INDIRECT(K$1&amp;"!$a1:$a10000"),汇总!$A126)),K125)</f>
        <v>967.3527909999998</v>
      </c>
      <c r="L126" s="109" cm="1">
        <f t="array" aca="1" ref="L126" ca="1">IFERROR(INDEX(_xlfn._xlws.FILTER(INDIRECT(L$1&amp;"!$E1:$E10000"),INDIRECT(L$1&amp;"!$a1:$a10000")=汇总!$A126),COUNTIF(INDIRECT(L$1&amp;"!$a1:$a10000"),汇总!$A126)),L125)</f>
        <v>831.12299999999982</v>
      </c>
      <c r="M126" s="109" cm="1">
        <f t="array" aca="1" ref="M126" ca="1">IFERROR(INDEX(_xlfn._xlws.FILTER(INDIRECT(M$1&amp;"!$E1:$E10000"),INDIRECT(M$1&amp;"!$a1:$a10000")=汇总!$A126),COUNTIF(INDIRECT(M$1&amp;"!$a1:$a10000"),汇总!$A126)),M125)</f>
        <v>122.94665999999961</v>
      </c>
      <c r="N126" s="109" cm="1">
        <f t="array" aca="1" ref="N126" ca="1">IFERROR(INDEX(_xlfn._xlws.FILTER(INDIRECT(N$1&amp;"!$E1:$E10000"),INDIRECT(N$1&amp;"!$a1:$a10000")=汇总!$A126),COUNTIF(INDIRECT(N$1&amp;"!$a1:$a10000"),汇总!$A126)),N125)</f>
        <v>1596.5203869999991</v>
      </c>
      <c r="O126" s="109" cm="1">
        <f t="array" aca="1" ref="O126" ca="1">IFERROR(INDEX(_xlfn._xlws.FILTER(INDIRECT(O$1&amp;"!$E1:$E10000"),INDIRECT(O$1&amp;"!$a1:$a10000")=汇总!$A126),COUNTIF(INDIRECT(O$1&amp;"!$a1:$a10000"),汇总!$A126)),O125)</f>
        <v>2</v>
      </c>
      <c r="P126" s="109" cm="1">
        <f t="array" aca="1" ref="P126" ca="1">IFERROR(INDEX(_xlfn._xlws.FILTER(INDIRECT(P$1&amp;"!$E1:$E10000"),INDIRECT(P$1&amp;"!$a1:$a10000")=汇总!$A126),COUNTIF(INDIRECT(P$1&amp;"!$a1:$a10000"),汇总!$A126)),P125)</f>
        <v>64.970799999999599</v>
      </c>
      <c r="Q126" s="109" cm="1">
        <f t="array" aca="1" ref="Q126" ca="1">IFERROR(INDEX(_xlfn._xlws.FILTER(INDIRECT(Q$1&amp;"!$E1:$E10000"),INDIRECT(Q$1&amp;"!$a1:$a10000")=汇总!$A126),COUNTIF(INDIRECT(Q$1&amp;"!$a1:$a10000"),汇总!$A126)),Q125)</f>
        <v>30.302524999999605</v>
      </c>
      <c r="R126" s="109" cm="1">
        <f t="array" aca="1" ref="R126" ca="1">IFERROR(INDEX(_xlfn._xlws.FILTER(INDIRECT(R$1&amp;"!$E1:$E10000"),INDIRECT(R$1&amp;"!$a1:$a10000")=汇总!$A126),COUNTIF(INDIRECT(R$1&amp;"!$a1:$a10000"),汇总!$A126)),R125)</f>
        <v>26.166117753424615</v>
      </c>
      <c r="S126" s="109" cm="1">
        <f t="array" aca="1" ref="S126" ca="1">IFERROR(INDEX(_xlfn._xlws.FILTER(INDIRECT(S$1&amp;"!$E1:$E10000"),INDIRECT(S$1&amp;"!$a1:$a10000")=汇总!$A126),COUNTIF(INDIRECT(S$1&amp;"!$a1:$a10000"),汇总!$A126)),S125)</f>
        <v>1458.88</v>
      </c>
      <c r="T126" s="109" cm="1">
        <f t="array" aca="1" ref="T126" ca="1">IFERROR(INDEX(_xlfn._xlws.FILTER(INDIRECT(T$1&amp;"!$E1:$E10000"),INDIRECT(T$1&amp;"!$a1:$a10000")=汇总!$A126),COUNTIF(INDIRECT(T$1&amp;"!$a1:$a10000"),汇总!$A126)),T125)</f>
        <v>0</v>
      </c>
    </row>
    <row r="127" spans="1:20">
      <c r="A127" s="1">
        <f t="shared" si="4"/>
        <v>46148</v>
      </c>
      <c r="B127" s="109" cm="1">
        <f t="array" aca="1" ref="B127" ca="1">IFERROR(INDEX(_xlfn._xlws.FILTER(INDIRECT(B$1&amp;"!$E1:$E10000"),INDIRECT(B$1&amp;"!$a1:$a10000")=汇总!$A127),COUNTIF(INDIRECT(B$1&amp;"!$a1:$a10000"),汇总!$A127)),B126)</f>
        <v>1013.0506560000001</v>
      </c>
      <c r="C127" s="109" cm="1">
        <f t="array" aca="1" ref="C127" ca="1">IFERROR(INDEX(_xlfn._xlws.FILTER(INDIRECT(C$1&amp;"!$E1:$E10000"),INDIRECT(C$1&amp;"!$a1:$a10000")=汇总!$A127),COUNTIF(INDIRECT(C$1&amp;"!$a1:$a10000"),汇总!$A127)),C126)</f>
        <v>1030.2299999999998</v>
      </c>
      <c r="D127" s="109" cm="1">
        <f t="array" aca="1" ref="D127" ca="1">IFERROR(INDEX(_xlfn._xlws.FILTER(INDIRECT(D$1&amp;"!$E1:$E10000"),INDIRECT(D$1&amp;"!$a1:$a10000")=汇总!$A127),COUNTIF(INDIRECT(D$1&amp;"!$a1:$a10000"),汇总!$A127)),D126)</f>
        <v>711.10524238356197</v>
      </c>
      <c r="E127" s="109" cm="1">
        <f t="array" aca="1" ref="E127" ca="1">IFERROR(INDEX(_xlfn._xlws.FILTER(INDIRECT(E$1&amp;"!$E1:$E10000"),INDIRECT(E$1&amp;"!$a1:$a10000")=汇总!$A127),COUNTIF(INDIRECT(E$1&amp;"!$a1:$a10000"),汇总!$A127)),E126)</f>
        <v>192.32350000000002</v>
      </c>
      <c r="F127" s="109" cm="1">
        <f t="array" aca="1" ref="F127" ca="1">IFERROR(INDEX(_xlfn._xlws.FILTER(INDIRECT(F$1&amp;"!$E1:$E10000"),INDIRECT(F$1&amp;"!$a1:$a10000")=汇总!$A127),COUNTIF(INDIRECT(F$1&amp;"!$a1:$a10000"),汇总!$A127)),F126)</f>
        <v>10421.562399999999</v>
      </c>
      <c r="G127" s="109" cm="1">
        <f t="array" aca="1" ref="G127" ca="1">IFERROR(INDEX(_xlfn._xlws.FILTER(INDIRECT(G$1&amp;"!$E1:$E10000"),INDIRECT(G$1&amp;"!$a1:$a10000")=汇总!$A127),COUNTIF(INDIRECT(G$1&amp;"!$a1:$a10000"),汇总!$A127)),G126)</f>
        <v>6890.48866</v>
      </c>
      <c r="H127" s="109" cm="1">
        <f t="array" aca="1" ref="H127" ca="1">IFERROR(INDEX(_xlfn._xlws.FILTER(INDIRECT(H$1&amp;"!$E1:$E10000"),INDIRECT(H$1&amp;"!$a1:$a10000")=汇总!$A127),COUNTIF(INDIRECT(H$1&amp;"!$a1:$a10000"),汇总!$A127)),H126)</f>
        <v>1191.8</v>
      </c>
      <c r="I127" s="109" cm="1">
        <f t="array" aca="1" ref="I127" ca="1">IFERROR(INDEX(_xlfn._xlws.FILTER(INDIRECT(I$1&amp;"!$E1:$E10000"),INDIRECT(I$1&amp;"!$a1:$a10000")=汇总!$A127),COUNTIF(INDIRECT(I$1&amp;"!$a1:$a10000"),汇总!$A127)),I126)</f>
        <v>59.566808999999864</v>
      </c>
      <c r="J127" s="109" cm="1">
        <f t="array" aca="1" ref="J127" ca="1">IFERROR(INDEX(_xlfn._xlws.FILTER(INDIRECT(J$1&amp;"!$E1:$E10000"),INDIRECT(J$1&amp;"!$a1:$a10000")=汇总!$A127),COUNTIF(INDIRECT(J$1&amp;"!$a1:$a10000"),汇总!$A127)),J126)</f>
        <v>0.5</v>
      </c>
      <c r="K127" s="109" cm="1">
        <f t="array" aca="1" ref="K127" ca="1">IFERROR(INDEX(_xlfn._xlws.FILTER(INDIRECT(K$1&amp;"!$E1:$E10000"),INDIRECT(K$1&amp;"!$a1:$a10000")=汇总!$A127),COUNTIF(INDIRECT(K$1&amp;"!$a1:$a10000"),汇总!$A127)),K126)</f>
        <v>734.17113999999981</v>
      </c>
      <c r="L127" s="109" cm="1">
        <f t="array" aca="1" ref="L127" ca="1">IFERROR(INDEX(_xlfn._xlws.FILTER(INDIRECT(L$1&amp;"!$E1:$E10000"),INDIRECT(L$1&amp;"!$a1:$a10000")=汇总!$A127),COUNTIF(INDIRECT(L$1&amp;"!$a1:$a10000"),汇总!$A127)),L126)</f>
        <v>831.12299999999982</v>
      </c>
      <c r="M127" s="109" cm="1">
        <f t="array" aca="1" ref="M127" ca="1">IFERROR(INDEX(_xlfn._xlws.FILTER(INDIRECT(M$1&amp;"!$E1:$E10000"),INDIRECT(M$1&amp;"!$a1:$a10000")=汇总!$A127),COUNTIF(INDIRECT(M$1&amp;"!$a1:$a10000"),汇总!$A127)),M126)</f>
        <v>122.94665999999961</v>
      </c>
      <c r="N127" s="109" cm="1">
        <f t="array" aca="1" ref="N127" ca="1">IFERROR(INDEX(_xlfn._xlws.FILTER(INDIRECT(N$1&amp;"!$E1:$E10000"),INDIRECT(N$1&amp;"!$a1:$a10000")=汇总!$A127),COUNTIF(INDIRECT(N$1&amp;"!$a1:$a10000"),汇总!$A127)),N126)</f>
        <v>1596.5203869999991</v>
      </c>
      <c r="O127" s="109" cm="1">
        <f t="array" aca="1" ref="O127" ca="1">IFERROR(INDEX(_xlfn._xlws.FILTER(INDIRECT(O$1&amp;"!$E1:$E10000"),INDIRECT(O$1&amp;"!$a1:$a10000")=汇总!$A127),COUNTIF(INDIRECT(O$1&amp;"!$a1:$a10000"),汇总!$A127)),O126)</f>
        <v>2</v>
      </c>
      <c r="P127" s="109" cm="1">
        <f t="array" aca="1" ref="P127" ca="1">IFERROR(INDEX(_xlfn._xlws.FILTER(INDIRECT(P$1&amp;"!$E1:$E10000"),INDIRECT(P$1&amp;"!$a1:$a10000")=汇总!$A127),COUNTIF(INDIRECT(P$1&amp;"!$a1:$a10000"),汇总!$A127)),P126)</f>
        <v>64.970799999999599</v>
      </c>
      <c r="Q127" s="109" cm="1">
        <f t="array" aca="1" ref="Q127" ca="1">IFERROR(INDEX(_xlfn._xlws.FILTER(INDIRECT(Q$1&amp;"!$E1:$E10000"),INDIRECT(Q$1&amp;"!$a1:$a10000")=汇总!$A127),COUNTIF(INDIRECT(Q$1&amp;"!$a1:$a10000"),汇总!$A127)),Q126)</f>
        <v>30.302524999999605</v>
      </c>
      <c r="R127" s="109" cm="1">
        <f t="array" aca="1" ref="R127" ca="1">IFERROR(INDEX(_xlfn._xlws.FILTER(INDIRECT(R$1&amp;"!$E1:$E10000"),INDIRECT(R$1&amp;"!$a1:$a10000")=汇总!$A127),COUNTIF(INDIRECT(R$1&amp;"!$a1:$a10000"),汇总!$A127)),R126)</f>
        <v>26.166117753424615</v>
      </c>
      <c r="S127" s="109" cm="1">
        <f t="array" aca="1" ref="S127" ca="1">IFERROR(INDEX(_xlfn._xlws.FILTER(INDIRECT(S$1&amp;"!$E1:$E10000"),INDIRECT(S$1&amp;"!$a1:$a10000")=汇总!$A127),COUNTIF(INDIRECT(S$1&amp;"!$a1:$a10000"),汇总!$A127)),S126)</f>
        <v>1458.88</v>
      </c>
      <c r="T127" s="109" cm="1">
        <f t="array" aca="1" ref="T127" ca="1">IFERROR(INDEX(_xlfn._xlws.FILTER(INDIRECT(T$1&amp;"!$E1:$E10000"),INDIRECT(T$1&amp;"!$a1:$a10000")=汇总!$A127),COUNTIF(INDIRECT(T$1&amp;"!$a1:$a10000"),汇总!$A127)),T126)</f>
        <v>0</v>
      </c>
    </row>
    <row r="128" spans="1:20">
      <c r="A128" s="1">
        <f t="shared" ref="A128:A168" si="5">+A127+1</f>
        <v>46149</v>
      </c>
      <c r="B128" s="109" cm="1">
        <f t="array" aca="1" ref="B128" ca="1">IFERROR(INDEX(_xlfn._xlws.FILTER(INDIRECT(B$1&amp;"!$E1:$E10000"),INDIRECT(B$1&amp;"!$a1:$a10000")=汇总!$A128),COUNTIF(INDIRECT(B$1&amp;"!$a1:$a10000"),汇总!$A128)),B127)</f>
        <v>1870.0206560000001</v>
      </c>
      <c r="C128" s="109" cm="1">
        <f t="array" aca="1" ref="C128" ca="1">IFERROR(INDEX(_xlfn._xlws.FILTER(INDIRECT(C$1&amp;"!$E1:$E10000"),INDIRECT(C$1&amp;"!$a1:$a10000")=汇总!$A128),COUNTIF(INDIRECT(C$1&amp;"!$a1:$a10000"),汇总!$A128)),C127)</f>
        <v>1030.2299999999998</v>
      </c>
      <c r="D128" s="109" cm="1">
        <f t="array" aca="1" ref="D128" ca="1">IFERROR(INDEX(_xlfn._xlws.FILTER(INDIRECT(D$1&amp;"!$E1:$E10000"),INDIRECT(D$1&amp;"!$a1:$a10000")=汇总!$A128),COUNTIF(INDIRECT(D$1&amp;"!$a1:$a10000"),汇总!$A128)),D127)</f>
        <v>742.20524238356199</v>
      </c>
      <c r="E128" s="109" cm="1">
        <f t="array" aca="1" ref="E128" ca="1">IFERROR(INDEX(_xlfn._xlws.FILTER(INDIRECT(E$1&amp;"!$E1:$E10000"),INDIRECT(E$1&amp;"!$a1:$a10000")=汇总!$A128),COUNTIF(INDIRECT(E$1&amp;"!$a1:$a10000"),汇总!$A128)),E127)</f>
        <v>57.323500000000024</v>
      </c>
      <c r="F128" s="109" cm="1">
        <f t="array" aca="1" ref="F128" ca="1">IFERROR(INDEX(_xlfn._xlws.FILTER(INDIRECT(F$1&amp;"!$E1:$E10000"),INDIRECT(F$1&amp;"!$a1:$a10000")=汇总!$A128),COUNTIF(INDIRECT(F$1&amp;"!$a1:$a10000"),汇总!$A128)),F127)</f>
        <v>10421.562399999999</v>
      </c>
      <c r="G128" s="109" cm="1">
        <f t="array" aca="1" ref="G128" ca="1">IFERROR(INDEX(_xlfn._xlws.FILTER(INDIRECT(G$1&amp;"!$E1:$E10000"),INDIRECT(G$1&amp;"!$a1:$a10000")=汇总!$A128),COUNTIF(INDIRECT(G$1&amp;"!$a1:$a10000"),汇总!$A128)),G127)</f>
        <v>6890.48866</v>
      </c>
      <c r="H128" s="109" cm="1">
        <f t="array" aca="1" ref="H128" ca="1">IFERROR(INDEX(_xlfn._xlws.FILTER(INDIRECT(H$1&amp;"!$E1:$E10000"),INDIRECT(H$1&amp;"!$a1:$a10000")=汇总!$A128),COUNTIF(INDIRECT(H$1&amp;"!$a1:$a10000"),汇总!$A128)),H127)</f>
        <v>811.319749</v>
      </c>
      <c r="I128" s="109" cm="1">
        <f t="array" aca="1" ref="I128" ca="1">IFERROR(INDEX(_xlfn._xlws.FILTER(INDIRECT(I$1&amp;"!$E1:$E10000"),INDIRECT(I$1&amp;"!$a1:$a10000")=汇总!$A128),COUNTIF(INDIRECT(I$1&amp;"!$a1:$a10000"),汇总!$A128)),I127)</f>
        <v>59.566808999999864</v>
      </c>
      <c r="J128" s="109" cm="1">
        <f t="array" aca="1" ref="J128" ca="1">IFERROR(INDEX(_xlfn._xlws.FILTER(INDIRECT(J$1&amp;"!$E1:$E10000"),INDIRECT(J$1&amp;"!$a1:$a10000")=汇总!$A128),COUNTIF(INDIRECT(J$1&amp;"!$a1:$a10000"),汇总!$A128)),J127)</f>
        <v>0.5</v>
      </c>
      <c r="K128" s="109" cm="1">
        <f t="array" aca="1" ref="K128" ca="1">IFERROR(INDEX(_xlfn._xlws.FILTER(INDIRECT(K$1&amp;"!$E1:$E10000"),INDIRECT(K$1&amp;"!$a1:$a10000")=汇总!$A128),COUNTIF(INDIRECT(K$1&amp;"!$a1:$a10000"),汇总!$A128)),K127)</f>
        <v>1788.4711399999997</v>
      </c>
      <c r="L128" s="109" cm="1">
        <f t="array" aca="1" ref="L128" ca="1">IFERROR(INDEX(_xlfn._xlws.FILTER(INDIRECT(L$1&amp;"!$E1:$E10000"),INDIRECT(L$1&amp;"!$a1:$a10000")=汇总!$A128),COUNTIF(INDIRECT(L$1&amp;"!$a1:$a10000"),汇总!$A128)),L127)</f>
        <v>831.12299999999982</v>
      </c>
      <c r="M128" s="109" cm="1">
        <f t="array" aca="1" ref="M128" ca="1">IFERROR(INDEX(_xlfn._xlws.FILTER(INDIRECT(M$1&amp;"!$E1:$E10000"),INDIRECT(M$1&amp;"!$a1:$a10000")=汇总!$A128),COUNTIF(INDIRECT(M$1&amp;"!$a1:$a10000"),汇总!$A128)),M127)</f>
        <v>122.94665999999961</v>
      </c>
      <c r="N128" s="109" cm="1">
        <f t="array" aca="1" ref="N128" ca="1">IFERROR(INDEX(_xlfn._xlws.FILTER(INDIRECT(N$1&amp;"!$E1:$E10000"),INDIRECT(N$1&amp;"!$a1:$a10000")=汇总!$A128),COUNTIF(INDIRECT(N$1&amp;"!$a1:$a10000"),汇总!$A128)),N127)</f>
        <v>1596.5203869999991</v>
      </c>
      <c r="O128" s="109" cm="1">
        <f t="array" aca="1" ref="O128" ca="1">IFERROR(INDEX(_xlfn._xlws.FILTER(INDIRECT(O$1&amp;"!$E1:$E10000"),INDIRECT(O$1&amp;"!$a1:$a10000")=汇总!$A128),COUNTIF(INDIRECT(O$1&amp;"!$a1:$a10000"),汇总!$A128)),O127)</f>
        <v>2</v>
      </c>
      <c r="P128" s="109" cm="1">
        <f t="array" aca="1" ref="P128" ca="1">IFERROR(INDEX(_xlfn._xlws.FILTER(INDIRECT(P$1&amp;"!$E1:$E10000"),INDIRECT(P$1&amp;"!$a1:$a10000")=汇总!$A128),COUNTIF(INDIRECT(P$1&amp;"!$a1:$a10000"),汇总!$A128)),P127)</f>
        <v>64.970799999999599</v>
      </c>
      <c r="Q128" s="109" cm="1">
        <f t="array" aca="1" ref="Q128" ca="1">IFERROR(INDEX(_xlfn._xlws.FILTER(INDIRECT(Q$1&amp;"!$E1:$E10000"),INDIRECT(Q$1&amp;"!$a1:$a10000")=汇总!$A128),COUNTIF(INDIRECT(Q$1&amp;"!$a1:$a10000"),汇总!$A128)),Q127)</f>
        <v>30.302524999999605</v>
      </c>
      <c r="R128" s="109" cm="1">
        <f t="array" aca="1" ref="R128" ca="1">IFERROR(INDEX(_xlfn._xlws.FILTER(INDIRECT(R$1&amp;"!$E1:$E10000"),INDIRECT(R$1&amp;"!$a1:$a10000")=汇总!$A128),COUNTIF(INDIRECT(R$1&amp;"!$a1:$a10000"),汇总!$A128)),R127)</f>
        <v>26.166117753424615</v>
      </c>
      <c r="S128" s="109" cm="1">
        <f t="array" aca="1" ref="S128" ca="1">IFERROR(INDEX(_xlfn._xlws.FILTER(INDIRECT(S$1&amp;"!$E1:$E10000"),INDIRECT(S$1&amp;"!$a1:$a10000")=汇总!$A128),COUNTIF(INDIRECT(S$1&amp;"!$a1:$a10000"),汇总!$A128)),S127)</f>
        <v>1088.8800000000001</v>
      </c>
      <c r="T128" s="109" cm="1">
        <f t="array" aca="1" ref="T128" ca="1">IFERROR(INDEX(_xlfn._xlws.FILTER(INDIRECT(T$1&amp;"!$E1:$E10000"),INDIRECT(T$1&amp;"!$a1:$a10000")=汇总!$A128),COUNTIF(INDIRECT(T$1&amp;"!$a1:$a10000"),汇总!$A128)),T127)</f>
        <v>0</v>
      </c>
    </row>
    <row r="129" spans="1:20">
      <c r="A129" s="1">
        <f t="shared" si="5"/>
        <v>46150</v>
      </c>
      <c r="B129" s="109" cm="1">
        <f t="array" aca="1" ref="B129" ca="1">IFERROR(INDEX(_xlfn._xlws.FILTER(INDIRECT(B$1&amp;"!$E1:$E10000"),INDIRECT(B$1&amp;"!$a1:$a10000")=汇总!$A129),COUNTIF(INDIRECT(B$1&amp;"!$a1:$a10000"),汇总!$A129)),B128)</f>
        <v>37.020656000000145</v>
      </c>
      <c r="C129" s="109" cm="1">
        <f t="array" aca="1" ref="C129" ca="1">IFERROR(INDEX(_xlfn._xlws.FILTER(INDIRECT(C$1&amp;"!$E1:$E10000"),INDIRECT(C$1&amp;"!$a1:$a10000")=汇总!$A129),COUNTIF(INDIRECT(C$1&amp;"!$a1:$a10000"),汇总!$A129)),C128)</f>
        <v>132</v>
      </c>
      <c r="D129" s="109" cm="1">
        <f t="array" aca="1" ref="D129" ca="1">IFERROR(INDEX(_xlfn._xlws.FILTER(INDIRECT(D$1&amp;"!$E1:$E10000"),INDIRECT(D$1&amp;"!$a1:$a10000")=汇总!$A129),COUNTIF(INDIRECT(D$1&amp;"!$a1:$a10000"),汇总!$A129)),D128)</f>
        <v>937</v>
      </c>
      <c r="E129" s="109" cm="1">
        <f t="array" aca="1" ref="E129" ca="1">IFERROR(INDEX(_xlfn._xlws.FILTER(INDIRECT(E$1&amp;"!$E1:$E10000"),INDIRECT(E$1&amp;"!$a1:$a10000")=汇总!$A129),COUNTIF(INDIRECT(E$1&amp;"!$a1:$a10000"),汇总!$A129)),E128)</f>
        <v>5957.3235000000004</v>
      </c>
      <c r="F129" s="109" cm="1">
        <f t="array" aca="1" ref="F129" ca="1">IFERROR(INDEX(_xlfn._xlws.FILTER(INDIRECT(F$1&amp;"!$E1:$E10000"),INDIRECT(F$1&amp;"!$a1:$a10000")=汇总!$A129),COUNTIF(INDIRECT(F$1&amp;"!$a1:$a10000"),汇总!$A129)),F128)</f>
        <v>10421.562399999999</v>
      </c>
      <c r="G129" s="109" cm="1">
        <f t="array" aca="1" ref="G129" ca="1">IFERROR(INDEX(_xlfn._xlws.FILTER(INDIRECT(G$1&amp;"!$E1:$E10000"),INDIRECT(G$1&amp;"!$a1:$a10000")=汇总!$A129),COUNTIF(INDIRECT(G$1&amp;"!$a1:$a10000"),汇总!$A129)),G128)</f>
        <v>6890.48866</v>
      </c>
      <c r="H129" s="109" cm="1">
        <f t="array" aca="1" ref="H129" ca="1">IFERROR(INDEX(_xlfn._xlws.FILTER(INDIRECT(H$1&amp;"!$E1:$E10000"),INDIRECT(H$1&amp;"!$a1:$a10000")=汇总!$A129),COUNTIF(INDIRECT(H$1&amp;"!$a1:$a10000"),汇总!$A129)),H128)</f>
        <v>911.319749</v>
      </c>
      <c r="I129" s="109" cm="1">
        <f t="array" aca="1" ref="I129" ca="1">IFERROR(INDEX(_xlfn._xlws.FILTER(INDIRECT(I$1&amp;"!$E1:$E10000"),INDIRECT(I$1&amp;"!$a1:$a10000")=汇总!$A129),COUNTIF(INDIRECT(I$1&amp;"!$a1:$a10000"),汇总!$A129)),I128)</f>
        <v>865.39812099999995</v>
      </c>
      <c r="J129" s="109" cm="1">
        <f t="array" aca="1" ref="J129" ca="1">IFERROR(INDEX(_xlfn._xlws.FILTER(INDIRECT(J$1&amp;"!$E1:$E10000"),INDIRECT(J$1&amp;"!$a1:$a10000")=汇总!$A129),COUNTIF(INDIRECT(J$1&amp;"!$a1:$a10000"),汇总!$A129)),J128)</f>
        <v>0.5</v>
      </c>
      <c r="K129" s="109" cm="1">
        <f t="array" aca="1" ref="K129" ca="1">IFERROR(INDEX(_xlfn._xlws.FILTER(INDIRECT(K$1&amp;"!$E1:$E10000"),INDIRECT(K$1&amp;"!$a1:$a10000")=汇总!$A129),COUNTIF(INDIRECT(K$1&amp;"!$a1:$a10000"),汇总!$A129)),K128)</f>
        <v>988.47113999999965</v>
      </c>
      <c r="L129" s="109" cm="1">
        <f t="array" aca="1" ref="L129" ca="1">IFERROR(INDEX(_xlfn._xlws.FILTER(INDIRECT(L$1&amp;"!$E1:$E10000"),INDIRECT(L$1&amp;"!$a1:$a10000")=汇总!$A129),COUNTIF(INDIRECT(L$1&amp;"!$a1:$a10000"),汇总!$A129)),L128)</f>
        <v>330.12299999999982</v>
      </c>
      <c r="M129" s="109" cm="1">
        <f t="array" aca="1" ref="M129" ca="1">IFERROR(INDEX(_xlfn._xlws.FILTER(INDIRECT(M$1&amp;"!$E1:$E10000"),INDIRECT(M$1&amp;"!$a1:$a10000")=汇总!$A129),COUNTIF(INDIRECT(M$1&amp;"!$a1:$a10000"),汇总!$A129)),M128)</f>
        <v>122.94665999999961</v>
      </c>
      <c r="N129" s="109" cm="1">
        <f t="array" aca="1" ref="N129" ca="1">IFERROR(INDEX(_xlfn._xlws.FILTER(INDIRECT(N$1&amp;"!$E1:$E10000"),INDIRECT(N$1&amp;"!$a1:$a10000")=汇总!$A129),COUNTIF(INDIRECT(N$1&amp;"!$a1:$a10000"),汇总!$A129)),N128)</f>
        <v>1786.5203869999991</v>
      </c>
      <c r="O129" s="109" cm="1">
        <f t="array" aca="1" ref="O129" ca="1">IFERROR(INDEX(_xlfn._xlws.FILTER(INDIRECT(O$1&amp;"!$E1:$E10000"),INDIRECT(O$1&amp;"!$a1:$a10000")=汇总!$A129),COUNTIF(INDIRECT(O$1&amp;"!$a1:$a10000"),汇总!$A129)),O128)</f>
        <v>2</v>
      </c>
      <c r="P129" s="109" cm="1">
        <f t="array" aca="1" ref="P129" ca="1">IFERROR(INDEX(_xlfn._xlws.FILTER(INDIRECT(P$1&amp;"!$E1:$E10000"),INDIRECT(P$1&amp;"!$a1:$a10000")=汇总!$A129),COUNTIF(INDIRECT(P$1&amp;"!$a1:$a10000"),汇总!$A129)),P128)</f>
        <v>64.970799999999599</v>
      </c>
      <c r="Q129" s="109" cm="1">
        <f t="array" aca="1" ref="Q129" ca="1">IFERROR(INDEX(_xlfn._xlws.FILTER(INDIRECT(Q$1&amp;"!$E1:$E10000"),INDIRECT(Q$1&amp;"!$a1:$a10000")=汇总!$A129),COUNTIF(INDIRECT(Q$1&amp;"!$a1:$a10000"),汇总!$A129)),Q128)</f>
        <v>30.302524999999605</v>
      </c>
      <c r="R129" s="109" cm="1">
        <f t="array" aca="1" ref="R129" ca="1">IFERROR(INDEX(_xlfn._xlws.FILTER(INDIRECT(R$1&amp;"!$E1:$E10000"),INDIRECT(R$1&amp;"!$a1:$a10000")=汇总!$A129),COUNTIF(INDIRECT(R$1&amp;"!$a1:$a10000"),汇总!$A129)),R128)</f>
        <v>26.166117753424615</v>
      </c>
      <c r="S129" s="109" cm="1">
        <f t="array" aca="1" ref="S129" ca="1">IFERROR(INDEX(_xlfn._xlws.FILTER(INDIRECT(S$1&amp;"!$E1:$E10000"),INDIRECT(S$1&amp;"!$a1:$a10000")=汇总!$A129),COUNTIF(INDIRECT(S$1&amp;"!$a1:$a10000"),汇总!$A129)),S128)</f>
        <v>1146.8800000000001</v>
      </c>
      <c r="T129" s="109" cm="1">
        <f t="array" aca="1" ref="T129" ca="1">IFERROR(INDEX(_xlfn._xlws.FILTER(INDIRECT(T$1&amp;"!$E1:$E10000"),INDIRECT(T$1&amp;"!$a1:$a10000")=汇总!$A129),COUNTIF(INDIRECT(T$1&amp;"!$a1:$a10000"),汇总!$A129)),T128)</f>
        <v>0</v>
      </c>
    </row>
    <row r="130" spans="1:20">
      <c r="A130" s="1">
        <f t="shared" si="5"/>
        <v>46151</v>
      </c>
      <c r="B130" s="109" cm="1">
        <f t="array" aca="1" ref="B130" ca="1">IFERROR(INDEX(_xlfn._xlws.FILTER(INDIRECT(B$1&amp;"!$E1:$E10000"),INDIRECT(B$1&amp;"!$a1:$a10000")=汇总!$A130),COUNTIF(INDIRECT(B$1&amp;"!$a1:$a10000"),汇总!$A130)),B129)</f>
        <v>37.020656000000145</v>
      </c>
      <c r="C130" s="109" cm="1">
        <f t="array" aca="1" ref="C130" ca="1">IFERROR(INDEX(_xlfn._xlws.FILTER(INDIRECT(C$1&amp;"!$E1:$E10000"),INDIRECT(C$1&amp;"!$a1:$a10000")=汇总!$A130),COUNTIF(INDIRECT(C$1&amp;"!$a1:$a10000"),汇总!$A130)),C129)</f>
        <v>132</v>
      </c>
      <c r="D130" s="109" cm="1">
        <f t="array" aca="1" ref="D130" ca="1">IFERROR(INDEX(_xlfn._xlws.FILTER(INDIRECT(D$1&amp;"!$E1:$E10000"),INDIRECT(D$1&amp;"!$a1:$a10000")=汇总!$A130),COUNTIF(INDIRECT(D$1&amp;"!$a1:$a10000"),汇总!$A130)),D129)</f>
        <v>937</v>
      </c>
      <c r="E130" s="109" cm="1">
        <f t="array" aca="1" ref="E130" ca="1">IFERROR(INDEX(_xlfn._xlws.FILTER(INDIRECT(E$1&amp;"!$E1:$E10000"),INDIRECT(E$1&amp;"!$a1:$a10000")=汇总!$A130),COUNTIF(INDIRECT(E$1&amp;"!$a1:$a10000"),汇总!$A130)),E129)</f>
        <v>5957.3235000000004</v>
      </c>
      <c r="F130" s="109" cm="1">
        <f t="array" aca="1" ref="F130" ca="1">IFERROR(INDEX(_xlfn._xlws.FILTER(INDIRECT(F$1&amp;"!$E1:$E10000"),INDIRECT(F$1&amp;"!$a1:$a10000")=汇总!$A130),COUNTIF(INDIRECT(F$1&amp;"!$a1:$a10000"),汇总!$A130)),F129)</f>
        <v>10421.562399999999</v>
      </c>
      <c r="G130" s="109" cm="1">
        <f t="array" aca="1" ref="G130" ca="1">IFERROR(INDEX(_xlfn._xlws.FILTER(INDIRECT(G$1&amp;"!$E1:$E10000"),INDIRECT(G$1&amp;"!$a1:$a10000")=汇总!$A130),COUNTIF(INDIRECT(G$1&amp;"!$a1:$a10000"),汇总!$A130)),G129)</f>
        <v>6890.48866</v>
      </c>
      <c r="H130" s="109" cm="1">
        <f t="array" aca="1" ref="H130" ca="1">IFERROR(INDEX(_xlfn._xlws.FILTER(INDIRECT(H$1&amp;"!$E1:$E10000"),INDIRECT(H$1&amp;"!$a1:$a10000")=汇总!$A130),COUNTIF(INDIRECT(H$1&amp;"!$a1:$a10000"),汇总!$A130)),H129)</f>
        <v>911.319749</v>
      </c>
      <c r="I130" s="109" cm="1">
        <f t="array" aca="1" ref="I130" ca="1">IFERROR(INDEX(_xlfn._xlws.FILTER(INDIRECT(I$1&amp;"!$E1:$E10000"),INDIRECT(I$1&amp;"!$a1:$a10000")=汇总!$A130),COUNTIF(INDIRECT(I$1&amp;"!$a1:$a10000"),汇总!$A130)),I129)</f>
        <v>865.39812099999995</v>
      </c>
      <c r="J130" s="109" cm="1">
        <f t="array" aca="1" ref="J130" ca="1">IFERROR(INDEX(_xlfn._xlws.FILTER(INDIRECT(J$1&amp;"!$E1:$E10000"),INDIRECT(J$1&amp;"!$a1:$a10000")=汇总!$A130),COUNTIF(INDIRECT(J$1&amp;"!$a1:$a10000"),汇总!$A130)),J129)</f>
        <v>0.5</v>
      </c>
      <c r="K130" s="109" cm="1">
        <f t="array" aca="1" ref="K130" ca="1">IFERROR(INDEX(_xlfn._xlws.FILTER(INDIRECT(K$1&amp;"!$E1:$E10000"),INDIRECT(K$1&amp;"!$a1:$a10000")=汇总!$A130),COUNTIF(INDIRECT(K$1&amp;"!$a1:$a10000"),汇总!$A130)),K129)</f>
        <v>988.47113999999965</v>
      </c>
      <c r="L130" s="109" cm="1">
        <f t="array" aca="1" ref="L130" ca="1">IFERROR(INDEX(_xlfn._xlws.FILTER(INDIRECT(L$1&amp;"!$E1:$E10000"),INDIRECT(L$1&amp;"!$a1:$a10000")=汇总!$A130),COUNTIF(INDIRECT(L$1&amp;"!$a1:$a10000"),汇总!$A130)),L129)</f>
        <v>330.12299999999982</v>
      </c>
      <c r="M130" s="109" cm="1">
        <f t="array" aca="1" ref="M130" ca="1">IFERROR(INDEX(_xlfn._xlws.FILTER(INDIRECT(M$1&amp;"!$E1:$E10000"),INDIRECT(M$1&amp;"!$a1:$a10000")=汇总!$A130),COUNTIF(INDIRECT(M$1&amp;"!$a1:$a10000"),汇总!$A130)),M129)</f>
        <v>122.94665999999961</v>
      </c>
      <c r="N130" s="109" cm="1">
        <f t="array" aca="1" ref="N130" ca="1">IFERROR(INDEX(_xlfn._xlws.FILTER(INDIRECT(N$1&amp;"!$E1:$E10000"),INDIRECT(N$1&amp;"!$a1:$a10000")=汇总!$A130),COUNTIF(INDIRECT(N$1&amp;"!$a1:$a10000"),汇总!$A130)),N129)</f>
        <v>1786.5203869999991</v>
      </c>
      <c r="O130" s="109" cm="1">
        <f t="array" aca="1" ref="O130" ca="1">IFERROR(INDEX(_xlfn._xlws.FILTER(INDIRECT(O$1&amp;"!$E1:$E10000"),INDIRECT(O$1&amp;"!$a1:$a10000")=汇总!$A130),COUNTIF(INDIRECT(O$1&amp;"!$a1:$a10000"),汇总!$A130)),O129)</f>
        <v>2</v>
      </c>
      <c r="P130" s="109" cm="1">
        <f t="array" aca="1" ref="P130" ca="1">IFERROR(INDEX(_xlfn._xlws.FILTER(INDIRECT(P$1&amp;"!$E1:$E10000"),INDIRECT(P$1&amp;"!$a1:$a10000")=汇总!$A130),COUNTIF(INDIRECT(P$1&amp;"!$a1:$a10000"),汇总!$A130)),P129)</f>
        <v>64.970799999999599</v>
      </c>
      <c r="Q130" s="109" cm="1">
        <f t="array" aca="1" ref="Q130" ca="1">IFERROR(INDEX(_xlfn._xlws.FILTER(INDIRECT(Q$1&amp;"!$E1:$E10000"),INDIRECT(Q$1&amp;"!$a1:$a10000")=汇总!$A130),COUNTIF(INDIRECT(Q$1&amp;"!$a1:$a10000"),汇总!$A130)),Q129)</f>
        <v>30.302524999999605</v>
      </c>
      <c r="R130" s="109" cm="1">
        <f t="array" aca="1" ref="R130" ca="1">IFERROR(INDEX(_xlfn._xlws.FILTER(INDIRECT(R$1&amp;"!$E1:$E10000"),INDIRECT(R$1&amp;"!$a1:$a10000")=汇总!$A130),COUNTIF(INDIRECT(R$1&amp;"!$a1:$a10000"),汇总!$A130)),R129)</f>
        <v>26.166117753424615</v>
      </c>
      <c r="S130" s="109" cm="1">
        <f t="array" aca="1" ref="S130" ca="1">IFERROR(INDEX(_xlfn._xlws.FILTER(INDIRECT(S$1&amp;"!$E1:$E10000"),INDIRECT(S$1&amp;"!$a1:$a10000")=汇总!$A130),COUNTIF(INDIRECT(S$1&amp;"!$a1:$a10000"),汇总!$A130)),S129)</f>
        <v>1146.8800000000001</v>
      </c>
      <c r="T130" s="109" cm="1">
        <f t="array" aca="1" ref="T130" ca="1">IFERROR(INDEX(_xlfn._xlws.FILTER(INDIRECT(T$1&amp;"!$E1:$E10000"),INDIRECT(T$1&amp;"!$a1:$a10000")=汇总!$A130),COUNTIF(INDIRECT(T$1&amp;"!$a1:$a10000"),汇总!$A130)),T129)</f>
        <v>0</v>
      </c>
    </row>
    <row r="131" spans="1:20">
      <c r="A131" s="1">
        <f t="shared" si="5"/>
        <v>46152</v>
      </c>
      <c r="B131" s="109" cm="1">
        <f t="array" aca="1" ref="B131" ca="1">IFERROR(INDEX(_xlfn._xlws.FILTER(INDIRECT(B$1&amp;"!$E1:$E10000"),INDIRECT(B$1&amp;"!$a1:$a10000")=汇总!$A131),COUNTIF(INDIRECT(B$1&amp;"!$a1:$a10000"),汇总!$A131)),B130)</f>
        <v>37.020656000000145</v>
      </c>
      <c r="C131" s="109" cm="1">
        <f t="array" aca="1" ref="C131" ca="1">IFERROR(INDEX(_xlfn._xlws.FILTER(INDIRECT(C$1&amp;"!$E1:$E10000"),INDIRECT(C$1&amp;"!$a1:$a10000")=汇总!$A131),COUNTIF(INDIRECT(C$1&amp;"!$a1:$a10000"),汇总!$A131)),C130)</f>
        <v>132</v>
      </c>
      <c r="D131" s="109" cm="1">
        <f t="array" aca="1" ref="D131" ca="1">IFERROR(INDEX(_xlfn._xlws.FILTER(INDIRECT(D$1&amp;"!$E1:$E10000"),INDIRECT(D$1&amp;"!$a1:$a10000")=汇总!$A131),COUNTIF(INDIRECT(D$1&amp;"!$a1:$a10000"),汇总!$A131)),D130)</f>
        <v>937</v>
      </c>
      <c r="E131" s="109" cm="1">
        <f t="array" aca="1" ref="E131" ca="1">IFERROR(INDEX(_xlfn._xlws.FILTER(INDIRECT(E$1&amp;"!$E1:$E10000"),INDIRECT(E$1&amp;"!$a1:$a10000")=汇总!$A131),COUNTIF(INDIRECT(E$1&amp;"!$a1:$a10000"),汇总!$A131)),E130)</f>
        <v>5957.3235000000004</v>
      </c>
      <c r="F131" s="109" cm="1">
        <f t="array" aca="1" ref="F131" ca="1">IFERROR(INDEX(_xlfn._xlws.FILTER(INDIRECT(F$1&amp;"!$E1:$E10000"),INDIRECT(F$1&amp;"!$a1:$a10000")=汇总!$A131),COUNTIF(INDIRECT(F$1&amp;"!$a1:$a10000"),汇总!$A131)),F130)</f>
        <v>10421.562399999999</v>
      </c>
      <c r="G131" s="109" cm="1">
        <f t="array" aca="1" ref="G131" ca="1">IFERROR(INDEX(_xlfn._xlws.FILTER(INDIRECT(G$1&amp;"!$E1:$E10000"),INDIRECT(G$1&amp;"!$a1:$a10000")=汇总!$A131),COUNTIF(INDIRECT(G$1&amp;"!$a1:$a10000"),汇总!$A131)),G130)</f>
        <v>6890.48866</v>
      </c>
      <c r="H131" s="109" cm="1">
        <f t="array" aca="1" ref="H131" ca="1">IFERROR(INDEX(_xlfn._xlws.FILTER(INDIRECT(H$1&amp;"!$E1:$E10000"),INDIRECT(H$1&amp;"!$a1:$a10000")=汇总!$A131),COUNTIF(INDIRECT(H$1&amp;"!$a1:$a10000"),汇总!$A131)),H130)</f>
        <v>911.319749</v>
      </c>
      <c r="I131" s="109" cm="1">
        <f t="array" aca="1" ref="I131" ca="1">IFERROR(INDEX(_xlfn._xlws.FILTER(INDIRECT(I$1&amp;"!$E1:$E10000"),INDIRECT(I$1&amp;"!$a1:$a10000")=汇总!$A131),COUNTIF(INDIRECT(I$1&amp;"!$a1:$a10000"),汇总!$A131)),I130)</f>
        <v>865.39812099999995</v>
      </c>
      <c r="J131" s="109" cm="1">
        <f t="array" aca="1" ref="J131" ca="1">IFERROR(INDEX(_xlfn._xlws.FILTER(INDIRECT(J$1&amp;"!$E1:$E10000"),INDIRECT(J$1&amp;"!$a1:$a10000")=汇总!$A131),COUNTIF(INDIRECT(J$1&amp;"!$a1:$a10000"),汇总!$A131)),J130)</f>
        <v>0.5</v>
      </c>
      <c r="K131" s="109" cm="1">
        <f t="array" aca="1" ref="K131" ca="1">IFERROR(INDEX(_xlfn._xlws.FILTER(INDIRECT(K$1&amp;"!$E1:$E10000"),INDIRECT(K$1&amp;"!$a1:$a10000")=汇总!$A131),COUNTIF(INDIRECT(K$1&amp;"!$a1:$a10000"),汇总!$A131)),K130)</f>
        <v>988.47113999999965</v>
      </c>
      <c r="L131" s="109" cm="1">
        <f t="array" aca="1" ref="L131" ca="1">IFERROR(INDEX(_xlfn._xlws.FILTER(INDIRECT(L$1&amp;"!$E1:$E10000"),INDIRECT(L$1&amp;"!$a1:$a10000")=汇总!$A131),COUNTIF(INDIRECT(L$1&amp;"!$a1:$a10000"),汇总!$A131)),L130)</f>
        <v>330.12299999999982</v>
      </c>
      <c r="M131" s="109" cm="1">
        <f t="array" aca="1" ref="M131" ca="1">IFERROR(INDEX(_xlfn._xlws.FILTER(INDIRECT(M$1&amp;"!$E1:$E10000"),INDIRECT(M$1&amp;"!$a1:$a10000")=汇总!$A131),COUNTIF(INDIRECT(M$1&amp;"!$a1:$a10000"),汇总!$A131)),M130)</f>
        <v>122.94665999999961</v>
      </c>
      <c r="N131" s="109" cm="1">
        <f t="array" aca="1" ref="N131" ca="1">IFERROR(INDEX(_xlfn._xlws.FILTER(INDIRECT(N$1&amp;"!$E1:$E10000"),INDIRECT(N$1&amp;"!$a1:$a10000")=汇总!$A131),COUNTIF(INDIRECT(N$1&amp;"!$a1:$a10000"),汇总!$A131)),N130)</f>
        <v>1786.5203869999991</v>
      </c>
      <c r="O131" s="109" cm="1">
        <f t="array" aca="1" ref="O131" ca="1">IFERROR(INDEX(_xlfn._xlws.FILTER(INDIRECT(O$1&amp;"!$E1:$E10000"),INDIRECT(O$1&amp;"!$a1:$a10000")=汇总!$A131),COUNTIF(INDIRECT(O$1&amp;"!$a1:$a10000"),汇总!$A131)),O130)</f>
        <v>2</v>
      </c>
      <c r="P131" s="109" cm="1">
        <f t="array" aca="1" ref="P131" ca="1">IFERROR(INDEX(_xlfn._xlws.FILTER(INDIRECT(P$1&amp;"!$E1:$E10000"),INDIRECT(P$1&amp;"!$a1:$a10000")=汇总!$A131),COUNTIF(INDIRECT(P$1&amp;"!$a1:$a10000"),汇总!$A131)),P130)</f>
        <v>64.970799999999599</v>
      </c>
      <c r="Q131" s="109" cm="1">
        <f t="array" aca="1" ref="Q131" ca="1">IFERROR(INDEX(_xlfn._xlws.FILTER(INDIRECT(Q$1&amp;"!$E1:$E10000"),INDIRECT(Q$1&amp;"!$a1:$a10000")=汇总!$A131),COUNTIF(INDIRECT(Q$1&amp;"!$a1:$a10000"),汇总!$A131)),Q130)</f>
        <v>30.302524999999605</v>
      </c>
      <c r="R131" s="109" cm="1">
        <f t="array" aca="1" ref="R131" ca="1">IFERROR(INDEX(_xlfn._xlws.FILTER(INDIRECT(R$1&amp;"!$E1:$E10000"),INDIRECT(R$1&amp;"!$a1:$a10000")=汇总!$A131),COUNTIF(INDIRECT(R$1&amp;"!$a1:$a10000"),汇总!$A131)),R130)</f>
        <v>26.166117753424615</v>
      </c>
      <c r="S131" s="109" cm="1">
        <f t="array" aca="1" ref="S131" ca="1">IFERROR(INDEX(_xlfn._xlws.FILTER(INDIRECT(S$1&amp;"!$E1:$E10000"),INDIRECT(S$1&amp;"!$a1:$a10000")=汇总!$A131),COUNTIF(INDIRECT(S$1&amp;"!$a1:$a10000"),汇总!$A131)),S130)</f>
        <v>1146.8800000000001</v>
      </c>
      <c r="T131" s="109" cm="1">
        <f t="array" aca="1" ref="T131" ca="1">IFERROR(INDEX(_xlfn._xlws.FILTER(INDIRECT(T$1&amp;"!$E1:$E10000"),INDIRECT(T$1&amp;"!$a1:$a10000")=汇总!$A131),COUNTIF(INDIRECT(T$1&amp;"!$a1:$a10000"),汇总!$A131)),T130)</f>
        <v>0</v>
      </c>
    </row>
    <row r="132" spans="1:20">
      <c r="A132" s="1">
        <f t="shared" si="5"/>
        <v>46153</v>
      </c>
      <c r="B132" s="109" cm="1">
        <f t="array" aca="1" ref="B132" ca="1">IFERROR(INDEX(_xlfn._xlws.FILTER(INDIRECT(B$1&amp;"!$E1:$E10000"),INDIRECT(B$1&amp;"!$a1:$a10000")=汇总!$A132),COUNTIF(INDIRECT(B$1&amp;"!$a1:$a10000"),汇总!$A132)),B131)</f>
        <v>148.02065600000014</v>
      </c>
      <c r="C132" s="109" cm="1">
        <f t="array" aca="1" ref="C132" ca="1">IFERROR(INDEX(_xlfn._xlws.FILTER(INDIRECT(C$1&amp;"!$E1:$E10000"),INDIRECT(C$1&amp;"!$a1:$a10000")=汇总!$A132),COUNTIF(INDIRECT(C$1&amp;"!$a1:$a10000"),汇总!$A132)),C131)</f>
        <v>132</v>
      </c>
      <c r="D132" s="109" cm="1">
        <f t="array" aca="1" ref="D132" ca="1">IFERROR(INDEX(_xlfn._xlws.FILTER(INDIRECT(D$1&amp;"!$E1:$E10000"),INDIRECT(D$1&amp;"!$a1:$a10000")=汇总!$A132),COUNTIF(INDIRECT(D$1&amp;"!$a1:$a10000"),汇总!$A132)),D131)</f>
        <v>2040.8848</v>
      </c>
      <c r="E132" s="109" cm="1">
        <f t="array" aca="1" ref="E132" ca="1">IFERROR(INDEX(_xlfn._xlws.FILTER(INDIRECT(E$1&amp;"!$E1:$E10000"),INDIRECT(E$1&amp;"!$a1:$a10000")=汇总!$A132),COUNTIF(INDIRECT(E$1&amp;"!$a1:$a10000"),汇总!$A132)),E131)</f>
        <v>2363.8456950000004</v>
      </c>
      <c r="F132" s="109" cm="1">
        <f t="array" aca="1" ref="F132" ca="1">IFERROR(INDEX(_xlfn._xlws.FILTER(INDIRECT(F$1&amp;"!$E1:$E10000"),INDIRECT(F$1&amp;"!$a1:$a10000")=汇总!$A132),COUNTIF(INDIRECT(F$1&amp;"!$a1:$a10000"),汇总!$A132)),F131)</f>
        <v>10437.562399999999</v>
      </c>
      <c r="G132" s="109" cm="1">
        <f t="array" aca="1" ref="G132" ca="1">IFERROR(INDEX(_xlfn._xlws.FILTER(INDIRECT(G$1&amp;"!$E1:$E10000"),INDIRECT(G$1&amp;"!$a1:$a10000")=汇总!$A132),COUNTIF(INDIRECT(G$1&amp;"!$a1:$a10000"),汇总!$A132)),G131)</f>
        <v>6890.48866</v>
      </c>
      <c r="H132" s="109" cm="1">
        <f t="array" aca="1" ref="H132" ca="1">IFERROR(INDEX(_xlfn._xlws.FILTER(INDIRECT(H$1&amp;"!$E1:$E10000"),INDIRECT(H$1&amp;"!$a1:$a10000")=汇总!$A132),COUNTIF(INDIRECT(H$1&amp;"!$a1:$a10000"),汇总!$A132)),H131)</f>
        <v>911.319749</v>
      </c>
      <c r="I132" s="109" cm="1">
        <f t="array" aca="1" ref="I132" ca="1">IFERROR(INDEX(_xlfn._xlws.FILTER(INDIRECT(I$1&amp;"!$E1:$E10000"),INDIRECT(I$1&amp;"!$a1:$a10000")=汇总!$A132),COUNTIF(INDIRECT(I$1&amp;"!$a1:$a10000"),汇总!$A132)),I131)</f>
        <v>865.39812099999995</v>
      </c>
      <c r="J132" s="109" cm="1">
        <f t="array" aca="1" ref="J132" ca="1">IFERROR(INDEX(_xlfn._xlws.FILTER(INDIRECT(J$1&amp;"!$E1:$E10000"),INDIRECT(J$1&amp;"!$a1:$a10000")=汇总!$A132),COUNTIF(INDIRECT(J$1&amp;"!$a1:$a10000"),汇总!$A132)),J131)</f>
        <v>0.5</v>
      </c>
      <c r="K132" s="109" cm="1">
        <f t="array" aca="1" ref="K132" ca="1">IFERROR(INDEX(_xlfn._xlws.FILTER(INDIRECT(K$1&amp;"!$E1:$E10000"),INDIRECT(K$1&amp;"!$a1:$a10000")=汇总!$A132),COUNTIF(INDIRECT(K$1&amp;"!$a1:$a10000"),汇总!$A132)),K131)</f>
        <v>1186.1711399999997</v>
      </c>
      <c r="L132" s="109" cm="1">
        <f t="array" aca="1" ref="L132" ca="1">IFERROR(INDEX(_xlfn._xlws.FILTER(INDIRECT(L$1&amp;"!$E1:$E10000"),INDIRECT(L$1&amp;"!$a1:$a10000")=汇总!$A132),COUNTIF(INDIRECT(L$1&amp;"!$a1:$a10000"),汇总!$A132)),L131)</f>
        <v>406.82299999999981</v>
      </c>
      <c r="M132" s="109" cm="1">
        <f t="array" aca="1" ref="M132" ca="1">IFERROR(INDEX(_xlfn._xlws.FILTER(INDIRECT(M$1&amp;"!$E1:$E10000"),INDIRECT(M$1&amp;"!$a1:$a10000")=汇总!$A132),COUNTIF(INDIRECT(M$1&amp;"!$a1:$a10000"),汇总!$A132)),M131)</f>
        <v>122.94665999999961</v>
      </c>
      <c r="N132" s="109" cm="1">
        <f t="array" aca="1" ref="N132" ca="1">IFERROR(INDEX(_xlfn._xlws.FILTER(INDIRECT(N$1&amp;"!$E1:$E10000"),INDIRECT(N$1&amp;"!$a1:$a10000")=汇总!$A132),COUNTIF(INDIRECT(N$1&amp;"!$a1:$a10000"),汇总!$A132)),N131)</f>
        <v>1786.5203869999991</v>
      </c>
      <c r="O132" s="109" cm="1">
        <f t="array" aca="1" ref="O132" ca="1">IFERROR(INDEX(_xlfn._xlws.FILTER(INDIRECT(O$1&amp;"!$E1:$E10000"),INDIRECT(O$1&amp;"!$a1:$a10000")=汇总!$A132),COUNTIF(INDIRECT(O$1&amp;"!$a1:$a10000"),汇总!$A132)),O131)</f>
        <v>2</v>
      </c>
      <c r="P132" s="109" cm="1">
        <f t="array" aca="1" ref="P132" ca="1">IFERROR(INDEX(_xlfn._xlws.FILTER(INDIRECT(P$1&amp;"!$E1:$E10000"),INDIRECT(P$1&amp;"!$a1:$a10000")=汇总!$A132),COUNTIF(INDIRECT(P$1&amp;"!$a1:$a10000"),汇总!$A132)),P131)</f>
        <v>64.970799999999599</v>
      </c>
      <c r="Q132" s="109" cm="1">
        <f t="array" aca="1" ref="Q132" ca="1">IFERROR(INDEX(_xlfn._xlws.FILTER(INDIRECT(Q$1&amp;"!$E1:$E10000"),INDIRECT(Q$1&amp;"!$a1:$a10000")=汇总!$A132),COUNTIF(INDIRECT(Q$1&amp;"!$a1:$a10000"),汇总!$A132)),Q131)</f>
        <v>30.302524999999605</v>
      </c>
      <c r="R132" s="109" cm="1">
        <f t="array" aca="1" ref="R132" ca="1">IFERROR(INDEX(_xlfn._xlws.FILTER(INDIRECT(R$1&amp;"!$E1:$E10000"),INDIRECT(R$1&amp;"!$a1:$a10000")=汇总!$A132),COUNTIF(INDIRECT(R$1&amp;"!$a1:$a10000"),汇总!$A132)),R131)</f>
        <v>41.335722753424612</v>
      </c>
      <c r="S132" s="109" cm="1">
        <f t="array" aca="1" ref="S132" ca="1">IFERROR(INDEX(_xlfn._xlws.FILTER(INDIRECT(S$1&amp;"!$E1:$E10000"),INDIRECT(S$1&amp;"!$a1:$a10000")=汇总!$A132),COUNTIF(INDIRECT(S$1&amp;"!$a1:$a10000"),汇总!$A132)),S131)</f>
        <v>1146.8800000000001</v>
      </c>
      <c r="T132" s="109" cm="1">
        <f t="array" aca="1" ref="T132" ca="1">IFERROR(INDEX(_xlfn._xlws.FILTER(INDIRECT(T$1&amp;"!$E1:$E10000"),INDIRECT(T$1&amp;"!$a1:$a10000")=汇总!$A132),COUNTIF(INDIRECT(T$1&amp;"!$a1:$a10000"),汇总!$A132)),T131)</f>
        <v>0</v>
      </c>
    </row>
    <row r="133" spans="1:20">
      <c r="A133" s="1">
        <f t="shared" si="5"/>
        <v>46154</v>
      </c>
      <c r="B133" s="109" cm="1">
        <f t="array" aca="1" ref="B133" ca="1">IFERROR(INDEX(_xlfn._xlws.FILTER(INDIRECT(B$1&amp;"!$E1:$E10000"),INDIRECT(B$1&amp;"!$a1:$a10000")=汇总!$A133),COUNTIF(INDIRECT(B$1&amp;"!$a1:$a10000"),汇总!$A133)),B132)</f>
        <v>168.02065600000014</v>
      </c>
      <c r="C133" s="109" cm="1">
        <f t="array" aca="1" ref="C133" ca="1">IFERROR(INDEX(_xlfn._xlws.FILTER(INDIRECT(C$1&amp;"!$E1:$E10000"),INDIRECT(C$1&amp;"!$a1:$a10000")=汇总!$A133),COUNTIF(INDIRECT(C$1&amp;"!$a1:$a10000"),汇总!$A133)),C132)</f>
        <v>132</v>
      </c>
      <c r="D133" s="109" cm="1">
        <f t="array" aca="1" ref="D133" ca="1">IFERROR(INDEX(_xlfn._xlws.FILTER(INDIRECT(D$1&amp;"!$E1:$E10000"),INDIRECT(D$1&amp;"!$a1:$a10000")=汇总!$A133),COUNTIF(INDIRECT(D$1&amp;"!$a1:$a10000"),汇总!$A133)),D132)</f>
        <v>1040.2578000000001</v>
      </c>
      <c r="E133" s="109" cm="1">
        <f t="array" aca="1" ref="E133" ca="1">IFERROR(INDEX(_xlfn._xlws.FILTER(INDIRECT(E$1&amp;"!$E1:$E10000"),INDIRECT(E$1&amp;"!$a1:$a10000")=汇总!$A133),COUNTIF(INDIRECT(E$1&amp;"!$a1:$a10000"),汇总!$A133)),E132)</f>
        <v>175</v>
      </c>
      <c r="F133" s="109" cm="1">
        <f t="array" aca="1" ref="F133" ca="1">IFERROR(INDEX(_xlfn._xlws.FILTER(INDIRECT(F$1&amp;"!$E1:$E10000"),INDIRECT(F$1&amp;"!$a1:$a10000")=汇总!$A133),COUNTIF(INDIRECT(F$1&amp;"!$a1:$a10000"),汇总!$A133)),F132)</f>
        <v>8937.5623999999989</v>
      </c>
      <c r="G133" s="109" cm="1">
        <f t="array" aca="1" ref="G133" ca="1">IFERROR(INDEX(_xlfn._xlws.FILTER(INDIRECT(G$1&amp;"!$E1:$E10000"),INDIRECT(G$1&amp;"!$a1:$a10000")=汇总!$A133),COUNTIF(INDIRECT(G$1&amp;"!$a1:$a10000"),汇总!$A133)),G132)</f>
        <v>6890.48866</v>
      </c>
      <c r="H133" s="109" cm="1">
        <f t="array" aca="1" ref="H133" ca="1">IFERROR(INDEX(_xlfn._xlws.FILTER(INDIRECT(H$1&amp;"!$E1:$E10000"),INDIRECT(H$1&amp;"!$a1:$a10000")=汇总!$A133),COUNTIF(INDIRECT(H$1&amp;"!$a1:$a10000"),汇总!$A133)),H132)</f>
        <v>911.319749</v>
      </c>
      <c r="I133" s="109" cm="1">
        <f t="array" aca="1" ref="I133" ca="1">IFERROR(INDEX(_xlfn._xlws.FILTER(INDIRECT(I$1&amp;"!$E1:$E10000"),INDIRECT(I$1&amp;"!$a1:$a10000")=汇总!$A133),COUNTIF(INDIRECT(I$1&amp;"!$a1:$a10000"),汇总!$A133)),I132)</f>
        <v>865.39812099999995</v>
      </c>
      <c r="J133" s="109" cm="1">
        <f t="array" aca="1" ref="J133" ca="1">IFERROR(INDEX(_xlfn._xlws.FILTER(INDIRECT(J$1&amp;"!$E1:$E10000"),INDIRECT(J$1&amp;"!$a1:$a10000")=汇总!$A133),COUNTIF(INDIRECT(J$1&amp;"!$a1:$a10000"),汇总!$A133)),J132)</f>
        <v>0.5</v>
      </c>
      <c r="K133" s="109" cm="1">
        <f t="array" aca="1" ref="K133" ca="1">IFERROR(INDEX(_xlfn._xlws.FILTER(INDIRECT(K$1&amp;"!$E1:$E10000"),INDIRECT(K$1&amp;"!$a1:$a10000")=汇总!$A133),COUNTIF(INDIRECT(K$1&amp;"!$a1:$a10000"),汇总!$A133)),K132)</f>
        <v>1186.1711399999997</v>
      </c>
      <c r="L133" s="109" cm="1">
        <f t="array" aca="1" ref="L133" ca="1">IFERROR(INDEX(_xlfn._xlws.FILTER(INDIRECT(L$1&amp;"!$E1:$E10000"),INDIRECT(L$1&amp;"!$a1:$a10000")=汇总!$A133),COUNTIF(INDIRECT(L$1&amp;"!$a1:$a10000"),汇总!$A133)),L132)</f>
        <v>406.82299999999981</v>
      </c>
      <c r="M133" s="109" cm="1">
        <f t="array" aca="1" ref="M133" ca="1">IFERROR(INDEX(_xlfn._xlws.FILTER(INDIRECT(M$1&amp;"!$E1:$E10000"),INDIRECT(M$1&amp;"!$a1:$a10000")=汇总!$A133),COUNTIF(INDIRECT(M$1&amp;"!$a1:$a10000"),汇总!$A133)),M132)</f>
        <v>122.94665999999961</v>
      </c>
      <c r="N133" s="109" cm="1">
        <f t="array" aca="1" ref="N133" ca="1">IFERROR(INDEX(_xlfn._xlws.FILTER(INDIRECT(N$1&amp;"!$E1:$E10000"),INDIRECT(N$1&amp;"!$a1:$a10000")=汇总!$A133),COUNTIF(INDIRECT(N$1&amp;"!$a1:$a10000"),汇总!$A133)),N132)</f>
        <v>1786.5203869999991</v>
      </c>
      <c r="O133" s="109" cm="1">
        <f t="array" aca="1" ref="O133" ca="1">IFERROR(INDEX(_xlfn._xlws.FILTER(INDIRECT(O$1&amp;"!$E1:$E10000"),INDIRECT(O$1&amp;"!$a1:$a10000")=汇总!$A133),COUNTIF(INDIRECT(O$1&amp;"!$a1:$a10000"),汇总!$A133)),O132)</f>
        <v>2</v>
      </c>
      <c r="P133" s="109" cm="1">
        <f t="array" aca="1" ref="P133" ca="1">IFERROR(INDEX(_xlfn._xlws.FILTER(INDIRECT(P$1&amp;"!$E1:$E10000"),INDIRECT(P$1&amp;"!$a1:$a10000")=汇总!$A133),COUNTIF(INDIRECT(P$1&amp;"!$a1:$a10000"),汇总!$A133)),P132)</f>
        <v>64.970799999999599</v>
      </c>
      <c r="Q133" s="109" cm="1">
        <f t="array" aca="1" ref="Q133" ca="1">IFERROR(INDEX(_xlfn._xlws.FILTER(INDIRECT(Q$1&amp;"!$E1:$E10000"),INDIRECT(Q$1&amp;"!$a1:$a10000")=汇总!$A133),COUNTIF(INDIRECT(Q$1&amp;"!$a1:$a10000"),汇总!$A133)),Q132)</f>
        <v>30.302524999999605</v>
      </c>
      <c r="R133" s="109" cm="1">
        <f t="array" aca="1" ref="R133" ca="1">IFERROR(INDEX(_xlfn._xlws.FILTER(INDIRECT(R$1&amp;"!$E1:$E10000"),INDIRECT(R$1&amp;"!$a1:$a10000")=汇总!$A133),COUNTIF(INDIRECT(R$1&amp;"!$a1:$a10000"),汇总!$A133)),R132)</f>
        <v>41.335722753424612</v>
      </c>
      <c r="S133" s="109" cm="1">
        <f t="array" aca="1" ref="S133" ca="1">IFERROR(INDEX(_xlfn._xlws.FILTER(INDIRECT(S$1&amp;"!$E1:$E10000"),INDIRECT(S$1&amp;"!$a1:$a10000")=汇总!$A133),COUNTIF(INDIRECT(S$1&amp;"!$a1:$a10000"),汇总!$A133)),S132)</f>
        <v>1146.8800000000001</v>
      </c>
      <c r="T133" s="109" cm="1">
        <f t="array" aca="1" ref="T133" ca="1">IFERROR(INDEX(_xlfn._xlws.FILTER(INDIRECT(T$1&amp;"!$E1:$E10000"),INDIRECT(T$1&amp;"!$a1:$a10000")=汇总!$A133),COUNTIF(INDIRECT(T$1&amp;"!$a1:$a10000"),汇总!$A133)),T132)</f>
        <v>0</v>
      </c>
    </row>
    <row r="134" spans="1:20">
      <c r="A134" s="1">
        <f t="shared" si="5"/>
        <v>46155</v>
      </c>
      <c r="B134" s="109" cm="1">
        <f t="array" aca="1" ref="B134" ca="1">IFERROR(INDEX(_xlfn._xlws.FILTER(INDIRECT(B$1&amp;"!$E1:$E10000"),INDIRECT(B$1&amp;"!$a1:$a10000")=汇总!$A134),COUNTIF(INDIRECT(B$1&amp;"!$a1:$a10000"),汇总!$A134)),B133)</f>
        <v>729.02065600000014</v>
      </c>
      <c r="C134" s="109" cm="1">
        <f t="array" aca="1" ref="C134" ca="1">IFERROR(INDEX(_xlfn._xlws.FILTER(INDIRECT(C$1&amp;"!$E1:$E10000"),INDIRECT(C$1&amp;"!$a1:$a10000")=汇总!$A134),COUNTIF(INDIRECT(C$1&amp;"!$a1:$a10000"),汇总!$A134)),C133)</f>
        <v>132</v>
      </c>
      <c r="D134" s="109" cm="1">
        <f t="array" aca="1" ref="D134" ca="1">IFERROR(INDEX(_xlfn._xlws.FILTER(INDIRECT(D$1&amp;"!$E1:$E10000"),INDIRECT(D$1&amp;"!$a1:$a10000")=汇总!$A134),COUNTIF(INDIRECT(D$1&amp;"!$a1:$a10000"),汇总!$A134)),D133)</f>
        <v>320.08960000000013</v>
      </c>
      <c r="E134" s="109" cm="1">
        <f t="array" aca="1" ref="E134" ca="1">IFERROR(INDEX(_xlfn._xlws.FILTER(INDIRECT(E$1&amp;"!$E1:$E10000"),INDIRECT(E$1&amp;"!$a1:$a10000")=汇总!$A134),COUNTIF(INDIRECT(E$1&amp;"!$a1:$a10000"),汇总!$A134)),E133)</f>
        <v>175</v>
      </c>
      <c r="F134" s="109" cm="1">
        <f t="array" aca="1" ref="F134" ca="1">IFERROR(INDEX(_xlfn._xlws.FILTER(INDIRECT(F$1&amp;"!$E1:$E10000"),INDIRECT(F$1&amp;"!$a1:$a10000")=汇总!$A134),COUNTIF(INDIRECT(F$1&amp;"!$a1:$a10000"),汇总!$A134)),F133)</f>
        <v>8937.5623999999989</v>
      </c>
      <c r="G134" s="109" cm="1">
        <f t="array" aca="1" ref="G134" ca="1">IFERROR(INDEX(_xlfn._xlws.FILTER(INDIRECT(G$1&amp;"!$E1:$E10000"),INDIRECT(G$1&amp;"!$a1:$a10000")=汇总!$A134),COUNTIF(INDIRECT(G$1&amp;"!$a1:$a10000"),汇总!$A134)),G133)</f>
        <v>6890.48866</v>
      </c>
      <c r="H134" s="109" cm="1">
        <f t="array" aca="1" ref="H134" ca="1">IFERROR(INDEX(_xlfn._xlws.FILTER(INDIRECT(H$1&amp;"!$E1:$E10000"),INDIRECT(H$1&amp;"!$a1:$a10000")=汇总!$A134),COUNTIF(INDIRECT(H$1&amp;"!$a1:$a10000"),汇总!$A134)),H133)</f>
        <v>211.319749</v>
      </c>
      <c r="I134" s="109" cm="1">
        <f t="array" aca="1" ref="I134" ca="1">IFERROR(INDEX(_xlfn._xlws.FILTER(INDIRECT(I$1&amp;"!$E1:$E10000"),INDIRECT(I$1&amp;"!$a1:$a10000")=汇总!$A134),COUNTIF(INDIRECT(I$1&amp;"!$a1:$a10000"),汇总!$A134)),I133)</f>
        <v>365.39812099999995</v>
      </c>
      <c r="J134" s="109" cm="1">
        <f t="array" aca="1" ref="J134" ca="1">IFERROR(INDEX(_xlfn._xlws.FILTER(INDIRECT(J$1&amp;"!$E1:$E10000"),INDIRECT(J$1&amp;"!$a1:$a10000")=汇总!$A134),COUNTIF(INDIRECT(J$1&amp;"!$a1:$a10000"),汇总!$A134)),J133)</f>
        <v>0.5</v>
      </c>
      <c r="K134" s="109" cm="1">
        <f t="array" aca="1" ref="K134" ca="1">IFERROR(INDEX(_xlfn._xlws.FILTER(INDIRECT(K$1&amp;"!$E1:$E10000"),INDIRECT(K$1&amp;"!$a1:$a10000")=汇总!$A134),COUNTIF(INDIRECT(K$1&amp;"!$a1:$a10000"),汇总!$A134)),K133)</f>
        <v>36.171139999999696</v>
      </c>
      <c r="L134" s="109" cm="1">
        <f t="array" aca="1" ref="L134" ca="1">IFERROR(INDEX(_xlfn._xlws.FILTER(INDIRECT(L$1&amp;"!$E1:$E10000"),INDIRECT(L$1&amp;"!$a1:$a10000")=汇总!$A134),COUNTIF(INDIRECT(L$1&amp;"!$a1:$a10000"),汇总!$A134)),L133)</f>
        <v>406.82299999999981</v>
      </c>
      <c r="M134" s="109" cm="1">
        <f t="array" aca="1" ref="M134" ca="1">IFERROR(INDEX(_xlfn._xlws.FILTER(INDIRECT(M$1&amp;"!$E1:$E10000"),INDIRECT(M$1&amp;"!$a1:$a10000")=汇总!$A134),COUNTIF(INDIRECT(M$1&amp;"!$a1:$a10000"),汇总!$A134)),M133)</f>
        <v>122.94665999999961</v>
      </c>
      <c r="N134" s="109" cm="1">
        <f t="array" aca="1" ref="N134" ca="1">IFERROR(INDEX(_xlfn._xlws.FILTER(INDIRECT(N$1&amp;"!$E1:$E10000"),INDIRECT(N$1&amp;"!$a1:$a10000")=汇总!$A134),COUNTIF(INDIRECT(N$1&amp;"!$a1:$a10000"),汇总!$A134)),N133)</f>
        <v>1786.5203869999991</v>
      </c>
      <c r="O134" s="109" cm="1">
        <f t="array" aca="1" ref="O134" ca="1">IFERROR(INDEX(_xlfn._xlws.FILTER(INDIRECT(O$1&amp;"!$E1:$E10000"),INDIRECT(O$1&amp;"!$a1:$a10000")=汇总!$A134),COUNTIF(INDIRECT(O$1&amp;"!$a1:$a10000"),汇总!$A134)),O133)</f>
        <v>2</v>
      </c>
      <c r="P134" s="109" cm="1">
        <f t="array" aca="1" ref="P134" ca="1">IFERROR(INDEX(_xlfn._xlws.FILTER(INDIRECT(P$1&amp;"!$E1:$E10000"),INDIRECT(P$1&amp;"!$a1:$a10000")=汇总!$A134),COUNTIF(INDIRECT(P$1&amp;"!$a1:$a10000"),汇总!$A134)),P133)</f>
        <v>64.970799999999599</v>
      </c>
      <c r="Q134" s="109" cm="1">
        <f t="array" aca="1" ref="Q134" ca="1">IFERROR(INDEX(_xlfn._xlws.FILTER(INDIRECT(Q$1&amp;"!$E1:$E10000"),INDIRECT(Q$1&amp;"!$a1:$a10000")=汇总!$A134),COUNTIF(INDIRECT(Q$1&amp;"!$a1:$a10000"),汇总!$A134)),Q133)</f>
        <v>30.302524999999605</v>
      </c>
      <c r="R134" s="109" cm="1">
        <f t="array" aca="1" ref="R134" ca="1">IFERROR(INDEX(_xlfn._xlws.FILTER(INDIRECT(R$1&amp;"!$E1:$E10000"),INDIRECT(R$1&amp;"!$a1:$a10000")=汇总!$A134),COUNTIF(INDIRECT(R$1&amp;"!$a1:$a10000"),汇总!$A134)),R133)</f>
        <v>41.335722753424612</v>
      </c>
      <c r="S134" s="109" cm="1">
        <f t="array" aca="1" ref="S134" ca="1">IFERROR(INDEX(_xlfn._xlws.FILTER(INDIRECT(S$1&amp;"!$E1:$E10000"),INDIRECT(S$1&amp;"!$a1:$a10000")=汇总!$A134),COUNTIF(INDIRECT(S$1&amp;"!$a1:$a10000"),汇总!$A134)),S133)</f>
        <v>1146.8800000000001</v>
      </c>
      <c r="T134" s="109" cm="1">
        <f t="array" aca="1" ref="T134" ca="1">IFERROR(INDEX(_xlfn._xlws.FILTER(INDIRECT(T$1&amp;"!$E1:$E10000"),INDIRECT(T$1&amp;"!$a1:$a10000")=汇总!$A134),COUNTIF(INDIRECT(T$1&amp;"!$a1:$a10000"),汇总!$A134)),T133)</f>
        <v>0</v>
      </c>
    </row>
    <row r="135" spans="1:20">
      <c r="A135" s="1">
        <f t="shared" si="5"/>
        <v>46156</v>
      </c>
      <c r="B135" s="109" cm="1">
        <f t="array" aca="1" ref="B135" ca="1">IFERROR(INDEX(_xlfn._xlws.FILTER(INDIRECT(B$1&amp;"!$E1:$E10000"),INDIRECT(B$1&amp;"!$a1:$a10000")=汇总!$A135),COUNTIF(INDIRECT(B$1&amp;"!$a1:$a10000"),汇总!$A135)),B134)</f>
        <v>729.02065600000014</v>
      </c>
      <c r="C135" s="109" cm="1">
        <f t="array" aca="1" ref="C135" ca="1">IFERROR(INDEX(_xlfn._xlws.FILTER(INDIRECT(C$1&amp;"!$E1:$E10000"),INDIRECT(C$1&amp;"!$a1:$a10000")=汇总!$A135),COUNTIF(INDIRECT(C$1&amp;"!$a1:$a10000"),汇总!$A135)),C134)</f>
        <v>132</v>
      </c>
      <c r="D135" s="109" cm="1">
        <f t="array" aca="1" ref="D135" ca="1">IFERROR(INDEX(_xlfn._xlws.FILTER(INDIRECT(D$1&amp;"!$E1:$E10000"),INDIRECT(D$1&amp;"!$a1:$a10000")=汇总!$A135),COUNTIF(INDIRECT(D$1&amp;"!$a1:$a10000"),汇总!$A135)),D134)</f>
        <v>520.08960000000025</v>
      </c>
      <c r="E135" s="109" cm="1">
        <f t="array" aca="1" ref="E135" ca="1">IFERROR(INDEX(_xlfn._xlws.FILTER(INDIRECT(E$1&amp;"!$E1:$E10000"),INDIRECT(E$1&amp;"!$a1:$a10000")=汇总!$A135),COUNTIF(INDIRECT(E$1&amp;"!$a1:$a10000"),汇总!$A135)),E134)</f>
        <v>54.509</v>
      </c>
      <c r="F135" s="109" cm="1">
        <f t="array" aca="1" ref="F135" ca="1">IFERROR(INDEX(_xlfn._xlws.FILTER(INDIRECT(F$1&amp;"!$E1:$E10000"),INDIRECT(F$1&amp;"!$a1:$a10000")=汇总!$A135),COUNTIF(INDIRECT(F$1&amp;"!$a1:$a10000"),汇总!$A135)),F134)</f>
        <v>8937.5623999999989</v>
      </c>
      <c r="G135" s="109" cm="1">
        <f t="array" aca="1" ref="G135" ca="1">IFERROR(INDEX(_xlfn._xlws.FILTER(INDIRECT(G$1&amp;"!$E1:$E10000"),INDIRECT(G$1&amp;"!$a1:$a10000")=汇总!$A135),COUNTIF(INDIRECT(G$1&amp;"!$a1:$a10000"),汇总!$A135)),G134)</f>
        <v>6890.48866</v>
      </c>
      <c r="H135" s="109" cm="1">
        <f t="array" aca="1" ref="H135" ca="1">IFERROR(INDEX(_xlfn._xlws.FILTER(INDIRECT(H$1&amp;"!$E1:$E10000"),INDIRECT(H$1&amp;"!$a1:$a10000")=汇总!$A135),COUNTIF(INDIRECT(H$1&amp;"!$a1:$a10000"),汇总!$A135)),H134)</f>
        <v>211.319749</v>
      </c>
      <c r="I135" s="109" cm="1">
        <f t="array" aca="1" ref="I135" ca="1">IFERROR(INDEX(_xlfn._xlws.FILTER(INDIRECT(I$1&amp;"!$E1:$E10000"),INDIRECT(I$1&amp;"!$a1:$a10000")=汇总!$A135),COUNTIF(INDIRECT(I$1&amp;"!$a1:$a10000"),汇总!$A135)),I134)</f>
        <v>365.39812099999995</v>
      </c>
      <c r="J135" s="109" cm="1">
        <f t="array" aca="1" ref="J135" ca="1">IFERROR(INDEX(_xlfn._xlws.FILTER(INDIRECT(J$1&amp;"!$E1:$E10000"),INDIRECT(J$1&amp;"!$a1:$a10000")=汇总!$A135),COUNTIF(INDIRECT(J$1&amp;"!$a1:$a10000"),汇总!$A135)),J134)</f>
        <v>0.5</v>
      </c>
      <c r="K135" s="109" cm="1">
        <f t="array" aca="1" ref="K135" ca="1">IFERROR(INDEX(_xlfn._xlws.FILTER(INDIRECT(K$1&amp;"!$E1:$E10000"),INDIRECT(K$1&amp;"!$a1:$a10000")=汇总!$A135),COUNTIF(INDIRECT(K$1&amp;"!$a1:$a10000"),汇总!$A135)),K134)</f>
        <v>36.171139999999696</v>
      </c>
      <c r="L135" s="109" cm="1">
        <f t="array" aca="1" ref="L135" ca="1">IFERROR(INDEX(_xlfn._xlws.FILTER(INDIRECT(L$1&amp;"!$E1:$E10000"),INDIRECT(L$1&amp;"!$a1:$a10000")=汇总!$A135),COUNTIF(INDIRECT(L$1&amp;"!$a1:$a10000"),汇总!$A135)),L134)</f>
        <v>406.82299999999981</v>
      </c>
      <c r="M135" s="109" cm="1">
        <f t="array" aca="1" ref="M135" ca="1">IFERROR(INDEX(_xlfn._xlws.FILTER(INDIRECT(M$1&amp;"!$E1:$E10000"),INDIRECT(M$1&amp;"!$a1:$a10000")=汇总!$A135),COUNTIF(INDIRECT(M$1&amp;"!$a1:$a10000"),汇总!$A135)),M134)</f>
        <v>122.94665999999961</v>
      </c>
      <c r="N135" s="109" cm="1">
        <f t="array" aca="1" ref="N135" ca="1">IFERROR(INDEX(_xlfn._xlws.FILTER(INDIRECT(N$1&amp;"!$E1:$E10000"),INDIRECT(N$1&amp;"!$a1:$a10000")=汇总!$A135),COUNTIF(INDIRECT(N$1&amp;"!$a1:$a10000"),汇总!$A135)),N134)</f>
        <v>2126.5203869999987</v>
      </c>
      <c r="O135" s="109" cm="1">
        <f t="array" aca="1" ref="O135" ca="1">IFERROR(INDEX(_xlfn._xlws.FILTER(INDIRECT(O$1&amp;"!$E1:$E10000"),INDIRECT(O$1&amp;"!$a1:$a10000")=汇总!$A135),COUNTIF(INDIRECT(O$1&amp;"!$a1:$a10000"),汇总!$A135)),O134)</f>
        <v>2</v>
      </c>
      <c r="P135" s="109" cm="1">
        <f t="array" aca="1" ref="P135" ca="1">IFERROR(INDEX(_xlfn._xlws.FILTER(INDIRECT(P$1&amp;"!$E1:$E10000"),INDIRECT(P$1&amp;"!$a1:$a10000")=汇总!$A135),COUNTIF(INDIRECT(P$1&amp;"!$a1:$a10000"),汇总!$A135)),P134)</f>
        <v>64.970799999999599</v>
      </c>
      <c r="Q135" s="109" cm="1">
        <f t="array" aca="1" ref="Q135" ca="1">IFERROR(INDEX(_xlfn._xlws.FILTER(INDIRECT(Q$1&amp;"!$E1:$E10000"),INDIRECT(Q$1&amp;"!$a1:$a10000")=汇总!$A135),COUNTIF(INDIRECT(Q$1&amp;"!$a1:$a10000"),汇总!$A135)),Q134)</f>
        <v>4830.3025249999992</v>
      </c>
      <c r="R135" s="109" cm="1">
        <f t="array" aca="1" ref="R135" ca="1">IFERROR(INDEX(_xlfn._xlws.FILTER(INDIRECT(R$1&amp;"!$E1:$E10000"),INDIRECT(R$1&amp;"!$a1:$a10000")=汇总!$A135),COUNTIF(INDIRECT(R$1&amp;"!$a1:$a10000"),汇总!$A135)),R134)</f>
        <v>41.335722753424612</v>
      </c>
      <c r="S135" s="109" cm="1">
        <f t="array" aca="1" ref="S135" ca="1">IFERROR(INDEX(_xlfn._xlws.FILTER(INDIRECT(S$1&amp;"!$E1:$E10000"),INDIRECT(S$1&amp;"!$a1:$a10000")=汇总!$A135),COUNTIF(INDIRECT(S$1&amp;"!$a1:$a10000"),汇总!$A135)),S134)</f>
        <v>1146.8800000000001</v>
      </c>
      <c r="T135" s="109" cm="1">
        <f t="array" aca="1" ref="T135" ca="1">IFERROR(INDEX(_xlfn._xlws.FILTER(INDIRECT(T$1&amp;"!$E1:$E10000"),INDIRECT(T$1&amp;"!$a1:$a10000")=汇总!$A135),COUNTIF(INDIRECT(T$1&amp;"!$a1:$a10000"),汇总!$A135)),T134)</f>
        <v>19982</v>
      </c>
    </row>
    <row r="136" spans="1:20">
      <c r="A136" s="1">
        <f t="shared" si="5"/>
        <v>46157</v>
      </c>
      <c r="B136" s="109" cm="1">
        <f t="array" aca="1" ref="B136" ca="1">IFERROR(INDEX(_xlfn._xlws.FILTER(INDIRECT(B$1&amp;"!$E1:$E10000"),INDIRECT(B$1&amp;"!$a1:$a10000")=汇总!$A136),COUNTIF(INDIRECT(B$1&amp;"!$a1:$a10000"),汇总!$A136)),B135)</f>
        <v>29.020656000000145</v>
      </c>
      <c r="C136" s="109" cm="1">
        <f t="array" aca="1" ref="C136" ca="1">IFERROR(INDEX(_xlfn._xlws.FILTER(INDIRECT(C$1&amp;"!$E1:$E10000"),INDIRECT(C$1&amp;"!$a1:$a10000")=汇总!$A136),COUNTIF(INDIRECT(C$1&amp;"!$a1:$a10000"),汇总!$A136)),C135)</f>
        <v>335</v>
      </c>
      <c r="D136" s="109" cm="1">
        <f t="array" aca="1" ref="D136" ca="1">IFERROR(INDEX(_xlfn._xlws.FILTER(INDIRECT(D$1&amp;"!$E1:$E10000"),INDIRECT(D$1&amp;"!$a1:$a10000")=汇总!$A136),COUNTIF(INDIRECT(D$1&amp;"!$a1:$a10000"),汇总!$A136)),D135)</f>
        <v>751.57001500000024</v>
      </c>
      <c r="E136" s="109" cm="1">
        <f t="array" aca="1" ref="E136" ca="1">IFERROR(INDEX(_xlfn._xlws.FILTER(INDIRECT(E$1&amp;"!$E1:$E10000"),INDIRECT(E$1&amp;"!$a1:$a10000")=汇总!$A136),COUNTIF(INDIRECT(E$1&amp;"!$a1:$a10000"),汇总!$A136)),E135)</f>
        <v>504.50900000000001</v>
      </c>
      <c r="F136" s="109" cm="1">
        <f t="array" aca="1" ref="F136" ca="1">IFERROR(INDEX(_xlfn._xlws.FILTER(INDIRECT(F$1&amp;"!$E1:$E10000"),INDIRECT(F$1&amp;"!$a1:$a10000")=汇总!$A136),COUNTIF(INDIRECT(F$1&amp;"!$a1:$a10000"),汇总!$A136)),F135)</f>
        <v>3186.6524000000009</v>
      </c>
      <c r="G136" s="109" cm="1">
        <f t="array" aca="1" ref="G136" ca="1">IFERROR(INDEX(_xlfn._xlws.FILTER(INDIRECT(G$1&amp;"!$E1:$E10000"),INDIRECT(G$1&amp;"!$a1:$a10000")=汇总!$A136),COUNTIF(INDIRECT(G$1&amp;"!$a1:$a10000"),汇总!$A136)),G135)</f>
        <v>8218.4886599999991</v>
      </c>
      <c r="H136" s="109" cm="1">
        <f t="array" aca="1" ref="H136" ca="1">IFERROR(INDEX(_xlfn._xlws.FILTER(INDIRECT(H$1&amp;"!$E1:$E10000"),INDIRECT(H$1&amp;"!$a1:$a10000")=汇总!$A136),COUNTIF(INDIRECT(H$1&amp;"!$a1:$a10000"),汇总!$A136)),H135)</f>
        <v>211.319749</v>
      </c>
      <c r="I136" s="109" cm="1">
        <f t="array" aca="1" ref="I136" ca="1">IFERROR(INDEX(_xlfn._xlws.FILTER(INDIRECT(I$1&amp;"!$E1:$E10000"),INDIRECT(I$1&amp;"!$a1:$a10000")=汇总!$A136),COUNTIF(INDIRECT(I$1&amp;"!$a1:$a10000"),汇总!$A136)),I135)</f>
        <v>565.39812099999995</v>
      </c>
      <c r="J136" s="109" cm="1">
        <f t="array" aca="1" ref="J136" ca="1">IFERROR(INDEX(_xlfn._xlws.FILTER(INDIRECT(J$1&amp;"!$E1:$E10000"),INDIRECT(J$1&amp;"!$a1:$a10000")=汇总!$A136),COUNTIF(INDIRECT(J$1&amp;"!$a1:$a10000"),汇总!$A136)),J135)</f>
        <v>0.5</v>
      </c>
      <c r="K136" s="109" cm="1">
        <f t="array" aca="1" ref="K136" ca="1">IFERROR(INDEX(_xlfn._xlws.FILTER(INDIRECT(K$1&amp;"!$E1:$E10000"),INDIRECT(K$1&amp;"!$a1:$a10000")=汇总!$A136),COUNTIF(INDIRECT(K$1&amp;"!$a1:$a10000"),汇总!$A136)),K135)</f>
        <v>831.2187799999997</v>
      </c>
      <c r="L136" s="109" cm="1">
        <f t="array" aca="1" ref="L136" ca="1">IFERROR(INDEX(_xlfn._xlws.FILTER(INDIRECT(L$1&amp;"!$E1:$E10000"),INDIRECT(L$1&amp;"!$a1:$a10000")=汇总!$A136),COUNTIF(INDIRECT(L$1&amp;"!$a1:$a10000"),汇总!$A136)),L135)</f>
        <v>406.82299999999981</v>
      </c>
      <c r="M136" s="109" cm="1">
        <f t="array" aca="1" ref="M136" ca="1">IFERROR(INDEX(_xlfn._xlws.FILTER(INDIRECT(M$1&amp;"!$E1:$E10000"),INDIRECT(M$1&amp;"!$a1:$a10000")=汇总!$A136),COUNTIF(INDIRECT(M$1&amp;"!$a1:$a10000"),汇总!$A136)),M135)</f>
        <v>122.94665999999961</v>
      </c>
      <c r="N136" s="109" cm="1">
        <f t="array" aca="1" ref="N136" ca="1">IFERROR(INDEX(_xlfn._xlws.FILTER(INDIRECT(N$1&amp;"!$E1:$E10000"),INDIRECT(N$1&amp;"!$a1:$a10000")=汇总!$A136),COUNTIF(INDIRECT(N$1&amp;"!$a1:$a10000"),汇总!$A136)),N135)</f>
        <v>2126.5203869999987</v>
      </c>
      <c r="O136" s="109" cm="1">
        <f t="array" aca="1" ref="O136" ca="1">IFERROR(INDEX(_xlfn._xlws.FILTER(INDIRECT(O$1&amp;"!$E1:$E10000"),INDIRECT(O$1&amp;"!$a1:$a10000")=汇总!$A136),COUNTIF(INDIRECT(O$1&amp;"!$a1:$a10000"),汇总!$A136)),O135)</f>
        <v>2</v>
      </c>
      <c r="P136" s="109" cm="1">
        <f t="array" aca="1" ref="P136" ca="1">IFERROR(INDEX(_xlfn._xlws.FILTER(INDIRECT(P$1&amp;"!$E1:$E10000"),INDIRECT(P$1&amp;"!$a1:$a10000")=汇总!$A136),COUNTIF(INDIRECT(P$1&amp;"!$a1:$a10000"),汇总!$A136)),P135)</f>
        <v>64.970799999999599</v>
      </c>
      <c r="Q136" s="109" cm="1">
        <f t="array" aca="1" ref="Q136" ca="1">IFERROR(INDEX(_xlfn._xlws.FILTER(INDIRECT(Q$1&amp;"!$E1:$E10000"),INDIRECT(Q$1&amp;"!$a1:$a10000")=汇总!$A136),COUNTIF(INDIRECT(Q$1&amp;"!$a1:$a10000"),汇总!$A136)),Q135)</f>
        <v>1784.504124999999</v>
      </c>
      <c r="R136" s="109" cm="1">
        <f t="array" aca="1" ref="R136" ca="1">IFERROR(INDEX(_xlfn._xlws.FILTER(INDIRECT(R$1&amp;"!$E1:$E10000"),INDIRECT(R$1&amp;"!$a1:$a10000")=汇总!$A136),COUNTIF(INDIRECT(R$1&amp;"!$a1:$a10000"),汇总!$A136)),R135)</f>
        <v>341.33572275342459</v>
      </c>
      <c r="S136" s="109" cm="1">
        <f t="array" aca="1" ref="S136" ca="1">IFERROR(INDEX(_xlfn._xlws.FILTER(INDIRECT(S$1&amp;"!$E1:$E10000"),INDIRECT(S$1&amp;"!$a1:$a10000")=汇总!$A136),COUNTIF(INDIRECT(S$1&amp;"!$a1:$a10000"),汇总!$A136)),S135)</f>
        <v>1146.8800000000001</v>
      </c>
      <c r="T136" s="109" cm="1">
        <f t="array" aca="1" ref="T136" ca="1">IFERROR(INDEX(_xlfn._xlws.FILTER(INDIRECT(T$1&amp;"!$E1:$E10000"),INDIRECT(T$1&amp;"!$a1:$a10000")=汇总!$A136),COUNTIF(INDIRECT(T$1&amp;"!$a1:$a10000"),汇总!$A136)),T135)</f>
        <v>12627.43</v>
      </c>
    </row>
    <row r="137" spans="1:20">
      <c r="A137" s="1">
        <f t="shared" si="5"/>
        <v>46158</v>
      </c>
      <c r="B137" s="109" cm="1">
        <f t="array" aca="1" ref="B137" ca="1">IFERROR(INDEX(_xlfn._xlws.FILTER(INDIRECT(B$1&amp;"!$E1:$E10000"),INDIRECT(B$1&amp;"!$a1:$a10000")=汇总!$A137),COUNTIF(INDIRECT(B$1&amp;"!$a1:$a10000"),汇总!$A137)),B136)</f>
        <v>29.020656000000145</v>
      </c>
      <c r="C137" s="109" cm="1">
        <f t="array" aca="1" ref="C137" ca="1">IFERROR(INDEX(_xlfn._xlws.FILTER(INDIRECT(C$1&amp;"!$E1:$E10000"),INDIRECT(C$1&amp;"!$a1:$a10000")=汇总!$A137),COUNTIF(INDIRECT(C$1&amp;"!$a1:$a10000"),汇总!$A137)),C136)</f>
        <v>335</v>
      </c>
      <c r="D137" s="109" cm="1">
        <f t="array" aca="1" ref="D137" ca="1">IFERROR(INDEX(_xlfn._xlws.FILTER(INDIRECT(D$1&amp;"!$E1:$E10000"),INDIRECT(D$1&amp;"!$a1:$a10000")=汇总!$A137),COUNTIF(INDIRECT(D$1&amp;"!$a1:$a10000"),汇总!$A137)),D136)</f>
        <v>751.57001500000024</v>
      </c>
      <c r="E137" s="109" cm="1">
        <f t="array" aca="1" ref="E137" ca="1">IFERROR(INDEX(_xlfn._xlws.FILTER(INDIRECT(E$1&amp;"!$E1:$E10000"),INDIRECT(E$1&amp;"!$a1:$a10000")=汇总!$A137),COUNTIF(INDIRECT(E$1&amp;"!$a1:$a10000"),汇总!$A137)),E136)</f>
        <v>504.50900000000001</v>
      </c>
      <c r="F137" s="109" cm="1">
        <f t="array" aca="1" ref="F137" ca="1">IFERROR(INDEX(_xlfn._xlws.FILTER(INDIRECT(F$1&amp;"!$E1:$E10000"),INDIRECT(F$1&amp;"!$a1:$a10000")=汇总!$A137),COUNTIF(INDIRECT(F$1&amp;"!$a1:$a10000"),汇总!$A137)),F136)</f>
        <v>3186.6524000000009</v>
      </c>
      <c r="G137" s="109" cm="1">
        <f t="array" aca="1" ref="G137" ca="1">IFERROR(INDEX(_xlfn._xlws.FILTER(INDIRECT(G$1&amp;"!$E1:$E10000"),INDIRECT(G$1&amp;"!$a1:$a10000")=汇总!$A137),COUNTIF(INDIRECT(G$1&amp;"!$a1:$a10000"),汇总!$A137)),G136)</f>
        <v>8218.4886599999991</v>
      </c>
      <c r="H137" s="109" cm="1">
        <f t="array" aca="1" ref="H137" ca="1">IFERROR(INDEX(_xlfn._xlws.FILTER(INDIRECT(H$1&amp;"!$E1:$E10000"),INDIRECT(H$1&amp;"!$a1:$a10000")=汇总!$A137),COUNTIF(INDIRECT(H$1&amp;"!$a1:$a10000"),汇总!$A137)),H136)</f>
        <v>211.319749</v>
      </c>
      <c r="I137" s="109" cm="1">
        <f t="array" aca="1" ref="I137" ca="1">IFERROR(INDEX(_xlfn._xlws.FILTER(INDIRECT(I$1&amp;"!$E1:$E10000"),INDIRECT(I$1&amp;"!$a1:$a10000")=汇总!$A137),COUNTIF(INDIRECT(I$1&amp;"!$a1:$a10000"),汇总!$A137)),I136)</f>
        <v>565.39812099999995</v>
      </c>
      <c r="J137" s="109" cm="1">
        <f t="array" aca="1" ref="J137" ca="1">IFERROR(INDEX(_xlfn._xlws.FILTER(INDIRECT(J$1&amp;"!$E1:$E10000"),INDIRECT(J$1&amp;"!$a1:$a10000")=汇总!$A137),COUNTIF(INDIRECT(J$1&amp;"!$a1:$a10000"),汇总!$A137)),J136)</f>
        <v>0.5</v>
      </c>
      <c r="K137" s="109" cm="1">
        <f t="array" aca="1" ref="K137" ca="1">IFERROR(INDEX(_xlfn._xlws.FILTER(INDIRECT(K$1&amp;"!$E1:$E10000"),INDIRECT(K$1&amp;"!$a1:$a10000")=汇总!$A137),COUNTIF(INDIRECT(K$1&amp;"!$a1:$a10000"),汇总!$A137)),K136)</f>
        <v>831.2187799999997</v>
      </c>
      <c r="L137" s="109" cm="1">
        <f t="array" aca="1" ref="L137" ca="1">IFERROR(INDEX(_xlfn._xlws.FILTER(INDIRECT(L$1&amp;"!$E1:$E10000"),INDIRECT(L$1&amp;"!$a1:$a10000")=汇总!$A137),COUNTIF(INDIRECT(L$1&amp;"!$a1:$a10000"),汇总!$A137)),L136)</f>
        <v>406.82299999999981</v>
      </c>
      <c r="M137" s="109" cm="1">
        <f t="array" aca="1" ref="M137" ca="1">IFERROR(INDEX(_xlfn._xlws.FILTER(INDIRECT(M$1&amp;"!$E1:$E10000"),INDIRECT(M$1&amp;"!$a1:$a10000")=汇总!$A137),COUNTIF(INDIRECT(M$1&amp;"!$a1:$a10000"),汇总!$A137)),M136)</f>
        <v>122.94665999999961</v>
      </c>
      <c r="N137" s="109" cm="1">
        <f t="array" aca="1" ref="N137" ca="1">IFERROR(INDEX(_xlfn._xlws.FILTER(INDIRECT(N$1&amp;"!$E1:$E10000"),INDIRECT(N$1&amp;"!$a1:$a10000")=汇总!$A137),COUNTIF(INDIRECT(N$1&amp;"!$a1:$a10000"),汇总!$A137)),N136)</f>
        <v>2126.5203869999987</v>
      </c>
      <c r="O137" s="109" cm="1">
        <f t="array" aca="1" ref="O137" ca="1">IFERROR(INDEX(_xlfn._xlws.FILTER(INDIRECT(O$1&amp;"!$E1:$E10000"),INDIRECT(O$1&amp;"!$a1:$a10000")=汇总!$A137),COUNTIF(INDIRECT(O$1&amp;"!$a1:$a10000"),汇总!$A137)),O136)</f>
        <v>2</v>
      </c>
      <c r="P137" s="109" cm="1">
        <f t="array" aca="1" ref="P137" ca="1">IFERROR(INDEX(_xlfn._xlws.FILTER(INDIRECT(P$1&amp;"!$E1:$E10000"),INDIRECT(P$1&amp;"!$a1:$a10000")=汇总!$A137),COUNTIF(INDIRECT(P$1&amp;"!$a1:$a10000"),汇总!$A137)),P136)</f>
        <v>64.970799999999599</v>
      </c>
      <c r="Q137" s="109" cm="1">
        <f t="array" aca="1" ref="Q137" ca="1">IFERROR(INDEX(_xlfn._xlws.FILTER(INDIRECT(Q$1&amp;"!$E1:$E10000"),INDIRECT(Q$1&amp;"!$a1:$a10000")=汇总!$A137),COUNTIF(INDIRECT(Q$1&amp;"!$a1:$a10000"),汇总!$A137)),Q136)</f>
        <v>1784.504124999999</v>
      </c>
      <c r="R137" s="109" cm="1">
        <f t="array" aca="1" ref="R137" ca="1">IFERROR(INDEX(_xlfn._xlws.FILTER(INDIRECT(R$1&amp;"!$E1:$E10000"),INDIRECT(R$1&amp;"!$a1:$a10000")=汇总!$A137),COUNTIF(INDIRECT(R$1&amp;"!$a1:$a10000"),汇总!$A137)),R136)</f>
        <v>341.33572275342459</v>
      </c>
      <c r="S137" s="109" cm="1">
        <f t="array" aca="1" ref="S137" ca="1">IFERROR(INDEX(_xlfn._xlws.FILTER(INDIRECT(S$1&amp;"!$E1:$E10000"),INDIRECT(S$1&amp;"!$a1:$a10000")=汇总!$A137),COUNTIF(INDIRECT(S$1&amp;"!$a1:$a10000"),汇总!$A137)),S136)</f>
        <v>1146.8800000000001</v>
      </c>
      <c r="T137" s="109" cm="1">
        <f t="array" aca="1" ref="T137" ca="1">IFERROR(INDEX(_xlfn._xlws.FILTER(INDIRECT(T$1&amp;"!$E1:$E10000"),INDIRECT(T$1&amp;"!$a1:$a10000")=汇总!$A137),COUNTIF(INDIRECT(T$1&amp;"!$a1:$a10000"),汇总!$A137)),T136)</f>
        <v>12627.43</v>
      </c>
    </row>
    <row r="138" spans="1:20">
      <c r="A138" s="1">
        <f t="shared" si="5"/>
        <v>46159</v>
      </c>
      <c r="B138" s="109" cm="1">
        <f t="array" aca="1" ref="B138" ca="1">IFERROR(INDEX(_xlfn._xlws.FILTER(INDIRECT(B$1&amp;"!$E1:$E10000"),INDIRECT(B$1&amp;"!$a1:$a10000")=汇总!$A138),COUNTIF(INDIRECT(B$1&amp;"!$a1:$a10000"),汇总!$A138)),B137)</f>
        <v>29.020656000000145</v>
      </c>
      <c r="C138" s="109" cm="1">
        <f t="array" aca="1" ref="C138" ca="1">IFERROR(INDEX(_xlfn._xlws.FILTER(INDIRECT(C$1&amp;"!$E1:$E10000"),INDIRECT(C$1&amp;"!$a1:$a10000")=汇总!$A138),COUNTIF(INDIRECT(C$1&amp;"!$a1:$a10000"),汇总!$A138)),C137)</f>
        <v>335</v>
      </c>
      <c r="D138" s="109" cm="1">
        <f t="array" aca="1" ref="D138" ca="1">IFERROR(INDEX(_xlfn._xlws.FILTER(INDIRECT(D$1&amp;"!$E1:$E10000"),INDIRECT(D$1&amp;"!$a1:$a10000")=汇总!$A138),COUNTIF(INDIRECT(D$1&amp;"!$a1:$a10000"),汇总!$A138)),D137)</f>
        <v>751.57001500000024</v>
      </c>
      <c r="E138" s="109" cm="1">
        <f t="array" aca="1" ref="E138" ca="1">IFERROR(INDEX(_xlfn._xlws.FILTER(INDIRECT(E$1&amp;"!$E1:$E10000"),INDIRECT(E$1&amp;"!$a1:$a10000")=汇总!$A138),COUNTIF(INDIRECT(E$1&amp;"!$a1:$a10000"),汇总!$A138)),E137)</f>
        <v>504.50900000000001</v>
      </c>
      <c r="F138" s="109" cm="1">
        <f t="array" aca="1" ref="F138" ca="1">IFERROR(INDEX(_xlfn._xlws.FILTER(INDIRECT(F$1&amp;"!$E1:$E10000"),INDIRECT(F$1&amp;"!$a1:$a10000")=汇总!$A138),COUNTIF(INDIRECT(F$1&amp;"!$a1:$a10000"),汇总!$A138)),F137)</f>
        <v>3186.6524000000009</v>
      </c>
      <c r="G138" s="109" cm="1">
        <f t="array" aca="1" ref="G138" ca="1">IFERROR(INDEX(_xlfn._xlws.FILTER(INDIRECT(G$1&amp;"!$E1:$E10000"),INDIRECT(G$1&amp;"!$a1:$a10000")=汇总!$A138),COUNTIF(INDIRECT(G$1&amp;"!$a1:$a10000"),汇总!$A138)),G137)</f>
        <v>8218.4886599999991</v>
      </c>
      <c r="H138" s="109" cm="1">
        <f t="array" aca="1" ref="H138" ca="1">IFERROR(INDEX(_xlfn._xlws.FILTER(INDIRECT(H$1&amp;"!$E1:$E10000"),INDIRECT(H$1&amp;"!$a1:$a10000")=汇总!$A138),COUNTIF(INDIRECT(H$1&amp;"!$a1:$a10000"),汇总!$A138)),H137)</f>
        <v>211.319749</v>
      </c>
      <c r="I138" s="109" cm="1">
        <f t="array" aca="1" ref="I138" ca="1">IFERROR(INDEX(_xlfn._xlws.FILTER(INDIRECT(I$1&amp;"!$E1:$E10000"),INDIRECT(I$1&amp;"!$a1:$a10000")=汇总!$A138),COUNTIF(INDIRECT(I$1&amp;"!$a1:$a10000"),汇总!$A138)),I137)</f>
        <v>565.39812099999995</v>
      </c>
      <c r="J138" s="109" cm="1">
        <f t="array" aca="1" ref="J138" ca="1">IFERROR(INDEX(_xlfn._xlws.FILTER(INDIRECT(J$1&amp;"!$E1:$E10000"),INDIRECT(J$1&amp;"!$a1:$a10000")=汇总!$A138),COUNTIF(INDIRECT(J$1&amp;"!$a1:$a10000"),汇总!$A138)),J137)</f>
        <v>0.5</v>
      </c>
      <c r="K138" s="109" cm="1">
        <f t="array" aca="1" ref="K138" ca="1">IFERROR(INDEX(_xlfn._xlws.FILTER(INDIRECT(K$1&amp;"!$E1:$E10000"),INDIRECT(K$1&amp;"!$a1:$a10000")=汇总!$A138),COUNTIF(INDIRECT(K$1&amp;"!$a1:$a10000"),汇总!$A138)),K137)</f>
        <v>831.2187799999997</v>
      </c>
      <c r="L138" s="109" cm="1">
        <f t="array" aca="1" ref="L138" ca="1">IFERROR(INDEX(_xlfn._xlws.FILTER(INDIRECT(L$1&amp;"!$E1:$E10000"),INDIRECT(L$1&amp;"!$a1:$a10000")=汇总!$A138),COUNTIF(INDIRECT(L$1&amp;"!$a1:$a10000"),汇总!$A138)),L137)</f>
        <v>406.82299999999981</v>
      </c>
      <c r="M138" s="109" cm="1">
        <f t="array" aca="1" ref="M138" ca="1">IFERROR(INDEX(_xlfn._xlws.FILTER(INDIRECT(M$1&amp;"!$E1:$E10000"),INDIRECT(M$1&amp;"!$a1:$a10000")=汇总!$A138),COUNTIF(INDIRECT(M$1&amp;"!$a1:$a10000"),汇总!$A138)),M137)</f>
        <v>122.94665999999961</v>
      </c>
      <c r="N138" s="109" cm="1">
        <f t="array" aca="1" ref="N138" ca="1">IFERROR(INDEX(_xlfn._xlws.FILTER(INDIRECT(N$1&amp;"!$E1:$E10000"),INDIRECT(N$1&amp;"!$a1:$a10000")=汇总!$A138),COUNTIF(INDIRECT(N$1&amp;"!$a1:$a10000"),汇总!$A138)),N137)</f>
        <v>2126.5203869999987</v>
      </c>
      <c r="O138" s="109" cm="1">
        <f t="array" aca="1" ref="O138" ca="1">IFERROR(INDEX(_xlfn._xlws.FILTER(INDIRECT(O$1&amp;"!$E1:$E10000"),INDIRECT(O$1&amp;"!$a1:$a10000")=汇总!$A138),COUNTIF(INDIRECT(O$1&amp;"!$a1:$a10000"),汇总!$A138)),O137)</f>
        <v>2</v>
      </c>
      <c r="P138" s="109" cm="1">
        <f t="array" aca="1" ref="P138" ca="1">IFERROR(INDEX(_xlfn._xlws.FILTER(INDIRECT(P$1&amp;"!$E1:$E10000"),INDIRECT(P$1&amp;"!$a1:$a10000")=汇总!$A138),COUNTIF(INDIRECT(P$1&amp;"!$a1:$a10000"),汇总!$A138)),P137)</f>
        <v>64.970799999999599</v>
      </c>
      <c r="Q138" s="109" cm="1">
        <f t="array" aca="1" ref="Q138" ca="1">IFERROR(INDEX(_xlfn._xlws.FILTER(INDIRECT(Q$1&amp;"!$E1:$E10000"),INDIRECT(Q$1&amp;"!$a1:$a10000")=汇总!$A138),COUNTIF(INDIRECT(Q$1&amp;"!$a1:$a10000"),汇总!$A138)),Q137)</f>
        <v>1784.504124999999</v>
      </c>
      <c r="R138" s="109" cm="1">
        <f t="array" aca="1" ref="R138" ca="1">IFERROR(INDEX(_xlfn._xlws.FILTER(INDIRECT(R$1&amp;"!$E1:$E10000"),INDIRECT(R$1&amp;"!$a1:$a10000")=汇总!$A138),COUNTIF(INDIRECT(R$1&amp;"!$a1:$a10000"),汇总!$A138)),R137)</f>
        <v>341.33572275342459</v>
      </c>
      <c r="S138" s="109" cm="1">
        <f t="array" aca="1" ref="S138" ca="1">IFERROR(INDEX(_xlfn._xlws.FILTER(INDIRECT(S$1&amp;"!$E1:$E10000"),INDIRECT(S$1&amp;"!$a1:$a10000")=汇总!$A138),COUNTIF(INDIRECT(S$1&amp;"!$a1:$a10000"),汇总!$A138)),S137)</f>
        <v>1146.8800000000001</v>
      </c>
      <c r="T138" s="109" cm="1">
        <f t="array" aca="1" ref="T138" ca="1">IFERROR(INDEX(_xlfn._xlws.FILTER(INDIRECT(T$1&amp;"!$E1:$E10000"),INDIRECT(T$1&amp;"!$a1:$a10000")=汇总!$A138),COUNTIF(INDIRECT(T$1&amp;"!$a1:$a10000"),汇总!$A138)),T137)</f>
        <v>12627.43</v>
      </c>
    </row>
    <row r="139" spans="1:20">
      <c r="A139" s="1">
        <f t="shared" si="5"/>
        <v>46160</v>
      </c>
      <c r="B139" s="109" cm="1">
        <f t="array" aca="1" ref="B139" ca="1">IFERROR(INDEX(_xlfn._xlws.FILTER(INDIRECT(B$1&amp;"!$E1:$E10000"),INDIRECT(B$1&amp;"!$a1:$a10000")=汇总!$A139),COUNTIF(INDIRECT(B$1&amp;"!$a1:$a10000"),汇总!$A139)),B138)</f>
        <v>166.02065600000014</v>
      </c>
      <c r="C139" s="109" cm="1">
        <f t="array" aca="1" ref="C139" ca="1">IFERROR(INDEX(_xlfn._xlws.FILTER(INDIRECT(C$1&amp;"!$E1:$E10000"),INDIRECT(C$1&amp;"!$a1:$a10000")=汇总!$A139),COUNTIF(INDIRECT(C$1&amp;"!$a1:$a10000"),汇总!$A139)),C138)</f>
        <v>35</v>
      </c>
      <c r="D139" s="109" cm="1">
        <f t="array" aca="1" ref="D139" ca="1">IFERROR(INDEX(_xlfn._xlws.FILTER(INDIRECT(D$1&amp;"!$E1:$E10000"),INDIRECT(D$1&amp;"!$a1:$a10000")=汇总!$A139),COUNTIF(INDIRECT(D$1&amp;"!$a1:$a10000"),汇总!$A139)),D138)</f>
        <v>319.97001500000022</v>
      </c>
      <c r="E139" s="109" cm="1">
        <f t="array" aca="1" ref="E139" ca="1">IFERROR(INDEX(_xlfn._xlws.FILTER(INDIRECT(E$1&amp;"!$E1:$E10000"),INDIRECT(E$1&amp;"!$a1:$a10000")=汇总!$A139),COUNTIF(INDIRECT(E$1&amp;"!$a1:$a10000"),汇总!$A139)),E138)</f>
        <v>504.50900000000001</v>
      </c>
      <c r="F139" s="109" cm="1">
        <f t="array" aca="1" ref="F139" ca="1">IFERROR(INDEX(_xlfn._xlws.FILTER(INDIRECT(F$1&amp;"!$E1:$E10000"),INDIRECT(F$1&amp;"!$a1:$a10000")=汇总!$A139),COUNTIF(INDIRECT(F$1&amp;"!$a1:$a10000"),汇总!$A139)),F138)</f>
        <v>2186.6524000000009</v>
      </c>
      <c r="G139" s="109" cm="1">
        <f t="array" aca="1" ref="G139" ca="1">IFERROR(INDEX(_xlfn._xlws.FILTER(INDIRECT(G$1&amp;"!$E1:$E10000"),INDIRECT(G$1&amp;"!$a1:$a10000")=汇总!$A139),COUNTIF(INDIRECT(G$1&amp;"!$a1:$a10000"),汇总!$A139)),G138)</f>
        <v>8218.4886599999991</v>
      </c>
      <c r="H139" s="109" cm="1">
        <f t="array" aca="1" ref="H139" ca="1">IFERROR(INDEX(_xlfn._xlws.FILTER(INDIRECT(H$1&amp;"!$E1:$E10000"),INDIRECT(H$1&amp;"!$a1:$a10000")=汇总!$A139),COUNTIF(INDIRECT(H$1&amp;"!$a1:$a10000"),汇总!$A139)),H138)</f>
        <v>224.93974900000001</v>
      </c>
      <c r="I139" s="109" cm="1">
        <f t="array" aca="1" ref="I139" ca="1">IFERROR(INDEX(_xlfn._xlws.FILTER(INDIRECT(I$1&amp;"!$E1:$E10000"),INDIRECT(I$1&amp;"!$a1:$a10000")=汇总!$A139),COUNTIF(INDIRECT(I$1&amp;"!$a1:$a10000"),汇总!$A139)),I138)</f>
        <v>565.39812099999995</v>
      </c>
      <c r="J139" s="109" cm="1">
        <f t="array" aca="1" ref="J139" ca="1">IFERROR(INDEX(_xlfn._xlws.FILTER(INDIRECT(J$1&amp;"!$E1:$E10000"),INDIRECT(J$1&amp;"!$a1:$a10000")=汇总!$A139),COUNTIF(INDIRECT(J$1&amp;"!$a1:$a10000"),汇总!$A139)),J138)</f>
        <v>0.5</v>
      </c>
      <c r="K139" s="109" cm="1">
        <f t="array" aca="1" ref="K139" ca="1">IFERROR(INDEX(_xlfn._xlws.FILTER(INDIRECT(K$1&amp;"!$E1:$E10000"),INDIRECT(K$1&amp;"!$a1:$a10000")=汇总!$A139),COUNTIF(INDIRECT(K$1&amp;"!$a1:$a10000"),汇总!$A139)),K138)</f>
        <v>260.91877999999974</v>
      </c>
      <c r="L139" s="109" cm="1">
        <f t="array" aca="1" ref="L139" ca="1">IFERROR(INDEX(_xlfn._xlws.FILTER(INDIRECT(L$1&amp;"!$E1:$E10000"),INDIRECT(L$1&amp;"!$a1:$a10000")=汇总!$A139),COUNTIF(INDIRECT(L$1&amp;"!$a1:$a10000"),汇总!$A139)),L138)</f>
        <v>406.82299999999981</v>
      </c>
      <c r="M139" s="109" cm="1">
        <f t="array" aca="1" ref="M139" ca="1">IFERROR(INDEX(_xlfn._xlws.FILTER(INDIRECT(M$1&amp;"!$E1:$E10000"),INDIRECT(M$1&amp;"!$a1:$a10000")=汇总!$A139),COUNTIF(INDIRECT(M$1&amp;"!$a1:$a10000"),汇总!$A139)),M138)</f>
        <v>122.94665999999961</v>
      </c>
      <c r="N139" s="109" cm="1">
        <f t="array" aca="1" ref="N139" ca="1">IFERROR(INDEX(_xlfn._xlws.FILTER(INDIRECT(N$1&amp;"!$E1:$E10000"),INDIRECT(N$1&amp;"!$a1:$a10000")=汇总!$A139),COUNTIF(INDIRECT(N$1&amp;"!$a1:$a10000"),汇总!$A139)),N138)</f>
        <v>2126.5203869999987</v>
      </c>
      <c r="O139" s="109" cm="1">
        <f t="array" aca="1" ref="O139" ca="1">IFERROR(INDEX(_xlfn._xlws.FILTER(INDIRECT(O$1&amp;"!$E1:$E10000"),INDIRECT(O$1&amp;"!$a1:$a10000")=汇总!$A139),COUNTIF(INDIRECT(O$1&amp;"!$a1:$a10000"),汇总!$A139)),O138)</f>
        <v>2</v>
      </c>
      <c r="P139" s="109" cm="1">
        <f t="array" aca="1" ref="P139" ca="1">IFERROR(INDEX(_xlfn._xlws.FILTER(INDIRECT(P$1&amp;"!$E1:$E10000"),INDIRECT(P$1&amp;"!$a1:$a10000")=汇总!$A139),COUNTIF(INDIRECT(P$1&amp;"!$a1:$a10000"),汇总!$A139)),P138)</f>
        <v>64.970799999999599</v>
      </c>
      <c r="Q139" s="109" cm="1">
        <f t="array" aca="1" ref="Q139" ca="1">IFERROR(INDEX(_xlfn._xlws.FILTER(INDIRECT(Q$1&amp;"!$E1:$E10000"),INDIRECT(Q$1&amp;"!$a1:$a10000")=汇总!$A139),COUNTIF(INDIRECT(Q$1&amp;"!$a1:$a10000"),汇总!$A139)),Q138)</f>
        <v>142.50412499999902</v>
      </c>
      <c r="R139" s="109" cm="1">
        <f t="array" aca="1" ref="R139" ca="1">IFERROR(INDEX(_xlfn._xlws.FILTER(INDIRECT(R$1&amp;"!$E1:$E10000"),INDIRECT(R$1&amp;"!$a1:$a10000")=汇总!$A139),COUNTIF(INDIRECT(R$1&amp;"!$a1:$a10000"),汇总!$A139)),R138)</f>
        <v>341.33572275342459</v>
      </c>
      <c r="S139" s="109" cm="1">
        <f t="array" aca="1" ref="S139" ca="1">IFERROR(INDEX(_xlfn._xlws.FILTER(INDIRECT(S$1&amp;"!$E1:$E10000"),INDIRECT(S$1&amp;"!$a1:$a10000")=汇总!$A139),COUNTIF(INDIRECT(S$1&amp;"!$a1:$a10000"),汇总!$A139)),S138)</f>
        <v>1146.8800000000001</v>
      </c>
      <c r="T139" s="109" cm="1">
        <f t="array" aca="1" ref="T139" ca="1">IFERROR(INDEX(_xlfn._xlws.FILTER(INDIRECT(T$1&amp;"!$E1:$E10000"),INDIRECT(T$1&amp;"!$a1:$a10000")=汇总!$A139),COUNTIF(INDIRECT(T$1&amp;"!$a1:$a10000"),汇总!$A139)),T138)</f>
        <v>12627.43</v>
      </c>
    </row>
    <row r="140" spans="1:20">
      <c r="A140" s="1">
        <f t="shared" si="5"/>
        <v>46161</v>
      </c>
      <c r="B140" s="109" cm="1">
        <f t="array" aca="1" ref="B140" ca="1">IFERROR(INDEX(_xlfn._xlws.FILTER(INDIRECT(B$1&amp;"!$E1:$E10000"),INDIRECT(B$1&amp;"!$a1:$a10000")=汇总!$A140),COUNTIF(INDIRECT(B$1&amp;"!$a1:$a10000"),汇总!$A140)),B139)</f>
        <v>269.52065600000014</v>
      </c>
      <c r="C140" s="109" cm="1">
        <f t="array" aca="1" ref="C140" ca="1">IFERROR(INDEX(_xlfn._xlws.FILTER(INDIRECT(C$1&amp;"!$E1:$E10000"),INDIRECT(C$1&amp;"!$a1:$a10000")=汇总!$A140),COUNTIF(INDIRECT(C$1&amp;"!$a1:$a10000"),汇总!$A140)),C139)</f>
        <v>1135</v>
      </c>
      <c r="D140" s="109" cm="1">
        <f t="array" aca="1" ref="D140" ca="1">IFERROR(INDEX(_xlfn._xlws.FILTER(INDIRECT(D$1&amp;"!$E1:$E10000"),INDIRECT(D$1&amp;"!$a1:$a10000")=汇总!$A140),COUNTIF(INDIRECT(D$1&amp;"!$a1:$a10000"),汇总!$A140)),D139)</f>
        <v>2289.9700150000003</v>
      </c>
      <c r="E140" s="109" cm="1">
        <f t="array" aca="1" ref="E140" ca="1">IFERROR(INDEX(_xlfn._xlws.FILTER(INDIRECT(E$1&amp;"!$E1:$E10000"),INDIRECT(E$1&amp;"!$a1:$a10000")=汇总!$A140),COUNTIF(INDIRECT(E$1&amp;"!$a1:$a10000"),汇总!$A140)),E139)</f>
        <v>4460.1530899999998</v>
      </c>
      <c r="F140" s="109" cm="1">
        <f t="array" aca="1" ref="F140" ca="1">IFERROR(INDEX(_xlfn._xlws.FILTER(INDIRECT(F$1&amp;"!$E1:$E10000"),INDIRECT(F$1&amp;"!$a1:$a10000")=汇总!$A140),COUNTIF(INDIRECT(F$1&amp;"!$a1:$a10000"),汇总!$A140)),F139)</f>
        <v>2186.6524000000009</v>
      </c>
      <c r="G140" s="109" cm="1">
        <f t="array" aca="1" ref="G140" ca="1">IFERROR(INDEX(_xlfn._xlws.FILTER(INDIRECT(G$1&amp;"!$E1:$E10000"),INDIRECT(G$1&amp;"!$a1:$a10000")=汇总!$A140),COUNTIF(INDIRECT(G$1&amp;"!$a1:$a10000"),汇总!$A140)),G139)</f>
        <v>8218.4886599999991</v>
      </c>
      <c r="H140" s="109" cm="1">
        <f t="array" aca="1" ref="H140" ca="1">IFERROR(INDEX(_xlfn._xlws.FILTER(INDIRECT(H$1&amp;"!$E1:$E10000"),INDIRECT(H$1&amp;"!$a1:$a10000")=汇总!$A140),COUNTIF(INDIRECT(H$1&amp;"!$a1:$a10000"),汇总!$A140)),H139)</f>
        <v>224.93974900000001</v>
      </c>
      <c r="I140" s="109" cm="1">
        <f t="array" aca="1" ref="I140" ca="1">IFERROR(INDEX(_xlfn._xlws.FILTER(INDIRECT(I$1&amp;"!$E1:$E10000"),INDIRECT(I$1&amp;"!$a1:$a10000")=汇总!$A140),COUNTIF(INDIRECT(I$1&amp;"!$a1:$a10000"),汇总!$A140)),I139)</f>
        <v>565.39812099999995</v>
      </c>
      <c r="J140" s="109" cm="1">
        <f t="array" aca="1" ref="J140" ca="1">IFERROR(INDEX(_xlfn._xlws.FILTER(INDIRECT(J$1&amp;"!$E1:$E10000"),INDIRECT(J$1&amp;"!$a1:$a10000")=汇总!$A140),COUNTIF(INDIRECT(J$1&amp;"!$a1:$a10000"),汇总!$A140)),J139)</f>
        <v>0.5</v>
      </c>
      <c r="K140" s="109" cm="1">
        <f t="array" aca="1" ref="K140" ca="1">IFERROR(INDEX(_xlfn._xlws.FILTER(INDIRECT(K$1&amp;"!$E1:$E10000"),INDIRECT(K$1&amp;"!$a1:$a10000")=汇总!$A140),COUNTIF(INDIRECT(K$1&amp;"!$a1:$a10000"),汇总!$A140)),K139)</f>
        <v>260.91877999999974</v>
      </c>
      <c r="L140" s="109" cm="1">
        <f t="array" aca="1" ref="L140" ca="1">IFERROR(INDEX(_xlfn._xlws.FILTER(INDIRECT(L$1&amp;"!$E1:$E10000"),INDIRECT(L$1&amp;"!$a1:$a10000")=汇总!$A140),COUNTIF(INDIRECT(L$1&amp;"!$a1:$a10000"),汇总!$A140)),L139)</f>
        <v>406.82299999999981</v>
      </c>
      <c r="M140" s="109" cm="1">
        <f t="array" aca="1" ref="M140" ca="1">IFERROR(INDEX(_xlfn._xlws.FILTER(INDIRECT(M$1&amp;"!$E1:$E10000"),INDIRECT(M$1&amp;"!$a1:$a10000")=汇总!$A140),COUNTIF(INDIRECT(M$1&amp;"!$a1:$a10000"),汇总!$A140)),M139)</f>
        <v>122.94665999999961</v>
      </c>
      <c r="N140" s="109" cm="1">
        <f t="array" aca="1" ref="N140" ca="1">IFERROR(INDEX(_xlfn._xlws.FILTER(INDIRECT(N$1&amp;"!$E1:$E10000"),INDIRECT(N$1&amp;"!$a1:$a10000")=汇总!$A140),COUNTIF(INDIRECT(N$1&amp;"!$a1:$a10000"),汇总!$A140)),N139)</f>
        <v>2126.5203869999987</v>
      </c>
      <c r="O140" s="109" cm="1">
        <f t="array" aca="1" ref="O140" ca="1">IFERROR(INDEX(_xlfn._xlws.FILTER(INDIRECT(O$1&amp;"!$E1:$E10000"),INDIRECT(O$1&amp;"!$a1:$a10000")=汇总!$A140),COUNTIF(INDIRECT(O$1&amp;"!$a1:$a10000"),汇总!$A140)),O139)</f>
        <v>2</v>
      </c>
      <c r="P140" s="109" cm="1">
        <f t="array" aca="1" ref="P140" ca="1">IFERROR(INDEX(_xlfn._xlws.FILTER(INDIRECT(P$1&amp;"!$E1:$E10000"),INDIRECT(P$1&amp;"!$a1:$a10000")=汇总!$A140),COUNTIF(INDIRECT(P$1&amp;"!$a1:$a10000"),汇总!$A140)),P139)</f>
        <v>64.970799999999599</v>
      </c>
      <c r="Q140" s="109" cm="1">
        <f t="array" aca="1" ref="Q140" ca="1">IFERROR(INDEX(_xlfn._xlws.FILTER(INDIRECT(Q$1&amp;"!$E1:$E10000"),INDIRECT(Q$1&amp;"!$a1:$a10000")=汇总!$A140),COUNTIF(INDIRECT(Q$1&amp;"!$a1:$a10000"),汇总!$A140)),Q139)</f>
        <v>32.504124999999021</v>
      </c>
      <c r="R140" s="109" cm="1">
        <f t="array" aca="1" ref="R140" ca="1">IFERROR(INDEX(_xlfn._xlws.FILTER(INDIRECT(R$1&amp;"!$E1:$E10000"),INDIRECT(R$1&amp;"!$a1:$a10000")=汇总!$A140),COUNTIF(INDIRECT(R$1&amp;"!$a1:$a10000"),汇总!$A140)),R139)</f>
        <v>341.33572275342459</v>
      </c>
      <c r="S140" s="109" cm="1">
        <f t="array" aca="1" ref="S140" ca="1">IFERROR(INDEX(_xlfn._xlws.FILTER(INDIRECT(S$1&amp;"!$E1:$E10000"),INDIRECT(S$1&amp;"!$a1:$a10000")=汇总!$A140),COUNTIF(INDIRECT(S$1&amp;"!$a1:$a10000"),汇总!$A140)),S139)</f>
        <v>1146.8800000000001</v>
      </c>
      <c r="T140" s="109" cm="1">
        <f t="array" aca="1" ref="T140" ca="1">IFERROR(INDEX(_xlfn._xlws.FILTER(INDIRECT(T$1&amp;"!$E1:$E10000"),INDIRECT(T$1&amp;"!$a1:$a10000")=汇总!$A140),COUNTIF(INDIRECT(T$1&amp;"!$a1:$a10000"),汇总!$A140)),T139)</f>
        <v>12627.43</v>
      </c>
    </row>
    <row r="141" spans="1:20">
      <c r="A141" s="1">
        <f t="shared" si="5"/>
        <v>46162</v>
      </c>
      <c r="B141" s="109" cm="1">
        <f t="array" aca="1" ref="B141" ca="1">IFERROR(INDEX(_xlfn._xlws.FILTER(INDIRECT(B$1&amp;"!$E1:$E10000"),INDIRECT(B$1&amp;"!$a1:$a10000")=汇总!$A141),COUNTIF(INDIRECT(B$1&amp;"!$a1:$a10000"),汇总!$A141)),B140)</f>
        <v>1899.5206560000001</v>
      </c>
      <c r="C141" s="109" cm="1">
        <f t="array" aca="1" ref="C141" ca="1">IFERROR(INDEX(_xlfn._xlws.FILTER(INDIRECT(C$1&amp;"!$E1:$E10000"),INDIRECT(C$1&amp;"!$a1:$a10000")=汇总!$A141),COUNTIF(INDIRECT(C$1&amp;"!$a1:$a10000"),汇总!$A141)),C140)</f>
        <v>1135</v>
      </c>
      <c r="D141" s="109" cm="1">
        <f t="array" aca="1" ref="D141" ca="1">IFERROR(INDEX(_xlfn._xlws.FILTER(INDIRECT(D$1&amp;"!$E1:$E10000"),INDIRECT(D$1&amp;"!$a1:$a10000")=汇总!$A141),COUNTIF(INDIRECT(D$1&amp;"!$a1:$a10000"),汇总!$A141)),D140)</f>
        <v>35.830015000000913</v>
      </c>
      <c r="E141" s="109" cm="1">
        <f t="array" aca="1" ref="E141" ca="1">IFERROR(INDEX(_xlfn._xlws.FILTER(INDIRECT(E$1&amp;"!$E1:$E10000"),INDIRECT(E$1&amp;"!$a1:$a10000")=汇总!$A141),COUNTIF(INDIRECT(E$1&amp;"!$a1:$a10000"),汇总!$A141)),E140)</f>
        <v>2655.47309</v>
      </c>
      <c r="F141" s="109" cm="1">
        <f t="array" aca="1" ref="F141" ca="1">IFERROR(INDEX(_xlfn._xlws.FILTER(INDIRECT(F$1&amp;"!$E1:$E10000"),INDIRECT(F$1&amp;"!$a1:$a10000")=汇总!$A141),COUNTIF(INDIRECT(F$1&amp;"!$a1:$a10000"),汇总!$A141)),F140)</f>
        <v>2186.6524000000009</v>
      </c>
      <c r="G141" s="109" cm="1">
        <f t="array" aca="1" ref="G141" ca="1">IFERROR(INDEX(_xlfn._xlws.FILTER(INDIRECT(G$1&amp;"!$E1:$E10000"),INDIRECT(G$1&amp;"!$a1:$a10000")=汇总!$A141),COUNTIF(INDIRECT(G$1&amp;"!$a1:$a10000"),汇总!$A141)),G140)</f>
        <v>8218.4886599999991</v>
      </c>
      <c r="H141" s="109" cm="1">
        <f t="array" aca="1" ref="H141" ca="1">IFERROR(INDEX(_xlfn._xlws.FILTER(INDIRECT(H$1&amp;"!$E1:$E10000"),INDIRECT(H$1&amp;"!$a1:$a10000")=汇总!$A141),COUNTIF(INDIRECT(H$1&amp;"!$a1:$a10000"),汇总!$A141)),H140)</f>
        <v>313.819749</v>
      </c>
      <c r="I141" s="109" cm="1">
        <f t="array" aca="1" ref="I141" ca="1">IFERROR(INDEX(_xlfn._xlws.FILTER(INDIRECT(I$1&amp;"!$E1:$E10000"),INDIRECT(I$1&amp;"!$a1:$a10000")=汇总!$A141),COUNTIF(INDIRECT(I$1&amp;"!$a1:$a10000"),汇总!$A141)),I140)</f>
        <v>565.39812099999995</v>
      </c>
      <c r="J141" s="109" cm="1">
        <f t="array" aca="1" ref="J141" ca="1">IFERROR(INDEX(_xlfn._xlws.FILTER(INDIRECT(J$1&amp;"!$E1:$E10000"),INDIRECT(J$1&amp;"!$a1:$a10000")=汇总!$A141),COUNTIF(INDIRECT(J$1&amp;"!$a1:$a10000"),汇总!$A141)),J140)</f>
        <v>0.5</v>
      </c>
      <c r="K141" s="109" cm="1">
        <f t="array" aca="1" ref="K141" ca="1">IFERROR(INDEX(_xlfn._xlws.FILTER(INDIRECT(K$1&amp;"!$E1:$E10000"),INDIRECT(K$1&amp;"!$a1:$a10000")=汇总!$A141),COUNTIF(INDIRECT(K$1&amp;"!$a1:$a10000"),汇总!$A141)),K140)</f>
        <v>1466.9187799999997</v>
      </c>
      <c r="L141" s="109" cm="1">
        <f t="array" aca="1" ref="L141" ca="1">IFERROR(INDEX(_xlfn._xlws.FILTER(INDIRECT(L$1&amp;"!$E1:$E10000"),INDIRECT(L$1&amp;"!$a1:$a10000")=汇总!$A141),COUNTIF(INDIRECT(L$1&amp;"!$a1:$a10000"),汇总!$A141)),L140)</f>
        <v>406.82299999999981</v>
      </c>
      <c r="M141" s="109" cm="1">
        <f t="array" aca="1" ref="M141" ca="1">IFERROR(INDEX(_xlfn._xlws.FILTER(INDIRECT(M$1&amp;"!$E1:$E10000"),INDIRECT(M$1&amp;"!$a1:$a10000")=汇总!$A141),COUNTIF(INDIRECT(M$1&amp;"!$a1:$a10000"),汇总!$A141)),M140)</f>
        <v>236.1466599999996</v>
      </c>
      <c r="N141" s="109" cm="1">
        <f t="array" aca="1" ref="N141" ca="1">IFERROR(INDEX(_xlfn._xlws.FILTER(INDIRECT(N$1&amp;"!$E1:$E10000"),INDIRECT(N$1&amp;"!$a1:$a10000")=汇总!$A141),COUNTIF(INDIRECT(N$1&amp;"!$a1:$a10000"),汇总!$A141)),N140)</f>
        <v>2126.5203869999987</v>
      </c>
      <c r="O141" s="109" cm="1">
        <f t="array" aca="1" ref="O141" ca="1">IFERROR(INDEX(_xlfn._xlws.FILTER(INDIRECT(O$1&amp;"!$E1:$E10000"),INDIRECT(O$1&amp;"!$a1:$a10000")=汇总!$A141),COUNTIF(INDIRECT(O$1&amp;"!$a1:$a10000"),汇总!$A141)),O140)</f>
        <v>2</v>
      </c>
      <c r="P141" s="109" cm="1">
        <f t="array" aca="1" ref="P141" ca="1">IFERROR(INDEX(_xlfn._xlws.FILTER(INDIRECT(P$1&amp;"!$E1:$E10000"),INDIRECT(P$1&amp;"!$a1:$a10000")=汇总!$A141),COUNTIF(INDIRECT(P$1&amp;"!$a1:$a10000"),汇总!$A141)),P140)</f>
        <v>64.970799999999599</v>
      </c>
      <c r="Q141" s="109" cm="1">
        <f t="array" aca="1" ref="Q141" ca="1">IFERROR(INDEX(_xlfn._xlws.FILTER(INDIRECT(Q$1&amp;"!$E1:$E10000"),INDIRECT(Q$1&amp;"!$a1:$a10000")=汇总!$A141),COUNTIF(INDIRECT(Q$1&amp;"!$a1:$a10000"),汇总!$A141)),Q140)</f>
        <v>32.504124999999021</v>
      </c>
      <c r="R141" s="109" cm="1">
        <f t="array" aca="1" ref="R141" ca="1">IFERROR(INDEX(_xlfn._xlws.FILTER(INDIRECT(R$1&amp;"!$E1:$E10000"),INDIRECT(R$1&amp;"!$a1:$a10000")=汇总!$A141),COUNTIF(INDIRECT(R$1&amp;"!$a1:$a10000"),汇总!$A141)),R140)</f>
        <v>341.33572275342459</v>
      </c>
      <c r="S141" s="109" cm="1">
        <f t="array" aca="1" ref="S141" ca="1">IFERROR(INDEX(_xlfn._xlws.FILTER(INDIRECT(S$1&amp;"!$E1:$E10000"),INDIRECT(S$1&amp;"!$a1:$a10000")=汇总!$A141),COUNTIF(INDIRECT(S$1&amp;"!$a1:$a10000"),汇总!$A141)),S140)</f>
        <v>1146.8800000000001</v>
      </c>
      <c r="T141" s="109" cm="1">
        <f t="array" aca="1" ref="T141" ca="1">IFERROR(INDEX(_xlfn._xlws.FILTER(INDIRECT(T$1&amp;"!$E1:$E10000"),INDIRECT(T$1&amp;"!$a1:$a10000")=汇总!$A141),COUNTIF(INDIRECT(T$1&amp;"!$a1:$a10000"),汇总!$A141)),T140)</f>
        <v>9627.43</v>
      </c>
    </row>
    <row r="142" spans="1:20">
      <c r="A142" s="1">
        <f t="shared" si="5"/>
        <v>46163</v>
      </c>
      <c r="B142" s="109" cm="1">
        <f t="array" aca="1" ref="B142" ca="1">IFERROR(INDEX(_xlfn._xlws.FILTER(INDIRECT(B$1&amp;"!$E1:$E10000"),INDIRECT(B$1&amp;"!$a1:$a10000")=汇总!$A142),COUNTIF(INDIRECT(B$1&amp;"!$a1:$a10000"),汇总!$A142)),B141)</f>
        <v>1899.5206560000001</v>
      </c>
      <c r="C142" s="109" cm="1">
        <f t="array" aca="1" ref="C142" ca="1">IFERROR(INDEX(_xlfn._xlws.FILTER(INDIRECT(C$1&amp;"!$E1:$E10000"),INDIRECT(C$1&amp;"!$a1:$a10000")=汇总!$A142),COUNTIF(INDIRECT(C$1&amp;"!$a1:$a10000"),汇总!$A142)),C141)</f>
        <v>1135</v>
      </c>
      <c r="D142" s="109" cm="1">
        <f t="array" aca="1" ref="D142" ca="1">IFERROR(INDEX(_xlfn._xlws.FILTER(INDIRECT(D$1&amp;"!$E1:$E10000"),INDIRECT(D$1&amp;"!$a1:$a10000")=汇总!$A142),COUNTIF(INDIRECT(D$1&amp;"!$a1:$a10000"),汇总!$A142)),D141)</f>
        <v>35.830015000000913</v>
      </c>
      <c r="E142" s="109" cm="1">
        <f t="array" aca="1" ref="E142" ca="1">IFERROR(INDEX(_xlfn._xlws.FILTER(INDIRECT(E$1&amp;"!$E1:$E10000"),INDIRECT(E$1&amp;"!$a1:$a10000")=汇总!$A142),COUNTIF(INDIRECT(E$1&amp;"!$a1:$a10000"),汇总!$A142)),E141)</f>
        <v>2655.47309</v>
      </c>
      <c r="F142" s="109" cm="1">
        <f t="array" aca="1" ref="F142" ca="1">IFERROR(INDEX(_xlfn._xlws.FILTER(INDIRECT(F$1&amp;"!$E1:$E10000"),INDIRECT(F$1&amp;"!$a1:$a10000")=汇总!$A142),COUNTIF(INDIRECT(F$1&amp;"!$a1:$a10000"),汇总!$A142)),F141)</f>
        <v>2186.6524000000009</v>
      </c>
      <c r="G142" s="109" cm="1">
        <f t="array" aca="1" ref="G142" ca="1">IFERROR(INDEX(_xlfn._xlws.FILTER(INDIRECT(G$1&amp;"!$E1:$E10000"),INDIRECT(G$1&amp;"!$a1:$a10000")=汇总!$A142),COUNTIF(INDIRECT(G$1&amp;"!$a1:$a10000"),汇总!$A142)),G141)</f>
        <v>8218.4886599999991</v>
      </c>
      <c r="H142" s="109" cm="1">
        <f t="array" aca="1" ref="H142" ca="1">IFERROR(INDEX(_xlfn._xlws.FILTER(INDIRECT(H$1&amp;"!$E1:$E10000"),INDIRECT(H$1&amp;"!$a1:$a10000")=汇总!$A142),COUNTIF(INDIRECT(H$1&amp;"!$a1:$a10000"),汇总!$A142)),H141)</f>
        <v>565.819749</v>
      </c>
      <c r="I142" s="109" cm="1">
        <f t="array" aca="1" ref="I142" ca="1">IFERROR(INDEX(_xlfn._xlws.FILTER(INDIRECT(I$1&amp;"!$E1:$E10000"),INDIRECT(I$1&amp;"!$a1:$a10000")=汇总!$A142),COUNTIF(INDIRECT(I$1&amp;"!$a1:$a10000"),汇总!$A142)),I141)</f>
        <v>151.54212099999995</v>
      </c>
      <c r="J142" s="109" cm="1">
        <f t="array" aca="1" ref="J142" ca="1">IFERROR(INDEX(_xlfn._xlws.FILTER(INDIRECT(J$1&amp;"!$E1:$E10000"),INDIRECT(J$1&amp;"!$a1:$a10000")=汇总!$A142),COUNTIF(INDIRECT(J$1&amp;"!$a1:$a10000"),汇总!$A142)),J141)</f>
        <v>0.5</v>
      </c>
      <c r="K142" s="109" cm="1">
        <f t="array" aca="1" ref="K142" ca="1">IFERROR(INDEX(_xlfn._xlws.FILTER(INDIRECT(K$1&amp;"!$E1:$E10000"),INDIRECT(K$1&amp;"!$a1:$a10000")=汇总!$A142),COUNTIF(INDIRECT(K$1&amp;"!$a1:$a10000"),汇总!$A142)),K141)</f>
        <v>1466.9187799999997</v>
      </c>
      <c r="L142" s="109" cm="1">
        <f t="array" aca="1" ref="L142" ca="1">IFERROR(INDEX(_xlfn._xlws.FILTER(INDIRECT(L$1&amp;"!$E1:$E10000"),INDIRECT(L$1&amp;"!$a1:$a10000")=汇总!$A142),COUNTIF(INDIRECT(L$1&amp;"!$a1:$a10000"),汇总!$A142)),L141)</f>
        <v>406.82299999999981</v>
      </c>
      <c r="M142" s="109" cm="1">
        <f t="array" aca="1" ref="M142" ca="1">IFERROR(INDEX(_xlfn._xlws.FILTER(INDIRECT(M$1&amp;"!$E1:$E10000"),INDIRECT(M$1&amp;"!$a1:$a10000")=汇总!$A142),COUNTIF(INDIRECT(M$1&amp;"!$a1:$a10000"),汇总!$A142)),M141)</f>
        <v>236.1466599999996</v>
      </c>
      <c r="N142" s="109" cm="1">
        <f t="array" aca="1" ref="N142" ca="1">IFERROR(INDEX(_xlfn._xlws.FILTER(INDIRECT(N$1&amp;"!$E1:$E10000"),INDIRECT(N$1&amp;"!$a1:$a10000")=汇总!$A142),COUNTIF(INDIRECT(N$1&amp;"!$a1:$a10000"),汇总!$A142)),N141)</f>
        <v>2069.5203869999987</v>
      </c>
      <c r="O142" s="109" cm="1">
        <f t="array" aca="1" ref="O142" ca="1">IFERROR(INDEX(_xlfn._xlws.FILTER(INDIRECT(O$1&amp;"!$E1:$E10000"),INDIRECT(O$1&amp;"!$a1:$a10000")=汇总!$A142),COUNTIF(INDIRECT(O$1&amp;"!$a1:$a10000"),汇总!$A142)),O141)</f>
        <v>2</v>
      </c>
      <c r="P142" s="109" cm="1">
        <f t="array" aca="1" ref="P142" ca="1">IFERROR(INDEX(_xlfn._xlws.FILTER(INDIRECT(P$1&amp;"!$E1:$E10000"),INDIRECT(P$1&amp;"!$a1:$a10000")=汇总!$A142),COUNTIF(INDIRECT(P$1&amp;"!$a1:$a10000"),汇总!$A142)),P141)</f>
        <v>64.970799999999599</v>
      </c>
      <c r="Q142" s="109" cm="1">
        <f t="array" aca="1" ref="Q142" ca="1">IFERROR(INDEX(_xlfn._xlws.FILTER(INDIRECT(Q$1&amp;"!$E1:$E10000"),INDIRECT(Q$1&amp;"!$a1:$a10000")=汇总!$A142),COUNTIF(INDIRECT(Q$1&amp;"!$a1:$a10000"),汇总!$A142)),Q141)</f>
        <v>32.504124999999021</v>
      </c>
      <c r="R142" s="109" cm="1">
        <f t="array" aca="1" ref="R142" ca="1">IFERROR(INDEX(_xlfn._xlws.FILTER(INDIRECT(R$1&amp;"!$E1:$E10000"),INDIRECT(R$1&amp;"!$a1:$a10000")=汇总!$A142),COUNTIF(INDIRECT(R$1&amp;"!$a1:$a10000"),汇总!$A142)),R141)</f>
        <v>5341.3357227534243</v>
      </c>
      <c r="S142" s="109" cm="1">
        <f t="array" aca="1" ref="S142" ca="1">IFERROR(INDEX(_xlfn._xlws.FILTER(INDIRECT(S$1&amp;"!$E1:$E10000"),INDIRECT(S$1&amp;"!$a1:$a10000")=汇总!$A142),COUNTIF(INDIRECT(S$1&amp;"!$a1:$a10000"),汇总!$A142)),S141)</f>
        <v>1146.8800000000001</v>
      </c>
      <c r="T142" s="109" cm="1">
        <f t="array" aca="1" ref="T142" ca="1">IFERROR(INDEX(_xlfn._xlws.FILTER(INDIRECT(T$1&amp;"!$E1:$E10000"),INDIRECT(T$1&amp;"!$a1:$a10000")=汇总!$A142),COUNTIF(INDIRECT(T$1&amp;"!$a1:$a10000"),汇总!$A142)),T141)</f>
        <v>8627.43</v>
      </c>
    </row>
    <row r="143" spans="1:20">
      <c r="A143" s="1">
        <f t="shared" si="5"/>
        <v>46164</v>
      </c>
      <c r="B143" s="109" cm="1">
        <f t="array" aca="1" ref="B143" ca="1">IFERROR(INDEX(_xlfn._xlws.FILTER(INDIRECT(B$1&amp;"!$E1:$E10000"),INDIRECT(B$1&amp;"!$a1:$a10000")=汇总!$A143),COUNTIF(INDIRECT(B$1&amp;"!$a1:$a10000"),汇总!$A143)),B142)</f>
        <v>869.52065600000014</v>
      </c>
      <c r="C143" s="109" cm="1">
        <f t="array" aca="1" ref="C143" ca="1">IFERROR(INDEX(_xlfn._xlws.FILTER(INDIRECT(C$1&amp;"!$E1:$E10000"),INDIRECT(C$1&amp;"!$a1:$a10000")=汇总!$A143),COUNTIF(INDIRECT(C$1&amp;"!$a1:$a10000"),汇总!$A143)),C142)</f>
        <v>1135</v>
      </c>
      <c r="D143" s="109" cm="1">
        <f t="array" aca="1" ref="D143" ca="1">IFERROR(INDEX(_xlfn._xlws.FILTER(INDIRECT(D$1&amp;"!$E1:$E10000"),INDIRECT(D$1&amp;"!$a1:$a10000")=汇总!$A143),COUNTIF(INDIRECT(D$1&amp;"!$a1:$a10000"),汇总!$A143)),D142)</f>
        <v>265.59340500000093</v>
      </c>
      <c r="E143" s="109" cm="1">
        <f t="array" aca="1" ref="E143" ca="1">IFERROR(INDEX(_xlfn._xlws.FILTER(INDIRECT(E$1&amp;"!$E1:$E10000"),INDIRECT(E$1&amp;"!$a1:$a10000")=汇总!$A143),COUNTIF(INDIRECT(E$1&amp;"!$a1:$a10000"),汇总!$A143)),E142)</f>
        <v>2655.47309</v>
      </c>
      <c r="F143" s="109" cm="1">
        <f t="array" aca="1" ref="F143" ca="1">IFERROR(INDEX(_xlfn._xlws.FILTER(INDIRECT(F$1&amp;"!$E1:$E10000"),INDIRECT(F$1&amp;"!$a1:$a10000")=汇总!$A143),COUNTIF(INDIRECT(F$1&amp;"!$a1:$a10000"),汇总!$A143)),F142)</f>
        <v>2186.6524000000009</v>
      </c>
      <c r="G143" s="109" cm="1">
        <f t="array" aca="1" ref="G143" ca="1">IFERROR(INDEX(_xlfn._xlws.FILTER(INDIRECT(G$1&amp;"!$E1:$E10000"),INDIRECT(G$1&amp;"!$a1:$a10000")=汇总!$A143),COUNTIF(INDIRECT(G$1&amp;"!$a1:$a10000"),汇总!$A143)),G142)</f>
        <v>8108.0086599999995</v>
      </c>
      <c r="H143" s="109" cm="1">
        <f t="array" aca="1" ref="H143" ca="1">IFERROR(INDEX(_xlfn._xlws.FILTER(INDIRECT(H$1&amp;"!$E1:$E10000"),INDIRECT(H$1&amp;"!$a1:$a10000")=汇总!$A143),COUNTIF(INDIRECT(H$1&amp;"!$a1:$a10000"),汇总!$A143)),H142)</f>
        <v>40.219748999999865</v>
      </c>
      <c r="I143" s="109" cm="1">
        <f t="array" aca="1" ref="I143" ca="1">IFERROR(INDEX(_xlfn._xlws.FILTER(INDIRECT(I$1&amp;"!$E1:$E10000"),INDIRECT(I$1&amp;"!$a1:$a10000")=汇总!$A143),COUNTIF(INDIRECT(I$1&amp;"!$a1:$a10000"),汇总!$A143)),I142)</f>
        <v>151.54212099999995</v>
      </c>
      <c r="J143" s="109" cm="1">
        <f t="array" aca="1" ref="J143" ca="1">IFERROR(INDEX(_xlfn._xlws.FILTER(INDIRECT(J$1&amp;"!$E1:$E10000"),INDIRECT(J$1&amp;"!$a1:$a10000")=汇总!$A143),COUNTIF(INDIRECT(J$1&amp;"!$a1:$a10000"),汇总!$A143)),J142)</f>
        <v>0.5</v>
      </c>
      <c r="K143" s="109" cm="1">
        <f t="array" aca="1" ref="K143" ca="1">IFERROR(INDEX(_xlfn._xlws.FILTER(INDIRECT(K$1&amp;"!$E1:$E10000"),INDIRECT(K$1&amp;"!$a1:$a10000")=汇总!$A143),COUNTIF(INDIRECT(K$1&amp;"!$a1:$a10000"),汇总!$A143)),K142)</f>
        <v>66.918779999999742</v>
      </c>
      <c r="L143" s="109" cm="1">
        <f t="array" aca="1" ref="L143" ca="1">IFERROR(INDEX(_xlfn._xlws.FILTER(INDIRECT(L$1&amp;"!$E1:$E10000"),INDIRECT(L$1&amp;"!$a1:$a10000")=汇总!$A143),COUNTIF(INDIRECT(L$1&amp;"!$a1:$a10000"),汇总!$A143)),L142)</f>
        <v>116.82299999999987</v>
      </c>
      <c r="M143" s="109" cm="1">
        <f t="array" aca="1" ref="M143" ca="1">IFERROR(INDEX(_xlfn._xlws.FILTER(INDIRECT(M$1&amp;"!$E1:$E10000"),INDIRECT(M$1&amp;"!$a1:$a10000")=汇总!$A143),COUNTIF(INDIRECT(M$1&amp;"!$a1:$a10000"),汇总!$A143)),M142)</f>
        <v>236.1466599999996</v>
      </c>
      <c r="N143" s="109" cm="1">
        <f t="array" aca="1" ref="N143" ca="1">IFERROR(INDEX(_xlfn._xlws.FILTER(INDIRECT(N$1&amp;"!$E1:$E10000"),INDIRECT(N$1&amp;"!$a1:$a10000")=汇总!$A143),COUNTIF(INDIRECT(N$1&amp;"!$a1:$a10000"),汇总!$A143)),N142)</f>
        <v>2069.5203869999987</v>
      </c>
      <c r="O143" s="109" cm="1">
        <f t="array" aca="1" ref="O143" ca="1">IFERROR(INDEX(_xlfn._xlws.FILTER(INDIRECT(O$1&amp;"!$E1:$E10000"),INDIRECT(O$1&amp;"!$a1:$a10000")=汇总!$A143),COUNTIF(INDIRECT(O$1&amp;"!$a1:$a10000"),汇总!$A143)),O142)</f>
        <v>2</v>
      </c>
      <c r="P143" s="109" cm="1">
        <f t="array" aca="1" ref="P143" ca="1">IFERROR(INDEX(_xlfn._xlws.FILTER(INDIRECT(P$1&amp;"!$E1:$E10000"),INDIRECT(P$1&amp;"!$a1:$a10000")=汇总!$A143),COUNTIF(INDIRECT(P$1&amp;"!$a1:$a10000"),汇总!$A143)),P142)</f>
        <v>1164.9707999999996</v>
      </c>
      <c r="Q143" s="109" cm="1">
        <f t="array" aca="1" ref="Q143" ca="1">IFERROR(INDEX(_xlfn._xlws.FILTER(INDIRECT(Q$1&amp;"!$E1:$E10000"),INDIRECT(Q$1&amp;"!$a1:$a10000")=汇总!$A143),COUNTIF(INDIRECT(Q$1&amp;"!$a1:$a10000"),汇总!$A143)),Q142)</f>
        <v>32.504124999999021</v>
      </c>
      <c r="R143" s="109" cm="1">
        <f t="array" aca="1" ref="R143" ca="1">IFERROR(INDEX(_xlfn._xlws.FILTER(INDIRECT(R$1&amp;"!$E1:$E10000"),INDIRECT(R$1&amp;"!$a1:$a10000")=汇总!$A143),COUNTIF(INDIRECT(R$1&amp;"!$a1:$a10000"),汇总!$A143)),R142)</f>
        <v>5341.3357227534243</v>
      </c>
      <c r="S143" s="109" cm="1">
        <f t="array" aca="1" ref="S143" ca="1">IFERROR(INDEX(_xlfn._xlws.FILTER(INDIRECT(S$1&amp;"!$E1:$E10000"),INDIRECT(S$1&amp;"!$a1:$a10000")=汇总!$A143),COUNTIF(INDIRECT(S$1&amp;"!$a1:$a10000"),汇总!$A143)),S142)</f>
        <v>1146.8800000000001</v>
      </c>
      <c r="T143" s="109" cm="1">
        <f t="array" aca="1" ref="T143" ca="1">IFERROR(INDEX(_xlfn._xlws.FILTER(INDIRECT(T$1&amp;"!$E1:$E10000"),INDIRECT(T$1&amp;"!$a1:$a10000")=汇总!$A143),COUNTIF(INDIRECT(T$1&amp;"!$a1:$a10000"),汇总!$A143)),T142)</f>
        <v>8627.43</v>
      </c>
    </row>
    <row r="144" spans="1:20">
      <c r="A144" s="1">
        <f t="shared" si="5"/>
        <v>46165</v>
      </c>
      <c r="B144" s="109" cm="1">
        <f t="array" aca="1" ref="B144" ca="1">IFERROR(INDEX(_xlfn._xlws.FILTER(INDIRECT(B$1&amp;"!$E1:$E10000"),INDIRECT(B$1&amp;"!$a1:$a10000")=汇总!$A144),COUNTIF(INDIRECT(B$1&amp;"!$a1:$a10000"),汇总!$A144)),B143)</f>
        <v>869.52065600000014</v>
      </c>
      <c r="C144" s="109" cm="1">
        <f t="array" aca="1" ref="C144" ca="1">IFERROR(INDEX(_xlfn._xlws.FILTER(INDIRECT(C$1&amp;"!$E1:$E10000"),INDIRECT(C$1&amp;"!$a1:$a10000")=汇总!$A144),COUNTIF(INDIRECT(C$1&amp;"!$a1:$a10000"),汇总!$A144)),C143)</f>
        <v>1135</v>
      </c>
      <c r="D144" s="109" cm="1">
        <f t="array" aca="1" ref="D144" ca="1">IFERROR(INDEX(_xlfn._xlws.FILTER(INDIRECT(D$1&amp;"!$E1:$E10000"),INDIRECT(D$1&amp;"!$a1:$a10000")=汇总!$A144),COUNTIF(INDIRECT(D$1&amp;"!$a1:$a10000"),汇总!$A144)),D143)</f>
        <v>265.59340500000093</v>
      </c>
      <c r="E144" s="109" cm="1">
        <f t="array" aca="1" ref="E144" ca="1">IFERROR(INDEX(_xlfn._xlws.FILTER(INDIRECT(E$1&amp;"!$E1:$E10000"),INDIRECT(E$1&amp;"!$a1:$a10000")=汇总!$A144),COUNTIF(INDIRECT(E$1&amp;"!$a1:$a10000"),汇总!$A144)),E143)</f>
        <v>2655.47309</v>
      </c>
      <c r="F144" s="109" cm="1">
        <f t="array" aca="1" ref="F144" ca="1">IFERROR(INDEX(_xlfn._xlws.FILTER(INDIRECT(F$1&amp;"!$E1:$E10000"),INDIRECT(F$1&amp;"!$a1:$a10000")=汇总!$A144),COUNTIF(INDIRECT(F$1&amp;"!$a1:$a10000"),汇总!$A144)),F143)</f>
        <v>2186.6524000000009</v>
      </c>
      <c r="G144" s="109" cm="1">
        <f t="array" aca="1" ref="G144" ca="1">IFERROR(INDEX(_xlfn._xlws.FILTER(INDIRECT(G$1&amp;"!$E1:$E10000"),INDIRECT(G$1&amp;"!$a1:$a10000")=汇总!$A144),COUNTIF(INDIRECT(G$1&amp;"!$a1:$a10000"),汇总!$A144)),G143)</f>
        <v>8108.0086599999995</v>
      </c>
      <c r="H144" s="109" cm="1">
        <f t="array" aca="1" ref="H144" ca="1">IFERROR(INDEX(_xlfn._xlws.FILTER(INDIRECT(H$1&amp;"!$E1:$E10000"),INDIRECT(H$1&amp;"!$a1:$a10000")=汇总!$A144),COUNTIF(INDIRECT(H$1&amp;"!$a1:$a10000"),汇总!$A144)),H143)</f>
        <v>40.219748999999865</v>
      </c>
      <c r="I144" s="109" cm="1">
        <f t="array" aca="1" ref="I144" ca="1">IFERROR(INDEX(_xlfn._xlws.FILTER(INDIRECT(I$1&amp;"!$E1:$E10000"),INDIRECT(I$1&amp;"!$a1:$a10000")=汇总!$A144),COUNTIF(INDIRECT(I$1&amp;"!$a1:$a10000"),汇总!$A144)),I143)</f>
        <v>151.54212099999995</v>
      </c>
      <c r="J144" s="109" cm="1">
        <f t="array" aca="1" ref="J144" ca="1">IFERROR(INDEX(_xlfn._xlws.FILTER(INDIRECT(J$1&amp;"!$E1:$E10000"),INDIRECT(J$1&amp;"!$a1:$a10000")=汇总!$A144),COUNTIF(INDIRECT(J$1&amp;"!$a1:$a10000"),汇总!$A144)),J143)</f>
        <v>0.5</v>
      </c>
      <c r="K144" s="109" cm="1">
        <f t="array" aca="1" ref="K144" ca="1">IFERROR(INDEX(_xlfn._xlws.FILTER(INDIRECT(K$1&amp;"!$E1:$E10000"),INDIRECT(K$1&amp;"!$a1:$a10000")=汇总!$A144),COUNTIF(INDIRECT(K$1&amp;"!$a1:$a10000"),汇总!$A144)),K143)</f>
        <v>66.918779999999742</v>
      </c>
      <c r="L144" s="109" cm="1">
        <f t="array" aca="1" ref="L144" ca="1">IFERROR(INDEX(_xlfn._xlws.FILTER(INDIRECT(L$1&amp;"!$E1:$E10000"),INDIRECT(L$1&amp;"!$a1:$a10000")=汇总!$A144),COUNTIF(INDIRECT(L$1&amp;"!$a1:$a10000"),汇总!$A144)),L143)</f>
        <v>116.82299999999987</v>
      </c>
      <c r="M144" s="109" cm="1">
        <f t="array" aca="1" ref="M144" ca="1">IFERROR(INDEX(_xlfn._xlws.FILTER(INDIRECT(M$1&amp;"!$E1:$E10000"),INDIRECT(M$1&amp;"!$a1:$a10000")=汇总!$A144),COUNTIF(INDIRECT(M$1&amp;"!$a1:$a10000"),汇总!$A144)),M143)</f>
        <v>236.1466599999996</v>
      </c>
      <c r="N144" s="109" cm="1">
        <f t="array" aca="1" ref="N144" ca="1">IFERROR(INDEX(_xlfn._xlws.FILTER(INDIRECT(N$1&amp;"!$E1:$E10000"),INDIRECT(N$1&amp;"!$a1:$a10000")=汇总!$A144),COUNTIF(INDIRECT(N$1&amp;"!$a1:$a10000"),汇总!$A144)),N143)</f>
        <v>2069.5203869999987</v>
      </c>
      <c r="O144" s="109" cm="1">
        <f t="array" aca="1" ref="O144" ca="1">IFERROR(INDEX(_xlfn._xlws.FILTER(INDIRECT(O$1&amp;"!$E1:$E10000"),INDIRECT(O$1&amp;"!$a1:$a10000")=汇总!$A144),COUNTIF(INDIRECT(O$1&amp;"!$a1:$a10000"),汇总!$A144)),O143)</f>
        <v>2</v>
      </c>
      <c r="P144" s="109" cm="1">
        <f t="array" aca="1" ref="P144" ca="1">IFERROR(INDEX(_xlfn._xlws.FILTER(INDIRECT(P$1&amp;"!$E1:$E10000"),INDIRECT(P$1&amp;"!$a1:$a10000")=汇总!$A144),COUNTIF(INDIRECT(P$1&amp;"!$a1:$a10000"),汇总!$A144)),P143)</f>
        <v>1164.9707999999996</v>
      </c>
      <c r="Q144" s="109" cm="1">
        <f t="array" aca="1" ref="Q144" ca="1">IFERROR(INDEX(_xlfn._xlws.FILTER(INDIRECT(Q$1&amp;"!$E1:$E10000"),INDIRECT(Q$1&amp;"!$a1:$a10000")=汇总!$A144),COUNTIF(INDIRECT(Q$1&amp;"!$a1:$a10000"),汇总!$A144)),Q143)</f>
        <v>32.504124999999021</v>
      </c>
      <c r="R144" s="109" cm="1">
        <f t="array" aca="1" ref="R144" ca="1">IFERROR(INDEX(_xlfn._xlws.FILTER(INDIRECT(R$1&amp;"!$E1:$E10000"),INDIRECT(R$1&amp;"!$a1:$a10000")=汇总!$A144),COUNTIF(INDIRECT(R$1&amp;"!$a1:$a10000"),汇总!$A144)),R143)</f>
        <v>5341.3357227534243</v>
      </c>
      <c r="S144" s="109" cm="1">
        <f t="array" aca="1" ref="S144" ca="1">IFERROR(INDEX(_xlfn._xlws.FILTER(INDIRECT(S$1&amp;"!$E1:$E10000"),INDIRECT(S$1&amp;"!$a1:$a10000")=汇总!$A144),COUNTIF(INDIRECT(S$1&amp;"!$a1:$a10000"),汇总!$A144)),S143)</f>
        <v>1146.8800000000001</v>
      </c>
      <c r="T144" s="109" cm="1">
        <f t="array" aca="1" ref="T144" ca="1">IFERROR(INDEX(_xlfn._xlws.FILTER(INDIRECT(T$1&amp;"!$E1:$E10000"),INDIRECT(T$1&amp;"!$a1:$a10000")=汇总!$A144),COUNTIF(INDIRECT(T$1&amp;"!$a1:$a10000"),汇总!$A144)),T143)</f>
        <v>8627.43</v>
      </c>
    </row>
    <row r="145" spans="1:20">
      <c r="A145" s="1">
        <f t="shared" si="5"/>
        <v>46166</v>
      </c>
      <c r="B145" s="109" cm="1">
        <f t="array" aca="1" ref="B145" ca="1">IFERROR(INDEX(_xlfn._xlws.FILTER(INDIRECT(B$1&amp;"!$E1:$E10000"),INDIRECT(B$1&amp;"!$a1:$a10000")=汇总!$A145),COUNTIF(INDIRECT(B$1&amp;"!$a1:$a10000"),汇总!$A145)),B144)</f>
        <v>869.52065600000014</v>
      </c>
      <c r="C145" s="109" cm="1">
        <f t="array" aca="1" ref="C145" ca="1">IFERROR(INDEX(_xlfn._xlws.FILTER(INDIRECT(C$1&amp;"!$E1:$E10000"),INDIRECT(C$1&amp;"!$a1:$a10000")=汇总!$A145),COUNTIF(INDIRECT(C$1&amp;"!$a1:$a10000"),汇总!$A145)),C144)</f>
        <v>1135</v>
      </c>
      <c r="D145" s="109" cm="1">
        <f t="array" aca="1" ref="D145" ca="1">IFERROR(INDEX(_xlfn._xlws.FILTER(INDIRECT(D$1&amp;"!$E1:$E10000"),INDIRECT(D$1&amp;"!$a1:$a10000")=汇总!$A145),COUNTIF(INDIRECT(D$1&amp;"!$a1:$a10000"),汇总!$A145)),D144)</f>
        <v>265.59340500000093</v>
      </c>
      <c r="E145" s="109" cm="1">
        <f t="array" aca="1" ref="E145" ca="1">IFERROR(INDEX(_xlfn._xlws.FILTER(INDIRECT(E$1&amp;"!$E1:$E10000"),INDIRECT(E$1&amp;"!$a1:$a10000")=汇总!$A145),COUNTIF(INDIRECT(E$1&amp;"!$a1:$a10000"),汇总!$A145)),E144)</f>
        <v>2655.47309</v>
      </c>
      <c r="F145" s="109" cm="1">
        <f t="array" aca="1" ref="F145" ca="1">IFERROR(INDEX(_xlfn._xlws.FILTER(INDIRECT(F$1&amp;"!$E1:$E10000"),INDIRECT(F$1&amp;"!$a1:$a10000")=汇总!$A145),COUNTIF(INDIRECT(F$1&amp;"!$a1:$a10000"),汇总!$A145)),F144)</f>
        <v>2186.6524000000009</v>
      </c>
      <c r="G145" s="109" cm="1">
        <f t="array" aca="1" ref="G145" ca="1">IFERROR(INDEX(_xlfn._xlws.FILTER(INDIRECT(G$1&amp;"!$E1:$E10000"),INDIRECT(G$1&amp;"!$a1:$a10000")=汇总!$A145),COUNTIF(INDIRECT(G$1&amp;"!$a1:$a10000"),汇总!$A145)),G144)</f>
        <v>8108.0086599999995</v>
      </c>
      <c r="H145" s="109" cm="1">
        <f t="array" aca="1" ref="H145" ca="1">IFERROR(INDEX(_xlfn._xlws.FILTER(INDIRECT(H$1&amp;"!$E1:$E10000"),INDIRECT(H$1&amp;"!$a1:$a10000")=汇总!$A145),COUNTIF(INDIRECT(H$1&amp;"!$a1:$a10000"),汇总!$A145)),H144)</f>
        <v>40.219748999999865</v>
      </c>
      <c r="I145" s="109" cm="1">
        <f t="array" aca="1" ref="I145" ca="1">IFERROR(INDEX(_xlfn._xlws.FILTER(INDIRECT(I$1&amp;"!$E1:$E10000"),INDIRECT(I$1&amp;"!$a1:$a10000")=汇总!$A145),COUNTIF(INDIRECT(I$1&amp;"!$a1:$a10000"),汇总!$A145)),I144)</f>
        <v>151.54212099999995</v>
      </c>
      <c r="J145" s="109" cm="1">
        <f t="array" aca="1" ref="J145" ca="1">IFERROR(INDEX(_xlfn._xlws.FILTER(INDIRECT(J$1&amp;"!$E1:$E10000"),INDIRECT(J$1&amp;"!$a1:$a10000")=汇总!$A145),COUNTIF(INDIRECT(J$1&amp;"!$a1:$a10000"),汇总!$A145)),J144)</f>
        <v>0.5</v>
      </c>
      <c r="K145" s="109" cm="1">
        <f t="array" aca="1" ref="K145" ca="1">IFERROR(INDEX(_xlfn._xlws.FILTER(INDIRECT(K$1&amp;"!$E1:$E10000"),INDIRECT(K$1&amp;"!$a1:$a10000")=汇总!$A145),COUNTIF(INDIRECT(K$1&amp;"!$a1:$a10000"),汇总!$A145)),K144)</f>
        <v>66.918779999999742</v>
      </c>
      <c r="L145" s="109" cm="1">
        <f t="array" aca="1" ref="L145" ca="1">IFERROR(INDEX(_xlfn._xlws.FILTER(INDIRECT(L$1&amp;"!$E1:$E10000"),INDIRECT(L$1&amp;"!$a1:$a10000")=汇总!$A145),COUNTIF(INDIRECT(L$1&amp;"!$a1:$a10000"),汇总!$A145)),L144)</f>
        <v>116.82299999999987</v>
      </c>
      <c r="M145" s="109" cm="1">
        <f t="array" aca="1" ref="M145" ca="1">IFERROR(INDEX(_xlfn._xlws.FILTER(INDIRECT(M$1&amp;"!$E1:$E10000"),INDIRECT(M$1&amp;"!$a1:$a10000")=汇总!$A145),COUNTIF(INDIRECT(M$1&amp;"!$a1:$a10000"),汇总!$A145)),M144)</f>
        <v>236.1466599999996</v>
      </c>
      <c r="N145" s="109" cm="1">
        <f t="array" aca="1" ref="N145" ca="1">IFERROR(INDEX(_xlfn._xlws.FILTER(INDIRECT(N$1&amp;"!$E1:$E10000"),INDIRECT(N$1&amp;"!$a1:$a10000")=汇总!$A145),COUNTIF(INDIRECT(N$1&amp;"!$a1:$a10000"),汇总!$A145)),N144)</f>
        <v>2069.5203869999987</v>
      </c>
      <c r="O145" s="109" cm="1">
        <f t="array" aca="1" ref="O145" ca="1">IFERROR(INDEX(_xlfn._xlws.FILTER(INDIRECT(O$1&amp;"!$E1:$E10000"),INDIRECT(O$1&amp;"!$a1:$a10000")=汇总!$A145),COUNTIF(INDIRECT(O$1&amp;"!$a1:$a10000"),汇总!$A145)),O144)</f>
        <v>2</v>
      </c>
      <c r="P145" s="109" cm="1">
        <f t="array" aca="1" ref="P145" ca="1">IFERROR(INDEX(_xlfn._xlws.FILTER(INDIRECT(P$1&amp;"!$E1:$E10000"),INDIRECT(P$1&amp;"!$a1:$a10000")=汇总!$A145),COUNTIF(INDIRECT(P$1&amp;"!$a1:$a10000"),汇总!$A145)),P144)</f>
        <v>1164.9707999999996</v>
      </c>
      <c r="Q145" s="109" cm="1">
        <f t="array" aca="1" ref="Q145" ca="1">IFERROR(INDEX(_xlfn._xlws.FILTER(INDIRECT(Q$1&amp;"!$E1:$E10000"),INDIRECT(Q$1&amp;"!$a1:$a10000")=汇总!$A145),COUNTIF(INDIRECT(Q$1&amp;"!$a1:$a10000"),汇总!$A145)),Q144)</f>
        <v>32.504124999999021</v>
      </c>
      <c r="R145" s="109" cm="1">
        <f t="array" aca="1" ref="R145" ca="1">IFERROR(INDEX(_xlfn._xlws.FILTER(INDIRECT(R$1&amp;"!$E1:$E10000"),INDIRECT(R$1&amp;"!$a1:$a10000")=汇总!$A145),COUNTIF(INDIRECT(R$1&amp;"!$a1:$a10000"),汇总!$A145)),R144)</f>
        <v>5341.3357227534243</v>
      </c>
      <c r="S145" s="109" cm="1">
        <f t="array" aca="1" ref="S145" ca="1">IFERROR(INDEX(_xlfn._xlws.FILTER(INDIRECT(S$1&amp;"!$E1:$E10000"),INDIRECT(S$1&amp;"!$a1:$a10000")=汇总!$A145),COUNTIF(INDIRECT(S$1&amp;"!$a1:$a10000"),汇总!$A145)),S144)</f>
        <v>1146.8800000000001</v>
      </c>
      <c r="T145" s="109" cm="1">
        <f t="array" aca="1" ref="T145" ca="1">IFERROR(INDEX(_xlfn._xlws.FILTER(INDIRECT(T$1&amp;"!$E1:$E10000"),INDIRECT(T$1&amp;"!$a1:$a10000")=汇总!$A145),COUNTIF(INDIRECT(T$1&amp;"!$a1:$a10000"),汇总!$A145)),T144)</f>
        <v>8627.43</v>
      </c>
    </row>
    <row r="146" spans="1:20">
      <c r="A146" s="1">
        <f t="shared" si="5"/>
        <v>46167</v>
      </c>
      <c r="B146" s="109" cm="1">
        <f t="array" aca="1" ref="B146" ca="1">IFERROR(INDEX(_xlfn._xlws.FILTER(INDIRECT(B$1&amp;"!$E1:$E10000"),INDIRECT(B$1&amp;"!$a1:$a10000")=汇总!$A146),COUNTIF(INDIRECT(B$1&amp;"!$a1:$a10000"),汇总!$A146)),B145)</f>
        <v>869.52065600000014</v>
      </c>
      <c r="C146" s="109" cm="1">
        <f t="array" aca="1" ref="C146" ca="1">IFERROR(INDEX(_xlfn._xlws.FILTER(INDIRECT(C$1&amp;"!$E1:$E10000"),INDIRECT(C$1&amp;"!$a1:$a10000")=汇总!$A146),COUNTIF(INDIRECT(C$1&amp;"!$a1:$a10000"),汇总!$A146)),C145)</f>
        <v>2090</v>
      </c>
      <c r="D146" s="109" cm="1">
        <f t="array" aca="1" ref="D146" ca="1">IFERROR(INDEX(_xlfn._xlws.FILTER(INDIRECT(D$1&amp;"!$E1:$E10000"),INDIRECT(D$1&amp;"!$a1:$a10000")=汇总!$A146),COUNTIF(INDIRECT(D$1&amp;"!$a1:$a10000"),汇总!$A146)),D145)</f>
        <v>4178.5934050000005</v>
      </c>
      <c r="E146" s="109" cm="1">
        <f t="array" aca="1" ref="E146" ca="1">IFERROR(INDEX(_xlfn._xlws.FILTER(INDIRECT(E$1&amp;"!$E1:$E10000"),INDIRECT(E$1&amp;"!$a1:$a10000")=汇总!$A146),COUNTIF(INDIRECT(E$1&amp;"!$a1:$a10000"),汇总!$A146)),E145)</f>
        <v>2655.47309</v>
      </c>
      <c r="F146" s="109" cm="1">
        <f t="array" aca="1" ref="F146" ca="1">IFERROR(INDEX(_xlfn._xlws.FILTER(INDIRECT(F$1&amp;"!$E1:$E10000"),INDIRECT(F$1&amp;"!$a1:$a10000")=汇总!$A146),COUNTIF(INDIRECT(F$1&amp;"!$a1:$a10000"),汇总!$A146)),F145)</f>
        <v>2186.6524000000009</v>
      </c>
      <c r="G146" s="109" cm="1">
        <f t="array" aca="1" ref="G146" ca="1">IFERROR(INDEX(_xlfn._xlws.FILTER(INDIRECT(G$1&amp;"!$E1:$E10000"),INDIRECT(G$1&amp;"!$a1:$a10000")=汇总!$A146),COUNTIF(INDIRECT(G$1&amp;"!$a1:$a10000"),汇总!$A146)),G145)</f>
        <v>8108.0086599999995</v>
      </c>
      <c r="H146" s="109" cm="1">
        <f t="array" aca="1" ref="H146" ca="1">IFERROR(INDEX(_xlfn._xlws.FILTER(INDIRECT(H$1&amp;"!$E1:$E10000"),INDIRECT(H$1&amp;"!$a1:$a10000")=汇总!$A146),COUNTIF(INDIRECT(H$1&amp;"!$a1:$a10000"),汇总!$A146)),H145)</f>
        <v>40.219748999999865</v>
      </c>
      <c r="I146" s="109" cm="1">
        <f t="array" aca="1" ref="I146" ca="1">IFERROR(INDEX(_xlfn._xlws.FILTER(INDIRECT(I$1&amp;"!$E1:$E10000"),INDIRECT(I$1&amp;"!$a1:$a10000")=汇总!$A146),COUNTIF(INDIRECT(I$1&amp;"!$a1:$a10000"),汇总!$A146)),I145)</f>
        <v>151.54212099999995</v>
      </c>
      <c r="J146" s="109" cm="1">
        <f t="array" aca="1" ref="J146" ca="1">IFERROR(INDEX(_xlfn._xlws.FILTER(INDIRECT(J$1&amp;"!$E1:$E10000"),INDIRECT(J$1&amp;"!$a1:$a10000")=汇总!$A146),COUNTIF(INDIRECT(J$1&amp;"!$a1:$a10000"),汇总!$A146)),J145)</f>
        <v>0.5</v>
      </c>
      <c r="K146" s="109" cm="1">
        <f t="array" aca="1" ref="K146" ca="1">IFERROR(INDEX(_xlfn._xlws.FILTER(INDIRECT(K$1&amp;"!$E1:$E10000"),INDIRECT(K$1&amp;"!$a1:$a10000")=汇总!$A146),COUNTIF(INDIRECT(K$1&amp;"!$a1:$a10000"),汇总!$A146)),K145)</f>
        <v>66.918779999999742</v>
      </c>
      <c r="L146" s="109" cm="1">
        <f t="array" aca="1" ref="L146" ca="1">IFERROR(INDEX(_xlfn._xlws.FILTER(INDIRECT(L$1&amp;"!$E1:$E10000"),INDIRECT(L$1&amp;"!$a1:$a10000")=汇总!$A146),COUNTIF(INDIRECT(L$1&amp;"!$a1:$a10000"),汇总!$A146)),L145)</f>
        <v>116.82299999999987</v>
      </c>
      <c r="M146" s="109" cm="1">
        <f t="array" aca="1" ref="M146" ca="1">IFERROR(INDEX(_xlfn._xlws.FILTER(INDIRECT(M$1&amp;"!$E1:$E10000"),INDIRECT(M$1&amp;"!$a1:$a10000")=汇总!$A146),COUNTIF(INDIRECT(M$1&amp;"!$a1:$a10000"),汇总!$A146)),M145)</f>
        <v>236.1466599999996</v>
      </c>
      <c r="N146" s="109" cm="1">
        <f t="array" aca="1" ref="N146" ca="1">IFERROR(INDEX(_xlfn._xlws.FILTER(INDIRECT(N$1&amp;"!$E1:$E10000"),INDIRECT(N$1&amp;"!$a1:$a10000")=汇总!$A146),COUNTIF(INDIRECT(N$1&amp;"!$a1:$a10000"),汇总!$A146)),N145)</f>
        <v>2069.5203869999987</v>
      </c>
      <c r="O146" s="109" cm="1">
        <f t="array" aca="1" ref="O146" ca="1">IFERROR(INDEX(_xlfn._xlws.FILTER(INDIRECT(O$1&amp;"!$E1:$E10000"),INDIRECT(O$1&amp;"!$a1:$a10000")=汇总!$A146),COUNTIF(INDIRECT(O$1&amp;"!$a1:$a10000"),汇总!$A146)),O145)</f>
        <v>2</v>
      </c>
      <c r="P146" s="109" cm="1">
        <f t="array" aca="1" ref="P146" ca="1">IFERROR(INDEX(_xlfn._xlws.FILTER(INDIRECT(P$1&amp;"!$E1:$E10000"),INDIRECT(P$1&amp;"!$a1:$a10000")=汇总!$A146),COUNTIF(INDIRECT(P$1&amp;"!$a1:$a10000"),汇总!$A146)),P145)</f>
        <v>1164.9707999999996</v>
      </c>
      <c r="Q146" s="109" cm="1">
        <f t="array" aca="1" ref="Q146" ca="1">IFERROR(INDEX(_xlfn._xlws.FILTER(INDIRECT(Q$1&amp;"!$E1:$E10000"),INDIRECT(Q$1&amp;"!$a1:$a10000")=汇总!$A146),COUNTIF(INDIRECT(Q$1&amp;"!$a1:$a10000"),汇总!$A146)),Q145)</f>
        <v>32.504124999999021</v>
      </c>
      <c r="R146" s="109" cm="1">
        <f t="array" aca="1" ref="R146" ca="1">IFERROR(INDEX(_xlfn._xlws.FILTER(INDIRECT(R$1&amp;"!$E1:$E10000"),INDIRECT(R$1&amp;"!$a1:$a10000")=汇总!$A146),COUNTIF(INDIRECT(R$1&amp;"!$a1:$a10000"),汇总!$A146)),R145)</f>
        <v>5341.3357227534243</v>
      </c>
      <c r="S146" s="109" cm="1">
        <f t="array" aca="1" ref="S146" ca="1">IFERROR(INDEX(_xlfn._xlws.FILTER(INDIRECT(S$1&amp;"!$E1:$E10000"),INDIRECT(S$1&amp;"!$a1:$a10000")=汇总!$A146),COUNTIF(INDIRECT(S$1&amp;"!$a1:$a10000"),汇总!$A146)),S145)</f>
        <v>1146.8800000000001</v>
      </c>
      <c r="T146" s="109" cm="1">
        <f t="array" aca="1" ref="T146" ca="1">IFERROR(INDEX(_xlfn._xlws.FILTER(INDIRECT(T$1&amp;"!$E1:$E10000"),INDIRECT(T$1&amp;"!$a1:$a10000")=汇总!$A146),COUNTIF(INDIRECT(T$1&amp;"!$a1:$a10000"),汇总!$A146)),T145)</f>
        <v>8627.43</v>
      </c>
    </row>
    <row r="147" spans="1:20">
      <c r="A147" s="1">
        <f t="shared" si="5"/>
        <v>46168</v>
      </c>
      <c r="B147" s="109" cm="1">
        <f t="array" aca="1" ref="B147" ca="1">IFERROR(INDEX(_xlfn._xlws.FILTER(INDIRECT(B$1&amp;"!$E1:$E10000"),INDIRECT(B$1&amp;"!$a1:$a10000")=汇总!$A147),COUNTIF(INDIRECT(B$1&amp;"!$a1:$a10000"),汇总!$A147)),B146)</f>
        <v>369.52065600000014</v>
      </c>
      <c r="C147" s="109" cm="1">
        <f t="array" aca="1" ref="C147" ca="1">IFERROR(INDEX(_xlfn._xlws.FILTER(INDIRECT(C$1&amp;"!$E1:$E10000"),INDIRECT(C$1&amp;"!$a1:$a10000")=汇总!$A147),COUNTIF(INDIRECT(C$1&amp;"!$a1:$a10000"),汇总!$A147)),C146)</f>
        <v>2090</v>
      </c>
      <c r="D147" s="109" cm="1">
        <f t="array" aca="1" ref="D147" ca="1">IFERROR(INDEX(_xlfn._xlws.FILTER(INDIRECT(D$1&amp;"!$E1:$E10000"),INDIRECT(D$1&amp;"!$a1:$a10000")=汇总!$A147),COUNTIF(INDIRECT(D$1&amp;"!$a1:$a10000"),汇总!$A147)),D146)</f>
        <v>4178.5934050000005</v>
      </c>
      <c r="E147" s="109" cm="1">
        <f t="array" aca="1" ref="E147" ca="1">IFERROR(INDEX(_xlfn._xlws.FILTER(INDIRECT(E$1&amp;"!$E1:$E10000"),INDIRECT(E$1&amp;"!$a1:$a10000")=汇总!$A147),COUNTIF(INDIRECT(E$1&amp;"!$a1:$a10000"),汇总!$A147)),E146)</f>
        <v>2655.47309</v>
      </c>
      <c r="F147" s="109" cm="1">
        <f t="array" aca="1" ref="F147" ca="1">IFERROR(INDEX(_xlfn._xlws.FILTER(INDIRECT(F$1&amp;"!$E1:$E10000"),INDIRECT(F$1&amp;"!$a1:$a10000")=汇总!$A147),COUNTIF(INDIRECT(F$1&amp;"!$a1:$a10000"),汇总!$A147)),F146)</f>
        <v>2186.6524000000009</v>
      </c>
      <c r="G147" s="109" cm="1">
        <f t="array" aca="1" ref="G147" ca="1">IFERROR(INDEX(_xlfn._xlws.FILTER(INDIRECT(G$1&amp;"!$E1:$E10000"),INDIRECT(G$1&amp;"!$a1:$a10000")=汇总!$A147),COUNTIF(INDIRECT(G$1&amp;"!$a1:$a10000"),汇总!$A147)),G146)</f>
        <v>9558.0086599999995</v>
      </c>
      <c r="H147" s="109" cm="1">
        <f t="array" aca="1" ref="H147" ca="1">IFERROR(INDEX(_xlfn._xlws.FILTER(INDIRECT(H$1&amp;"!$E1:$E10000"),INDIRECT(H$1&amp;"!$a1:$a10000")=汇总!$A147),COUNTIF(INDIRECT(H$1&amp;"!$a1:$a10000"),汇总!$A147)),H146)</f>
        <v>40.219748999999865</v>
      </c>
      <c r="I147" s="109" cm="1">
        <f t="array" aca="1" ref="I147" ca="1">IFERROR(INDEX(_xlfn._xlws.FILTER(INDIRECT(I$1&amp;"!$E1:$E10000"),INDIRECT(I$1&amp;"!$a1:$a10000")=汇总!$A147),COUNTIF(INDIRECT(I$1&amp;"!$a1:$a10000"),汇总!$A147)),I146)</f>
        <v>651.54212099999995</v>
      </c>
      <c r="J147" s="109" cm="1">
        <f t="array" aca="1" ref="J147" ca="1">IFERROR(INDEX(_xlfn._xlws.FILTER(INDIRECT(J$1&amp;"!$E1:$E10000"),INDIRECT(J$1&amp;"!$a1:$a10000")=汇总!$A147),COUNTIF(INDIRECT(J$1&amp;"!$a1:$a10000"),汇总!$A147)),J146)</f>
        <v>0.5</v>
      </c>
      <c r="K147" s="109" cm="1">
        <f t="array" aca="1" ref="K147" ca="1">IFERROR(INDEX(_xlfn._xlws.FILTER(INDIRECT(K$1&amp;"!$E1:$E10000"),INDIRECT(K$1&amp;"!$a1:$a10000")=汇总!$A147),COUNTIF(INDIRECT(K$1&amp;"!$a1:$a10000"),汇总!$A147)),K146)</f>
        <v>66.918779999999742</v>
      </c>
      <c r="L147" s="109" cm="1">
        <f t="array" aca="1" ref="L147" ca="1">IFERROR(INDEX(_xlfn._xlws.FILTER(INDIRECT(L$1&amp;"!$E1:$E10000"),INDIRECT(L$1&amp;"!$a1:$a10000")=汇总!$A147),COUNTIF(INDIRECT(L$1&amp;"!$a1:$a10000"),汇总!$A147)),L146)</f>
        <v>116.82299999999987</v>
      </c>
      <c r="M147" s="109" cm="1">
        <f t="array" aca="1" ref="M147" ca="1">IFERROR(INDEX(_xlfn._xlws.FILTER(INDIRECT(M$1&amp;"!$E1:$E10000"),INDIRECT(M$1&amp;"!$a1:$a10000")=汇总!$A147),COUNTIF(INDIRECT(M$1&amp;"!$a1:$a10000"),汇总!$A147)),M146)</f>
        <v>236.1466599999996</v>
      </c>
      <c r="N147" s="109" cm="1">
        <f t="array" aca="1" ref="N147" ca="1">IFERROR(INDEX(_xlfn._xlws.FILTER(INDIRECT(N$1&amp;"!$E1:$E10000"),INDIRECT(N$1&amp;"!$a1:$a10000")=汇总!$A147),COUNTIF(INDIRECT(N$1&amp;"!$a1:$a10000"),汇总!$A147)),N146)</f>
        <v>2069.5203869999987</v>
      </c>
      <c r="O147" s="109" cm="1">
        <f t="array" aca="1" ref="O147" ca="1">IFERROR(INDEX(_xlfn._xlws.FILTER(INDIRECT(O$1&amp;"!$E1:$E10000"),INDIRECT(O$1&amp;"!$a1:$a10000")=汇总!$A147),COUNTIF(INDIRECT(O$1&amp;"!$a1:$a10000"),汇总!$A147)),O146)</f>
        <v>2</v>
      </c>
      <c r="P147" s="109" cm="1">
        <f t="array" aca="1" ref="P147" ca="1">IFERROR(INDEX(_xlfn._xlws.FILTER(INDIRECT(P$1&amp;"!$E1:$E10000"),INDIRECT(P$1&amp;"!$a1:$a10000")=汇总!$A147),COUNTIF(INDIRECT(P$1&amp;"!$a1:$a10000"),汇总!$A147)),P146)</f>
        <v>1164.9707999999996</v>
      </c>
      <c r="Q147" s="109" cm="1">
        <f t="array" aca="1" ref="Q147" ca="1">IFERROR(INDEX(_xlfn._xlws.FILTER(INDIRECT(Q$1&amp;"!$E1:$E10000"),INDIRECT(Q$1&amp;"!$a1:$a10000")=汇总!$A147),COUNTIF(INDIRECT(Q$1&amp;"!$a1:$a10000"),汇总!$A147)),Q146)</f>
        <v>32.504124999999021</v>
      </c>
      <c r="R147" s="109" cm="1">
        <f t="array" aca="1" ref="R147" ca="1">IFERROR(INDEX(_xlfn._xlws.FILTER(INDIRECT(R$1&amp;"!$E1:$E10000"),INDIRECT(R$1&amp;"!$a1:$a10000")=汇总!$A147),COUNTIF(INDIRECT(R$1&amp;"!$a1:$a10000"),汇总!$A147)),R146)</f>
        <v>5341.3357227534243</v>
      </c>
      <c r="S147" s="109" cm="1">
        <f t="array" aca="1" ref="S147" ca="1">IFERROR(INDEX(_xlfn._xlws.FILTER(INDIRECT(S$1&amp;"!$E1:$E10000"),INDIRECT(S$1&amp;"!$a1:$a10000")=汇总!$A147),COUNTIF(INDIRECT(S$1&amp;"!$a1:$a10000"),汇总!$A147)),S146)</f>
        <v>1146.8800000000001</v>
      </c>
      <c r="T147" s="109" cm="1">
        <f t="array" aca="1" ref="T147" ca="1">IFERROR(INDEX(_xlfn._xlws.FILTER(INDIRECT(T$1&amp;"!$E1:$E10000"),INDIRECT(T$1&amp;"!$a1:$a10000")=汇总!$A147),COUNTIF(INDIRECT(T$1&amp;"!$a1:$a10000"),汇总!$A147)),T146)</f>
        <v>6502.43</v>
      </c>
    </row>
    <row r="148" spans="1:20">
      <c r="A148" s="1">
        <f t="shared" si="5"/>
        <v>46169</v>
      </c>
      <c r="B148" s="109" cm="1">
        <f t="array" aca="1" ref="B148" ca="1">IFERROR(INDEX(_xlfn._xlws.FILTER(INDIRECT(B$1&amp;"!$E1:$E10000"),INDIRECT(B$1&amp;"!$a1:$a10000")=汇总!$A148),COUNTIF(INDIRECT(B$1&amp;"!$a1:$a10000"),汇总!$A148)),B147)</f>
        <v>369.52065600000014</v>
      </c>
      <c r="C148" s="109" cm="1">
        <f t="array" aca="1" ref="C148" ca="1">IFERROR(INDEX(_xlfn._xlws.FILTER(INDIRECT(C$1&amp;"!$E1:$E10000"),INDIRECT(C$1&amp;"!$a1:$a10000")=汇总!$A148),COUNTIF(INDIRECT(C$1&amp;"!$a1:$a10000"),汇总!$A148)),C147)</f>
        <v>2090</v>
      </c>
      <c r="D148" s="109" cm="1">
        <f t="array" aca="1" ref="D148" ca="1">IFERROR(INDEX(_xlfn._xlws.FILTER(INDIRECT(D$1&amp;"!$E1:$E10000"),INDIRECT(D$1&amp;"!$a1:$a10000")=汇总!$A148),COUNTIF(INDIRECT(D$1&amp;"!$a1:$a10000"),汇总!$A148)),D147)</f>
        <v>4037.2334050000004</v>
      </c>
      <c r="E148" s="109" cm="1">
        <f t="array" aca="1" ref="E148" ca="1">IFERROR(INDEX(_xlfn._xlws.FILTER(INDIRECT(E$1&amp;"!$E1:$E10000"),INDIRECT(E$1&amp;"!$a1:$a10000")=汇总!$A148),COUNTIF(INDIRECT(E$1&amp;"!$a1:$a10000"),汇总!$A148)),E147)</f>
        <v>2655.47309</v>
      </c>
      <c r="F148" s="109" cm="1">
        <f t="array" aca="1" ref="F148" ca="1">IFERROR(INDEX(_xlfn._xlws.FILTER(INDIRECT(F$1&amp;"!$E1:$E10000"),INDIRECT(F$1&amp;"!$a1:$a10000")=汇总!$A148),COUNTIF(INDIRECT(F$1&amp;"!$a1:$a10000"),汇总!$A148)),F147)</f>
        <v>2186.6524000000009</v>
      </c>
      <c r="G148" s="109" cm="1">
        <f t="array" aca="1" ref="G148" ca="1">IFERROR(INDEX(_xlfn._xlws.FILTER(INDIRECT(G$1&amp;"!$E1:$E10000"),INDIRECT(G$1&amp;"!$a1:$a10000")=汇总!$A148),COUNTIF(INDIRECT(G$1&amp;"!$a1:$a10000"),汇总!$A148)),G147)</f>
        <v>9558.0086599999995</v>
      </c>
      <c r="H148" s="109" cm="1">
        <f t="array" aca="1" ref="H148" ca="1">IFERROR(INDEX(_xlfn._xlws.FILTER(INDIRECT(H$1&amp;"!$E1:$E10000"),INDIRECT(H$1&amp;"!$a1:$a10000")=汇总!$A148),COUNTIF(INDIRECT(H$1&amp;"!$a1:$a10000"),汇总!$A148)),H147)</f>
        <v>40.219748999999865</v>
      </c>
      <c r="I148" s="109" cm="1">
        <f t="array" aca="1" ref="I148" ca="1">IFERROR(INDEX(_xlfn._xlws.FILTER(INDIRECT(I$1&amp;"!$E1:$E10000"),INDIRECT(I$1&amp;"!$a1:$a10000")=汇总!$A148),COUNTIF(INDIRECT(I$1&amp;"!$a1:$a10000"),汇总!$A148)),I147)</f>
        <v>651.54212099999995</v>
      </c>
      <c r="J148" s="109" cm="1">
        <f t="array" aca="1" ref="J148" ca="1">IFERROR(INDEX(_xlfn._xlws.FILTER(INDIRECT(J$1&amp;"!$E1:$E10000"),INDIRECT(J$1&amp;"!$a1:$a10000")=汇总!$A148),COUNTIF(INDIRECT(J$1&amp;"!$a1:$a10000"),汇总!$A148)),J147)</f>
        <v>0.5</v>
      </c>
      <c r="K148" s="109" cm="1">
        <f t="array" aca="1" ref="K148" ca="1">IFERROR(INDEX(_xlfn._xlws.FILTER(INDIRECT(K$1&amp;"!$E1:$E10000"),INDIRECT(K$1&amp;"!$a1:$a10000")=汇总!$A148),COUNTIF(INDIRECT(K$1&amp;"!$a1:$a10000"),汇总!$A148)),K147)</f>
        <v>166.91877999999974</v>
      </c>
      <c r="L148" s="109" cm="1">
        <f t="array" aca="1" ref="L148" ca="1">IFERROR(INDEX(_xlfn._xlws.FILTER(INDIRECT(L$1&amp;"!$E1:$E10000"),INDIRECT(L$1&amp;"!$a1:$a10000")=汇总!$A148),COUNTIF(INDIRECT(L$1&amp;"!$a1:$a10000"),汇总!$A148)),L147)</f>
        <v>116.82299999999987</v>
      </c>
      <c r="M148" s="109" cm="1">
        <f t="array" aca="1" ref="M148" ca="1">IFERROR(INDEX(_xlfn._xlws.FILTER(INDIRECT(M$1&amp;"!$E1:$E10000"),INDIRECT(M$1&amp;"!$a1:$a10000")=汇总!$A148),COUNTIF(INDIRECT(M$1&amp;"!$a1:$a10000"),汇总!$A148)),M147)</f>
        <v>236.1466599999996</v>
      </c>
      <c r="N148" s="109" cm="1">
        <f t="array" aca="1" ref="N148" ca="1">IFERROR(INDEX(_xlfn._xlws.FILTER(INDIRECT(N$1&amp;"!$E1:$E10000"),INDIRECT(N$1&amp;"!$a1:$a10000")=汇总!$A148),COUNTIF(INDIRECT(N$1&amp;"!$a1:$a10000"),汇总!$A148)),N147)</f>
        <v>2069.5203869999987</v>
      </c>
      <c r="O148" s="109" cm="1">
        <f t="array" aca="1" ref="O148" ca="1">IFERROR(INDEX(_xlfn._xlws.FILTER(INDIRECT(O$1&amp;"!$E1:$E10000"),INDIRECT(O$1&amp;"!$a1:$a10000")=汇总!$A148),COUNTIF(INDIRECT(O$1&amp;"!$a1:$a10000"),汇总!$A148)),O147)</f>
        <v>2</v>
      </c>
      <c r="P148" s="109" cm="1">
        <f t="array" aca="1" ref="P148" ca="1">IFERROR(INDEX(_xlfn._xlws.FILTER(INDIRECT(P$1&amp;"!$E1:$E10000"),INDIRECT(P$1&amp;"!$a1:$a10000")=汇总!$A148),COUNTIF(INDIRECT(P$1&amp;"!$a1:$a10000"),汇总!$A148)),P147)</f>
        <v>1164.9707999999996</v>
      </c>
      <c r="Q148" s="109" cm="1">
        <f t="array" aca="1" ref="Q148" ca="1">IFERROR(INDEX(_xlfn._xlws.FILTER(INDIRECT(Q$1&amp;"!$E1:$E10000"),INDIRECT(Q$1&amp;"!$a1:$a10000")=汇总!$A148),COUNTIF(INDIRECT(Q$1&amp;"!$a1:$a10000"),汇总!$A148)),Q147)</f>
        <v>32.504124999999021</v>
      </c>
      <c r="R148" s="109" cm="1">
        <f t="array" aca="1" ref="R148" ca="1">IFERROR(INDEX(_xlfn._xlws.FILTER(INDIRECT(R$1&amp;"!$E1:$E10000"),INDIRECT(R$1&amp;"!$a1:$a10000")=汇总!$A148),COUNTIF(INDIRECT(R$1&amp;"!$a1:$a10000"),汇总!$A148)),R147)</f>
        <v>5341.3357227534243</v>
      </c>
      <c r="S148" s="109" cm="1">
        <f t="array" aca="1" ref="S148" ca="1">IFERROR(INDEX(_xlfn._xlws.FILTER(INDIRECT(S$1&amp;"!$E1:$E10000"),INDIRECT(S$1&amp;"!$a1:$a10000")=汇总!$A148),COUNTIF(INDIRECT(S$1&amp;"!$a1:$a10000"),汇总!$A148)),S147)</f>
        <v>1146.8800000000001</v>
      </c>
      <c r="T148" s="109" cm="1">
        <f t="array" aca="1" ref="T148" ca="1">IFERROR(INDEX(_xlfn._xlws.FILTER(INDIRECT(T$1&amp;"!$E1:$E10000"),INDIRECT(T$1&amp;"!$a1:$a10000")=汇总!$A148),COUNTIF(INDIRECT(T$1&amp;"!$a1:$a10000"),汇总!$A148)),T147)</f>
        <v>6502.43</v>
      </c>
    </row>
    <row r="149" spans="1:20">
      <c r="A149" s="1">
        <f t="shared" si="5"/>
        <v>46170</v>
      </c>
      <c r="B149" s="109" cm="1">
        <f t="array" aca="1" ref="B149" ca="1">IFERROR(INDEX(_xlfn._xlws.FILTER(INDIRECT(B$1&amp;"!$E1:$E10000"),INDIRECT(B$1&amp;"!$a1:$a10000")=汇总!$A149),COUNTIF(INDIRECT(B$1&amp;"!$a1:$a10000"),汇总!$A149)),B148)</f>
        <v>78.592656000000147</v>
      </c>
      <c r="C149" s="109" cm="1">
        <f t="array" aca="1" ref="C149" ca="1">IFERROR(INDEX(_xlfn._xlws.FILTER(INDIRECT(C$1&amp;"!$E1:$E10000"),INDIRECT(C$1&amp;"!$a1:$a10000")=汇总!$A149),COUNTIF(INDIRECT(C$1&amp;"!$a1:$a10000"),汇总!$A149)),C148)</f>
        <v>2090</v>
      </c>
      <c r="D149" s="109" cm="1">
        <f t="array" aca="1" ref="D149" ca="1">IFERROR(INDEX(_xlfn._xlws.FILTER(INDIRECT(D$1&amp;"!$E1:$E10000"),INDIRECT(D$1&amp;"!$a1:$a10000")=汇总!$A149),COUNTIF(INDIRECT(D$1&amp;"!$a1:$a10000"),汇总!$A149)),D148)</f>
        <v>4037.2334050000004</v>
      </c>
      <c r="E149" s="109" cm="1">
        <f t="array" aca="1" ref="E149" ca="1">IFERROR(INDEX(_xlfn._xlws.FILTER(INDIRECT(E$1&amp;"!$E1:$E10000"),INDIRECT(E$1&amp;"!$a1:$a10000")=汇总!$A149),COUNTIF(INDIRECT(E$1&amp;"!$a1:$a10000"),汇总!$A149)),E148)</f>
        <v>-414.52691000000004</v>
      </c>
      <c r="F149" s="109" cm="1">
        <f t="array" aca="1" ref="F149" ca="1">IFERROR(INDEX(_xlfn._xlws.FILTER(INDIRECT(F$1&amp;"!$E1:$E10000"),INDIRECT(F$1&amp;"!$a1:$a10000")=汇总!$A149),COUNTIF(INDIRECT(F$1&amp;"!$a1:$a10000"),汇总!$A149)),F148)</f>
        <v>2186.6524000000009</v>
      </c>
      <c r="G149" s="109" cm="1">
        <f t="array" aca="1" ref="G149" ca="1">IFERROR(INDEX(_xlfn._xlws.FILTER(INDIRECT(G$1&amp;"!$E1:$E10000"),INDIRECT(G$1&amp;"!$a1:$a10000")=汇总!$A149),COUNTIF(INDIRECT(G$1&amp;"!$a1:$a10000"),汇总!$A149)),G148)</f>
        <v>9558.0086599999995</v>
      </c>
      <c r="H149" s="109" cm="1">
        <f t="array" aca="1" ref="H149" ca="1">IFERROR(INDEX(_xlfn._xlws.FILTER(INDIRECT(H$1&amp;"!$E1:$E10000"),INDIRECT(H$1&amp;"!$a1:$a10000")=汇总!$A149),COUNTIF(INDIRECT(H$1&amp;"!$a1:$a10000"),汇总!$A149)),H148)</f>
        <v>40.219748999999865</v>
      </c>
      <c r="I149" s="109" cm="1">
        <f t="array" aca="1" ref="I149" ca="1">IFERROR(INDEX(_xlfn._xlws.FILTER(INDIRECT(I$1&amp;"!$E1:$E10000"),INDIRECT(I$1&amp;"!$a1:$a10000")=汇总!$A149),COUNTIF(INDIRECT(I$1&amp;"!$a1:$a10000"),汇总!$A149)),I148)</f>
        <v>14.342120999999906</v>
      </c>
      <c r="J149" s="109" cm="1">
        <f t="array" aca="1" ref="J149" ca="1">IFERROR(INDEX(_xlfn._xlws.FILTER(INDIRECT(J$1&amp;"!$E1:$E10000"),INDIRECT(J$1&amp;"!$a1:$a10000")=汇总!$A149),COUNTIF(INDIRECT(J$1&amp;"!$a1:$a10000"),汇总!$A149)),J148)</f>
        <v>0.5</v>
      </c>
      <c r="K149" s="109" cm="1">
        <f t="array" aca="1" ref="K149" ca="1">IFERROR(INDEX(_xlfn._xlws.FILTER(INDIRECT(K$1&amp;"!$E1:$E10000"),INDIRECT(K$1&amp;"!$a1:$a10000")=汇总!$A149),COUNTIF(INDIRECT(K$1&amp;"!$a1:$a10000"),汇总!$A149)),K148)</f>
        <v>166.91877999999974</v>
      </c>
      <c r="L149" s="109" cm="1">
        <f t="array" aca="1" ref="L149" ca="1">IFERROR(INDEX(_xlfn._xlws.FILTER(INDIRECT(L$1&amp;"!$E1:$E10000"),INDIRECT(L$1&amp;"!$a1:$a10000")=汇总!$A149),COUNTIF(INDIRECT(L$1&amp;"!$a1:$a10000"),汇总!$A149)),L148)</f>
        <v>116.82299999999987</v>
      </c>
      <c r="M149" s="109" cm="1">
        <f t="array" aca="1" ref="M149" ca="1">IFERROR(INDEX(_xlfn._xlws.FILTER(INDIRECT(M$1&amp;"!$E1:$E10000"),INDIRECT(M$1&amp;"!$a1:$a10000")=汇总!$A149),COUNTIF(INDIRECT(M$1&amp;"!$a1:$a10000"),汇总!$A149)),M148)</f>
        <v>236.1466599999996</v>
      </c>
      <c r="N149" s="109" cm="1">
        <f t="array" aca="1" ref="N149" ca="1">IFERROR(INDEX(_xlfn._xlws.FILTER(INDIRECT(N$1&amp;"!$E1:$E10000"),INDIRECT(N$1&amp;"!$a1:$a10000")=汇总!$A149),COUNTIF(INDIRECT(N$1&amp;"!$a1:$a10000"),汇总!$A149)),N148)</f>
        <v>2069.5203869999987</v>
      </c>
      <c r="O149" s="109" cm="1">
        <f t="array" aca="1" ref="O149" ca="1">IFERROR(INDEX(_xlfn._xlws.FILTER(INDIRECT(O$1&amp;"!$E1:$E10000"),INDIRECT(O$1&amp;"!$a1:$a10000")=汇总!$A149),COUNTIF(INDIRECT(O$1&amp;"!$a1:$a10000"),汇总!$A149)),O148)</f>
        <v>2</v>
      </c>
      <c r="P149" s="109" cm="1">
        <f t="array" aca="1" ref="P149" ca="1">IFERROR(INDEX(_xlfn._xlws.FILTER(INDIRECT(P$1&amp;"!$E1:$E10000"),INDIRECT(P$1&amp;"!$a1:$a10000")=汇总!$A149),COUNTIF(INDIRECT(P$1&amp;"!$a1:$a10000"),汇总!$A149)),P148)</f>
        <v>1364.9707999999996</v>
      </c>
      <c r="Q149" s="109" cm="1">
        <f t="array" aca="1" ref="Q149" ca="1">IFERROR(INDEX(_xlfn._xlws.FILTER(INDIRECT(Q$1&amp;"!$E1:$E10000"),INDIRECT(Q$1&amp;"!$a1:$a10000")=汇总!$A149),COUNTIF(INDIRECT(Q$1&amp;"!$a1:$a10000"),汇总!$A149)),Q148)</f>
        <v>32.504124999999021</v>
      </c>
      <c r="R149" s="109" cm="1">
        <f t="array" aca="1" ref="R149" ca="1">IFERROR(INDEX(_xlfn._xlws.FILTER(INDIRECT(R$1&amp;"!$E1:$E10000"),INDIRECT(R$1&amp;"!$a1:$a10000")=汇总!$A149),COUNTIF(INDIRECT(R$1&amp;"!$a1:$a10000"),汇总!$A149)),R148)</f>
        <v>5341.3357227534243</v>
      </c>
      <c r="S149" s="109" cm="1">
        <f t="array" aca="1" ref="S149" ca="1">IFERROR(INDEX(_xlfn._xlws.FILTER(INDIRECT(S$1&amp;"!$E1:$E10000"),INDIRECT(S$1&amp;"!$a1:$a10000")=汇总!$A149),COUNTIF(INDIRECT(S$1&amp;"!$a1:$a10000"),汇总!$A149)),S148)</f>
        <v>1146.8800000000001</v>
      </c>
      <c r="T149" s="109" cm="1">
        <f t="array" aca="1" ref="T149" ca="1">IFERROR(INDEX(_xlfn._xlws.FILTER(INDIRECT(T$1&amp;"!$E1:$E10000"),INDIRECT(T$1&amp;"!$a1:$a10000")=汇总!$A149),COUNTIF(INDIRECT(T$1&amp;"!$a1:$a10000"),汇总!$A149)),T148)</f>
        <v>6502.43</v>
      </c>
    </row>
    <row r="150" spans="1:20">
      <c r="A150" s="1">
        <f t="shared" si="5"/>
        <v>46171</v>
      </c>
      <c r="B150" s="109" cm="1">
        <f t="array" aca="1" ref="B150" ca="1">IFERROR(INDEX(_xlfn._xlws.FILTER(INDIRECT(B$1&amp;"!$E1:$E10000"),INDIRECT(B$1&amp;"!$a1:$a10000")=汇总!$A150),COUNTIF(INDIRECT(B$1&amp;"!$a1:$a10000"),汇总!$A150)),B149)</f>
        <v>78.592656000000147</v>
      </c>
      <c r="C150" s="109" cm="1">
        <f t="array" aca="1" ref="C150" ca="1">IFERROR(INDEX(_xlfn._xlws.FILTER(INDIRECT(C$1&amp;"!$E1:$E10000"),INDIRECT(C$1&amp;"!$a1:$a10000")=汇总!$A150),COUNTIF(INDIRECT(C$1&amp;"!$a1:$a10000"),汇总!$A150)),C149)</f>
        <v>2090</v>
      </c>
      <c r="D150" s="109" cm="1">
        <f t="array" aca="1" ref="D150" ca="1">IFERROR(INDEX(_xlfn._xlws.FILTER(INDIRECT(D$1&amp;"!$E1:$E10000"),INDIRECT(D$1&amp;"!$a1:$a10000")=汇总!$A150),COUNTIF(INDIRECT(D$1&amp;"!$a1:$a10000"),汇总!$A150)),D149)</f>
        <v>4037.2334050000004</v>
      </c>
      <c r="E150" s="109" cm="1">
        <f t="array" aca="1" ref="E150" ca="1">IFERROR(INDEX(_xlfn._xlws.FILTER(INDIRECT(E$1&amp;"!$E1:$E10000"),INDIRECT(E$1&amp;"!$a1:$a10000")=汇总!$A150),COUNTIF(INDIRECT(E$1&amp;"!$a1:$a10000"),汇总!$A150)),E149)</f>
        <v>-414.52691000000004</v>
      </c>
      <c r="F150" s="109" cm="1">
        <f t="array" aca="1" ref="F150" ca="1">IFERROR(INDEX(_xlfn._xlws.FILTER(INDIRECT(F$1&amp;"!$E1:$E10000"),INDIRECT(F$1&amp;"!$a1:$a10000")=汇总!$A150),COUNTIF(INDIRECT(F$1&amp;"!$a1:$a10000"),汇总!$A150)),F149)</f>
        <v>2186.6524000000009</v>
      </c>
      <c r="G150" s="109" cm="1">
        <f t="array" aca="1" ref="G150" ca="1">IFERROR(INDEX(_xlfn._xlws.FILTER(INDIRECT(G$1&amp;"!$E1:$E10000"),INDIRECT(G$1&amp;"!$a1:$a10000")=汇总!$A150),COUNTIF(INDIRECT(G$1&amp;"!$a1:$a10000"),汇总!$A150)),G149)</f>
        <v>9558.0086599999995</v>
      </c>
      <c r="H150" s="109" cm="1">
        <f t="array" aca="1" ref="H150" ca="1">IFERROR(INDEX(_xlfn._xlws.FILTER(INDIRECT(H$1&amp;"!$E1:$E10000"),INDIRECT(H$1&amp;"!$a1:$a10000")=汇总!$A150),COUNTIF(INDIRECT(H$1&amp;"!$a1:$a10000"),汇总!$A150)),H149)</f>
        <v>40.219748999999865</v>
      </c>
      <c r="I150" s="109" cm="1">
        <f t="array" aca="1" ref="I150" ca="1">IFERROR(INDEX(_xlfn._xlws.FILTER(INDIRECT(I$1&amp;"!$E1:$E10000"),INDIRECT(I$1&amp;"!$a1:$a10000")=汇总!$A150),COUNTIF(INDIRECT(I$1&amp;"!$a1:$a10000"),汇总!$A150)),I149)</f>
        <v>14.342120999999906</v>
      </c>
      <c r="J150" s="109" cm="1">
        <f t="array" aca="1" ref="J150" ca="1">IFERROR(INDEX(_xlfn._xlws.FILTER(INDIRECT(J$1&amp;"!$E1:$E10000"),INDIRECT(J$1&amp;"!$a1:$a10000")=汇总!$A150),COUNTIF(INDIRECT(J$1&amp;"!$a1:$a10000"),汇总!$A150)),J149)</f>
        <v>0.5</v>
      </c>
      <c r="K150" s="109" cm="1">
        <f t="array" aca="1" ref="K150" ca="1">IFERROR(INDEX(_xlfn._xlws.FILTER(INDIRECT(K$1&amp;"!$E1:$E10000"),INDIRECT(K$1&amp;"!$a1:$a10000")=汇总!$A150),COUNTIF(INDIRECT(K$1&amp;"!$a1:$a10000"),汇总!$A150)),K149)</f>
        <v>166.91877999999974</v>
      </c>
      <c r="L150" s="109" cm="1">
        <f t="array" aca="1" ref="L150" ca="1">IFERROR(INDEX(_xlfn._xlws.FILTER(INDIRECT(L$1&amp;"!$E1:$E10000"),INDIRECT(L$1&amp;"!$a1:$a10000")=汇总!$A150),COUNTIF(INDIRECT(L$1&amp;"!$a1:$a10000"),汇总!$A150)),L149)</f>
        <v>116.82299999999987</v>
      </c>
      <c r="M150" s="109" cm="1">
        <f t="array" aca="1" ref="M150" ca="1">IFERROR(INDEX(_xlfn._xlws.FILTER(INDIRECT(M$1&amp;"!$E1:$E10000"),INDIRECT(M$1&amp;"!$a1:$a10000")=汇总!$A150),COUNTIF(INDIRECT(M$1&amp;"!$a1:$a10000"),汇总!$A150)),M149)</f>
        <v>236.1466599999996</v>
      </c>
      <c r="N150" s="109" cm="1">
        <f t="array" aca="1" ref="N150" ca="1">IFERROR(INDEX(_xlfn._xlws.FILTER(INDIRECT(N$1&amp;"!$E1:$E10000"),INDIRECT(N$1&amp;"!$a1:$a10000")=汇总!$A150),COUNTIF(INDIRECT(N$1&amp;"!$a1:$a10000"),汇总!$A150)),N149)</f>
        <v>2069.5203869999987</v>
      </c>
      <c r="O150" s="109" cm="1">
        <f t="array" aca="1" ref="O150" ca="1">IFERROR(INDEX(_xlfn._xlws.FILTER(INDIRECT(O$1&amp;"!$E1:$E10000"),INDIRECT(O$1&amp;"!$a1:$a10000")=汇总!$A150),COUNTIF(INDIRECT(O$1&amp;"!$a1:$a10000"),汇总!$A150)),O149)</f>
        <v>2</v>
      </c>
      <c r="P150" s="109" cm="1">
        <f t="array" aca="1" ref="P150" ca="1">IFERROR(INDEX(_xlfn._xlws.FILTER(INDIRECT(P$1&amp;"!$E1:$E10000"),INDIRECT(P$1&amp;"!$a1:$a10000")=汇总!$A150),COUNTIF(INDIRECT(P$1&amp;"!$a1:$a10000"),汇总!$A150)),P149)</f>
        <v>1364.9707999999996</v>
      </c>
      <c r="Q150" s="109" cm="1">
        <f t="array" aca="1" ref="Q150" ca="1">IFERROR(INDEX(_xlfn._xlws.FILTER(INDIRECT(Q$1&amp;"!$E1:$E10000"),INDIRECT(Q$1&amp;"!$a1:$a10000")=汇总!$A150),COUNTIF(INDIRECT(Q$1&amp;"!$a1:$a10000"),汇总!$A150)),Q149)</f>
        <v>32.504124999999021</v>
      </c>
      <c r="R150" s="109" cm="1">
        <f t="array" aca="1" ref="R150" ca="1">IFERROR(INDEX(_xlfn._xlws.FILTER(INDIRECT(R$1&amp;"!$E1:$E10000"),INDIRECT(R$1&amp;"!$a1:$a10000")=汇总!$A150),COUNTIF(INDIRECT(R$1&amp;"!$a1:$a10000"),汇总!$A150)),R149)</f>
        <v>5341.3357227534243</v>
      </c>
      <c r="S150" s="109" cm="1">
        <f t="array" aca="1" ref="S150" ca="1">IFERROR(INDEX(_xlfn._xlws.FILTER(INDIRECT(S$1&amp;"!$E1:$E10000"),INDIRECT(S$1&amp;"!$a1:$a10000")=汇总!$A150),COUNTIF(INDIRECT(S$1&amp;"!$a1:$a10000"),汇总!$A150)),S149)</f>
        <v>1146.8800000000001</v>
      </c>
      <c r="T150" s="109" cm="1">
        <f t="array" aca="1" ref="T150" ca="1">IFERROR(INDEX(_xlfn._xlws.FILTER(INDIRECT(T$1&amp;"!$E1:$E10000"),INDIRECT(T$1&amp;"!$a1:$a10000")=汇总!$A150),COUNTIF(INDIRECT(T$1&amp;"!$a1:$a10000"),汇总!$A150)),T149)</f>
        <v>6502.43</v>
      </c>
    </row>
    <row r="151" spans="1:20">
      <c r="A151" s="1">
        <f t="shared" si="5"/>
        <v>46172</v>
      </c>
      <c r="B151" s="109" cm="1">
        <f t="array" aca="1" ref="B151" ca="1">IFERROR(INDEX(_xlfn._xlws.FILTER(INDIRECT(B$1&amp;"!$E1:$E10000"),INDIRECT(B$1&amp;"!$a1:$a10000")=汇总!$A151),COUNTIF(INDIRECT(B$1&amp;"!$a1:$a10000"),汇总!$A151)),B150)</f>
        <v>78.592656000000147</v>
      </c>
      <c r="C151" s="109" cm="1">
        <f t="array" aca="1" ref="C151" ca="1">IFERROR(INDEX(_xlfn._xlws.FILTER(INDIRECT(C$1&amp;"!$E1:$E10000"),INDIRECT(C$1&amp;"!$a1:$a10000")=汇总!$A151),COUNTIF(INDIRECT(C$1&amp;"!$a1:$a10000"),汇总!$A151)),C150)</f>
        <v>2090</v>
      </c>
      <c r="D151" s="109" cm="1">
        <f t="array" aca="1" ref="D151" ca="1">IFERROR(INDEX(_xlfn._xlws.FILTER(INDIRECT(D$1&amp;"!$E1:$E10000"),INDIRECT(D$1&amp;"!$a1:$a10000")=汇总!$A151),COUNTIF(INDIRECT(D$1&amp;"!$a1:$a10000"),汇总!$A151)),D150)</f>
        <v>4037.2334050000004</v>
      </c>
      <c r="E151" s="109" cm="1">
        <f t="array" aca="1" ref="E151" ca="1">IFERROR(INDEX(_xlfn._xlws.FILTER(INDIRECT(E$1&amp;"!$E1:$E10000"),INDIRECT(E$1&amp;"!$a1:$a10000")=汇总!$A151),COUNTIF(INDIRECT(E$1&amp;"!$a1:$a10000"),汇总!$A151)),E150)</f>
        <v>-414.52691000000004</v>
      </c>
      <c r="F151" s="109" cm="1">
        <f t="array" aca="1" ref="F151" ca="1">IFERROR(INDEX(_xlfn._xlws.FILTER(INDIRECT(F$1&amp;"!$E1:$E10000"),INDIRECT(F$1&amp;"!$a1:$a10000")=汇总!$A151),COUNTIF(INDIRECT(F$1&amp;"!$a1:$a10000"),汇总!$A151)),F150)</f>
        <v>2186.6524000000009</v>
      </c>
      <c r="G151" s="109" cm="1">
        <f t="array" aca="1" ref="G151" ca="1">IFERROR(INDEX(_xlfn._xlws.FILTER(INDIRECT(G$1&amp;"!$E1:$E10000"),INDIRECT(G$1&amp;"!$a1:$a10000")=汇总!$A151),COUNTIF(INDIRECT(G$1&amp;"!$a1:$a10000"),汇总!$A151)),G150)</f>
        <v>9558.0086599999995</v>
      </c>
      <c r="H151" s="109" cm="1">
        <f t="array" aca="1" ref="H151" ca="1">IFERROR(INDEX(_xlfn._xlws.FILTER(INDIRECT(H$1&amp;"!$E1:$E10000"),INDIRECT(H$1&amp;"!$a1:$a10000")=汇总!$A151),COUNTIF(INDIRECT(H$1&amp;"!$a1:$a10000"),汇总!$A151)),H150)</f>
        <v>40.219748999999865</v>
      </c>
      <c r="I151" s="109" cm="1">
        <f t="array" aca="1" ref="I151" ca="1">IFERROR(INDEX(_xlfn._xlws.FILTER(INDIRECT(I$1&amp;"!$E1:$E10000"),INDIRECT(I$1&amp;"!$a1:$a10000")=汇总!$A151),COUNTIF(INDIRECT(I$1&amp;"!$a1:$a10000"),汇总!$A151)),I150)</f>
        <v>14.342120999999906</v>
      </c>
      <c r="J151" s="109" cm="1">
        <f t="array" aca="1" ref="J151" ca="1">IFERROR(INDEX(_xlfn._xlws.FILTER(INDIRECT(J$1&amp;"!$E1:$E10000"),INDIRECT(J$1&amp;"!$a1:$a10000")=汇总!$A151),COUNTIF(INDIRECT(J$1&amp;"!$a1:$a10000"),汇总!$A151)),J150)</f>
        <v>0.5</v>
      </c>
      <c r="K151" s="109" cm="1">
        <f t="array" aca="1" ref="K151" ca="1">IFERROR(INDEX(_xlfn._xlws.FILTER(INDIRECT(K$1&amp;"!$E1:$E10000"),INDIRECT(K$1&amp;"!$a1:$a10000")=汇总!$A151),COUNTIF(INDIRECT(K$1&amp;"!$a1:$a10000"),汇总!$A151)),K150)</f>
        <v>166.91877999999974</v>
      </c>
      <c r="L151" s="109" cm="1">
        <f t="array" aca="1" ref="L151" ca="1">IFERROR(INDEX(_xlfn._xlws.FILTER(INDIRECT(L$1&amp;"!$E1:$E10000"),INDIRECT(L$1&amp;"!$a1:$a10000")=汇总!$A151),COUNTIF(INDIRECT(L$1&amp;"!$a1:$a10000"),汇总!$A151)),L150)</f>
        <v>116.82299999999987</v>
      </c>
      <c r="M151" s="109" cm="1">
        <f t="array" aca="1" ref="M151" ca="1">IFERROR(INDEX(_xlfn._xlws.FILTER(INDIRECT(M$1&amp;"!$E1:$E10000"),INDIRECT(M$1&amp;"!$a1:$a10000")=汇总!$A151),COUNTIF(INDIRECT(M$1&amp;"!$a1:$a10000"),汇总!$A151)),M150)</f>
        <v>236.1466599999996</v>
      </c>
      <c r="N151" s="109" cm="1">
        <f t="array" aca="1" ref="N151" ca="1">IFERROR(INDEX(_xlfn._xlws.FILTER(INDIRECT(N$1&amp;"!$E1:$E10000"),INDIRECT(N$1&amp;"!$a1:$a10000")=汇总!$A151),COUNTIF(INDIRECT(N$1&amp;"!$a1:$a10000"),汇总!$A151)),N150)</f>
        <v>2069.5203869999987</v>
      </c>
      <c r="O151" s="109" cm="1">
        <f t="array" aca="1" ref="O151" ca="1">IFERROR(INDEX(_xlfn._xlws.FILTER(INDIRECT(O$1&amp;"!$E1:$E10000"),INDIRECT(O$1&amp;"!$a1:$a10000")=汇总!$A151),COUNTIF(INDIRECT(O$1&amp;"!$a1:$a10000"),汇总!$A151)),O150)</f>
        <v>2</v>
      </c>
      <c r="P151" s="109" cm="1">
        <f t="array" aca="1" ref="P151" ca="1">IFERROR(INDEX(_xlfn._xlws.FILTER(INDIRECT(P$1&amp;"!$E1:$E10000"),INDIRECT(P$1&amp;"!$a1:$a10000")=汇总!$A151),COUNTIF(INDIRECT(P$1&amp;"!$a1:$a10000"),汇总!$A151)),P150)</f>
        <v>1364.9707999999996</v>
      </c>
      <c r="Q151" s="109" cm="1">
        <f t="array" aca="1" ref="Q151" ca="1">IFERROR(INDEX(_xlfn._xlws.FILTER(INDIRECT(Q$1&amp;"!$E1:$E10000"),INDIRECT(Q$1&amp;"!$a1:$a10000")=汇总!$A151),COUNTIF(INDIRECT(Q$1&amp;"!$a1:$a10000"),汇总!$A151)),Q150)</f>
        <v>32.504124999999021</v>
      </c>
      <c r="R151" s="109" cm="1">
        <f t="array" aca="1" ref="R151" ca="1">IFERROR(INDEX(_xlfn._xlws.FILTER(INDIRECT(R$1&amp;"!$E1:$E10000"),INDIRECT(R$1&amp;"!$a1:$a10000")=汇总!$A151),COUNTIF(INDIRECT(R$1&amp;"!$a1:$a10000"),汇总!$A151)),R150)</f>
        <v>5341.3357227534243</v>
      </c>
      <c r="S151" s="109" cm="1">
        <f t="array" aca="1" ref="S151" ca="1">IFERROR(INDEX(_xlfn._xlws.FILTER(INDIRECT(S$1&amp;"!$E1:$E10000"),INDIRECT(S$1&amp;"!$a1:$a10000")=汇总!$A151),COUNTIF(INDIRECT(S$1&amp;"!$a1:$a10000"),汇总!$A151)),S150)</f>
        <v>1146.8800000000001</v>
      </c>
      <c r="T151" s="109" cm="1">
        <f t="array" aca="1" ref="T151" ca="1">IFERROR(INDEX(_xlfn._xlws.FILTER(INDIRECT(T$1&amp;"!$E1:$E10000"),INDIRECT(T$1&amp;"!$a1:$a10000")=汇总!$A151),COUNTIF(INDIRECT(T$1&amp;"!$a1:$a10000"),汇总!$A151)),T150)</f>
        <v>6502.43</v>
      </c>
    </row>
    <row r="152" spans="1:20">
      <c r="A152" s="1">
        <f t="shared" si="5"/>
        <v>46173</v>
      </c>
      <c r="B152" s="109" cm="1">
        <f t="array" aca="1" ref="B152" ca="1">IFERROR(INDEX(_xlfn._xlws.FILTER(INDIRECT(B$1&amp;"!$E1:$E10000"),INDIRECT(B$1&amp;"!$a1:$a10000")=汇总!$A152),COUNTIF(INDIRECT(B$1&amp;"!$a1:$a10000"),汇总!$A152)),B151)</f>
        <v>78.592656000000147</v>
      </c>
      <c r="C152" s="109" cm="1">
        <f t="array" aca="1" ref="C152" ca="1">IFERROR(INDEX(_xlfn._xlws.FILTER(INDIRECT(C$1&amp;"!$E1:$E10000"),INDIRECT(C$1&amp;"!$a1:$a10000")=汇总!$A152),COUNTIF(INDIRECT(C$1&amp;"!$a1:$a10000"),汇总!$A152)),C151)</f>
        <v>2090</v>
      </c>
      <c r="D152" s="109" cm="1">
        <f t="array" aca="1" ref="D152" ca="1">IFERROR(INDEX(_xlfn._xlws.FILTER(INDIRECT(D$1&amp;"!$E1:$E10000"),INDIRECT(D$1&amp;"!$a1:$a10000")=汇总!$A152),COUNTIF(INDIRECT(D$1&amp;"!$a1:$a10000"),汇总!$A152)),D151)</f>
        <v>4037.2334050000004</v>
      </c>
      <c r="E152" s="109" cm="1">
        <f t="array" aca="1" ref="E152" ca="1">IFERROR(INDEX(_xlfn._xlws.FILTER(INDIRECT(E$1&amp;"!$E1:$E10000"),INDIRECT(E$1&amp;"!$a1:$a10000")=汇总!$A152),COUNTIF(INDIRECT(E$1&amp;"!$a1:$a10000"),汇总!$A152)),E151)</f>
        <v>-414.52691000000004</v>
      </c>
      <c r="F152" s="109" cm="1">
        <f t="array" aca="1" ref="F152" ca="1">IFERROR(INDEX(_xlfn._xlws.FILTER(INDIRECT(F$1&amp;"!$E1:$E10000"),INDIRECT(F$1&amp;"!$a1:$a10000")=汇总!$A152),COUNTIF(INDIRECT(F$1&amp;"!$a1:$a10000"),汇总!$A152)),F151)</f>
        <v>2186.6524000000009</v>
      </c>
      <c r="G152" s="109" cm="1">
        <f t="array" aca="1" ref="G152" ca="1">IFERROR(INDEX(_xlfn._xlws.FILTER(INDIRECT(G$1&amp;"!$E1:$E10000"),INDIRECT(G$1&amp;"!$a1:$a10000")=汇总!$A152),COUNTIF(INDIRECT(G$1&amp;"!$a1:$a10000"),汇总!$A152)),G151)</f>
        <v>9558.0086599999995</v>
      </c>
      <c r="H152" s="109" cm="1">
        <f t="array" aca="1" ref="H152" ca="1">IFERROR(INDEX(_xlfn._xlws.FILTER(INDIRECT(H$1&amp;"!$E1:$E10000"),INDIRECT(H$1&amp;"!$a1:$a10000")=汇总!$A152),COUNTIF(INDIRECT(H$1&amp;"!$a1:$a10000"),汇总!$A152)),H151)</f>
        <v>40.219748999999865</v>
      </c>
      <c r="I152" s="109" cm="1">
        <f t="array" aca="1" ref="I152" ca="1">IFERROR(INDEX(_xlfn._xlws.FILTER(INDIRECT(I$1&amp;"!$E1:$E10000"),INDIRECT(I$1&amp;"!$a1:$a10000")=汇总!$A152),COUNTIF(INDIRECT(I$1&amp;"!$a1:$a10000"),汇总!$A152)),I151)</f>
        <v>14.342120999999906</v>
      </c>
      <c r="J152" s="109" cm="1">
        <f t="array" aca="1" ref="J152" ca="1">IFERROR(INDEX(_xlfn._xlws.FILTER(INDIRECT(J$1&amp;"!$E1:$E10000"),INDIRECT(J$1&amp;"!$a1:$a10000")=汇总!$A152),COUNTIF(INDIRECT(J$1&amp;"!$a1:$a10000"),汇总!$A152)),J151)</f>
        <v>0.5</v>
      </c>
      <c r="K152" s="109" cm="1">
        <f t="array" aca="1" ref="K152" ca="1">IFERROR(INDEX(_xlfn._xlws.FILTER(INDIRECT(K$1&amp;"!$E1:$E10000"),INDIRECT(K$1&amp;"!$a1:$a10000")=汇总!$A152),COUNTIF(INDIRECT(K$1&amp;"!$a1:$a10000"),汇总!$A152)),K151)</f>
        <v>166.91877999999974</v>
      </c>
      <c r="L152" s="109" cm="1">
        <f t="array" aca="1" ref="L152" ca="1">IFERROR(INDEX(_xlfn._xlws.FILTER(INDIRECT(L$1&amp;"!$E1:$E10000"),INDIRECT(L$1&amp;"!$a1:$a10000")=汇总!$A152),COUNTIF(INDIRECT(L$1&amp;"!$a1:$a10000"),汇总!$A152)),L151)</f>
        <v>116.82299999999987</v>
      </c>
      <c r="M152" s="109" cm="1">
        <f t="array" aca="1" ref="M152" ca="1">IFERROR(INDEX(_xlfn._xlws.FILTER(INDIRECT(M$1&amp;"!$E1:$E10000"),INDIRECT(M$1&amp;"!$a1:$a10000")=汇总!$A152),COUNTIF(INDIRECT(M$1&amp;"!$a1:$a10000"),汇总!$A152)),M151)</f>
        <v>236.1466599999996</v>
      </c>
      <c r="N152" s="109" cm="1">
        <f t="array" aca="1" ref="N152" ca="1">IFERROR(INDEX(_xlfn._xlws.FILTER(INDIRECT(N$1&amp;"!$E1:$E10000"),INDIRECT(N$1&amp;"!$a1:$a10000")=汇总!$A152),COUNTIF(INDIRECT(N$1&amp;"!$a1:$a10000"),汇总!$A152)),N151)</f>
        <v>2069.5203869999987</v>
      </c>
      <c r="O152" s="109" cm="1">
        <f t="array" aca="1" ref="O152" ca="1">IFERROR(INDEX(_xlfn._xlws.FILTER(INDIRECT(O$1&amp;"!$E1:$E10000"),INDIRECT(O$1&amp;"!$a1:$a10000")=汇总!$A152),COUNTIF(INDIRECT(O$1&amp;"!$a1:$a10000"),汇总!$A152)),O151)</f>
        <v>2</v>
      </c>
      <c r="P152" s="109" cm="1">
        <f t="array" aca="1" ref="P152" ca="1">IFERROR(INDEX(_xlfn._xlws.FILTER(INDIRECT(P$1&amp;"!$E1:$E10000"),INDIRECT(P$1&amp;"!$a1:$a10000")=汇总!$A152),COUNTIF(INDIRECT(P$1&amp;"!$a1:$a10000"),汇总!$A152)),P151)</f>
        <v>1364.9707999999996</v>
      </c>
      <c r="Q152" s="109" cm="1">
        <f t="array" aca="1" ref="Q152" ca="1">IFERROR(INDEX(_xlfn._xlws.FILTER(INDIRECT(Q$1&amp;"!$E1:$E10000"),INDIRECT(Q$1&amp;"!$a1:$a10000")=汇总!$A152),COUNTIF(INDIRECT(Q$1&amp;"!$a1:$a10000"),汇总!$A152)),Q151)</f>
        <v>32.504124999999021</v>
      </c>
      <c r="R152" s="109" cm="1">
        <f t="array" aca="1" ref="R152" ca="1">IFERROR(INDEX(_xlfn._xlws.FILTER(INDIRECT(R$1&amp;"!$E1:$E10000"),INDIRECT(R$1&amp;"!$a1:$a10000")=汇总!$A152),COUNTIF(INDIRECT(R$1&amp;"!$a1:$a10000"),汇总!$A152)),R151)</f>
        <v>5341.3357227534243</v>
      </c>
      <c r="S152" s="109" cm="1">
        <f t="array" aca="1" ref="S152" ca="1">IFERROR(INDEX(_xlfn._xlws.FILTER(INDIRECT(S$1&amp;"!$E1:$E10000"),INDIRECT(S$1&amp;"!$a1:$a10000")=汇总!$A152),COUNTIF(INDIRECT(S$1&amp;"!$a1:$a10000"),汇总!$A152)),S151)</f>
        <v>1146.8800000000001</v>
      </c>
      <c r="T152" s="109" cm="1">
        <f t="array" aca="1" ref="T152" ca="1">IFERROR(INDEX(_xlfn._xlws.FILTER(INDIRECT(T$1&amp;"!$E1:$E10000"),INDIRECT(T$1&amp;"!$a1:$a10000")=汇总!$A152),COUNTIF(INDIRECT(T$1&amp;"!$a1:$a10000"),汇总!$A152)),T151)</f>
        <v>6502.43</v>
      </c>
    </row>
    <row r="153" spans="1:20">
      <c r="A153" s="1">
        <f t="shared" si="5"/>
        <v>46174</v>
      </c>
      <c r="B153" s="109" cm="1">
        <f t="array" aca="1" ref="B153" ca="1">IFERROR(INDEX(_xlfn._xlws.FILTER(INDIRECT(B$1&amp;"!$E1:$E10000"),INDIRECT(B$1&amp;"!$a1:$a10000")=汇总!$A153),COUNTIF(INDIRECT(B$1&amp;"!$a1:$a10000"),汇总!$A153)),B152)</f>
        <v>78.592656000000147</v>
      </c>
      <c r="C153" s="109" cm="1">
        <f t="array" aca="1" ref="C153" ca="1">IFERROR(INDEX(_xlfn._xlws.FILTER(INDIRECT(C$1&amp;"!$E1:$E10000"),INDIRECT(C$1&amp;"!$a1:$a10000")=汇总!$A153),COUNTIF(INDIRECT(C$1&amp;"!$a1:$a10000"),汇总!$A153)),C152)</f>
        <v>2090</v>
      </c>
      <c r="D153" s="109" cm="1">
        <f t="array" aca="1" ref="D153" ca="1">IFERROR(INDEX(_xlfn._xlws.FILTER(INDIRECT(D$1&amp;"!$E1:$E10000"),INDIRECT(D$1&amp;"!$a1:$a10000")=汇总!$A153),COUNTIF(INDIRECT(D$1&amp;"!$a1:$a10000"),汇总!$A153)),D152)</f>
        <v>4037.2334050000004</v>
      </c>
      <c r="E153" s="109" cm="1">
        <f t="array" aca="1" ref="E153" ca="1">IFERROR(INDEX(_xlfn._xlws.FILTER(INDIRECT(E$1&amp;"!$E1:$E10000"),INDIRECT(E$1&amp;"!$a1:$a10000")=汇总!$A153),COUNTIF(INDIRECT(E$1&amp;"!$a1:$a10000"),汇总!$A153)),E152)</f>
        <v>-414.52691000000004</v>
      </c>
      <c r="F153" s="109" cm="1">
        <f t="array" aca="1" ref="F153" ca="1">IFERROR(INDEX(_xlfn._xlws.FILTER(INDIRECT(F$1&amp;"!$E1:$E10000"),INDIRECT(F$1&amp;"!$a1:$a10000")=汇总!$A153),COUNTIF(INDIRECT(F$1&amp;"!$a1:$a10000"),汇总!$A153)),F152)</f>
        <v>2186.6524000000009</v>
      </c>
      <c r="G153" s="109" cm="1">
        <f t="array" aca="1" ref="G153" ca="1">IFERROR(INDEX(_xlfn._xlws.FILTER(INDIRECT(G$1&amp;"!$E1:$E10000"),INDIRECT(G$1&amp;"!$a1:$a10000")=汇总!$A153),COUNTIF(INDIRECT(G$1&amp;"!$a1:$a10000"),汇总!$A153)),G152)</f>
        <v>9558.0086599999995</v>
      </c>
      <c r="H153" s="109" cm="1">
        <f t="array" aca="1" ref="H153" ca="1">IFERROR(INDEX(_xlfn._xlws.FILTER(INDIRECT(H$1&amp;"!$E1:$E10000"),INDIRECT(H$1&amp;"!$a1:$a10000")=汇总!$A153),COUNTIF(INDIRECT(H$1&amp;"!$a1:$a10000"),汇总!$A153)),H152)</f>
        <v>40.219748999999865</v>
      </c>
      <c r="I153" s="109" cm="1">
        <f t="array" aca="1" ref="I153" ca="1">IFERROR(INDEX(_xlfn._xlws.FILTER(INDIRECT(I$1&amp;"!$E1:$E10000"),INDIRECT(I$1&amp;"!$a1:$a10000")=汇总!$A153),COUNTIF(INDIRECT(I$1&amp;"!$a1:$a10000"),汇总!$A153)),I152)</f>
        <v>14.342120999999906</v>
      </c>
      <c r="J153" s="109" cm="1">
        <f t="array" aca="1" ref="J153" ca="1">IFERROR(INDEX(_xlfn._xlws.FILTER(INDIRECT(J$1&amp;"!$E1:$E10000"),INDIRECT(J$1&amp;"!$a1:$a10000")=汇总!$A153),COUNTIF(INDIRECT(J$1&amp;"!$a1:$a10000"),汇总!$A153)),J152)</f>
        <v>0.5</v>
      </c>
      <c r="K153" s="109" cm="1">
        <f t="array" aca="1" ref="K153" ca="1">IFERROR(INDEX(_xlfn._xlws.FILTER(INDIRECT(K$1&amp;"!$E1:$E10000"),INDIRECT(K$1&amp;"!$a1:$a10000")=汇总!$A153),COUNTIF(INDIRECT(K$1&amp;"!$a1:$a10000"),汇总!$A153)),K152)</f>
        <v>166.91877999999974</v>
      </c>
      <c r="L153" s="109" cm="1">
        <f t="array" aca="1" ref="L153" ca="1">IFERROR(INDEX(_xlfn._xlws.FILTER(INDIRECT(L$1&amp;"!$E1:$E10000"),INDIRECT(L$1&amp;"!$a1:$a10000")=汇总!$A153),COUNTIF(INDIRECT(L$1&amp;"!$a1:$a10000"),汇总!$A153)),L152)</f>
        <v>116.82299999999987</v>
      </c>
      <c r="M153" s="109" cm="1">
        <f t="array" aca="1" ref="M153" ca="1">IFERROR(INDEX(_xlfn._xlws.FILTER(INDIRECT(M$1&amp;"!$E1:$E10000"),INDIRECT(M$1&amp;"!$a1:$a10000")=汇总!$A153),COUNTIF(INDIRECT(M$1&amp;"!$a1:$a10000"),汇总!$A153)),M152)</f>
        <v>236.1466599999996</v>
      </c>
      <c r="N153" s="109" cm="1">
        <f t="array" aca="1" ref="N153" ca="1">IFERROR(INDEX(_xlfn._xlws.FILTER(INDIRECT(N$1&amp;"!$E1:$E10000"),INDIRECT(N$1&amp;"!$a1:$a10000")=汇总!$A153),COUNTIF(INDIRECT(N$1&amp;"!$a1:$a10000"),汇总!$A153)),N152)</f>
        <v>2069.5203869999987</v>
      </c>
      <c r="O153" s="109" cm="1">
        <f t="array" aca="1" ref="O153" ca="1">IFERROR(INDEX(_xlfn._xlws.FILTER(INDIRECT(O$1&amp;"!$E1:$E10000"),INDIRECT(O$1&amp;"!$a1:$a10000")=汇总!$A153),COUNTIF(INDIRECT(O$1&amp;"!$a1:$a10000"),汇总!$A153)),O152)</f>
        <v>2</v>
      </c>
      <c r="P153" s="109" cm="1">
        <f t="array" aca="1" ref="P153" ca="1">IFERROR(INDEX(_xlfn._xlws.FILTER(INDIRECT(P$1&amp;"!$E1:$E10000"),INDIRECT(P$1&amp;"!$a1:$a10000")=汇总!$A153),COUNTIF(INDIRECT(P$1&amp;"!$a1:$a10000"),汇总!$A153)),P152)</f>
        <v>1364.9707999999996</v>
      </c>
      <c r="Q153" s="109" cm="1">
        <f t="array" aca="1" ref="Q153" ca="1">IFERROR(INDEX(_xlfn._xlws.FILTER(INDIRECT(Q$1&amp;"!$E1:$E10000"),INDIRECT(Q$1&amp;"!$a1:$a10000")=汇总!$A153),COUNTIF(INDIRECT(Q$1&amp;"!$a1:$a10000"),汇总!$A153)),Q152)</f>
        <v>32.504124999999021</v>
      </c>
      <c r="R153" s="109" cm="1">
        <f t="array" aca="1" ref="R153" ca="1">IFERROR(INDEX(_xlfn._xlws.FILTER(INDIRECT(R$1&amp;"!$E1:$E10000"),INDIRECT(R$1&amp;"!$a1:$a10000")=汇总!$A153),COUNTIF(INDIRECT(R$1&amp;"!$a1:$a10000"),汇总!$A153)),R152)</f>
        <v>5341.3357227534243</v>
      </c>
      <c r="S153" s="109" cm="1">
        <f t="array" aca="1" ref="S153" ca="1">IFERROR(INDEX(_xlfn._xlws.FILTER(INDIRECT(S$1&amp;"!$E1:$E10000"),INDIRECT(S$1&amp;"!$a1:$a10000")=汇总!$A153),COUNTIF(INDIRECT(S$1&amp;"!$a1:$a10000"),汇总!$A153)),S152)</f>
        <v>1146.8800000000001</v>
      </c>
      <c r="T153" s="109" cm="1">
        <f t="array" aca="1" ref="T153" ca="1">IFERROR(INDEX(_xlfn._xlws.FILTER(INDIRECT(T$1&amp;"!$E1:$E10000"),INDIRECT(T$1&amp;"!$a1:$a10000")=汇总!$A153),COUNTIF(INDIRECT(T$1&amp;"!$a1:$a10000"),汇总!$A153)),T152)</f>
        <v>6502.43</v>
      </c>
    </row>
    <row r="154" spans="1:20">
      <c r="A154" s="1">
        <f t="shared" si="5"/>
        <v>46175</v>
      </c>
      <c r="B154" s="109" cm="1">
        <f t="array" aca="1" ref="B154" ca="1">IFERROR(INDEX(_xlfn._xlws.FILTER(INDIRECT(B$1&amp;"!$E1:$E10000"),INDIRECT(B$1&amp;"!$a1:$a10000")=汇总!$A154),COUNTIF(INDIRECT(B$1&amp;"!$a1:$a10000"),汇总!$A154)),B153)</f>
        <v>78.592656000000147</v>
      </c>
      <c r="C154" s="109" cm="1">
        <f t="array" aca="1" ref="C154" ca="1">IFERROR(INDEX(_xlfn._xlws.FILTER(INDIRECT(C$1&amp;"!$E1:$E10000"),INDIRECT(C$1&amp;"!$a1:$a10000")=汇总!$A154),COUNTIF(INDIRECT(C$1&amp;"!$a1:$a10000"),汇总!$A154)),C153)</f>
        <v>2090</v>
      </c>
      <c r="D154" s="109" cm="1">
        <f t="array" aca="1" ref="D154" ca="1">IFERROR(INDEX(_xlfn._xlws.FILTER(INDIRECT(D$1&amp;"!$E1:$E10000"),INDIRECT(D$1&amp;"!$a1:$a10000")=汇总!$A154),COUNTIF(INDIRECT(D$1&amp;"!$a1:$a10000"),汇总!$A154)),D153)</f>
        <v>4037.2334050000004</v>
      </c>
      <c r="E154" s="109" cm="1">
        <f t="array" aca="1" ref="E154" ca="1">IFERROR(INDEX(_xlfn._xlws.FILTER(INDIRECT(E$1&amp;"!$E1:$E10000"),INDIRECT(E$1&amp;"!$a1:$a10000")=汇总!$A154),COUNTIF(INDIRECT(E$1&amp;"!$a1:$a10000"),汇总!$A154)),E153)</f>
        <v>-414.52691000000004</v>
      </c>
      <c r="F154" s="109" cm="1">
        <f t="array" aca="1" ref="F154" ca="1">IFERROR(INDEX(_xlfn._xlws.FILTER(INDIRECT(F$1&amp;"!$E1:$E10000"),INDIRECT(F$1&amp;"!$a1:$a10000")=汇总!$A154),COUNTIF(INDIRECT(F$1&amp;"!$a1:$a10000"),汇总!$A154)),F153)</f>
        <v>2186.6524000000009</v>
      </c>
      <c r="G154" s="109" cm="1">
        <f t="array" aca="1" ref="G154" ca="1">IFERROR(INDEX(_xlfn._xlws.FILTER(INDIRECT(G$1&amp;"!$E1:$E10000"),INDIRECT(G$1&amp;"!$a1:$a10000")=汇总!$A154),COUNTIF(INDIRECT(G$1&amp;"!$a1:$a10000"),汇总!$A154)),G153)</f>
        <v>9558.0086599999995</v>
      </c>
      <c r="H154" s="109" cm="1">
        <f t="array" aca="1" ref="H154" ca="1">IFERROR(INDEX(_xlfn._xlws.FILTER(INDIRECT(H$1&amp;"!$E1:$E10000"),INDIRECT(H$1&amp;"!$a1:$a10000")=汇总!$A154),COUNTIF(INDIRECT(H$1&amp;"!$a1:$a10000"),汇总!$A154)),H153)</f>
        <v>40.219748999999865</v>
      </c>
      <c r="I154" s="109" cm="1">
        <f t="array" aca="1" ref="I154" ca="1">IFERROR(INDEX(_xlfn._xlws.FILTER(INDIRECT(I$1&amp;"!$E1:$E10000"),INDIRECT(I$1&amp;"!$a1:$a10000")=汇总!$A154),COUNTIF(INDIRECT(I$1&amp;"!$a1:$a10000"),汇总!$A154)),I153)</f>
        <v>14.342120999999906</v>
      </c>
      <c r="J154" s="109" cm="1">
        <f t="array" aca="1" ref="J154" ca="1">IFERROR(INDEX(_xlfn._xlws.FILTER(INDIRECT(J$1&amp;"!$E1:$E10000"),INDIRECT(J$1&amp;"!$a1:$a10000")=汇总!$A154),COUNTIF(INDIRECT(J$1&amp;"!$a1:$a10000"),汇总!$A154)),J153)</f>
        <v>0.5</v>
      </c>
      <c r="K154" s="109" cm="1">
        <f t="array" aca="1" ref="K154" ca="1">IFERROR(INDEX(_xlfn._xlws.FILTER(INDIRECT(K$1&amp;"!$E1:$E10000"),INDIRECT(K$1&amp;"!$a1:$a10000")=汇总!$A154),COUNTIF(INDIRECT(K$1&amp;"!$a1:$a10000"),汇总!$A154)),K153)</f>
        <v>166.91877999999974</v>
      </c>
      <c r="L154" s="109" cm="1">
        <f t="array" aca="1" ref="L154" ca="1">IFERROR(INDEX(_xlfn._xlws.FILTER(INDIRECT(L$1&amp;"!$E1:$E10000"),INDIRECT(L$1&amp;"!$a1:$a10000")=汇总!$A154),COUNTIF(INDIRECT(L$1&amp;"!$a1:$a10000"),汇总!$A154)),L153)</f>
        <v>116.82299999999987</v>
      </c>
      <c r="M154" s="109" cm="1">
        <f t="array" aca="1" ref="M154" ca="1">IFERROR(INDEX(_xlfn._xlws.FILTER(INDIRECT(M$1&amp;"!$E1:$E10000"),INDIRECT(M$1&amp;"!$a1:$a10000")=汇总!$A154),COUNTIF(INDIRECT(M$1&amp;"!$a1:$a10000"),汇总!$A154)),M153)</f>
        <v>236.1466599999996</v>
      </c>
      <c r="N154" s="109" cm="1">
        <f t="array" aca="1" ref="N154" ca="1">IFERROR(INDEX(_xlfn._xlws.FILTER(INDIRECT(N$1&amp;"!$E1:$E10000"),INDIRECT(N$1&amp;"!$a1:$a10000")=汇总!$A154),COUNTIF(INDIRECT(N$1&amp;"!$a1:$a10000"),汇总!$A154)),N153)</f>
        <v>2069.5203869999987</v>
      </c>
      <c r="O154" s="109" cm="1">
        <f t="array" aca="1" ref="O154" ca="1">IFERROR(INDEX(_xlfn._xlws.FILTER(INDIRECT(O$1&amp;"!$E1:$E10000"),INDIRECT(O$1&amp;"!$a1:$a10000")=汇总!$A154),COUNTIF(INDIRECT(O$1&amp;"!$a1:$a10000"),汇总!$A154)),O153)</f>
        <v>2</v>
      </c>
      <c r="P154" s="109" cm="1">
        <f t="array" aca="1" ref="P154" ca="1">IFERROR(INDEX(_xlfn._xlws.FILTER(INDIRECT(P$1&amp;"!$E1:$E10000"),INDIRECT(P$1&amp;"!$a1:$a10000")=汇总!$A154),COUNTIF(INDIRECT(P$1&amp;"!$a1:$a10000"),汇总!$A154)),P153)</f>
        <v>1364.9707999999996</v>
      </c>
      <c r="Q154" s="109" cm="1">
        <f t="array" aca="1" ref="Q154" ca="1">IFERROR(INDEX(_xlfn._xlws.FILTER(INDIRECT(Q$1&amp;"!$E1:$E10000"),INDIRECT(Q$1&amp;"!$a1:$a10000")=汇总!$A154),COUNTIF(INDIRECT(Q$1&amp;"!$a1:$a10000"),汇总!$A154)),Q153)</f>
        <v>32.504124999999021</v>
      </c>
      <c r="R154" s="109" cm="1">
        <f t="array" aca="1" ref="R154" ca="1">IFERROR(INDEX(_xlfn._xlws.FILTER(INDIRECT(R$1&amp;"!$E1:$E10000"),INDIRECT(R$1&amp;"!$a1:$a10000")=汇总!$A154),COUNTIF(INDIRECT(R$1&amp;"!$a1:$a10000"),汇总!$A154)),R153)</f>
        <v>5341.3357227534243</v>
      </c>
      <c r="S154" s="109" cm="1">
        <f t="array" aca="1" ref="S154" ca="1">IFERROR(INDEX(_xlfn._xlws.FILTER(INDIRECT(S$1&amp;"!$E1:$E10000"),INDIRECT(S$1&amp;"!$a1:$a10000")=汇总!$A154),COUNTIF(INDIRECT(S$1&amp;"!$a1:$a10000"),汇总!$A154)),S153)</f>
        <v>1146.8800000000001</v>
      </c>
      <c r="T154" s="109" cm="1">
        <f t="array" aca="1" ref="T154" ca="1">IFERROR(INDEX(_xlfn._xlws.FILTER(INDIRECT(T$1&amp;"!$E1:$E10000"),INDIRECT(T$1&amp;"!$a1:$a10000")=汇总!$A154),COUNTIF(INDIRECT(T$1&amp;"!$a1:$a10000"),汇总!$A154)),T153)</f>
        <v>6502.43</v>
      </c>
    </row>
    <row r="155" spans="1:20">
      <c r="A155" s="1">
        <f t="shared" si="5"/>
        <v>46176</v>
      </c>
      <c r="B155" s="109" cm="1">
        <f t="array" aca="1" ref="B155" ca="1">IFERROR(INDEX(_xlfn._xlws.FILTER(INDIRECT(B$1&amp;"!$E1:$E10000"),INDIRECT(B$1&amp;"!$a1:$a10000")=汇总!$A155),COUNTIF(INDIRECT(B$1&amp;"!$a1:$a10000"),汇总!$A155)),B154)</f>
        <v>78.592656000000147</v>
      </c>
      <c r="C155" s="109" cm="1">
        <f t="array" aca="1" ref="C155" ca="1">IFERROR(INDEX(_xlfn._xlws.FILTER(INDIRECT(C$1&amp;"!$E1:$E10000"),INDIRECT(C$1&amp;"!$a1:$a10000")=汇总!$A155),COUNTIF(INDIRECT(C$1&amp;"!$a1:$a10000"),汇总!$A155)),C154)</f>
        <v>2090</v>
      </c>
      <c r="D155" s="109" cm="1">
        <f t="array" aca="1" ref="D155" ca="1">IFERROR(INDEX(_xlfn._xlws.FILTER(INDIRECT(D$1&amp;"!$E1:$E10000"),INDIRECT(D$1&amp;"!$a1:$a10000")=汇总!$A155),COUNTIF(INDIRECT(D$1&amp;"!$a1:$a10000"),汇总!$A155)),D154)</f>
        <v>3801.2534050000004</v>
      </c>
      <c r="E155" s="109" cm="1">
        <f t="array" aca="1" ref="E155" ca="1">IFERROR(INDEX(_xlfn._xlws.FILTER(INDIRECT(E$1&amp;"!$E1:$E10000"),INDIRECT(E$1&amp;"!$a1:$a10000")=汇总!$A155),COUNTIF(INDIRECT(E$1&amp;"!$a1:$a10000"),汇总!$A155)),E154)</f>
        <v>-414.52691000000004</v>
      </c>
      <c r="F155" s="109" cm="1">
        <f t="array" aca="1" ref="F155" ca="1">IFERROR(INDEX(_xlfn._xlws.FILTER(INDIRECT(F$1&amp;"!$E1:$E10000"),INDIRECT(F$1&amp;"!$a1:$a10000")=汇总!$A155),COUNTIF(INDIRECT(F$1&amp;"!$a1:$a10000"),汇总!$A155)),F154)</f>
        <v>2186.6524000000009</v>
      </c>
      <c r="G155" s="109" cm="1">
        <f t="array" aca="1" ref="G155" ca="1">IFERROR(INDEX(_xlfn._xlws.FILTER(INDIRECT(G$1&amp;"!$E1:$E10000"),INDIRECT(G$1&amp;"!$a1:$a10000")=汇总!$A155),COUNTIF(INDIRECT(G$1&amp;"!$a1:$a10000"),汇总!$A155)),G154)</f>
        <v>9558.0086599999995</v>
      </c>
      <c r="H155" s="109" cm="1">
        <f t="array" aca="1" ref="H155" ca="1">IFERROR(INDEX(_xlfn._xlws.FILTER(INDIRECT(H$1&amp;"!$E1:$E10000"),INDIRECT(H$1&amp;"!$a1:$a10000")=汇总!$A155),COUNTIF(INDIRECT(H$1&amp;"!$a1:$a10000"),汇总!$A155)),H154)</f>
        <v>40.219748999999865</v>
      </c>
      <c r="I155" s="109" cm="1">
        <f t="array" aca="1" ref="I155" ca="1">IFERROR(INDEX(_xlfn._xlws.FILTER(INDIRECT(I$1&amp;"!$E1:$E10000"),INDIRECT(I$1&amp;"!$a1:$a10000")=汇总!$A155),COUNTIF(INDIRECT(I$1&amp;"!$a1:$a10000"),汇总!$A155)),I154)</f>
        <v>14.342120999999906</v>
      </c>
      <c r="J155" s="109" cm="1">
        <f t="array" aca="1" ref="J155" ca="1">IFERROR(INDEX(_xlfn._xlws.FILTER(INDIRECT(J$1&amp;"!$E1:$E10000"),INDIRECT(J$1&amp;"!$a1:$a10000")=汇总!$A155),COUNTIF(INDIRECT(J$1&amp;"!$a1:$a10000"),汇总!$A155)),J154)</f>
        <v>0.5</v>
      </c>
      <c r="K155" s="109" cm="1">
        <f t="array" aca="1" ref="K155" ca="1">IFERROR(INDEX(_xlfn._xlws.FILTER(INDIRECT(K$1&amp;"!$E1:$E10000"),INDIRECT(K$1&amp;"!$a1:$a10000")=汇总!$A155),COUNTIF(INDIRECT(K$1&amp;"!$a1:$a10000"),汇总!$A155)),K154)</f>
        <v>166.91877999999974</v>
      </c>
      <c r="L155" s="109" cm="1">
        <f t="array" aca="1" ref="L155" ca="1">IFERROR(INDEX(_xlfn._xlws.FILTER(INDIRECT(L$1&amp;"!$E1:$E10000"),INDIRECT(L$1&amp;"!$a1:$a10000")=汇总!$A155),COUNTIF(INDIRECT(L$1&amp;"!$a1:$a10000"),汇总!$A155)),L154)</f>
        <v>116.82299999999987</v>
      </c>
      <c r="M155" s="109" cm="1">
        <f t="array" aca="1" ref="M155" ca="1">IFERROR(INDEX(_xlfn._xlws.FILTER(INDIRECT(M$1&amp;"!$E1:$E10000"),INDIRECT(M$1&amp;"!$a1:$a10000")=汇总!$A155),COUNTIF(INDIRECT(M$1&amp;"!$a1:$a10000"),汇总!$A155)),M154)</f>
        <v>236.1466599999996</v>
      </c>
      <c r="N155" s="109" cm="1">
        <f t="array" aca="1" ref="N155" ca="1">IFERROR(INDEX(_xlfn._xlws.FILTER(INDIRECT(N$1&amp;"!$E1:$E10000"),INDIRECT(N$1&amp;"!$a1:$a10000")=汇总!$A155),COUNTIF(INDIRECT(N$1&amp;"!$a1:$a10000"),汇总!$A155)),N154)</f>
        <v>2069.5203869999987</v>
      </c>
      <c r="O155" s="109" cm="1">
        <f t="array" aca="1" ref="O155" ca="1">IFERROR(INDEX(_xlfn._xlws.FILTER(INDIRECT(O$1&amp;"!$E1:$E10000"),INDIRECT(O$1&amp;"!$a1:$a10000")=汇总!$A155),COUNTIF(INDIRECT(O$1&amp;"!$a1:$a10000"),汇总!$A155)),O154)</f>
        <v>2</v>
      </c>
      <c r="P155" s="109" cm="1">
        <f t="array" aca="1" ref="P155" ca="1">IFERROR(INDEX(_xlfn._xlws.FILTER(INDIRECT(P$1&amp;"!$E1:$E10000"),INDIRECT(P$1&amp;"!$a1:$a10000")=汇总!$A155),COUNTIF(INDIRECT(P$1&amp;"!$a1:$a10000"),汇总!$A155)),P154)</f>
        <v>1364.9707999999996</v>
      </c>
      <c r="Q155" s="109" cm="1">
        <f t="array" aca="1" ref="Q155" ca="1">IFERROR(INDEX(_xlfn._xlws.FILTER(INDIRECT(Q$1&amp;"!$E1:$E10000"),INDIRECT(Q$1&amp;"!$a1:$a10000")=汇总!$A155),COUNTIF(INDIRECT(Q$1&amp;"!$a1:$a10000"),汇总!$A155)),Q154)</f>
        <v>32.504124999999021</v>
      </c>
      <c r="R155" s="109" cm="1">
        <f t="array" aca="1" ref="R155" ca="1">IFERROR(INDEX(_xlfn._xlws.FILTER(INDIRECT(R$1&amp;"!$E1:$E10000"),INDIRECT(R$1&amp;"!$a1:$a10000")=汇总!$A155),COUNTIF(INDIRECT(R$1&amp;"!$a1:$a10000"),汇总!$A155)),R154)</f>
        <v>5341.3357227534243</v>
      </c>
      <c r="S155" s="109" cm="1">
        <f t="array" aca="1" ref="S155" ca="1">IFERROR(INDEX(_xlfn._xlws.FILTER(INDIRECT(S$1&amp;"!$E1:$E10000"),INDIRECT(S$1&amp;"!$a1:$a10000")=汇总!$A155),COUNTIF(INDIRECT(S$1&amp;"!$a1:$a10000"),汇总!$A155)),S154)</f>
        <v>1146.8800000000001</v>
      </c>
      <c r="T155" s="109" cm="1">
        <f t="array" aca="1" ref="T155" ca="1">IFERROR(INDEX(_xlfn._xlws.FILTER(INDIRECT(T$1&amp;"!$E1:$E10000"),INDIRECT(T$1&amp;"!$a1:$a10000")=汇总!$A155),COUNTIF(INDIRECT(T$1&amp;"!$a1:$a10000"),汇总!$A155)),T154)</f>
        <v>6502.43</v>
      </c>
    </row>
    <row r="156" spans="1:20">
      <c r="A156" s="1">
        <f t="shared" si="5"/>
        <v>46177</v>
      </c>
      <c r="B156" s="109" cm="1">
        <f t="array" aca="1" ref="B156" ca="1">IFERROR(INDEX(_xlfn._xlws.FILTER(INDIRECT(B$1&amp;"!$E1:$E10000"),INDIRECT(B$1&amp;"!$a1:$a10000")=汇总!$A156),COUNTIF(INDIRECT(B$1&amp;"!$a1:$a10000"),汇总!$A156)),B155)</f>
        <v>78.592656000000147</v>
      </c>
      <c r="C156" s="109" cm="1">
        <f t="array" aca="1" ref="C156" ca="1">IFERROR(INDEX(_xlfn._xlws.FILTER(INDIRECT(C$1&amp;"!$E1:$E10000"),INDIRECT(C$1&amp;"!$a1:$a10000")=汇总!$A156),COUNTIF(INDIRECT(C$1&amp;"!$a1:$a10000"),汇总!$A156)),C155)</f>
        <v>2090</v>
      </c>
      <c r="D156" s="109" cm="1">
        <f t="array" aca="1" ref="D156" ca="1">IFERROR(INDEX(_xlfn._xlws.FILTER(INDIRECT(D$1&amp;"!$E1:$E10000"),INDIRECT(D$1&amp;"!$a1:$a10000")=汇总!$A156),COUNTIF(INDIRECT(D$1&amp;"!$a1:$a10000"),汇总!$A156)),D155)</f>
        <v>3801.2534050000004</v>
      </c>
      <c r="E156" s="109" cm="1">
        <f t="array" aca="1" ref="E156" ca="1">IFERROR(INDEX(_xlfn._xlws.FILTER(INDIRECT(E$1&amp;"!$E1:$E10000"),INDIRECT(E$1&amp;"!$a1:$a10000")=汇总!$A156),COUNTIF(INDIRECT(E$1&amp;"!$a1:$a10000"),汇总!$A156)),E155)</f>
        <v>-414.52691000000004</v>
      </c>
      <c r="F156" s="109" cm="1">
        <f t="array" aca="1" ref="F156" ca="1">IFERROR(INDEX(_xlfn._xlws.FILTER(INDIRECT(F$1&amp;"!$E1:$E10000"),INDIRECT(F$1&amp;"!$a1:$a10000")=汇总!$A156),COUNTIF(INDIRECT(F$1&amp;"!$a1:$a10000"),汇总!$A156)),F155)</f>
        <v>2186.6524000000009</v>
      </c>
      <c r="G156" s="109" cm="1">
        <f t="array" aca="1" ref="G156" ca="1">IFERROR(INDEX(_xlfn._xlws.FILTER(INDIRECT(G$1&amp;"!$E1:$E10000"),INDIRECT(G$1&amp;"!$a1:$a10000")=汇总!$A156),COUNTIF(INDIRECT(G$1&amp;"!$a1:$a10000"),汇总!$A156)),G155)</f>
        <v>9558.0086599999995</v>
      </c>
      <c r="H156" s="109" cm="1">
        <f t="array" aca="1" ref="H156" ca="1">IFERROR(INDEX(_xlfn._xlws.FILTER(INDIRECT(H$1&amp;"!$E1:$E10000"),INDIRECT(H$1&amp;"!$a1:$a10000")=汇总!$A156),COUNTIF(INDIRECT(H$1&amp;"!$a1:$a10000"),汇总!$A156)),H155)</f>
        <v>40.219748999999865</v>
      </c>
      <c r="I156" s="109" cm="1">
        <f t="array" aca="1" ref="I156" ca="1">IFERROR(INDEX(_xlfn._xlws.FILTER(INDIRECT(I$1&amp;"!$E1:$E10000"),INDIRECT(I$1&amp;"!$a1:$a10000")=汇总!$A156),COUNTIF(INDIRECT(I$1&amp;"!$a1:$a10000"),汇总!$A156)),I155)</f>
        <v>14.342120999999906</v>
      </c>
      <c r="J156" s="109" cm="1">
        <f t="array" aca="1" ref="J156" ca="1">IFERROR(INDEX(_xlfn._xlws.FILTER(INDIRECT(J$1&amp;"!$E1:$E10000"),INDIRECT(J$1&amp;"!$a1:$a10000")=汇总!$A156),COUNTIF(INDIRECT(J$1&amp;"!$a1:$a10000"),汇总!$A156)),J155)</f>
        <v>0.5</v>
      </c>
      <c r="K156" s="109" cm="1">
        <f t="array" aca="1" ref="K156" ca="1">IFERROR(INDEX(_xlfn._xlws.FILTER(INDIRECT(K$1&amp;"!$E1:$E10000"),INDIRECT(K$1&amp;"!$a1:$a10000")=汇总!$A156),COUNTIF(INDIRECT(K$1&amp;"!$a1:$a10000"),汇总!$A156)),K155)</f>
        <v>166.91877999999974</v>
      </c>
      <c r="L156" s="109" cm="1">
        <f t="array" aca="1" ref="L156" ca="1">IFERROR(INDEX(_xlfn._xlws.FILTER(INDIRECT(L$1&amp;"!$E1:$E10000"),INDIRECT(L$1&amp;"!$a1:$a10000")=汇总!$A156),COUNTIF(INDIRECT(L$1&amp;"!$a1:$a10000"),汇总!$A156)),L155)</f>
        <v>116.82299999999987</v>
      </c>
      <c r="M156" s="109" cm="1">
        <f t="array" aca="1" ref="M156" ca="1">IFERROR(INDEX(_xlfn._xlws.FILTER(INDIRECT(M$1&amp;"!$E1:$E10000"),INDIRECT(M$1&amp;"!$a1:$a10000")=汇总!$A156),COUNTIF(INDIRECT(M$1&amp;"!$a1:$a10000"),汇总!$A156)),M155)</f>
        <v>236.1466599999996</v>
      </c>
      <c r="N156" s="109" cm="1">
        <f t="array" aca="1" ref="N156" ca="1">IFERROR(INDEX(_xlfn._xlws.FILTER(INDIRECT(N$1&amp;"!$E1:$E10000"),INDIRECT(N$1&amp;"!$a1:$a10000")=汇总!$A156),COUNTIF(INDIRECT(N$1&amp;"!$a1:$a10000"),汇总!$A156)),N155)</f>
        <v>970.52038699999866</v>
      </c>
      <c r="O156" s="109" cm="1">
        <f t="array" aca="1" ref="O156" ca="1">IFERROR(INDEX(_xlfn._xlws.FILTER(INDIRECT(O$1&amp;"!$E1:$E10000"),INDIRECT(O$1&amp;"!$a1:$a10000")=汇总!$A156),COUNTIF(INDIRECT(O$1&amp;"!$a1:$a10000"),汇总!$A156)),O155)</f>
        <v>2</v>
      </c>
      <c r="P156" s="109" cm="1">
        <f t="array" aca="1" ref="P156" ca="1">IFERROR(INDEX(_xlfn._xlws.FILTER(INDIRECT(P$1&amp;"!$E1:$E10000"),INDIRECT(P$1&amp;"!$a1:$a10000")=汇总!$A156),COUNTIF(INDIRECT(P$1&amp;"!$a1:$a10000"),汇总!$A156)),P155)</f>
        <v>1364.9707999999996</v>
      </c>
      <c r="Q156" s="109" cm="1">
        <f t="array" aca="1" ref="Q156" ca="1">IFERROR(INDEX(_xlfn._xlws.FILTER(INDIRECT(Q$1&amp;"!$E1:$E10000"),INDIRECT(Q$1&amp;"!$a1:$a10000")=汇总!$A156),COUNTIF(INDIRECT(Q$1&amp;"!$a1:$a10000"),汇总!$A156)),Q155)</f>
        <v>32.504124999999021</v>
      </c>
      <c r="R156" s="109" cm="1">
        <f t="array" aca="1" ref="R156" ca="1">IFERROR(INDEX(_xlfn._xlws.FILTER(INDIRECT(R$1&amp;"!$E1:$E10000"),INDIRECT(R$1&amp;"!$a1:$a10000")=汇总!$A156),COUNTIF(INDIRECT(R$1&amp;"!$a1:$a10000"),汇总!$A156)),R155)</f>
        <v>5341.3357227534243</v>
      </c>
      <c r="S156" s="109" cm="1">
        <f t="array" aca="1" ref="S156" ca="1">IFERROR(INDEX(_xlfn._xlws.FILTER(INDIRECT(S$1&amp;"!$E1:$E10000"),INDIRECT(S$1&amp;"!$a1:$a10000")=汇总!$A156),COUNTIF(INDIRECT(S$1&amp;"!$a1:$a10000"),汇总!$A156)),S155)</f>
        <v>1146.8800000000001</v>
      </c>
      <c r="T156" s="109" cm="1">
        <f t="array" aca="1" ref="T156" ca="1">IFERROR(INDEX(_xlfn._xlws.FILTER(INDIRECT(T$1&amp;"!$E1:$E10000"),INDIRECT(T$1&amp;"!$a1:$a10000")=汇总!$A156),COUNTIF(INDIRECT(T$1&amp;"!$a1:$a10000"),汇总!$A156)),T155)</f>
        <v>6502.43</v>
      </c>
    </row>
    <row r="157" spans="1:20">
      <c r="A157" s="1">
        <f t="shared" si="5"/>
        <v>46178</v>
      </c>
      <c r="B157" s="109" cm="1">
        <f t="array" aca="1" ref="B157" ca="1">IFERROR(INDEX(_xlfn._xlws.FILTER(INDIRECT(B$1&amp;"!$E1:$E10000"),INDIRECT(B$1&amp;"!$a1:$a10000")=汇总!$A157),COUNTIF(INDIRECT(B$1&amp;"!$a1:$a10000"),汇总!$A157)),B156)</f>
        <v>78.592656000000147</v>
      </c>
      <c r="C157" s="109" cm="1">
        <f t="array" aca="1" ref="C157" ca="1">IFERROR(INDEX(_xlfn._xlws.FILTER(INDIRECT(C$1&amp;"!$E1:$E10000"),INDIRECT(C$1&amp;"!$a1:$a10000")=汇总!$A157),COUNTIF(INDIRECT(C$1&amp;"!$a1:$a10000"),汇总!$A157)),C156)</f>
        <v>2090</v>
      </c>
      <c r="D157" s="109" cm="1">
        <f t="array" aca="1" ref="D157" ca="1">IFERROR(INDEX(_xlfn._xlws.FILTER(INDIRECT(D$1&amp;"!$E1:$E10000"),INDIRECT(D$1&amp;"!$a1:$a10000")=汇总!$A157),COUNTIF(INDIRECT(D$1&amp;"!$a1:$a10000"),汇总!$A157)),D156)</f>
        <v>3801.2534050000004</v>
      </c>
      <c r="E157" s="109" cm="1">
        <f t="array" aca="1" ref="E157" ca="1">IFERROR(INDEX(_xlfn._xlws.FILTER(INDIRECT(E$1&amp;"!$E1:$E10000"),INDIRECT(E$1&amp;"!$a1:$a10000")=汇总!$A157),COUNTIF(INDIRECT(E$1&amp;"!$a1:$a10000"),汇总!$A157)),E156)</f>
        <v>-414.52691000000004</v>
      </c>
      <c r="F157" s="109" cm="1">
        <f t="array" aca="1" ref="F157" ca="1">IFERROR(INDEX(_xlfn._xlws.FILTER(INDIRECT(F$1&amp;"!$E1:$E10000"),INDIRECT(F$1&amp;"!$a1:$a10000")=汇总!$A157),COUNTIF(INDIRECT(F$1&amp;"!$a1:$a10000"),汇总!$A157)),F156)</f>
        <v>2186.6524000000009</v>
      </c>
      <c r="G157" s="109" cm="1">
        <f t="array" aca="1" ref="G157" ca="1">IFERROR(INDEX(_xlfn._xlws.FILTER(INDIRECT(G$1&amp;"!$E1:$E10000"),INDIRECT(G$1&amp;"!$a1:$a10000")=汇总!$A157),COUNTIF(INDIRECT(G$1&amp;"!$a1:$a10000"),汇总!$A157)),G156)</f>
        <v>9558.0086599999995</v>
      </c>
      <c r="H157" s="109" cm="1">
        <f t="array" aca="1" ref="H157" ca="1">IFERROR(INDEX(_xlfn._xlws.FILTER(INDIRECT(H$1&amp;"!$E1:$E10000"),INDIRECT(H$1&amp;"!$a1:$a10000")=汇总!$A157),COUNTIF(INDIRECT(H$1&amp;"!$a1:$a10000"),汇总!$A157)),H156)</f>
        <v>-72.130251000000143</v>
      </c>
      <c r="I157" s="109" cm="1">
        <f t="array" aca="1" ref="I157" ca="1">IFERROR(INDEX(_xlfn._xlws.FILTER(INDIRECT(I$1&amp;"!$E1:$E10000"),INDIRECT(I$1&amp;"!$a1:$a10000")=汇总!$A157),COUNTIF(INDIRECT(I$1&amp;"!$a1:$a10000"),汇总!$A157)),I156)</f>
        <v>14.342120999999906</v>
      </c>
      <c r="J157" s="109" cm="1">
        <f t="array" aca="1" ref="J157" ca="1">IFERROR(INDEX(_xlfn._xlws.FILTER(INDIRECT(J$1&amp;"!$E1:$E10000"),INDIRECT(J$1&amp;"!$a1:$a10000")=汇总!$A157),COUNTIF(INDIRECT(J$1&amp;"!$a1:$a10000"),汇总!$A157)),J156)</f>
        <v>0.5</v>
      </c>
      <c r="K157" s="109" cm="1">
        <f t="array" aca="1" ref="K157" ca="1">IFERROR(INDEX(_xlfn._xlws.FILTER(INDIRECT(K$1&amp;"!$E1:$E10000"),INDIRECT(K$1&amp;"!$a1:$a10000")=汇总!$A157),COUNTIF(INDIRECT(K$1&amp;"!$a1:$a10000"),汇总!$A157)),K156)</f>
        <v>58.118779999999731</v>
      </c>
      <c r="L157" s="109" cm="1">
        <f t="array" aca="1" ref="L157" ca="1">IFERROR(INDEX(_xlfn._xlws.FILTER(INDIRECT(L$1&amp;"!$E1:$E10000"),INDIRECT(L$1&amp;"!$a1:$a10000")=汇总!$A157),COUNTIF(INDIRECT(L$1&amp;"!$a1:$a10000"),汇总!$A157)),L156)</f>
        <v>116.82299999999987</v>
      </c>
      <c r="M157" s="109" cm="1">
        <f t="array" aca="1" ref="M157" ca="1">IFERROR(INDEX(_xlfn._xlws.FILTER(INDIRECT(M$1&amp;"!$E1:$E10000"),INDIRECT(M$1&amp;"!$a1:$a10000")=汇总!$A157),COUNTIF(INDIRECT(M$1&amp;"!$a1:$a10000"),汇总!$A157)),M156)</f>
        <v>236.1466599999996</v>
      </c>
      <c r="N157" s="109" cm="1">
        <f t="array" aca="1" ref="N157" ca="1">IFERROR(INDEX(_xlfn._xlws.FILTER(INDIRECT(N$1&amp;"!$E1:$E10000"),INDIRECT(N$1&amp;"!$a1:$a10000")=汇总!$A157),COUNTIF(INDIRECT(N$1&amp;"!$a1:$a10000"),汇总!$A157)),N156)</f>
        <v>970.52038699999866</v>
      </c>
      <c r="O157" s="109" cm="1">
        <f t="array" aca="1" ref="O157" ca="1">IFERROR(INDEX(_xlfn._xlws.FILTER(INDIRECT(O$1&amp;"!$E1:$E10000"),INDIRECT(O$1&amp;"!$a1:$a10000")=汇总!$A157),COUNTIF(INDIRECT(O$1&amp;"!$a1:$a10000"),汇总!$A157)),O156)</f>
        <v>2</v>
      </c>
      <c r="P157" s="109" cm="1">
        <f t="array" aca="1" ref="P157" ca="1">IFERROR(INDEX(_xlfn._xlws.FILTER(INDIRECT(P$1&amp;"!$E1:$E10000"),INDIRECT(P$1&amp;"!$a1:$a10000")=汇总!$A157),COUNTIF(INDIRECT(P$1&amp;"!$a1:$a10000"),汇总!$A157)),P156)</f>
        <v>1364.9707999999996</v>
      </c>
      <c r="Q157" s="109" cm="1">
        <f t="array" aca="1" ref="Q157" ca="1">IFERROR(INDEX(_xlfn._xlws.FILTER(INDIRECT(Q$1&amp;"!$E1:$E10000"),INDIRECT(Q$1&amp;"!$a1:$a10000")=汇总!$A157),COUNTIF(INDIRECT(Q$1&amp;"!$a1:$a10000"),汇总!$A157)),Q156)</f>
        <v>32.504124999999021</v>
      </c>
      <c r="R157" s="109" cm="1">
        <f t="array" aca="1" ref="R157" ca="1">IFERROR(INDEX(_xlfn._xlws.FILTER(INDIRECT(R$1&amp;"!$E1:$E10000"),INDIRECT(R$1&amp;"!$a1:$a10000")=汇总!$A157),COUNTIF(INDIRECT(R$1&amp;"!$a1:$a10000"),汇总!$A157)),R156)</f>
        <v>5341.3357227534243</v>
      </c>
      <c r="S157" s="109" cm="1">
        <f t="array" aca="1" ref="S157" ca="1">IFERROR(INDEX(_xlfn._xlws.FILTER(INDIRECT(S$1&amp;"!$E1:$E10000"),INDIRECT(S$1&amp;"!$a1:$a10000")=汇总!$A157),COUNTIF(INDIRECT(S$1&amp;"!$a1:$a10000"),汇总!$A157)),S156)</f>
        <v>1146.8800000000001</v>
      </c>
      <c r="T157" s="109" cm="1">
        <f t="array" aca="1" ref="T157" ca="1">IFERROR(INDEX(_xlfn._xlws.FILTER(INDIRECT(T$1&amp;"!$E1:$E10000"),INDIRECT(T$1&amp;"!$a1:$a10000")=汇总!$A157),COUNTIF(INDIRECT(T$1&amp;"!$a1:$a10000"),汇总!$A157)),T156)</f>
        <v>6502.43</v>
      </c>
    </row>
    <row r="158" spans="1:20">
      <c r="A158" s="1">
        <f t="shared" si="5"/>
        <v>46179</v>
      </c>
      <c r="B158" s="109" cm="1">
        <f t="array" aca="1" ref="B158" ca="1">IFERROR(INDEX(_xlfn._xlws.FILTER(INDIRECT(B$1&amp;"!$E1:$E10000"),INDIRECT(B$1&amp;"!$a1:$a10000")=汇总!$A158),COUNTIF(INDIRECT(B$1&amp;"!$a1:$a10000"),汇总!$A158)),B157)</f>
        <v>78.592656000000147</v>
      </c>
      <c r="C158" s="109" cm="1">
        <f t="array" aca="1" ref="C158" ca="1">IFERROR(INDEX(_xlfn._xlws.FILTER(INDIRECT(C$1&amp;"!$E1:$E10000"),INDIRECT(C$1&amp;"!$a1:$a10000")=汇总!$A158),COUNTIF(INDIRECT(C$1&amp;"!$a1:$a10000"),汇总!$A158)),C157)</f>
        <v>2090</v>
      </c>
      <c r="D158" s="109" cm="1">
        <f t="array" aca="1" ref="D158" ca="1">IFERROR(INDEX(_xlfn._xlws.FILTER(INDIRECT(D$1&amp;"!$E1:$E10000"),INDIRECT(D$1&amp;"!$a1:$a10000")=汇总!$A158),COUNTIF(INDIRECT(D$1&amp;"!$a1:$a10000"),汇总!$A158)),D157)</f>
        <v>3801.2534050000004</v>
      </c>
      <c r="E158" s="109" cm="1">
        <f t="array" aca="1" ref="E158" ca="1">IFERROR(INDEX(_xlfn._xlws.FILTER(INDIRECT(E$1&amp;"!$E1:$E10000"),INDIRECT(E$1&amp;"!$a1:$a10000")=汇总!$A158),COUNTIF(INDIRECT(E$1&amp;"!$a1:$a10000"),汇总!$A158)),E157)</f>
        <v>-414.52691000000004</v>
      </c>
      <c r="F158" s="109" cm="1">
        <f t="array" aca="1" ref="F158" ca="1">IFERROR(INDEX(_xlfn._xlws.FILTER(INDIRECT(F$1&amp;"!$E1:$E10000"),INDIRECT(F$1&amp;"!$a1:$a10000")=汇总!$A158),COUNTIF(INDIRECT(F$1&amp;"!$a1:$a10000"),汇总!$A158)),F157)</f>
        <v>2186.6524000000009</v>
      </c>
      <c r="G158" s="109" cm="1">
        <f t="array" aca="1" ref="G158" ca="1">IFERROR(INDEX(_xlfn._xlws.FILTER(INDIRECT(G$1&amp;"!$E1:$E10000"),INDIRECT(G$1&amp;"!$a1:$a10000")=汇总!$A158),COUNTIF(INDIRECT(G$1&amp;"!$a1:$a10000"),汇总!$A158)),G157)</f>
        <v>9558.0086599999995</v>
      </c>
      <c r="H158" s="109" cm="1">
        <f t="array" aca="1" ref="H158" ca="1">IFERROR(INDEX(_xlfn._xlws.FILTER(INDIRECT(H$1&amp;"!$E1:$E10000"),INDIRECT(H$1&amp;"!$a1:$a10000")=汇总!$A158),COUNTIF(INDIRECT(H$1&amp;"!$a1:$a10000"),汇总!$A158)),H157)</f>
        <v>-72.130251000000143</v>
      </c>
      <c r="I158" s="109" cm="1">
        <f t="array" aca="1" ref="I158" ca="1">IFERROR(INDEX(_xlfn._xlws.FILTER(INDIRECT(I$1&amp;"!$E1:$E10000"),INDIRECT(I$1&amp;"!$a1:$a10000")=汇总!$A158),COUNTIF(INDIRECT(I$1&amp;"!$a1:$a10000"),汇总!$A158)),I157)</f>
        <v>14.342120999999906</v>
      </c>
      <c r="J158" s="109" cm="1">
        <f t="array" aca="1" ref="J158" ca="1">IFERROR(INDEX(_xlfn._xlws.FILTER(INDIRECT(J$1&amp;"!$E1:$E10000"),INDIRECT(J$1&amp;"!$a1:$a10000")=汇总!$A158),COUNTIF(INDIRECT(J$1&amp;"!$a1:$a10000"),汇总!$A158)),J157)</f>
        <v>0.5</v>
      </c>
      <c r="K158" s="109" cm="1">
        <f t="array" aca="1" ref="K158" ca="1">IFERROR(INDEX(_xlfn._xlws.FILTER(INDIRECT(K$1&amp;"!$E1:$E10000"),INDIRECT(K$1&amp;"!$a1:$a10000")=汇总!$A158),COUNTIF(INDIRECT(K$1&amp;"!$a1:$a10000"),汇总!$A158)),K157)</f>
        <v>58.118779999999731</v>
      </c>
      <c r="L158" s="109" cm="1">
        <f t="array" aca="1" ref="L158" ca="1">IFERROR(INDEX(_xlfn._xlws.FILTER(INDIRECT(L$1&amp;"!$E1:$E10000"),INDIRECT(L$1&amp;"!$a1:$a10000")=汇总!$A158),COUNTIF(INDIRECT(L$1&amp;"!$a1:$a10000"),汇总!$A158)),L157)</f>
        <v>116.82299999999987</v>
      </c>
      <c r="M158" s="109" cm="1">
        <f t="array" aca="1" ref="M158" ca="1">IFERROR(INDEX(_xlfn._xlws.FILTER(INDIRECT(M$1&amp;"!$E1:$E10000"),INDIRECT(M$1&amp;"!$a1:$a10000")=汇总!$A158),COUNTIF(INDIRECT(M$1&amp;"!$a1:$a10000"),汇总!$A158)),M157)</f>
        <v>236.1466599999996</v>
      </c>
      <c r="N158" s="109" cm="1">
        <f t="array" aca="1" ref="N158" ca="1">IFERROR(INDEX(_xlfn._xlws.FILTER(INDIRECT(N$1&amp;"!$E1:$E10000"),INDIRECT(N$1&amp;"!$a1:$a10000")=汇总!$A158),COUNTIF(INDIRECT(N$1&amp;"!$a1:$a10000"),汇总!$A158)),N157)</f>
        <v>970.52038699999866</v>
      </c>
      <c r="O158" s="109" cm="1">
        <f t="array" aca="1" ref="O158" ca="1">IFERROR(INDEX(_xlfn._xlws.FILTER(INDIRECT(O$1&amp;"!$E1:$E10000"),INDIRECT(O$1&amp;"!$a1:$a10000")=汇总!$A158),COUNTIF(INDIRECT(O$1&amp;"!$a1:$a10000"),汇总!$A158)),O157)</f>
        <v>2</v>
      </c>
      <c r="P158" s="109" cm="1">
        <f t="array" aca="1" ref="P158" ca="1">IFERROR(INDEX(_xlfn._xlws.FILTER(INDIRECT(P$1&amp;"!$E1:$E10000"),INDIRECT(P$1&amp;"!$a1:$a10000")=汇总!$A158),COUNTIF(INDIRECT(P$1&amp;"!$a1:$a10000"),汇总!$A158)),P157)</f>
        <v>1364.9707999999996</v>
      </c>
      <c r="Q158" s="109" cm="1">
        <f t="array" aca="1" ref="Q158" ca="1">IFERROR(INDEX(_xlfn._xlws.FILTER(INDIRECT(Q$1&amp;"!$E1:$E10000"),INDIRECT(Q$1&amp;"!$a1:$a10000")=汇总!$A158),COUNTIF(INDIRECT(Q$1&amp;"!$a1:$a10000"),汇总!$A158)),Q157)</f>
        <v>32.504124999999021</v>
      </c>
      <c r="R158" s="109" cm="1">
        <f t="array" aca="1" ref="R158" ca="1">IFERROR(INDEX(_xlfn._xlws.FILTER(INDIRECT(R$1&amp;"!$E1:$E10000"),INDIRECT(R$1&amp;"!$a1:$a10000")=汇总!$A158),COUNTIF(INDIRECT(R$1&amp;"!$a1:$a10000"),汇总!$A158)),R157)</f>
        <v>5341.3357227534243</v>
      </c>
      <c r="S158" s="109" cm="1">
        <f t="array" aca="1" ref="S158" ca="1">IFERROR(INDEX(_xlfn._xlws.FILTER(INDIRECT(S$1&amp;"!$E1:$E10000"),INDIRECT(S$1&amp;"!$a1:$a10000")=汇总!$A158),COUNTIF(INDIRECT(S$1&amp;"!$a1:$a10000"),汇总!$A158)),S157)</f>
        <v>1146.8800000000001</v>
      </c>
      <c r="T158" s="109" cm="1">
        <f t="array" aca="1" ref="T158" ca="1">IFERROR(INDEX(_xlfn._xlws.FILTER(INDIRECT(T$1&amp;"!$E1:$E10000"),INDIRECT(T$1&amp;"!$a1:$a10000")=汇总!$A158),COUNTIF(INDIRECT(T$1&amp;"!$a1:$a10000"),汇总!$A158)),T157)</f>
        <v>6502.43</v>
      </c>
    </row>
    <row r="159" spans="1:20">
      <c r="A159" s="1">
        <f t="shared" si="5"/>
        <v>46180</v>
      </c>
      <c r="B159" s="109" cm="1">
        <f t="array" aca="1" ref="B159" ca="1">IFERROR(INDEX(_xlfn._xlws.FILTER(INDIRECT(B$1&amp;"!$E1:$E10000"),INDIRECT(B$1&amp;"!$a1:$a10000")=汇总!$A159),COUNTIF(INDIRECT(B$1&amp;"!$a1:$a10000"),汇总!$A159)),B158)</f>
        <v>78.592656000000147</v>
      </c>
      <c r="C159" s="109" cm="1">
        <f t="array" aca="1" ref="C159" ca="1">IFERROR(INDEX(_xlfn._xlws.FILTER(INDIRECT(C$1&amp;"!$E1:$E10000"),INDIRECT(C$1&amp;"!$a1:$a10000")=汇总!$A159),COUNTIF(INDIRECT(C$1&amp;"!$a1:$a10000"),汇总!$A159)),C158)</f>
        <v>2090</v>
      </c>
      <c r="D159" s="109" cm="1">
        <f t="array" aca="1" ref="D159" ca="1">IFERROR(INDEX(_xlfn._xlws.FILTER(INDIRECT(D$1&amp;"!$E1:$E10000"),INDIRECT(D$1&amp;"!$a1:$a10000")=汇总!$A159),COUNTIF(INDIRECT(D$1&amp;"!$a1:$a10000"),汇总!$A159)),D158)</f>
        <v>3801.2534050000004</v>
      </c>
      <c r="E159" s="109" cm="1">
        <f t="array" aca="1" ref="E159" ca="1">IFERROR(INDEX(_xlfn._xlws.FILTER(INDIRECT(E$1&amp;"!$E1:$E10000"),INDIRECT(E$1&amp;"!$a1:$a10000")=汇总!$A159),COUNTIF(INDIRECT(E$1&amp;"!$a1:$a10000"),汇总!$A159)),E158)</f>
        <v>-414.52691000000004</v>
      </c>
      <c r="F159" s="109" cm="1">
        <f t="array" aca="1" ref="F159" ca="1">IFERROR(INDEX(_xlfn._xlws.FILTER(INDIRECT(F$1&amp;"!$E1:$E10000"),INDIRECT(F$1&amp;"!$a1:$a10000")=汇总!$A159),COUNTIF(INDIRECT(F$1&amp;"!$a1:$a10000"),汇总!$A159)),F158)</f>
        <v>2186.6524000000009</v>
      </c>
      <c r="G159" s="109" cm="1">
        <f t="array" aca="1" ref="G159" ca="1">IFERROR(INDEX(_xlfn._xlws.FILTER(INDIRECT(G$1&amp;"!$E1:$E10000"),INDIRECT(G$1&amp;"!$a1:$a10000")=汇总!$A159),COUNTIF(INDIRECT(G$1&amp;"!$a1:$a10000"),汇总!$A159)),G158)</f>
        <v>9558.0086599999995</v>
      </c>
      <c r="H159" s="109" cm="1">
        <f t="array" aca="1" ref="H159" ca="1">IFERROR(INDEX(_xlfn._xlws.FILTER(INDIRECT(H$1&amp;"!$E1:$E10000"),INDIRECT(H$1&amp;"!$a1:$a10000")=汇总!$A159),COUNTIF(INDIRECT(H$1&amp;"!$a1:$a10000"),汇总!$A159)),H158)</f>
        <v>-72.130251000000143</v>
      </c>
      <c r="I159" s="109" cm="1">
        <f t="array" aca="1" ref="I159" ca="1">IFERROR(INDEX(_xlfn._xlws.FILTER(INDIRECT(I$1&amp;"!$E1:$E10000"),INDIRECT(I$1&amp;"!$a1:$a10000")=汇总!$A159),COUNTIF(INDIRECT(I$1&amp;"!$a1:$a10000"),汇总!$A159)),I158)</f>
        <v>14.342120999999906</v>
      </c>
      <c r="J159" s="109" cm="1">
        <f t="array" aca="1" ref="J159" ca="1">IFERROR(INDEX(_xlfn._xlws.FILTER(INDIRECT(J$1&amp;"!$E1:$E10000"),INDIRECT(J$1&amp;"!$a1:$a10000")=汇总!$A159),COUNTIF(INDIRECT(J$1&amp;"!$a1:$a10000"),汇总!$A159)),J158)</f>
        <v>0.5</v>
      </c>
      <c r="K159" s="109" cm="1">
        <f t="array" aca="1" ref="K159" ca="1">IFERROR(INDEX(_xlfn._xlws.FILTER(INDIRECT(K$1&amp;"!$E1:$E10000"),INDIRECT(K$1&amp;"!$a1:$a10000")=汇总!$A159),COUNTIF(INDIRECT(K$1&amp;"!$a1:$a10000"),汇总!$A159)),K158)</f>
        <v>58.118779999999731</v>
      </c>
      <c r="L159" s="109" cm="1">
        <f t="array" aca="1" ref="L159" ca="1">IFERROR(INDEX(_xlfn._xlws.FILTER(INDIRECT(L$1&amp;"!$E1:$E10000"),INDIRECT(L$1&amp;"!$a1:$a10000")=汇总!$A159),COUNTIF(INDIRECT(L$1&amp;"!$a1:$a10000"),汇总!$A159)),L158)</f>
        <v>116.82299999999987</v>
      </c>
      <c r="M159" s="109" cm="1">
        <f t="array" aca="1" ref="M159" ca="1">IFERROR(INDEX(_xlfn._xlws.FILTER(INDIRECT(M$1&amp;"!$E1:$E10000"),INDIRECT(M$1&amp;"!$a1:$a10000")=汇总!$A159),COUNTIF(INDIRECT(M$1&amp;"!$a1:$a10000"),汇总!$A159)),M158)</f>
        <v>236.1466599999996</v>
      </c>
      <c r="N159" s="109" cm="1">
        <f t="array" aca="1" ref="N159" ca="1">IFERROR(INDEX(_xlfn._xlws.FILTER(INDIRECT(N$1&amp;"!$E1:$E10000"),INDIRECT(N$1&amp;"!$a1:$a10000")=汇总!$A159),COUNTIF(INDIRECT(N$1&amp;"!$a1:$a10000"),汇总!$A159)),N158)</f>
        <v>970.52038699999866</v>
      </c>
      <c r="O159" s="109" cm="1">
        <f t="array" aca="1" ref="O159" ca="1">IFERROR(INDEX(_xlfn._xlws.FILTER(INDIRECT(O$1&amp;"!$E1:$E10000"),INDIRECT(O$1&amp;"!$a1:$a10000")=汇总!$A159),COUNTIF(INDIRECT(O$1&amp;"!$a1:$a10000"),汇总!$A159)),O158)</f>
        <v>2</v>
      </c>
      <c r="P159" s="109" cm="1">
        <f t="array" aca="1" ref="P159" ca="1">IFERROR(INDEX(_xlfn._xlws.FILTER(INDIRECT(P$1&amp;"!$E1:$E10000"),INDIRECT(P$1&amp;"!$a1:$a10000")=汇总!$A159),COUNTIF(INDIRECT(P$1&amp;"!$a1:$a10000"),汇总!$A159)),P158)</f>
        <v>1364.9707999999996</v>
      </c>
      <c r="Q159" s="109" cm="1">
        <f t="array" aca="1" ref="Q159" ca="1">IFERROR(INDEX(_xlfn._xlws.FILTER(INDIRECT(Q$1&amp;"!$E1:$E10000"),INDIRECT(Q$1&amp;"!$a1:$a10000")=汇总!$A159),COUNTIF(INDIRECT(Q$1&amp;"!$a1:$a10000"),汇总!$A159)),Q158)</f>
        <v>32.504124999999021</v>
      </c>
      <c r="R159" s="109" cm="1">
        <f t="array" aca="1" ref="R159" ca="1">IFERROR(INDEX(_xlfn._xlws.FILTER(INDIRECT(R$1&amp;"!$E1:$E10000"),INDIRECT(R$1&amp;"!$a1:$a10000")=汇总!$A159),COUNTIF(INDIRECT(R$1&amp;"!$a1:$a10000"),汇总!$A159)),R158)</f>
        <v>5341.3357227534243</v>
      </c>
      <c r="S159" s="109" cm="1">
        <f t="array" aca="1" ref="S159" ca="1">IFERROR(INDEX(_xlfn._xlws.FILTER(INDIRECT(S$1&amp;"!$E1:$E10000"),INDIRECT(S$1&amp;"!$a1:$a10000")=汇总!$A159),COUNTIF(INDIRECT(S$1&amp;"!$a1:$a10000"),汇总!$A159)),S158)</f>
        <v>1146.8800000000001</v>
      </c>
      <c r="T159" s="109" cm="1">
        <f t="array" aca="1" ref="T159" ca="1">IFERROR(INDEX(_xlfn._xlws.FILTER(INDIRECT(T$1&amp;"!$E1:$E10000"),INDIRECT(T$1&amp;"!$a1:$a10000")=汇总!$A159),COUNTIF(INDIRECT(T$1&amp;"!$a1:$a10000"),汇总!$A159)),T158)</f>
        <v>6502.43</v>
      </c>
    </row>
    <row r="160" spans="1:20">
      <c r="A160" s="1">
        <f t="shared" si="5"/>
        <v>46181</v>
      </c>
      <c r="B160" s="109" cm="1">
        <f t="array" aca="1" ref="B160" ca="1">IFERROR(INDEX(_xlfn._xlws.FILTER(INDIRECT(B$1&amp;"!$E1:$E10000"),INDIRECT(B$1&amp;"!$a1:$a10000")=汇总!$A160),COUNTIF(INDIRECT(B$1&amp;"!$a1:$a10000"),汇总!$A160)),B159)</f>
        <v>78.592656000000147</v>
      </c>
      <c r="C160" s="109" cm="1">
        <f t="array" aca="1" ref="C160" ca="1">IFERROR(INDEX(_xlfn._xlws.FILTER(INDIRECT(C$1&amp;"!$E1:$E10000"),INDIRECT(C$1&amp;"!$a1:$a10000")=汇总!$A160),COUNTIF(INDIRECT(C$1&amp;"!$a1:$a10000"),汇总!$A160)),C159)</f>
        <v>2090</v>
      </c>
      <c r="D160" s="109" cm="1">
        <f t="array" aca="1" ref="D160" ca="1">IFERROR(INDEX(_xlfn._xlws.FILTER(INDIRECT(D$1&amp;"!$E1:$E10000"),INDIRECT(D$1&amp;"!$a1:$a10000")=汇总!$A160),COUNTIF(INDIRECT(D$1&amp;"!$a1:$a10000"),汇总!$A160)),D159)</f>
        <v>3801.2534050000004</v>
      </c>
      <c r="E160" s="109" cm="1">
        <f t="array" aca="1" ref="E160" ca="1">IFERROR(INDEX(_xlfn._xlws.FILTER(INDIRECT(E$1&amp;"!$E1:$E10000"),INDIRECT(E$1&amp;"!$a1:$a10000")=汇总!$A160),COUNTIF(INDIRECT(E$1&amp;"!$a1:$a10000"),汇总!$A160)),E159)</f>
        <v>-414.52691000000004</v>
      </c>
      <c r="F160" s="109" cm="1">
        <f t="array" aca="1" ref="F160" ca="1">IFERROR(INDEX(_xlfn._xlws.FILTER(INDIRECT(F$1&amp;"!$E1:$E10000"),INDIRECT(F$1&amp;"!$a1:$a10000")=汇总!$A160),COUNTIF(INDIRECT(F$1&amp;"!$a1:$a10000"),汇总!$A160)),F159)</f>
        <v>2186.6524000000009</v>
      </c>
      <c r="G160" s="109" cm="1">
        <f t="array" aca="1" ref="G160" ca="1">IFERROR(INDEX(_xlfn._xlws.FILTER(INDIRECT(G$1&amp;"!$E1:$E10000"),INDIRECT(G$1&amp;"!$a1:$a10000")=汇总!$A160),COUNTIF(INDIRECT(G$1&amp;"!$a1:$a10000"),汇总!$A160)),G159)</f>
        <v>9558.0086599999995</v>
      </c>
      <c r="H160" s="109" cm="1">
        <f t="array" aca="1" ref="H160" ca="1">IFERROR(INDEX(_xlfn._xlws.FILTER(INDIRECT(H$1&amp;"!$E1:$E10000"),INDIRECT(H$1&amp;"!$a1:$a10000")=汇总!$A160),COUNTIF(INDIRECT(H$1&amp;"!$a1:$a10000"),汇总!$A160)),H159)</f>
        <v>-72.130251000000143</v>
      </c>
      <c r="I160" s="109" cm="1">
        <f t="array" aca="1" ref="I160" ca="1">IFERROR(INDEX(_xlfn._xlws.FILTER(INDIRECT(I$1&amp;"!$E1:$E10000"),INDIRECT(I$1&amp;"!$a1:$a10000")=汇总!$A160),COUNTIF(INDIRECT(I$1&amp;"!$a1:$a10000"),汇总!$A160)),I159)</f>
        <v>14.342120999999906</v>
      </c>
      <c r="J160" s="109" cm="1">
        <f t="array" aca="1" ref="J160" ca="1">IFERROR(INDEX(_xlfn._xlws.FILTER(INDIRECT(J$1&amp;"!$E1:$E10000"),INDIRECT(J$1&amp;"!$a1:$a10000")=汇总!$A160),COUNTIF(INDIRECT(J$1&amp;"!$a1:$a10000"),汇总!$A160)),J159)</f>
        <v>0.5</v>
      </c>
      <c r="K160" s="109" cm="1">
        <f t="array" aca="1" ref="K160" ca="1">IFERROR(INDEX(_xlfn._xlws.FILTER(INDIRECT(K$1&amp;"!$E1:$E10000"),INDIRECT(K$1&amp;"!$a1:$a10000")=汇总!$A160),COUNTIF(INDIRECT(K$1&amp;"!$a1:$a10000"),汇总!$A160)),K159)</f>
        <v>58.118779999999731</v>
      </c>
      <c r="L160" s="109" cm="1">
        <f t="array" aca="1" ref="L160" ca="1">IFERROR(INDEX(_xlfn._xlws.FILTER(INDIRECT(L$1&amp;"!$E1:$E10000"),INDIRECT(L$1&amp;"!$a1:$a10000")=汇总!$A160),COUNTIF(INDIRECT(L$1&amp;"!$a1:$a10000"),汇总!$A160)),L159)</f>
        <v>116.82299999999987</v>
      </c>
      <c r="M160" s="109" cm="1">
        <f t="array" aca="1" ref="M160" ca="1">IFERROR(INDEX(_xlfn._xlws.FILTER(INDIRECT(M$1&amp;"!$E1:$E10000"),INDIRECT(M$1&amp;"!$a1:$a10000")=汇总!$A160),COUNTIF(INDIRECT(M$1&amp;"!$a1:$a10000"),汇总!$A160)),M159)</f>
        <v>236.1466599999996</v>
      </c>
      <c r="N160" s="109" cm="1">
        <f t="array" aca="1" ref="N160" ca="1">IFERROR(INDEX(_xlfn._xlws.FILTER(INDIRECT(N$1&amp;"!$E1:$E10000"),INDIRECT(N$1&amp;"!$a1:$a10000")=汇总!$A160),COUNTIF(INDIRECT(N$1&amp;"!$a1:$a10000"),汇总!$A160)),N159)</f>
        <v>970.52038699999866</v>
      </c>
      <c r="O160" s="109" cm="1">
        <f t="array" aca="1" ref="O160" ca="1">IFERROR(INDEX(_xlfn._xlws.FILTER(INDIRECT(O$1&amp;"!$E1:$E10000"),INDIRECT(O$1&amp;"!$a1:$a10000")=汇总!$A160),COUNTIF(INDIRECT(O$1&amp;"!$a1:$a10000"),汇总!$A160)),O159)</f>
        <v>2</v>
      </c>
      <c r="P160" s="109" cm="1">
        <f t="array" aca="1" ref="P160" ca="1">IFERROR(INDEX(_xlfn._xlws.FILTER(INDIRECT(P$1&amp;"!$E1:$E10000"),INDIRECT(P$1&amp;"!$a1:$a10000")=汇总!$A160),COUNTIF(INDIRECT(P$1&amp;"!$a1:$a10000"),汇总!$A160)),P159)</f>
        <v>1364.9707999999996</v>
      </c>
      <c r="Q160" s="109" cm="1">
        <f t="array" aca="1" ref="Q160" ca="1">IFERROR(INDEX(_xlfn._xlws.FILTER(INDIRECT(Q$1&amp;"!$E1:$E10000"),INDIRECT(Q$1&amp;"!$a1:$a10000")=汇总!$A160),COUNTIF(INDIRECT(Q$1&amp;"!$a1:$a10000"),汇总!$A160)),Q159)</f>
        <v>32.504124999999021</v>
      </c>
      <c r="R160" s="109" cm="1">
        <f t="array" aca="1" ref="R160" ca="1">IFERROR(INDEX(_xlfn._xlws.FILTER(INDIRECT(R$1&amp;"!$E1:$E10000"),INDIRECT(R$1&amp;"!$a1:$a10000")=汇总!$A160),COUNTIF(INDIRECT(R$1&amp;"!$a1:$a10000"),汇总!$A160)),R159)</f>
        <v>5341.3357227534243</v>
      </c>
      <c r="S160" s="109" cm="1">
        <f t="array" aca="1" ref="S160" ca="1">IFERROR(INDEX(_xlfn._xlws.FILTER(INDIRECT(S$1&amp;"!$E1:$E10000"),INDIRECT(S$1&amp;"!$a1:$a10000")=汇总!$A160),COUNTIF(INDIRECT(S$1&amp;"!$a1:$a10000"),汇总!$A160)),S159)</f>
        <v>1146.8800000000001</v>
      </c>
      <c r="T160" s="109" cm="1">
        <f t="array" aca="1" ref="T160" ca="1">IFERROR(INDEX(_xlfn._xlws.FILTER(INDIRECT(T$1&amp;"!$E1:$E10000"),INDIRECT(T$1&amp;"!$a1:$a10000")=汇总!$A160),COUNTIF(INDIRECT(T$1&amp;"!$a1:$a10000"),汇总!$A160)),T159)</f>
        <v>9874.43</v>
      </c>
    </row>
    <row r="161" spans="1:20">
      <c r="A161" s="1">
        <f t="shared" si="5"/>
        <v>46182</v>
      </c>
      <c r="B161" s="109" cm="1">
        <f t="array" aca="1" ref="B161" ca="1">IFERROR(INDEX(_xlfn._xlws.FILTER(INDIRECT(B$1&amp;"!$E1:$E10000"),INDIRECT(B$1&amp;"!$a1:$a10000")=汇总!$A161),COUNTIF(INDIRECT(B$1&amp;"!$a1:$a10000"),汇总!$A161)),B160)</f>
        <v>78.592656000000147</v>
      </c>
      <c r="C161" s="109" cm="1">
        <f t="array" aca="1" ref="C161" ca="1">IFERROR(INDEX(_xlfn._xlws.FILTER(INDIRECT(C$1&amp;"!$E1:$E10000"),INDIRECT(C$1&amp;"!$a1:$a10000")=汇总!$A161),COUNTIF(INDIRECT(C$1&amp;"!$a1:$a10000"),汇总!$A161)),C160)</f>
        <v>2090</v>
      </c>
      <c r="D161" s="109" cm="1">
        <f t="array" aca="1" ref="D161" ca="1">IFERROR(INDEX(_xlfn._xlws.FILTER(INDIRECT(D$1&amp;"!$E1:$E10000"),INDIRECT(D$1&amp;"!$a1:$a10000")=汇总!$A161),COUNTIF(INDIRECT(D$1&amp;"!$a1:$a10000"),汇总!$A161)),D160)</f>
        <v>3801.2534050000004</v>
      </c>
      <c r="E161" s="109" cm="1">
        <f t="array" aca="1" ref="E161" ca="1">IFERROR(INDEX(_xlfn._xlws.FILTER(INDIRECT(E$1&amp;"!$E1:$E10000"),INDIRECT(E$1&amp;"!$a1:$a10000")=汇总!$A161),COUNTIF(INDIRECT(E$1&amp;"!$a1:$a10000"),汇总!$A161)),E160)</f>
        <v>-1214.52691</v>
      </c>
      <c r="F161" s="109" cm="1">
        <f t="array" aca="1" ref="F161" ca="1">IFERROR(INDEX(_xlfn._xlws.FILTER(INDIRECT(F$1&amp;"!$E1:$E10000"),INDIRECT(F$1&amp;"!$a1:$a10000")=汇总!$A161),COUNTIF(INDIRECT(F$1&amp;"!$a1:$a10000"),汇总!$A161)),F160)</f>
        <v>2186.6524000000009</v>
      </c>
      <c r="G161" s="109" cm="1">
        <f t="array" aca="1" ref="G161" ca="1">IFERROR(INDEX(_xlfn._xlws.FILTER(INDIRECT(G$1&amp;"!$E1:$E10000"),INDIRECT(G$1&amp;"!$a1:$a10000")=汇总!$A161),COUNTIF(INDIRECT(G$1&amp;"!$a1:$a10000"),汇总!$A161)),G160)</f>
        <v>9558.0086599999995</v>
      </c>
      <c r="H161" s="109" cm="1">
        <f t="array" aca="1" ref="H161" ca="1">IFERROR(INDEX(_xlfn._xlws.FILTER(INDIRECT(H$1&amp;"!$E1:$E10000"),INDIRECT(H$1&amp;"!$a1:$a10000")=汇总!$A161),COUNTIF(INDIRECT(H$1&amp;"!$a1:$a10000"),汇总!$A161)),H160)</f>
        <v>-72.130251000000143</v>
      </c>
      <c r="I161" s="109" cm="1">
        <f t="array" aca="1" ref="I161" ca="1">IFERROR(INDEX(_xlfn._xlws.FILTER(INDIRECT(I$1&amp;"!$E1:$E10000"),INDIRECT(I$1&amp;"!$a1:$a10000")=汇总!$A161),COUNTIF(INDIRECT(I$1&amp;"!$a1:$a10000"),汇总!$A161)),I160)</f>
        <v>14.342120999999906</v>
      </c>
      <c r="J161" s="109" cm="1">
        <f t="array" aca="1" ref="J161" ca="1">IFERROR(INDEX(_xlfn._xlws.FILTER(INDIRECT(J$1&amp;"!$E1:$E10000"),INDIRECT(J$1&amp;"!$a1:$a10000")=汇总!$A161),COUNTIF(INDIRECT(J$1&amp;"!$a1:$a10000"),汇总!$A161)),J160)</f>
        <v>0.5</v>
      </c>
      <c r="K161" s="109" cm="1">
        <f t="array" aca="1" ref="K161" ca="1">IFERROR(INDEX(_xlfn._xlws.FILTER(INDIRECT(K$1&amp;"!$E1:$E10000"),INDIRECT(K$1&amp;"!$a1:$a10000")=汇总!$A161),COUNTIF(INDIRECT(K$1&amp;"!$a1:$a10000"),汇总!$A161)),K160)</f>
        <v>58.118779999999731</v>
      </c>
      <c r="L161" s="109" cm="1">
        <f t="array" aca="1" ref="L161" ca="1">IFERROR(INDEX(_xlfn._xlws.FILTER(INDIRECT(L$1&amp;"!$E1:$E10000"),INDIRECT(L$1&amp;"!$a1:$a10000")=汇总!$A161),COUNTIF(INDIRECT(L$1&amp;"!$a1:$a10000"),汇总!$A161)),L160)</f>
        <v>116.82299999999987</v>
      </c>
      <c r="M161" s="109" cm="1">
        <f t="array" aca="1" ref="M161" ca="1">IFERROR(INDEX(_xlfn._xlws.FILTER(INDIRECT(M$1&amp;"!$E1:$E10000"),INDIRECT(M$1&amp;"!$a1:$a10000")=汇总!$A161),COUNTIF(INDIRECT(M$1&amp;"!$a1:$a10000"),汇总!$A161)),M160)</f>
        <v>236.1466599999996</v>
      </c>
      <c r="N161" s="109" cm="1">
        <f t="array" aca="1" ref="N161" ca="1">IFERROR(INDEX(_xlfn._xlws.FILTER(INDIRECT(N$1&amp;"!$E1:$E10000"),INDIRECT(N$1&amp;"!$a1:$a10000")=汇总!$A161),COUNTIF(INDIRECT(N$1&amp;"!$a1:$a10000"),汇总!$A161)),N160)</f>
        <v>970.52038699999866</v>
      </c>
      <c r="O161" s="109" cm="1">
        <f t="array" aca="1" ref="O161" ca="1">IFERROR(INDEX(_xlfn._xlws.FILTER(INDIRECT(O$1&amp;"!$E1:$E10000"),INDIRECT(O$1&amp;"!$a1:$a10000")=汇总!$A161),COUNTIF(INDIRECT(O$1&amp;"!$a1:$a10000"),汇总!$A161)),O160)</f>
        <v>2</v>
      </c>
      <c r="P161" s="109" cm="1">
        <f t="array" aca="1" ref="P161" ca="1">IFERROR(INDEX(_xlfn._xlws.FILTER(INDIRECT(P$1&amp;"!$E1:$E10000"),INDIRECT(P$1&amp;"!$a1:$a10000")=汇总!$A161),COUNTIF(INDIRECT(P$1&amp;"!$a1:$a10000"),汇总!$A161)),P160)</f>
        <v>1364.9707999999996</v>
      </c>
      <c r="Q161" s="109" cm="1">
        <f t="array" aca="1" ref="Q161" ca="1">IFERROR(INDEX(_xlfn._xlws.FILTER(INDIRECT(Q$1&amp;"!$E1:$E10000"),INDIRECT(Q$1&amp;"!$a1:$a10000")=汇总!$A161),COUNTIF(INDIRECT(Q$1&amp;"!$a1:$a10000"),汇总!$A161)),Q160)</f>
        <v>32.504124999999021</v>
      </c>
      <c r="R161" s="109" cm="1">
        <f t="array" aca="1" ref="R161" ca="1">IFERROR(INDEX(_xlfn._xlws.FILTER(INDIRECT(R$1&amp;"!$E1:$E10000"),INDIRECT(R$1&amp;"!$a1:$a10000")=汇总!$A161),COUNTIF(INDIRECT(R$1&amp;"!$a1:$a10000"),汇总!$A161)),R160)</f>
        <v>5341.3357227534243</v>
      </c>
      <c r="S161" s="109" cm="1">
        <f t="array" aca="1" ref="S161" ca="1">IFERROR(INDEX(_xlfn._xlws.FILTER(INDIRECT(S$1&amp;"!$E1:$E10000"),INDIRECT(S$1&amp;"!$a1:$a10000")=汇总!$A161),COUNTIF(INDIRECT(S$1&amp;"!$a1:$a10000"),汇总!$A161)),S160)</f>
        <v>1146.8800000000001</v>
      </c>
      <c r="T161" s="109" cm="1">
        <f t="array" aca="1" ref="T161" ca="1">IFERROR(INDEX(_xlfn._xlws.FILTER(INDIRECT(T$1&amp;"!$E1:$E10000"),INDIRECT(T$1&amp;"!$a1:$a10000")=汇总!$A161),COUNTIF(INDIRECT(T$1&amp;"!$a1:$a10000"),汇总!$A161)),T160)</f>
        <v>9874.43</v>
      </c>
    </row>
    <row r="162" spans="1:20">
      <c r="A162" s="1">
        <f t="shared" si="5"/>
        <v>46183</v>
      </c>
      <c r="B162" s="109" cm="1">
        <f t="array" aca="1" ref="B162" ca="1">IFERROR(INDEX(_xlfn._xlws.FILTER(INDIRECT(B$1&amp;"!$E1:$E10000"),INDIRECT(B$1&amp;"!$a1:$a10000")=汇总!$A162),COUNTIF(INDIRECT(B$1&amp;"!$a1:$a10000"),汇总!$A162)),B161)</f>
        <v>78.592656000000147</v>
      </c>
      <c r="C162" s="109" cm="1">
        <f t="array" aca="1" ref="C162" ca="1">IFERROR(INDEX(_xlfn._xlws.FILTER(INDIRECT(C$1&amp;"!$E1:$E10000"),INDIRECT(C$1&amp;"!$a1:$a10000")=汇总!$A162),COUNTIF(INDIRECT(C$1&amp;"!$a1:$a10000"),汇总!$A162)),C161)</f>
        <v>2090</v>
      </c>
      <c r="D162" s="109" cm="1">
        <f t="array" aca="1" ref="D162" ca="1">IFERROR(INDEX(_xlfn._xlws.FILTER(INDIRECT(D$1&amp;"!$E1:$E10000"),INDIRECT(D$1&amp;"!$a1:$a10000")=汇总!$A162),COUNTIF(INDIRECT(D$1&amp;"!$a1:$a10000"),汇总!$A162)),D161)</f>
        <v>3122.9534050000002</v>
      </c>
      <c r="E162" s="109" cm="1">
        <f t="array" aca="1" ref="E162" ca="1">IFERROR(INDEX(_xlfn._xlws.FILTER(INDIRECT(E$1&amp;"!$E1:$E10000"),INDIRECT(E$1&amp;"!$a1:$a10000")=汇总!$A162),COUNTIF(INDIRECT(E$1&amp;"!$a1:$a10000"),汇总!$A162)),E161)</f>
        <v>-1214.52691</v>
      </c>
      <c r="F162" s="109" cm="1">
        <f t="array" aca="1" ref="F162" ca="1">IFERROR(INDEX(_xlfn._xlws.FILTER(INDIRECT(F$1&amp;"!$E1:$E10000"),INDIRECT(F$1&amp;"!$a1:$a10000")=汇总!$A162),COUNTIF(INDIRECT(F$1&amp;"!$a1:$a10000"),汇总!$A162)),F161)</f>
        <v>2186.6524000000009</v>
      </c>
      <c r="G162" s="109" cm="1">
        <f t="array" aca="1" ref="G162" ca="1">IFERROR(INDEX(_xlfn._xlws.FILTER(INDIRECT(G$1&amp;"!$E1:$E10000"),INDIRECT(G$1&amp;"!$a1:$a10000")=汇总!$A162),COUNTIF(INDIRECT(G$1&amp;"!$a1:$a10000"),汇总!$A162)),G161)</f>
        <v>9558.0086599999995</v>
      </c>
      <c r="H162" s="109" cm="1">
        <f t="array" aca="1" ref="H162" ca="1">IFERROR(INDEX(_xlfn._xlws.FILTER(INDIRECT(H$1&amp;"!$E1:$E10000"),INDIRECT(H$1&amp;"!$a1:$a10000")=汇总!$A162),COUNTIF(INDIRECT(H$1&amp;"!$a1:$a10000"),汇总!$A162)),H161)</f>
        <v>-72.130251000000143</v>
      </c>
      <c r="I162" s="109" cm="1">
        <f t="array" aca="1" ref="I162" ca="1">IFERROR(INDEX(_xlfn._xlws.FILTER(INDIRECT(I$1&amp;"!$E1:$E10000"),INDIRECT(I$1&amp;"!$a1:$a10000")=汇总!$A162),COUNTIF(INDIRECT(I$1&amp;"!$a1:$a10000"),汇总!$A162)),I161)</f>
        <v>14.342120999999906</v>
      </c>
      <c r="J162" s="109" cm="1">
        <f t="array" aca="1" ref="J162" ca="1">IFERROR(INDEX(_xlfn._xlws.FILTER(INDIRECT(J$1&amp;"!$E1:$E10000"),INDIRECT(J$1&amp;"!$a1:$a10000")=汇总!$A162),COUNTIF(INDIRECT(J$1&amp;"!$a1:$a10000"),汇总!$A162)),J161)</f>
        <v>0.5</v>
      </c>
      <c r="K162" s="109" cm="1">
        <f t="array" aca="1" ref="K162" ca="1">IFERROR(INDEX(_xlfn._xlws.FILTER(INDIRECT(K$1&amp;"!$E1:$E10000"),INDIRECT(K$1&amp;"!$a1:$a10000")=汇总!$A162),COUNTIF(INDIRECT(K$1&amp;"!$a1:$a10000"),汇总!$A162)),K161)</f>
        <v>58.118779999999731</v>
      </c>
      <c r="L162" s="109" cm="1">
        <f t="array" aca="1" ref="L162" ca="1">IFERROR(INDEX(_xlfn._xlws.FILTER(INDIRECT(L$1&amp;"!$E1:$E10000"),INDIRECT(L$1&amp;"!$a1:$a10000")=汇总!$A162),COUNTIF(INDIRECT(L$1&amp;"!$a1:$a10000"),汇总!$A162)),L161)</f>
        <v>116.82299999999987</v>
      </c>
      <c r="M162" s="109" cm="1">
        <f t="array" aca="1" ref="M162" ca="1">IFERROR(INDEX(_xlfn._xlws.FILTER(INDIRECT(M$1&amp;"!$E1:$E10000"),INDIRECT(M$1&amp;"!$a1:$a10000")=汇总!$A162),COUNTIF(INDIRECT(M$1&amp;"!$a1:$a10000"),汇总!$A162)),M161)</f>
        <v>236.1466599999996</v>
      </c>
      <c r="N162" s="109" cm="1">
        <f t="array" aca="1" ref="N162" ca="1">IFERROR(INDEX(_xlfn._xlws.FILTER(INDIRECT(N$1&amp;"!$E1:$E10000"),INDIRECT(N$1&amp;"!$a1:$a10000")=汇总!$A162),COUNTIF(INDIRECT(N$1&amp;"!$a1:$a10000"),汇总!$A162)),N161)</f>
        <v>970.52038699999866</v>
      </c>
      <c r="O162" s="109" cm="1">
        <f t="array" aca="1" ref="O162" ca="1">IFERROR(INDEX(_xlfn._xlws.FILTER(INDIRECT(O$1&amp;"!$E1:$E10000"),INDIRECT(O$1&amp;"!$a1:$a10000")=汇总!$A162),COUNTIF(INDIRECT(O$1&amp;"!$a1:$a10000"),汇总!$A162)),O161)</f>
        <v>2</v>
      </c>
      <c r="P162" s="109" cm="1">
        <f t="array" aca="1" ref="P162" ca="1">IFERROR(INDEX(_xlfn._xlws.FILTER(INDIRECT(P$1&amp;"!$E1:$E10000"),INDIRECT(P$1&amp;"!$a1:$a10000")=汇总!$A162),COUNTIF(INDIRECT(P$1&amp;"!$a1:$a10000"),汇总!$A162)),P161)</f>
        <v>1364.9707999999996</v>
      </c>
      <c r="Q162" s="109" cm="1">
        <f t="array" aca="1" ref="Q162" ca="1">IFERROR(INDEX(_xlfn._xlws.FILTER(INDIRECT(Q$1&amp;"!$E1:$E10000"),INDIRECT(Q$1&amp;"!$a1:$a10000")=汇总!$A162),COUNTIF(INDIRECT(Q$1&amp;"!$a1:$a10000"),汇总!$A162)),Q161)</f>
        <v>32.504124999999021</v>
      </c>
      <c r="R162" s="109" cm="1">
        <f t="array" aca="1" ref="R162" ca="1">IFERROR(INDEX(_xlfn._xlws.FILTER(INDIRECT(R$1&amp;"!$E1:$E10000"),INDIRECT(R$1&amp;"!$a1:$a10000")=汇总!$A162),COUNTIF(INDIRECT(R$1&amp;"!$a1:$a10000"),汇总!$A162)),R161)</f>
        <v>5341.3357227534243</v>
      </c>
      <c r="S162" s="109" cm="1">
        <f t="array" aca="1" ref="S162" ca="1">IFERROR(INDEX(_xlfn._xlws.FILTER(INDIRECT(S$1&amp;"!$E1:$E10000"),INDIRECT(S$1&amp;"!$a1:$a10000")=汇总!$A162),COUNTIF(INDIRECT(S$1&amp;"!$a1:$a10000"),汇总!$A162)),S161)</f>
        <v>1146.8800000000001</v>
      </c>
      <c r="T162" s="109" cm="1">
        <f t="array" aca="1" ref="T162" ca="1">IFERROR(INDEX(_xlfn._xlws.FILTER(INDIRECT(T$1&amp;"!$E1:$E10000"),INDIRECT(T$1&amp;"!$a1:$a10000")=汇总!$A162),COUNTIF(INDIRECT(T$1&amp;"!$a1:$a10000"),汇总!$A162)),T161)</f>
        <v>9874.43</v>
      </c>
    </row>
    <row r="163" spans="1:20">
      <c r="A163" s="1">
        <f t="shared" si="5"/>
        <v>46184</v>
      </c>
      <c r="B163" s="109" cm="1">
        <f t="array" aca="1" ref="B163" ca="1">IFERROR(INDEX(_xlfn._xlws.FILTER(INDIRECT(B$1&amp;"!$E1:$E10000"),INDIRECT(B$1&amp;"!$a1:$a10000")=汇总!$A163),COUNTIF(INDIRECT(B$1&amp;"!$a1:$a10000"),汇总!$A163)),B162)</f>
        <v>78.592656000000147</v>
      </c>
      <c r="C163" s="109" cm="1">
        <f t="array" aca="1" ref="C163" ca="1">IFERROR(INDEX(_xlfn._xlws.FILTER(INDIRECT(C$1&amp;"!$E1:$E10000"),INDIRECT(C$1&amp;"!$a1:$a10000")=汇总!$A163),COUNTIF(INDIRECT(C$1&amp;"!$a1:$a10000"),汇总!$A163)),C162)</f>
        <v>2090</v>
      </c>
      <c r="D163" s="109" cm="1">
        <f t="array" aca="1" ref="D163" ca="1">IFERROR(INDEX(_xlfn._xlws.FILTER(INDIRECT(D$1&amp;"!$E1:$E10000"),INDIRECT(D$1&amp;"!$a1:$a10000")=汇总!$A163),COUNTIF(INDIRECT(D$1&amp;"!$a1:$a10000"),汇总!$A163)),D162)</f>
        <v>3122.9534050000002</v>
      </c>
      <c r="E163" s="109" cm="1">
        <f t="array" aca="1" ref="E163" ca="1">IFERROR(INDEX(_xlfn._xlws.FILTER(INDIRECT(E$1&amp;"!$E1:$E10000"),INDIRECT(E$1&amp;"!$a1:$a10000")=汇总!$A163),COUNTIF(INDIRECT(E$1&amp;"!$a1:$a10000"),汇总!$A163)),E162)</f>
        <v>-1214.52691</v>
      </c>
      <c r="F163" s="109" cm="1">
        <f t="array" aca="1" ref="F163" ca="1">IFERROR(INDEX(_xlfn._xlws.FILTER(INDIRECT(F$1&amp;"!$E1:$E10000"),INDIRECT(F$1&amp;"!$a1:$a10000")=汇总!$A163),COUNTIF(INDIRECT(F$1&amp;"!$a1:$a10000"),汇总!$A163)),F162)</f>
        <v>2186.6524000000009</v>
      </c>
      <c r="G163" s="109" cm="1">
        <f t="array" aca="1" ref="G163" ca="1">IFERROR(INDEX(_xlfn._xlws.FILTER(INDIRECT(G$1&amp;"!$E1:$E10000"),INDIRECT(G$1&amp;"!$a1:$a10000")=汇总!$A163),COUNTIF(INDIRECT(G$1&amp;"!$a1:$a10000"),汇总!$A163)),G162)</f>
        <v>9558.0086599999995</v>
      </c>
      <c r="H163" s="109" cm="1">
        <f t="array" aca="1" ref="H163" ca="1">IFERROR(INDEX(_xlfn._xlws.FILTER(INDIRECT(H$1&amp;"!$E1:$E10000"),INDIRECT(H$1&amp;"!$a1:$a10000")=汇总!$A163),COUNTIF(INDIRECT(H$1&amp;"!$a1:$a10000"),汇总!$A163)),H162)</f>
        <v>-72.130251000000143</v>
      </c>
      <c r="I163" s="109" cm="1">
        <f t="array" aca="1" ref="I163" ca="1">IFERROR(INDEX(_xlfn._xlws.FILTER(INDIRECT(I$1&amp;"!$E1:$E10000"),INDIRECT(I$1&amp;"!$a1:$a10000")=汇总!$A163),COUNTIF(INDIRECT(I$1&amp;"!$a1:$a10000"),汇总!$A163)),I162)</f>
        <v>14.342120999999906</v>
      </c>
      <c r="J163" s="109" cm="1">
        <f t="array" aca="1" ref="J163" ca="1">IFERROR(INDEX(_xlfn._xlws.FILTER(INDIRECT(J$1&amp;"!$E1:$E10000"),INDIRECT(J$1&amp;"!$a1:$a10000")=汇总!$A163),COUNTIF(INDIRECT(J$1&amp;"!$a1:$a10000"),汇总!$A163)),J162)</f>
        <v>0.5</v>
      </c>
      <c r="K163" s="109" cm="1">
        <f t="array" aca="1" ref="K163" ca="1">IFERROR(INDEX(_xlfn._xlws.FILTER(INDIRECT(K$1&amp;"!$E1:$E10000"),INDIRECT(K$1&amp;"!$a1:$a10000")=汇总!$A163),COUNTIF(INDIRECT(K$1&amp;"!$a1:$a10000"),汇总!$A163)),K162)</f>
        <v>58.118779999999731</v>
      </c>
      <c r="L163" s="109" cm="1">
        <f t="array" aca="1" ref="L163" ca="1">IFERROR(INDEX(_xlfn._xlws.FILTER(INDIRECT(L$1&amp;"!$E1:$E10000"),INDIRECT(L$1&amp;"!$a1:$a10000")=汇总!$A163),COUNTIF(INDIRECT(L$1&amp;"!$a1:$a10000"),汇总!$A163)),L162)</f>
        <v>116.82299999999987</v>
      </c>
      <c r="M163" s="109" cm="1">
        <f t="array" aca="1" ref="M163" ca="1">IFERROR(INDEX(_xlfn._xlws.FILTER(INDIRECT(M$1&amp;"!$E1:$E10000"),INDIRECT(M$1&amp;"!$a1:$a10000")=汇总!$A163),COUNTIF(INDIRECT(M$1&amp;"!$a1:$a10000"),汇总!$A163)),M162)</f>
        <v>236.1466599999996</v>
      </c>
      <c r="N163" s="109" cm="1">
        <f t="array" aca="1" ref="N163" ca="1">IFERROR(INDEX(_xlfn._xlws.FILTER(INDIRECT(N$1&amp;"!$E1:$E10000"),INDIRECT(N$1&amp;"!$a1:$a10000")=汇总!$A163),COUNTIF(INDIRECT(N$1&amp;"!$a1:$a10000"),汇总!$A163)),N162)</f>
        <v>938.62038699999869</v>
      </c>
      <c r="O163" s="109" cm="1">
        <f t="array" aca="1" ref="O163" ca="1">IFERROR(INDEX(_xlfn._xlws.FILTER(INDIRECT(O$1&amp;"!$E1:$E10000"),INDIRECT(O$1&amp;"!$a1:$a10000")=汇总!$A163),COUNTIF(INDIRECT(O$1&amp;"!$a1:$a10000"),汇总!$A163)),O162)</f>
        <v>2</v>
      </c>
      <c r="P163" s="109" cm="1">
        <f t="array" aca="1" ref="P163" ca="1">IFERROR(INDEX(_xlfn._xlws.FILTER(INDIRECT(P$1&amp;"!$E1:$E10000"),INDIRECT(P$1&amp;"!$a1:$a10000")=汇总!$A163),COUNTIF(INDIRECT(P$1&amp;"!$a1:$a10000"),汇总!$A163)),P162)</f>
        <v>1364.9707999999996</v>
      </c>
      <c r="Q163" s="109" cm="1">
        <f t="array" aca="1" ref="Q163" ca="1">IFERROR(INDEX(_xlfn._xlws.FILTER(INDIRECT(Q$1&amp;"!$E1:$E10000"),INDIRECT(Q$1&amp;"!$a1:$a10000")=汇总!$A163),COUNTIF(INDIRECT(Q$1&amp;"!$a1:$a10000"),汇总!$A163)),Q162)</f>
        <v>32.504124999999021</v>
      </c>
      <c r="R163" s="109" cm="1">
        <f t="array" aca="1" ref="R163" ca="1">IFERROR(INDEX(_xlfn._xlws.FILTER(INDIRECT(R$1&amp;"!$E1:$E10000"),INDIRECT(R$1&amp;"!$a1:$a10000")=汇总!$A163),COUNTIF(INDIRECT(R$1&amp;"!$a1:$a10000"),汇总!$A163)),R162)</f>
        <v>5341.3357227534243</v>
      </c>
      <c r="S163" s="109" cm="1">
        <f t="array" aca="1" ref="S163" ca="1">IFERROR(INDEX(_xlfn._xlws.FILTER(INDIRECT(S$1&amp;"!$E1:$E10000"),INDIRECT(S$1&amp;"!$a1:$a10000")=汇总!$A163),COUNTIF(INDIRECT(S$1&amp;"!$a1:$a10000"),汇总!$A163)),S162)</f>
        <v>1146.8800000000001</v>
      </c>
      <c r="T163" s="109" cm="1">
        <f t="array" aca="1" ref="T163" ca="1">IFERROR(INDEX(_xlfn._xlws.FILTER(INDIRECT(T$1&amp;"!$E1:$E10000"),INDIRECT(T$1&amp;"!$a1:$a10000")=汇总!$A163),COUNTIF(INDIRECT(T$1&amp;"!$a1:$a10000"),汇总!$A163)),T162)</f>
        <v>9874.43</v>
      </c>
    </row>
    <row r="164" spans="1:20">
      <c r="A164" s="1">
        <f t="shared" si="5"/>
        <v>46185</v>
      </c>
      <c r="B164" s="109" cm="1">
        <f t="array" aca="1" ref="B164" ca="1">IFERROR(INDEX(_xlfn._xlws.FILTER(INDIRECT(B$1&amp;"!$E1:$E10000"),INDIRECT(B$1&amp;"!$a1:$a10000")=汇总!$A164),COUNTIF(INDIRECT(B$1&amp;"!$a1:$a10000"),汇总!$A164)),B163)</f>
        <v>78.592656000000147</v>
      </c>
      <c r="C164" s="109" cm="1">
        <f t="array" aca="1" ref="C164" ca="1">IFERROR(INDEX(_xlfn._xlws.FILTER(INDIRECT(C$1&amp;"!$E1:$E10000"),INDIRECT(C$1&amp;"!$a1:$a10000")=汇总!$A164),COUNTIF(INDIRECT(C$1&amp;"!$a1:$a10000"),汇总!$A164)),C163)</f>
        <v>2090</v>
      </c>
      <c r="D164" s="109" cm="1">
        <f t="array" aca="1" ref="D164" ca="1">IFERROR(INDEX(_xlfn._xlws.FILTER(INDIRECT(D$1&amp;"!$E1:$E10000"),INDIRECT(D$1&amp;"!$a1:$a10000")=汇总!$A164),COUNTIF(INDIRECT(D$1&amp;"!$a1:$a10000"),汇总!$A164)),D163)</f>
        <v>3122.9534050000002</v>
      </c>
      <c r="E164" s="109" cm="1">
        <f t="array" aca="1" ref="E164" ca="1">IFERROR(INDEX(_xlfn._xlws.FILTER(INDIRECT(E$1&amp;"!$E1:$E10000"),INDIRECT(E$1&amp;"!$a1:$a10000")=汇总!$A164),COUNTIF(INDIRECT(E$1&amp;"!$a1:$a10000"),汇总!$A164)),E163)</f>
        <v>445.47308999999996</v>
      </c>
      <c r="F164" s="109" cm="1">
        <f t="array" aca="1" ref="F164" ca="1">IFERROR(INDEX(_xlfn._xlws.FILTER(INDIRECT(F$1&amp;"!$E1:$E10000"),INDIRECT(F$1&amp;"!$a1:$a10000")=汇总!$A164),COUNTIF(INDIRECT(F$1&amp;"!$a1:$a10000"),汇总!$A164)),F163)</f>
        <v>2186.6524000000009</v>
      </c>
      <c r="G164" s="109" cm="1">
        <f t="array" aca="1" ref="G164" ca="1">IFERROR(INDEX(_xlfn._xlws.FILTER(INDIRECT(G$1&amp;"!$E1:$E10000"),INDIRECT(G$1&amp;"!$a1:$a10000")=汇总!$A164),COUNTIF(INDIRECT(G$1&amp;"!$a1:$a10000"),汇总!$A164)),G163)</f>
        <v>9558.0086599999995</v>
      </c>
      <c r="H164" s="109" cm="1">
        <f t="array" aca="1" ref="H164" ca="1">IFERROR(INDEX(_xlfn._xlws.FILTER(INDIRECT(H$1&amp;"!$E1:$E10000"),INDIRECT(H$1&amp;"!$a1:$a10000")=汇总!$A164),COUNTIF(INDIRECT(H$1&amp;"!$a1:$a10000"),汇总!$A164)),H163)</f>
        <v>-83.365251000000143</v>
      </c>
      <c r="I164" s="109" cm="1">
        <f t="array" aca="1" ref="I164" ca="1">IFERROR(INDEX(_xlfn._xlws.FILTER(INDIRECT(I$1&amp;"!$E1:$E10000"),INDIRECT(I$1&amp;"!$a1:$a10000")=汇总!$A164),COUNTIF(INDIRECT(I$1&amp;"!$a1:$a10000"),汇总!$A164)),I163)</f>
        <v>14.342120999999906</v>
      </c>
      <c r="J164" s="109" cm="1">
        <f t="array" aca="1" ref="J164" ca="1">IFERROR(INDEX(_xlfn._xlws.FILTER(INDIRECT(J$1&amp;"!$E1:$E10000"),INDIRECT(J$1&amp;"!$a1:$a10000")=汇总!$A164),COUNTIF(INDIRECT(J$1&amp;"!$a1:$a10000"),汇总!$A164)),J163)</f>
        <v>0.5</v>
      </c>
      <c r="K164" s="109" cm="1">
        <f t="array" aca="1" ref="K164" ca="1">IFERROR(INDEX(_xlfn._xlws.FILTER(INDIRECT(K$1&amp;"!$E1:$E10000"),INDIRECT(K$1&amp;"!$a1:$a10000")=汇总!$A164),COUNTIF(INDIRECT(K$1&amp;"!$a1:$a10000"),汇总!$A164)),K163)</f>
        <v>27.518779999999733</v>
      </c>
      <c r="L164" s="109" cm="1">
        <f t="array" aca="1" ref="L164" ca="1">IFERROR(INDEX(_xlfn._xlws.FILTER(INDIRECT(L$1&amp;"!$E1:$E10000"),INDIRECT(L$1&amp;"!$a1:$a10000")=汇总!$A164),COUNTIF(INDIRECT(L$1&amp;"!$a1:$a10000"),汇总!$A164)),L163)</f>
        <v>116.82299999999987</v>
      </c>
      <c r="M164" s="109" cm="1">
        <f t="array" aca="1" ref="M164" ca="1">IFERROR(INDEX(_xlfn._xlws.FILTER(INDIRECT(M$1&amp;"!$E1:$E10000"),INDIRECT(M$1&amp;"!$a1:$a10000")=汇总!$A164),COUNTIF(INDIRECT(M$1&amp;"!$a1:$a10000"),汇总!$A164)),M163)</f>
        <v>236.1466599999996</v>
      </c>
      <c r="N164" s="109" cm="1">
        <f t="array" aca="1" ref="N164" ca="1">IFERROR(INDEX(_xlfn._xlws.FILTER(INDIRECT(N$1&amp;"!$E1:$E10000"),INDIRECT(N$1&amp;"!$a1:$a10000")=汇总!$A164),COUNTIF(INDIRECT(N$1&amp;"!$a1:$a10000"),汇总!$A164)),N163)</f>
        <v>938.62038699999869</v>
      </c>
      <c r="O164" s="109" cm="1">
        <f t="array" aca="1" ref="O164" ca="1">IFERROR(INDEX(_xlfn._xlws.FILTER(INDIRECT(O$1&amp;"!$E1:$E10000"),INDIRECT(O$1&amp;"!$a1:$a10000")=汇总!$A164),COUNTIF(INDIRECT(O$1&amp;"!$a1:$a10000"),汇总!$A164)),O163)</f>
        <v>2</v>
      </c>
      <c r="P164" s="109" cm="1">
        <f t="array" aca="1" ref="P164" ca="1">IFERROR(INDEX(_xlfn._xlws.FILTER(INDIRECT(P$1&amp;"!$E1:$E10000"),INDIRECT(P$1&amp;"!$a1:$a10000")=汇总!$A164),COUNTIF(INDIRECT(P$1&amp;"!$a1:$a10000"),汇总!$A164)),P163)</f>
        <v>1364.9707999999996</v>
      </c>
      <c r="Q164" s="109" cm="1">
        <f t="array" aca="1" ref="Q164" ca="1">IFERROR(INDEX(_xlfn._xlws.FILTER(INDIRECT(Q$1&amp;"!$E1:$E10000"),INDIRECT(Q$1&amp;"!$a1:$a10000")=汇总!$A164),COUNTIF(INDIRECT(Q$1&amp;"!$a1:$a10000"),汇总!$A164)),Q163)</f>
        <v>32.504124999999021</v>
      </c>
      <c r="R164" s="109" cm="1">
        <f t="array" aca="1" ref="R164" ca="1">IFERROR(INDEX(_xlfn._xlws.FILTER(INDIRECT(R$1&amp;"!$E1:$E10000"),INDIRECT(R$1&amp;"!$a1:$a10000")=汇总!$A164),COUNTIF(INDIRECT(R$1&amp;"!$a1:$a10000"),汇总!$A164)),R163)</f>
        <v>5341.3357227534243</v>
      </c>
      <c r="S164" s="109" cm="1">
        <f t="array" aca="1" ref="S164" ca="1">IFERROR(INDEX(_xlfn._xlws.FILTER(INDIRECT(S$1&amp;"!$E1:$E10000"),INDIRECT(S$1&amp;"!$a1:$a10000")=汇总!$A164),COUNTIF(INDIRECT(S$1&amp;"!$a1:$a10000"),汇总!$A164)),S163)</f>
        <v>1146.8800000000001</v>
      </c>
      <c r="T164" s="109" cm="1">
        <f t="array" aca="1" ref="T164" ca="1">IFERROR(INDEX(_xlfn._xlws.FILTER(INDIRECT(T$1&amp;"!$E1:$E10000"),INDIRECT(T$1&amp;"!$a1:$a10000")=汇总!$A164),COUNTIF(INDIRECT(T$1&amp;"!$a1:$a10000"),汇总!$A164)),T163)</f>
        <v>9874.43</v>
      </c>
    </row>
    <row r="165" spans="1:20">
      <c r="A165" s="1">
        <f t="shared" si="5"/>
        <v>46186</v>
      </c>
      <c r="B165" s="109" cm="1">
        <f t="array" aca="1" ref="B165" ca="1">IFERROR(INDEX(_xlfn._xlws.FILTER(INDIRECT(B$1&amp;"!$E1:$E10000"),INDIRECT(B$1&amp;"!$a1:$a10000")=汇总!$A165),COUNTIF(INDIRECT(B$1&amp;"!$a1:$a10000"),汇总!$A165)),B164)</f>
        <v>78.592656000000147</v>
      </c>
      <c r="C165" s="109" cm="1">
        <f t="array" aca="1" ref="C165" ca="1">IFERROR(INDEX(_xlfn._xlws.FILTER(INDIRECT(C$1&amp;"!$E1:$E10000"),INDIRECT(C$1&amp;"!$a1:$a10000")=汇总!$A165),COUNTIF(INDIRECT(C$1&amp;"!$a1:$a10000"),汇总!$A165)),C164)</f>
        <v>2090</v>
      </c>
      <c r="D165" s="109" cm="1">
        <f t="array" aca="1" ref="D165" ca="1">IFERROR(INDEX(_xlfn._xlws.FILTER(INDIRECT(D$1&amp;"!$E1:$E10000"),INDIRECT(D$1&amp;"!$a1:$a10000")=汇总!$A165),COUNTIF(INDIRECT(D$1&amp;"!$a1:$a10000"),汇总!$A165)),D164)</f>
        <v>3122.9534050000002</v>
      </c>
      <c r="E165" s="109" cm="1">
        <f t="array" aca="1" ref="E165" ca="1">IFERROR(INDEX(_xlfn._xlws.FILTER(INDIRECT(E$1&amp;"!$E1:$E10000"),INDIRECT(E$1&amp;"!$a1:$a10000")=汇总!$A165),COUNTIF(INDIRECT(E$1&amp;"!$a1:$a10000"),汇总!$A165)),E164)</f>
        <v>445.47308999999996</v>
      </c>
      <c r="F165" s="109" cm="1">
        <f t="array" aca="1" ref="F165" ca="1">IFERROR(INDEX(_xlfn._xlws.FILTER(INDIRECT(F$1&amp;"!$E1:$E10000"),INDIRECT(F$1&amp;"!$a1:$a10000")=汇总!$A165),COUNTIF(INDIRECT(F$1&amp;"!$a1:$a10000"),汇总!$A165)),F164)</f>
        <v>2186.6524000000009</v>
      </c>
      <c r="G165" s="109" cm="1">
        <f t="array" aca="1" ref="G165" ca="1">IFERROR(INDEX(_xlfn._xlws.FILTER(INDIRECT(G$1&amp;"!$E1:$E10000"),INDIRECT(G$1&amp;"!$a1:$a10000")=汇总!$A165),COUNTIF(INDIRECT(G$1&amp;"!$a1:$a10000"),汇总!$A165)),G164)</f>
        <v>9558.0086599999995</v>
      </c>
      <c r="H165" s="109" cm="1">
        <f t="array" aca="1" ref="H165" ca="1">IFERROR(INDEX(_xlfn._xlws.FILTER(INDIRECT(H$1&amp;"!$E1:$E10000"),INDIRECT(H$1&amp;"!$a1:$a10000")=汇总!$A165),COUNTIF(INDIRECT(H$1&amp;"!$a1:$a10000"),汇总!$A165)),H164)</f>
        <v>-83.365251000000143</v>
      </c>
      <c r="I165" s="109" cm="1">
        <f t="array" aca="1" ref="I165" ca="1">IFERROR(INDEX(_xlfn._xlws.FILTER(INDIRECT(I$1&amp;"!$E1:$E10000"),INDIRECT(I$1&amp;"!$a1:$a10000")=汇总!$A165),COUNTIF(INDIRECT(I$1&amp;"!$a1:$a10000"),汇总!$A165)),I164)</f>
        <v>14.342120999999906</v>
      </c>
      <c r="J165" s="109" cm="1">
        <f t="array" aca="1" ref="J165" ca="1">IFERROR(INDEX(_xlfn._xlws.FILTER(INDIRECT(J$1&amp;"!$E1:$E10000"),INDIRECT(J$1&amp;"!$a1:$a10000")=汇总!$A165),COUNTIF(INDIRECT(J$1&amp;"!$a1:$a10000"),汇总!$A165)),J164)</f>
        <v>0.5</v>
      </c>
      <c r="K165" s="109" cm="1">
        <f t="array" aca="1" ref="K165" ca="1">IFERROR(INDEX(_xlfn._xlws.FILTER(INDIRECT(K$1&amp;"!$E1:$E10000"),INDIRECT(K$1&amp;"!$a1:$a10000")=汇总!$A165),COUNTIF(INDIRECT(K$1&amp;"!$a1:$a10000"),汇总!$A165)),K164)</f>
        <v>27.518779999999733</v>
      </c>
      <c r="L165" s="109" cm="1">
        <f t="array" aca="1" ref="L165" ca="1">IFERROR(INDEX(_xlfn._xlws.FILTER(INDIRECT(L$1&amp;"!$E1:$E10000"),INDIRECT(L$1&amp;"!$a1:$a10000")=汇总!$A165),COUNTIF(INDIRECT(L$1&amp;"!$a1:$a10000"),汇总!$A165)),L164)</f>
        <v>116.82299999999987</v>
      </c>
      <c r="M165" s="109" cm="1">
        <f t="array" aca="1" ref="M165" ca="1">IFERROR(INDEX(_xlfn._xlws.FILTER(INDIRECT(M$1&amp;"!$E1:$E10000"),INDIRECT(M$1&amp;"!$a1:$a10000")=汇总!$A165),COUNTIF(INDIRECT(M$1&amp;"!$a1:$a10000"),汇总!$A165)),M164)</f>
        <v>236.1466599999996</v>
      </c>
      <c r="N165" s="109" cm="1">
        <f t="array" aca="1" ref="N165" ca="1">IFERROR(INDEX(_xlfn._xlws.FILTER(INDIRECT(N$1&amp;"!$E1:$E10000"),INDIRECT(N$1&amp;"!$a1:$a10000")=汇总!$A165),COUNTIF(INDIRECT(N$1&amp;"!$a1:$a10000"),汇总!$A165)),N164)</f>
        <v>938.62038699999869</v>
      </c>
      <c r="O165" s="109" cm="1">
        <f t="array" aca="1" ref="O165" ca="1">IFERROR(INDEX(_xlfn._xlws.FILTER(INDIRECT(O$1&amp;"!$E1:$E10000"),INDIRECT(O$1&amp;"!$a1:$a10000")=汇总!$A165),COUNTIF(INDIRECT(O$1&amp;"!$a1:$a10000"),汇总!$A165)),O164)</f>
        <v>2</v>
      </c>
      <c r="P165" s="109" cm="1">
        <f t="array" aca="1" ref="P165" ca="1">IFERROR(INDEX(_xlfn._xlws.FILTER(INDIRECT(P$1&amp;"!$E1:$E10000"),INDIRECT(P$1&amp;"!$a1:$a10000")=汇总!$A165),COUNTIF(INDIRECT(P$1&amp;"!$a1:$a10000"),汇总!$A165)),P164)</f>
        <v>1364.9707999999996</v>
      </c>
      <c r="Q165" s="109" cm="1">
        <f t="array" aca="1" ref="Q165" ca="1">IFERROR(INDEX(_xlfn._xlws.FILTER(INDIRECT(Q$1&amp;"!$E1:$E10000"),INDIRECT(Q$1&amp;"!$a1:$a10000")=汇总!$A165),COUNTIF(INDIRECT(Q$1&amp;"!$a1:$a10000"),汇总!$A165)),Q164)</f>
        <v>32.504124999999021</v>
      </c>
      <c r="R165" s="109" cm="1">
        <f t="array" aca="1" ref="R165" ca="1">IFERROR(INDEX(_xlfn._xlws.FILTER(INDIRECT(R$1&amp;"!$E1:$E10000"),INDIRECT(R$1&amp;"!$a1:$a10000")=汇总!$A165),COUNTIF(INDIRECT(R$1&amp;"!$a1:$a10000"),汇总!$A165)),R164)</f>
        <v>5341.3357227534243</v>
      </c>
      <c r="S165" s="109" cm="1">
        <f t="array" aca="1" ref="S165" ca="1">IFERROR(INDEX(_xlfn._xlws.FILTER(INDIRECT(S$1&amp;"!$E1:$E10000"),INDIRECT(S$1&amp;"!$a1:$a10000")=汇总!$A165),COUNTIF(INDIRECT(S$1&amp;"!$a1:$a10000"),汇总!$A165)),S164)</f>
        <v>1146.8800000000001</v>
      </c>
      <c r="T165" s="109" cm="1">
        <f t="array" aca="1" ref="T165" ca="1">IFERROR(INDEX(_xlfn._xlws.FILTER(INDIRECT(T$1&amp;"!$E1:$E10000"),INDIRECT(T$1&amp;"!$a1:$a10000")=汇总!$A165),COUNTIF(INDIRECT(T$1&amp;"!$a1:$a10000"),汇总!$A165)),T164)</f>
        <v>9874.43</v>
      </c>
    </row>
    <row r="166" spans="1:20">
      <c r="A166" s="1">
        <f t="shared" si="5"/>
        <v>46187</v>
      </c>
      <c r="B166" s="109" cm="1">
        <f t="array" aca="1" ref="B166" ca="1">IFERROR(INDEX(_xlfn._xlws.FILTER(INDIRECT(B$1&amp;"!$E1:$E10000"),INDIRECT(B$1&amp;"!$a1:$a10000")=汇总!$A166),COUNTIF(INDIRECT(B$1&amp;"!$a1:$a10000"),汇总!$A166)),B165)</f>
        <v>78.592656000000147</v>
      </c>
      <c r="C166" s="109" cm="1">
        <f t="array" aca="1" ref="C166" ca="1">IFERROR(INDEX(_xlfn._xlws.FILTER(INDIRECT(C$1&amp;"!$E1:$E10000"),INDIRECT(C$1&amp;"!$a1:$a10000")=汇总!$A166),COUNTIF(INDIRECT(C$1&amp;"!$a1:$a10000"),汇总!$A166)),C165)</f>
        <v>2090</v>
      </c>
      <c r="D166" s="109" cm="1">
        <f t="array" aca="1" ref="D166" ca="1">IFERROR(INDEX(_xlfn._xlws.FILTER(INDIRECT(D$1&amp;"!$E1:$E10000"),INDIRECT(D$1&amp;"!$a1:$a10000")=汇总!$A166),COUNTIF(INDIRECT(D$1&amp;"!$a1:$a10000"),汇总!$A166)),D165)</f>
        <v>3122.9534050000002</v>
      </c>
      <c r="E166" s="109" cm="1">
        <f t="array" aca="1" ref="E166" ca="1">IFERROR(INDEX(_xlfn._xlws.FILTER(INDIRECT(E$1&amp;"!$E1:$E10000"),INDIRECT(E$1&amp;"!$a1:$a10000")=汇总!$A166),COUNTIF(INDIRECT(E$1&amp;"!$a1:$a10000"),汇总!$A166)),E165)</f>
        <v>445.47308999999996</v>
      </c>
      <c r="F166" s="109" cm="1">
        <f t="array" aca="1" ref="F166" ca="1">IFERROR(INDEX(_xlfn._xlws.FILTER(INDIRECT(F$1&amp;"!$E1:$E10000"),INDIRECT(F$1&amp;"!$a1:$a10000")=汇总!$A166),COUNTIF(INDIRECT(F$1&amp;"!$a1:$a10000"),汇总!$A166)),F165)</f>
        <v>2186.6524000000009</v>
      </c>
      <c r="G166" s="109" cm="1">
        <f t="array" aca="1" ref="G166" ca="1">IFERROR(INDEX(_xlfn._xlws.FILTER(INDIRECT(G$1&amp;"!$E1:$E10000"),INDIRECT(G$1&amp;"!$a1:$a10000")=汇总!$A166),COUNTIF(INDIRECT(G$1&amp;"!$a1:$a10000"),汇总!$A166)),G165)</f>
        <v>9558.0086599999995</v>
      </c>
      <c r="H166" s="109" cm="1">
        <f t="array" aca="1" ref="H166" ca="1">IFERROR(INDEX(_xlfn._xlws.FILTER(INDIRECT(H$1&amp;"!$E1:$E10000"),INDIRECT(H$1&amp;"!$a1:$a10000")=汇总!$A166),COUNTIF(INDIRECT(H$1&amp;"!$a1:$a10000"),汇总!$A166)),H165)</f>
        <v>-83.365251000000143</v>
      </c>
      <c r="I166" s="109" cm="1">
        <f t="array" aca="1" ref="I166" ca="1">IFERROR(INDEX(_xlfn._xlws.FILTER(INDIRECT(I$1&amp;"!$E1:$E10000"),INDIRECT(I$1&amp;"!$a1:$a10000")=汇总!$A166),COUNTIF(INDIRECT(I$1&amp;"!$a1:$a10000"),汇总!$A166)),I165)</f>
        <v>14.342120999999906</v>
      </c>
      <c r="J166" s="109" cm="1">
        <f t="array" aca="1" ref="J166" ca="1">IFERROR(INDEX(_xlfn._xlws.FILTER(INDIRECT(J$1&amp;"!$E1:$E10000"),INDIRECT(J$1&amp;"!$a1:$a10000")=汇总!$A166),COUNTIF(INDIRECT(J$1&amp;"!$a1:$a10000"),汇总!$A166)),J165)</f>
        <v>0.5</v>
      </c>
      <c r="K166" s="109" cm="1">
        <f t="array" aca="1" ref="K166" ca="1">IFERROR(INDEX(_xlfn._xlws.FILTER(INDIRECT(K$1&amp;"!$E1:$E10000"),INDIRECT(K$1&amp;"!$a1:$a10000")=汇总!$A166),COUNTIF(INDIRECT(K$1&amp;"!$a1:$a10000"),汇总!$A166)),K165)</f>
        <v>27.518779999999733</v>
      </c>
      <c r="L166" s="109" cm="1">
        <f t="array" aca="1" ref="L166" ca="1">IFERROR(INDEX(_xlfn._xlws.FILTER(INDIRECT(L$1&amp;"!$E1:$E10000"),INDIRECT(L$1&amp;"!$a1:$a10000")=汇总!$A166),COUNTIF(INDIRECT(L$1&amp;"!$a1:$a10000"),汇总!$A166)),L165)</f>
        <v>116.82299999999987</v>
      </c>
      <c r="M166" s="109" cm="1">
        <f t="array" aca="1" ref="M166" ca="1">IFERROR(INDEX(_xlfn._xlws.FILTER(INDIRECT(M$1&amp;"!$E1:$E10000"),INDIRECT(M$1&amp;"!$a1:$a10000")=汇总!$A166),COUNTIF(INDIRECT(M$1&amp;"!$a1:$a10000"),汇总!$A166)),M165)</f>
        <v>236.1466599999996</v>
      </c>
      <c r="N166" s="109" cm="1">
        <f t="array" aca="1" ref="N166" ca="1">IFERROR(INDEX(_xlfn._xlws.FILTER(INDIRECT(N$1&amp;"!$E1:$E10000"),INDIRECT(N$1&amp;"!$a1:$a10000")=汇总!$A166),COUNTIF(INDIRECT(N$1&amp;"!$a1:$a10000"),汇总!$A166)),N165)</f>
        <v>938.62038699999869</v>
      </c>
      <c r="O166" s="109" cm="1">
        <f t="array" aca="1" ref="O166" ca="1">IFERROR(INDEX(_xlfn._xlws.FILTER(INDIRECT(O$1&amp;"!$E1:$E10000"),INDIRECT(O$1&amp;"!$a1:$a10000")=汇总!$A166),COUNTIF(INDIRECT(O$1&amp;"!$a1:$a10000"),汇总!$A166)),O165)</f>
        <v>2</v>
      </c>
      <c r="P166" s="109" cm="1">
        <f t="array" aca="1" ref="P166" ca="1">IFERROR(INDEX(_xlfn._xlws.FILTER(INDIRECT(P$1&amp;"!$E1:$E10000"),INDIRECT(P$1&amp;"!$a1:$a10000")=汇总!$A166),COUNTIF(INDIRECT(P$1&amp;"!$a1:$a10000"),汇总!$A166)),P165)</f>
        <v>1364.9707999999996</v>
      </c>
      <c r="Q166" s="109" cm="1">
        <f t="array" aca="1" ref="Q166" ca="1">IFERROR(INDEX(_xlfn._xlws.FILTER(INDIRECT(Q$1&amp;"!$E1:$E10000"),INDIRECT(Q$1&amp;"!$a1:$a10000")=汇总!$A166),COUNTIF(INDIRECT(Q$1&amp;"!$a1:$a10000"),汇总!$A166)),Q165)</f>
        <v>32.504124999999021</v>
      </c>
      <c r="R166" s="109" cm="1">
        <f t="array" aca="1" ref="R166" ca="1">IFERROR(INDEX(_xlfn._xlws.FILTER(INDIRECT(R$1&amp;"!$E1:$E10000"),INDIRECT(R$1&amp;"!$a1:$a10000")=汇总!$A166),COUNTIF(INDIRECT(R$1&amp;"!$a1:$a10000"),汇总!$A166)),R165)</f>
        <v>5341.3357227534243</v>
      </c>
      <c r="S166" s="109" cm="1">
        <f t="array" aca="1" ref="S166" ca="1">IFERROR(INDEX(_xlfn._xlws.FILTER(INDIRECT(S$1&amp;"!$E1:$E10000"),INDIRECT(S$1&amp;"!$a1:$a10000")=汇总!$A166),COUNTIF(INDIRECT(S$1&amp;"!$a1:$a10000"),汇总!$A166)),S165)</f>
        <v>1146.8800000000001</v>
      </c>
      <c r="T166" s="109" cm="1">
        <f t="array" aca="1" ref="T166" ca="1">IFERROR(INDEX(_xlfn._xlws.FILTER(INDIRECT(T$1&amp;"!$E1:$E10000"),INDIRECT(T$1&amp;"!$a1:$a10000")=汇总!$A166),COUNTIF(INDIRECT(T$1&amp;"!$a1:$a10000"),汇总!$A166)),T165)</f>
        <v>9874.43</v>
      </c>
    </row>
    <row r="167" spans="1:20">
      <c r="A167" s="1">
        <f t="shared" si="5"/>
        <v>46188</v>
      </c>
      <c r="B167" s="109" cm="1">
        <f t="array" aca="1" ref="B167" ca="1">IFERROR(INDEX(_xlfn._xlws.FILTER(INDIRECT(B$1&amp;"!$E1:$E10000"),INDIRECT(B$1&amp;"!$a1:$a10000")=汇总!$A167),COUNTIF(INDIRECT(B$1&amp;"!$a1:$a10000"),汇总!$A167)),B166)</f>
        <v>78.592656000000147</v>
      </c>
      <c r="C167" s="109" cm="1">
        <f t="array" aca="1" ref="C167" ca="1">IFERROR(INDEX(_xlfn._xlws.FILTER(INDIRECT(C$1&amp;"!$E1:$E10000"),INDIRECT(C$1&amp;"!$a1:$a10000")=汇总!$A167),COUNTIF(INDIRECT(C$1&amp;"!$a1:$a10000"),汇总!$A167)),C166)</f>
        <v>2090</v>
      </c>
      <c r="D167" s="109" cm="1">
        <f t="array" aca="1" ref="D167" ca="1">IFERROR(INDEX(_xlfn._xlws.FILTER(INDIRECT(D$1&amp;"!$E1:$E10000"),INDIRECT(D$1&amp;"!$a1:$a10000")=汇总!$A167),COUNTIF(INDIRECT(D$1&amp;"!$a1:$a10000"),汇总!$A167)),D166)</f>
        <v>3122.9534050000002</v>
      </c>
      <c r="E167" s="109" cm="1">
        <f t="array" aca="1" ref="E167" ca="1">IFERROR(INDEX(_xlfn._xlws.FILTER(INDIRECT(E$1&amp;"!$E1:$E10000"),INDIRECT(E$1&amp;"!$a1:$a10000")=汇总!$A167),COUNTIF(INDIRECT(E$1&amp;"!$a1:$a10000"),汇总!$A167)),E166)</f>
        <v>445.47308999999996</v>
      </c>
      <c r="F167" s="109" cm="1">
        <f t="array" aca="1" ref="F167" ca="1">IFERROR(INDEX(_xlfn._xlws.FILTER(INDIRECT(F$1&amp;"!$E1:$E10000"),INDIRECT(F$1&amp;"!$a1:$a10000")=汇总!$A167),COUNTIF(INDIRECT(F$1&amp;"!$a1:$a10000"),汇总!$A167)),F166)</f>
        <v>2186.6524000000009</v>
      </c>
      <c r="G167" s="109" cm="1">
        <f t="array" aca="1" ref="G167" ca="1">IFERROR(INDEX(_xlfn._xlws.FILTER(INDIRECT(G$1&amp;"!$E1:$E10000"),INDIRECT(G$1&amp;"!$a1:$a10000")=汇总!$A167),COUNTIF(INDIRECT(G$1&amp;"!$a1:$a10000"),汇总!$A167)),G166)</f>
        <v>9558.0086599999995</v>
      </c>
      <c r="H167" s="109" cm="1">
        <f t="array" aca="1" ref="H167" ca="1">IFERROR(INDEX(_xlfn._xlws.FILTER(INDIRECT(H$1&amp;"!$E1:$E10000"),INDIRECT(H$1&amp;"!$a1:$a10000")=汇总!$A167),COUNTIF(INDIRECT(H$1&amp;"!$a1:$a10000"),汇总!$A167)),H166)</f>
        <v>-83.365251000000143</v>
      </c>
      <c r="I167" s="109" cm="1">
        <f t="array" aca="1" ref="I167" ca="1">IFERROR(INDEX(_xlfn._xlws.FILTER(INDIRECT(I$1&amp;"!$E1:$E10000"),INDIRECT(I$1&amp;"!$a1:$a10000")=汇总!$A167),COUNTIF(INDIRECT(I$1&amp;"!$a1:$a10000"),汇总!$A167)),I166)</f>
        <v>14.342120999999906</v>
      </c>
      <c r="J167" s="109" cm="1">
        <f t="array" aca="1" ref="J167" ca="1">IFERROR(INDEX(_xlfn._xlws.FILTER(INDIRECT(J$1&amp;"!$E1:$E10000"),INDIRECT(J$1&amp;"!$a1:$a10000")=汇总!$A167),COUNTIF(INDIRECT(J$1&amp;"!$a1:$a10000"),汇总!$A167)),J166)</f>
        <v>0.5</v>
      </c>
      <c r="K167" s="109" cm="1">
        <f t="array" aca="1" ref="K167" ca="1">IFERROR(INDEX(_xlfn._xlws.FILTER(INDIRECT(K$1&amp;"!$E1:$E10000"),INDIRECT(K$1&amp;"!$a1:$a10000")=汇总!$A167),COUNTIF(INDIRECT(K$1&amp;"!$a1:$a10000"),汇总!$A167)),K166)</f>
        <v>27.518779999999733</v>
      </c>
      <c r="L167" s="109" cm="1">
        <f t="array" aca="1" ref="L167" ca="1">IFERROR(INDEX(_xlfn._xlws.FILTER(INDIRECT(L$1&amp;"!$E1:$E10000"),INDIRECT(L$1&amp;"!$a1:$a10000")=汇总!$A167),COUNTIF(INDIRECT(L$1&amp;"!$a1:$a10000"),汇总!$A167)),L166)</f>
        <v>116.82299999999987</v>
      </c>
      <c r="M167" s="109" cm="1">
        <f t="array" aca="1" ref="M167" ca="1">IFERROR(INDEX(_xlfn._xlws.FILTER(INDIRECT(M$1&amp;"!$E1:$E10000"),INDIRECT(M$1&amp;"!$a1:$a10000")=汇总!$A167),COUNTIF(INDIRECT(M$1&amp;"!$a1:$a10000"),汇总!$A167)),M166)</f>
        <v>236.1466599999996</v>
      </c>
      <c r="N167" s="109" cm="1">
        <f t="array" aca="1" ref="N167" ca="1">IFERROR(INDEX(_xlfn._xlws.FILTER(INDIRECT(N$1&amp;"!$E1:$E10000"),INDIRECT(N$1&amp;"!$a1:$a10000")=汇总!$A167),COUNTIF(INDIRECT(N$1&amp;"!$a1:$a10000"),汇总!$A167)),N166)</f>
        <v>938.62038699999869</v>
      </c>
      <c r="O167" s="109" cm="1">
        <f t="array" aca="1" ref="O167" ca="1">IFERROR(INDEX(_xlfn._xlws.FILTER(INDIRECT(O$1&amp;"!$E1:$E10000"),INDIRECT(O$1&amp;"!$a1:$a10000")=汇总!$A167),COUNTIF(INDIRECT(O$1&amp;"!$a1:$a10000"),汇总!$A167)),O166)</f>
        <v>2</v>
      </c>
      <c r="P167" s="109" cm="1">
        <f t="array" aca="1" ref="P167" ca="1">IFERROR(INDEX(_xlfn._xlws.FILTER(INDIRECT(P$1&amp;"!$E1:$E10000"),INDIRECT(P$1&amp;"!$a1:$a10000")=汇总!$A167),COUNTIF(INDIRECT(P$1&amp;"!$a1:$a10000"),汇总!$A167)),P166)</f>
        <v>1364.9707999999996</v>
      </c>
      <c r="Q167" s="109" cm="1">
        <f t="array" aca="1" ref="Q167" ca="1">IFERROR(INDEX(_xlfn._xlws.FILTER(INDIRECT(Q$1&amp;"!$E1:$E10000"),INDIRECT(Q$1&amp;"!$a1:$a10000")=汇总!$A167),COUNTIF(INDIRECT(Q$1&amp;"!$a1:$a10000"),汇总!$A167)),Q166)</f>
        <v>32.504124999999021</v>
      </c>
      <c r="R167" s="109" cm="1">
        <f t="array" aca="1" ref="R167" ca="1">IFERROR(INDEX(_xlfn._xlws.FILTER(INDIRECT(R$1&amp;"!$E1:$E10000"),INDIRECT(R$1&amp;"!$a1:$a10000")=汇总!$A167),COUNTIF(INDIRECT(R$1&amp;"!$a1:$a10000"),汇总!$A167)),R166)</f>
        <v>5341.3357227534243</v>
      </c>
      <c r="S167" s="109" cm="1">
        <f t="array" aca="1" ref="S167" ca="1">IFERROR(INDEX(_xlfn._xlws.FILTER(INDIRECT(S$1&amp;"!$E1:$E10000"),INDIRECT(S$1&amp;"!$a1:$a10000")=汇总!$A167),COUNTIF(INDIRECT(S$1&amp;"!$a1:$a10000"),汇总!$A167)),S166)</f>
        <v>1146.8800000000001</v>
      </c>
      <c r="T167" s="109" cm="1">
        <f t="array" aca="1" ref="T167" ca="1">IFERROR(INDEX(_xlfn._xlws.FILTER(INDIRECT(T$1&amp;"!$E1:$E10000"),INDIRECT(T$1&amp;"!$a1:$a10000")=汇总!$A167),COUNTIF(INDIRECT(T$1&amp;"!$a1:$a10000"),汇总!$A167)),T166)</f>
        <v>9874.43</v>
      </c>
    </row>
    <row r="168" spans="1:20">
      <c r="A168" s="1">
        <f t="shared" si="5"/>
        <v>46189</v>
      </c>
      <c r="B168" s="109" cm="1">
        <f t="array" aca="1" ref="B168" ca="1">IFERROR(INDEX(_xlfn._xlws.FILTER(INDIRECT(B$1&amp;"!$E1:$E10000"),INDIRECT(B$1&amp;"!$a1:$a10000")=汇总!$A168),COUNTIF(INDIRECT(B$1&amp;"!$a1:$a10000"),汇总!$A168)),B167)</f>
        <v>78.592656000000147</v>
      </c>
      <c r="C168" s="109" cm="1">
        <f t="array" aca="1" ref="C168" ca="1">IFERROR(INDEX(_xlfn._xlws.FILTER(INDIRECT(C$1&amp;"!$E1:$E10000"),INDIRECT(C$1&amp;"!$a1:$a10000")=汇总!$A168),COUNTIF(INDIRECT(C$1&amp;"!$a1:$a10000"),汇总!$A168)),C167)</f>
        <v>2090</v>
      </c>
      <c r="D168" s="109" cm="1">
        <f t="array" aca="1" ref="D168" ca="1">IFERROR(INDEX(_xlfn._xlws.FILTER(INDIRECT(D$1&amp;"!$E1:$E10000"),INDIRECT(D$1&amp;"!$a1:$a10000")=汇总!$A168),COUNTIF(INDIRECT(D$1&amp;"!$a1:$a10000"),汇总!$A168)),D167)</f>
        <v>487.84340500000053</v>
      </c>
      <c r="E168" s="109" cm="1">
        <f t="array" aca="1" ref="E168" ca="1">IFERROR(INDEX(_xlfn._xlws.FILTER(INDIRECT(E$1&amp;"!$E1:$E10000"),INDIRECT(E$1&amp;"!$a1:$a10000")=汇总!$A168),COUNTIF(INDIRECT(E$1&amp;"!$a1:$a10000"),汇总!$A168)),E167)</f>
        <v>-2107.3149099999996</v>
      </c>
      <c r="F168" s="109" cm="1">
        <f t="array" aca="1" ref="F168" ca="1">IFERROR(INDEX(_xlfn._xlws.FILTER(INDIRECT(F$1&amp;"!$E1:$E10000"),INDIRECT(F$1&amp;"!$a1:$a10000")=汇总!$A168),COUNTIF(INDIRECT(F$1&amp;"!$a1:$a10000"),汇总!$A168)),F167)</f>
        <v>2186.6524000000009</v>
      </c>
      <c r="G168" s="109" cm="1">
        <f t="array" aca="1" ref="G168" ca="1">IFERROR(INDEX(_xlfn._xlws.FILTER(INDIRECT(G$1&amp;"!$E1:$E10000"),INDIRECT(G$1&amp;"!$a1:$a10000")=汇总!$A168),COUNTIF(INDIRECT(G$1&amp;"!$a1:$a10000"),汇总!$A168)),G167)</f>
        <v>9558.0086599999995</v>
      </c>
      <c r="H168" s="109" cm="1">
        <f t="array" aca="1" ref="H168" ca="1">IFERROR(INDEX(_xlfn._xlws.FILTER(INDIRECT(H$1&amp;"!$E1:$E10000"),INDIRECT(H$1&amp;"!$a1:$a10000")=汇总!$A168),COUNTIF(INDIRECT(H$1&amp;"!$a1:$a10000"),汇总!$A168)),H167)</f>
        <v>-83.365251000000143</v>
      </c>
      <c r="I168" s="109" cm="1">
        <f t="array" aca="1" ref="I168" ca="1">IFERROR(INDEX(_xlfn._xlws.FILTER(INDIRECT(I$1&amp;"!$E1:$E10000"),INDIRECT(I$1&amp;"!$a1:$a10000")=汇总!$A168),COUNTIF(INDIRECT(I$1&amp;"!$a1:$a10000"),汇总!$A168)),I167)</f>
        <v>14.342120999999906</v>
      </c>
      <c r="J168" s="109" cm="1">
        <f t="array" aca="1" ref="J168" ca="1">IFERROR(INDEX(_xlfn._xlws.FILTER(INDIRECT(J$1&amp;"!$E1:$E10000"),INDIRECT(J$1&amp;"!$a1:$a10000")=汇总!$A168),COUNTIF(INDIRECT(J$1&amp;"!$a1:$a10000"),汇总!$A168)),J167)</f>
        <v>0.5</v>
      </c>
      <c r="K168" s="109" cm="1">
        <f t="array" aca="1" ref="K168" ca="1">IFERROR(INDEX(_xlfn._xlws.FILTER(INDIRECT(K$1&amp;"!$E1:$E10000"),INDIRECT(K$1&amp;"!$a1:$a10000")=汇总!$A168),COUNTIF(INDIRECT(K$1&amp;"!$a1:$a10000"),汇总!$A168)),K167)</f>
        <v>27.518779999999733</v>
      </c>
      <c r="L168" s="109" cm="1">
        <f t="array" aca="1" ref="L168" ca="1">IFERROR(INDEX(_xlfn._xlws.FILTER(INDIRECT(L$1&amp;"!$E1:$E10000"),INDIRECT(L$1&amp;"!$a1:$a10000")=汇总!$A168),COUNTIF(INDIRECT(L$1&amp;"!$a1:$a10000"),汇总!$A168)),L167)</f>
        <v>116.82299999999987</v>
      </c>
      <c r="M168" s="109" cm="1">
        <f t="array" aca="1" ref="M168" ca="1">IFERROR(INDEX(_xlfn._xlws.FILTER(INDIRECT(M$1&amp;"!$E1:$E10000"),INDIRECT(M$1&amp;"!$a1:$a10000")=汇总!$A168),COUNTIF(INDIRECT(M$1&amp;"!$a1:$a10000"),汇总!$A168)),M167)</f>
        <v>236.1466599999996</v>
      </c>
      <c r="N168" s="109" cm="1">
        <f t="array" aca="1" ref="N168" ca="1">IFERROR(INDEX(_xlfn._xlws.FILTER(INDIRECT(N$1&amp;"!$E1:$E10000"),INDIRECT(N$1&amp;"!$a1:$a10000")=汇总!$A168),COUNTIF(INDIRECT(N$1&amp;"!$a1:$a10000"),汇总!$A168)),N167)</f>
        <v>938.62038699999869</v>
      </c>
      <c r="O168" s="109" cm="1">
        <f t="array" aca="1" ref="O168" ca="1">IFERROR(INDEX(_xlfn._xlws.FILTER(INDIRECT(O$1&amp;"!$E1:$E10000"),INDIRECT(O$1&amp;"!$a1:$a10000")=汇总!$A168),COUNTIF(INDIRECT(O$1&amp;"!$a1:$a10000"),汇总!$A168)),O167)</f>
        <v>2</v>
      </c>
      <c r="P168" s="109" cm="1">
        <f t="array" aca="1" ref="P168" ca="1">IFERROR(INDEX(_xlfn._xlws.FILTER(INDIRECT(P$1&amp;"!$E1:$E10000"),INDIRECT(P$1&amp;"!$a1:$a10000")=汇总!$A168),COUNTIF(INDIRECT(P$1&amp;"!$a1:$a10000"),汇总!$A168)),P167)</f>
        <v>1364.9707999999996</v>
      </c>
      <c r="Q168" s="109" cm="1">
        <f t="array" aca="1" ref="Q168" ca="1">IFERROR(INDEX(_xlfn._xlws.FILTER(INDIRECT(Q$1&amp;"!$E1:$E10000"),INDIRECT(Q$1&amp;"!$a1:$a10000")=汇总!$A168),COUNTIF(INDIRECT(Q$1&amp;"!$a1:$a10000"),汇总!$A168)),Q167)</f>
        <v>32.504124999999021</v>
      </c>
      <c r="R168" s="109" cm="1">
        <f t="array" aca="1" ref="R168" ca="1">IFERROR(INDEX(_xlfn._xlws.FILTER(INDIRECT(R$1&amp;"!$E1:$E10000"),INDIRECT(R$1&amp;"!$a1:$a10000")=汇总!$A168),COUNTIF(INDIRECT(R$1&amp;"!$a1:$a10000"),汇总!$A168)),R167)</f>
        <v>5341.3357227534243</v>
      </c>
      <c r="S168" s="109" cm="1">
        <f t="array" aca="1" ref="S168" ca="1">IFERROR(INDEX(_xlfn._xlws.FILTER(INDIRECT(S$1&amp;"!$E1:$E10000"),INDIRECT(S$1&amp;"!$a1:$a10000")=汇总!$A168),COUNTIF(INDIRECT(S$1&amp;"!$a1:$a10000"),汇总!$A168)),S167)</f>
        <v>1146.8800000000001</v>
      </c>
      <c r="T168" s="109" cm="1">
        <f t="array" aca="1" ref="T168" ca="1">IFERROR(INDEX(_xlfn._xlws.FILTER(INDIRECT(T$1&amp;"!$E1:$E10000"),INDIRECT(T$1&amp;"!$a1:$a10000")=汇总!$A168),COUNTIF(INDIRECT(T$1&amp;"!$a1:$a10000"),汇总!$A168)),T167)</f>
        <v>9874.43</v>
      </c>
    </row>
  </sheetData>
  <phoneticPr fontId="6" type="noConversion"/>
  <conditionalFormatting sqref="A1:A1048576">
    <cfRule type="expression" dxfId="85" priority="1">
      <formula>A1=TODAY()</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6DE7E-4C03-44A6-AC6F-41A4FC819933}">
  <sheetPr codeName="Sheet2"/>
  <dimension ref="A1:X183"/>
  <sheetViews>
    <sheetView zoomScaleNormal="100" workbookViewId="0">
      <pane ySplit="2" topLeftCell="A148" activePane="bottomLeft" state="frozen"/>
      <selection sqref="A1:E1"/>
      <selection pane="bottomLeft" activeCell="A161" sqref="A161:C161"/>
    </sheetView>
  </sheetViews>
  <sheetFormatPr defaultColWidth="9" defaultRowHeight="16.5"/>
  <cols>
    <col min="1" max="1" width="13.5" style="4" customWidth="1"/>
    <col min="2" max="2" width="25" customWidth="1"/>
    <col min="3" max="4" width="7.75" customWidth="1"/>
    <col min="5" max="5" width="10.25" style="3" bestFit="1" customWidth="1"/>
    <col min="6" max="6" width="8.625"/>
    <col min="7" max="7" width="13.5" bestFit="1" customWidth="1"/>
    <col min="8" max="8" width="13.625" bestFit="1" customWidth="1"/>
    <col min="9" max="9" width="10.75" style="2" bestFit="1" customWidth="1"/>
    <col min="10" max="10" width="17.375" style="9" bestFit="1" customWidth="1"/>
    <col min="11" max="11" width="11.25" style="9" customWidth="1"/>
    <col min="12" max="12" width="10.625" style="2" bestFit="1" customWidth="1"/>
    <col min="13" max="13" width="9.75" customWidth="1"/>
    <col min="14" max="24" width="8.625" customWidth="1"/>
    <col min="25" max="16384" width="9" style="119"/>
  </cols>
  <sheetData>
    <row r="1" spans="1:24" s="118" customFormat="1" ht="28.35" customHeight="1">
      <c r="A1" s="10"/>
      <c r="B1" s="10"/>
      <c r="C1" s="10"/>
      <c r="D1" s="10"/>
      <c r="E1" s="10"/>
      <c r="G1" s="119"/>
      <c r="I1" s="5"/>
      <c r="J1" s="7"/>
      <c r="K1" s="7"/>
      <c r="L1" s="5"/>
    </row>
    <row r="2" spans="1:24">
      <c r="A2" s="4" t="s">
        <v>0</v>
      </c>
      <c r="B2" t="s">
        <v>1</v>
      </c>
      <c r="C2" t="s">
        <v>2</v>
      </c>
      <c r="D2" t="s">
        <v>3</v>
      </c>
      <c r="E2" s="3" t="s">
        <v>4</v>
      </c>
      <c r="F2" s="119"/>
      <c r="G2" s="119"/>
      <c r="H2" s="119"/>
      <c r="I2" s="6"/>
      <c r="J2" s="8"/>
      <c r="K2" s="8"/>
      <c r="L2" s="6"/>
      <c r="M2" s="119"/>
      <c r="N2" s="119"/>
      <c r="O2" s="119"/>
      <c r="P2" s="119"/>
      <c r="Q2" s="119"/>
      <c r="R2" s="119"/>
      <c r="S2" s="119"/>
      <c r="T2" s="119"/>
      <c r="U2" s="119"/>
      <c r="V2" s="119"/>
      <c r="W2" s="119"/>
      <c r="X2" s="119"/>
    </row>
    <row r="3" spans="1:24">
      <c r="A3" s="4">
        <v>46023</v>
      </c>
      <c r="E3" s="3">
        <v>619</v>
      </c>
      <c r="F3" s="119"/>
      <c r="G3" s="119"/>
      <c r="H3" s="119"/>
      <c r="I3" s="6"/>
      <c r="J3" s="8"/>
      <c r="K3" s="8"/>
      <c r="L3" s="6"/>
      <c r="M3" s="119"/>
      <c r="N3" s="119"/>
      <c r="O3" s="119"/>
      <c r="P3" s="119"/>
      <c r="Q3" s="119"/>
      <c r="R3" s="119"/>
      <c r="S3" s="119"/>
      <c r="T3" s="119"/>
      <c r="U3" s="119"/>
      <c r="V3" s="119"/>
      <c r="W3" s="119"/>
      <c r="X3" s="119"/>
    </row>
    <row r="4" spans="1:24">
      <c r="A4" s="110">
        <v>45664</v>
      </c>
      <c r="B4" s="112" t="s">
        <v>310</v>
      </c>
      <c r="C4" s="112">
        <v>552</v>
      </c>
      <c r="D4" s="112"/>
      <c r="E4" s="120">
        <f>E3+C4-D4</f>
        <v>1171</v>
      </c>
      <c r="F4" s="119"/>
      <c r="G4" s="119"/>
      <c r="H4" s="119"/>
      <c r="I4" s="6"/>
      <c r="J4" s="8"/>
      <c r="K4" s="8"/>
      <c r="L4" s="6"/>
      <c r="M4" s="119"/>
      <c r="N4" s="119"/>
      <c r="O4" s="119"/>
      <c r="P4" s="119"/>
      <c r="Q4" s="119"/>
      <c r="R4" s="119"/>
      <c r="S4" s="119"/>
      <c r="T4" s="119"/>
      <c r="U4" s="119"/>
      <c r="V4" s="119"/>
      <c r="W4" s="119"/>
      <c r="X4" s="119"/>
    </row>
    <row r="5" spans="1:24">
      <c r="A5" s="110">
        <v>46029</v>
      </c>
      <c r="B5" s="112" t="s">
        <v>311</v>
      </c>
      <c r="C5" s="112"/>
      <c r="D5" s="112">
        <v>1003</v>
      </c>
      <c r="E5" s="120">
        <v>164</v>
      </c>
      <c r="F5" s="119" t="s">
        <v>317</v>
      </c>
      <c r="G5" s="119"/>
      <c r="H5" s="119"/>
      <c r="I5" s="6"/>
      <c r="J5" s="8"/>
      <c r="K5" s="8"/>
      <c r="L5" s="6"/>
      <c r="M5" s="119"/>
      <c r="N5" s="119"/>
      <c r="O5" s="119"/>
      <c r="P5" s="119"/>
      <c r="Q5" s="119"/>
      <c r="R5" s="119"/>
      <c r="S5" s="119"/>
      <c r="T5" s="119"/>
      <c r="U5" s="119"/>
      <c r="V5" s="119"/>
      <c r="W5" s="119"/>
      <c r="X5" s="119"/>
    </row>
    <row r="6" spans="1:24">
      <c r="A6" s="110">
        <v>46031</v>
      </c>
      <c r="B6" s="112" t="s">
        <v>312</v>
      </c>
      <c r="C6" s="112">
        <v>302</v>
      </c>
      <c r="D6" s="112"/>
      <c r="E6" s="120">
        <f t="shared" ref="E6:E35" si="0">E5+C6-D6</f>
        <v>466</v>
      </c>
      <c r="F6" s="119"/>
      <c r="G6" s="119"/>
      <c r="H6" s="119"/>
      <c r="I6" s="6"/>
      <c r="J6" s="8"/>
      <c r="K6" s="8"/>
      <c r="L6" s="6"/>
      <c r="M6" s="119"/>
      <c r="N6" s="119"/>
      <c r="O6" s="119"/>
      <c r="P6" s="119"/>
      <c r="Q6" s="119"/>
      <c r="R6" s="119"/>
      <c r="S6" s="119"/>
      <c r="T6" s="119"/>
      <c r="U6" s="119"/>
      <c r="V6" s="119"/>
      <c r="W6" s="119"/>
      <c r="X6" s="119"/>
    </row>
    <row r="7" spans="1:24">
      <c r="A7" s="110"/>
      <c r="B7" s="112"/>
      <c r="C7" s="112"/>
      <c r="D7" s="112"/>
      <c r="E7" s="120">
        <v>460</v>
      </c>
      <c r="F7" s="119"/>
      <c r="G7" s="119"/>
      <c r="H7" s="119"/>
      <c r="I7" s="6"/>
      <c r="J7" s="8"/>
      <c r="K7" s="8"/>
      <c r="L7" s="6"/>
      <c r="M7" s="119"/>
      <c r="N7" s="119"/>
      <c r="O7" s="119"/>
      <c r="P7" s="119"/>
      <c r="Q7" s="119"/>
      <c r="R7" s="119"/>
      <c r="S7" s="119"/>
      <c r="T7" s="119"/>
      <c r="U7" s="119"/>
      <c r="V7" s="119"/>
      <c r="W7" s="119"/>
      <c r="X7" s="119"/>
    </row>
    <row r="8" spans="1:24">
      <c r="A8" s="110">
        <v>46034</v>
      </c>
      <c r="B8" s="112" t="s">
        <v>566</v>
      </c>
      <c r="C8" s="112">
        <v>121</v>
      </c>
      <c r="D8" s="112"/>
      <c r="E8" s="120">
        <f>E7+C8-D8</f>
        <v>581</v>
      </c>
      <c r="F8" s="119"/>
      <c r="G8" s="119"/>
      <c r="H8" s="119"/>
      <c r="I8" s="6"/>
      <c r="J8" s="8"/>
      <c r="K8" s="8"/>
      <c r="L8" s="6"/>
      <c r="M8" s="119"/>
      <c r="N8" s="119"/>
      <c r="O8" s="119"/>
      <c r="P8" s="119"/>
      <c r="Q8" s="119"/>
      <c r="R8" s="119"/>
      <c r="S8" s="119"/>
      <c r="T8" s="119"/>
      <c r="U8" s="119"/>
      <c r="V8" s="119"/>
      <c r="W8" s="119"/>
      <c r="X8" s="119"/>
    </row>
    <row r="9" spans="1:24">
      <c r="A9" s="117"/>
      <c r="E9" s="120">
        <f t="shared" si="0"/>
        <v>581</v>
      </c>
      <c r="F9" s="119"/>
      <c r="G9" s="119"/>
      <c r="H9" s="119"/>
      <c r="I9" s="6"/>
      <c r="J9" s="8"/>
      <c r="K9" s="8"/>
      <c r="L9" s="6"/>
      <c r="M9" s="119"/>
      <c r="N9" s="119"/>
      <c r="O9" s="119"/>
      <c r="P9" s="119"/>
      <c r="Q9" s="119"/>
      <c r="R9" s="119"/>
      <c r="S9" s="119"/>
      <c r="T9" s="119"/>
      <c r="U9" s="119"/>
      <c r="V9" s="119"/>
      <c r="W9" s="119"/>
      <c r="X9" s="119"/>
    </row>
    <row r="10" spans="1:24">
      <c r="A10" s="110">
        <v>46034</v>
      </c>
      <c r="B10" s="112" t="s">
        <v>570</v>
      </c>
      <c r="C10" s="112">
        <v>300</v>
      </c>
      <c r="D10" s="112"/>
      <c r="E10" s="120">
        <f>E9+C10-D10</f>
        <v>881</v>
      </c>
      <c r="F10" s="168"/>
      <c r="G10" s="119"/>
      <c r="H10" s="119"/>
      <c r="I10" s="6"/>
      <c r="J10" s="8"/>
      <c r="K10" s="8"/>
      <c r="L10" s="6"/>
      <c r="M10" s="119"/>
      <c r="N10" s="119"/>
      <c r="O10" s="119"/>
      <c r="P10" s="119"/>
      <c r="Q10" s="119"/>
      <c r="R10" s="119"/>
      <c r="S10" s="119"/>
      <c r="T10" s="119"/>
      <c r="U10" s="119"/>
      <c r="V10" s="119"/>
      <c r="W10" s="119"/>
      <c r="X10" s="119"/>
    </row>
    <row r="11" spans="1:24">
      <c r="A11" s="110">
        <v>46034</v>
      </c>
      <c r="B11" s="112" t="s">
        <v>313</v>
      </c>
      <c r="C11" s="112">
        <v>1100</v>
      </c>
      <c r="D11" s="112"/>
      <c r="E11" s="120">
        <f t="shared" si="0"/>
        <v>1981</v>
      </c>
      <c r="F11" s="168" t="s">
        <v>584</v>
      </c>
      <c r="G11" s="119" t="s">
        <v>585</v>
      </c>
      <c r="H11" s="119"/>
      <c r="I11" s="6"/>
      <c r="J11" s="8"/>
      <c r="K11" s="8"/>
      <c r="L11" s="6"/>
      <c r="M11" s="119"/>
      <c r="N11" s="119"/>
      <c r="O11" s="119"/>
      <c r="P11" s="119"/>
      <c r="Q11" s="119"/>
      <c r="R11" s="119"/>
      <c r="S11" s="119"/>
      <c r="T11" s="119"/>
      <c r="U11" s="119"/>
      <c r="V11" s="119"/>
      <c r="W11" s="119"/>
      <c r="X11" s="119"/>
    </row>
    <row r="12" spans="1:24">
      <c r="A12" s="110">
        <v>46034</v>
      </c>
      <c r="B12" s="112" t="s">
        <v>605</v>
      </c>
      <c r="C12" s="112"/>
      <c r="D12" s="112">
        <v>1216.5</v>
      </c>
      <c r="E12" s="120">
        <f t="shared" si="0"/>
        <v>764.5</v>
      </c>
      <c r="F12" s="168"/>
      <c r="G12" s="119"/>
      <c r="H12" s="119"/>
      <c r="I12" s="6"/>
      <c r="J12" s="8"/>
      <c r="K12" s="8"/>
      <c r="L12" s="6"/>
      <c r="M12" s="119"/>
      <c r="N12" s="119"/>
      <c r="O12" s="119"/>
      <c r="P12" s="119"/>
      <c r="Q12" s="119"/>
      <c r="R12" s="119"/>
      <c r="S12" s="119"/>
      <c r="T12" s="119"/>
      <c r="U12" s="119"/>
      <c r="V12" s="119"/>
      <c r="W12" s="119"/>
      <c r="X12" s="119"/>
    </row>
    <row r="13" spans="1:24">
      <c r="A13" s="110">
        <v>46035</v>
      </c>
      <c r="B13" s="112" t="s">
        <v>566</v>
      </c>
      <c r="C13" s="112">
        <v>128.4</v>
      </c>
      <c r="D13" s="112"/>
      <c r="E13" s="120">
        <f t="shared" si="0"/>
        <v>892.9</v>
      </c>
      <c r="F13" s="168"/>
      <c r="G13" s="119"/>
      <c r="H13" s="119"/>
      <c r="I13" s="6"/>
      <c r="J13" s="8"/>
      <c r="K13" s="8"/>
      <c r="L13" s="6"/>
      <c r="M13" s="119"/>
      <c r="N13" s="119"/>
      <c r="O13" s="119"/>
      <c r="P13" s="119"/>
      <c r="Q13" s="119"/>
      <c r="R13" s="119"/>
      <c r="S13" s="119"/>
      <c r="T13" s="119"/>
      <c r="U13" s="119"/>
      <c r="V13" s="119"/>
      <c r="W13" s="119"/>
      <c r="X13" s="119"/>
    </row>
    <row r="14" spans="1:24">
      <c r="A14" s="110">
        <v>46035</v>
      </c>
      <c r="B14" s="112" t="s">
        <v>606</v>
      </c>
      <c r="C14" s="112"/>
      <c r="D14" s="112">
        <v>660.5</v>
      </c>
      <c r="E14" s="120">
        <f t="shared" si="0"/>
        <v>232.39999999999998</v>
      </c>
      <c r="F14" s="168"/>
      <c r="G14" s="119"/>
      <c r="H14" s="119"/>
      <c r="I14" s="6"/>
      <c r="J14" s="8"/>
      <c r="K14" s="8"/>
      <c r="L14" s="6"/>
      <c r="M14" s="119"/>
      <c r="N14" s="119"/>
      <c r="O14" s="119"/>
      <c r="P14" s="119"/>
      <c r="Q14" s="119"/>
      <c r="R14" s="119"/>
      <c r="S14" s="119"/>
      <c r="T14" s="119"/>
      <c r="U14" s="119"/>
      <c r="V14" s="119"/>
      <c r="W14" s="119"/>
      <c r="X14" s="119"/>
    </row>
    <row r="15" spans="1:24">
      <c r="A15" s="110">
        <v>46036</v>
      </c>
      <c r="B15" s="112" t="s">
        <v>605</v>
      </c>
      <c r="C15" s="112">
        <v>1216</v>
      </c>
      <c r="D15" s="112"/>
      <c r="E15" s="120">
        <f t="shared" si="0"/>
        <v>1448.4</v>
      </c>
      <c r="F15" s="119" t="s">
        <v>612</v>
      </c>
      <c r="G15" s="119"/>
      <c r="H15" s="119"/>
      <c r="I15" s="6"/>
      <c r="J15" s="8"/>
      <c r="K15" s="8"/>
      <c r="L15" s="6"/>
      <c r="M15" s="119"/>
      <c r="N15" s="119"/>
      <c r="O15" s="119"/>
      <c r="P15" s="119"/>
      <c r="Q15" s="119"/>
      <c r="R15" s="119"/>
      <c r="S15" s="119"/>
      <c r="T15" s="119"/>
      <c r="U15" s="119"/>
      <c r="V15" s="119"/>
      <c r="W15" s="119"/>
      <c r="X15" s="119"/>
    </row>
    <row r="16" spans="1:24">
      <c r="A16" s="110">
        <v>46036</v>
      </c>
      <c r="B16" s="112" t="s">
        <v>611</v>
      </c>
      <c r="C16" s="112"/>
      <c r="D16" s="112">
        <v>501</v>
      </c>
      <c r="E16" s="120">
        <f t="shared" ref="E16:E22" si="1">E15+C16-D16</f>
        <v>947.40000000000009</v>
      </c>
      <c r="F16" t="s">
        <v>625</v>
      </c>
      <c r="G16" s="119"/>
      <c r="H16" s="119"/>
      <c r="I16" s="6"/>
      <c r="J16" s="8"/>
      <c r="K16" s="8"/>
      <c r="L16" s="6"/>
      <c r="M16" s="119"/>
      <c r="N16" s="119"/>
      <c r="O16" s="119"/>
      <c r="P16" s="119"/>
      <c r="Q16" s="119"/>
      <c r="R16" s="119"/>
      <c r="S16" s="119"/>
      <c r="T16" s="119"/>
      <c r="U16" s="119"/>
      <c r="V16" s="119"/>
      <c r="W16" s="119"/>
      <c r="X16" s="119"/>
    </row>
    <row r="17" spans="1:24">
      <c r="A17" s="110">
        <v>46037</v>
      </c>
      <c r="B17" s="112" t="s">
        <v>607</v>
      </c>
      <c r="C17" s="112">
        <v>5000</v>
      </c>
      <c r="D17" s="112"/>
      <c r="E17" s="120">
        <f t="shared" si="1"/>
        <v>5947.4</v>
      </c>
      <c r="G17" s="119"/>
      <c r="H17" s="119"/>
      <c r="I17" s="6"/>
      <c r="J17" s="8"/>
      <c r="K17" s="8"/>
      <c r="L17" s="6"/>
      <c r="M17" s="119"/>
      <c r="N17" s="119"/>
      <c r="O17" s="119"/>
      <c r="P17" s="119"/>
      <c r="Q17" s="119"/>
      <c r="R17" s="119"/>
      <c r="S17" s="119"/>
      <c r="T17" s="119"/>
      <c r="U17" s="119"/>
      <c r="V17" s="119"/>
      <c r="W17" s="119"/>
      <c r="X17" s="119"/>
    </row>
    <row r="18" spans="1:24">
      <c r="A18" s="110">
        <v>46037</v>
      </c>
      <c r="B18" s="112" t="s">
        <v>570</v>
      </c>
      <c r="C18" s="112">
        <v>1000</v>
      </c>
      <c r="D18" s="112"/>
      <c r="E18" s="120">
        <f t="shared" si="1"/>
        <v>6947.4</v>
      </c>
      <c r="G18" s="119"/>
      <c r="H18" s="119"/>
      <c r="I18" s="6"/>
      <c r="J18" s="8"/>
      <c r="K18" s="8"/>
      <c r="L18" s="6"/>
      <c r="M18" s="119"/>
      <c r="N18" s="119"/>
      <c r="O18" s="119"/>
      <c r="P18" s="119"/>
      <c r="Q18" s="119"/>
      <c r="R18" s="119"/>
      <c r="S18" s="119"/>
      <c r="T18" s="119"/>
      <c r="U18" s="119"/>
      <c r="V18" s="119"/>
      <c r="W18" s="119"/>
      <c r="X18" s="119"/>
    </row>
    <row r="19" spans="1:24">
      <c r="A19" s="117"/>
      <c r="E19" s="120">
        <f t="shared" si="1"/>
        <v>6947.4</v>
      </c>
      <c r="G19" s="119"/>
      <c r="H19" s="119"/>
      <c r="I19" s="6"/>
      <c r="J19" s="8"/>
      <c r="K19" s="8"/>
      <c r="L19" s="6"/>
      <c r="M19" s="119"/>
      <c r="N19" s="119"/>
      <c r="O19" s="119"/>
      <c r="P19" s="119"/>
      <c r="Q19" s="119"/>
      <c r="R19" s="119"/>
      <c r="S19" s="119"/>
      <c r="T19" s="119"/>
      <c r="U19" s="119"/>
      <c r="V19" s="119"/>
      <c r="W19" s="119"/>
      <c r="X19" s="119"/>
    </row>
    <row r="20" spans="1:24">
      <c r="A20" s="110">
        <v>46037</v>
      </c>
      <c r="B20" s="112" t="s">
        <v>315</v>
      </c>
      <c r="C20" s="112"/>
      <c r="D20" s="112">
        <v>1247</v>
      </c>
      <c r="E20" s="120">
        <f t="shared" si="1"/>
        <v>5700.4</v>
      </c>
      <c r="F20" s="119"/>
      <c r="G20" s="119"/>
      <c r="H20" s="119"/>
      <c r="I20" s="6"/>
      <c r="J20" s="8"/>
      <c r="K20" s="8" t="s">
        <v>849</v>
      </c>
      <c r="L20" s="6"/>
      <c r="M20" s="119"/>
      <c r="N20" s="119"/>
      <c r="O20" s="119"/>
      <c r="P20" s="119"/>
      <c r="Q20" s="119"/>
      <c r="R20" s="119"/>
      <c r="S20" s="119"/>
      <c r="T20" s="119"/>
      <c r="U20" s="119"/>
      <c r="V20" s="119"/>
      <c r="W20" s="119"/>
      <c r="X20" s="119"/>
    </row>
    <row r="21" spans="1:24">
      <c r="A21" s="110">
        <v>46037</v>
      </c>
      <c r="B21" s="112" t="s">
        <v>613</v>
      </c>
      <c r="C21" s="112">
        <v>170</v>
      </c>
      <c r="D21" s="112"/>
      <c r="E21" s="120">
        <f t="shared" si="1"/>
        <v>5870.4</v>
      </c>
      <c r="F21" s="119"/>
      <c r="G21" s="119"/>
      <c r="H21" s="119"/>
      <c r="I21" s="6"/>
      <c r="J21" s="8"/>
      <c r="K21" s="8"/>
      <c r="L21" s="6"/>
      <c r="M21" s="119"/>
      <c r="N21" s="119"/>
      <c r="O21" s="119"/>
      <c r="P21" s="119"/>
      <c r="Q21" s="119"/>
      <c r="R21" s="119"/>
      <c r="S21" s="119"/>
      <c r="T21" s="119"/>
      <c r="U21" s="119"/>
      <c r="V21" s="119"/>
      <c r="W21" s="119"/>
      <c r="X21" s="119"/>
    </row>
    <row r="22" spans="1:24">
      <c r="A22" s="117"/>
      <c r="E22" s="120">
        <f t="shared" si="1"/>
        <v>5870.4</v>
      </c>
      <c r="G22" s="1"/>
      <c r="H22" s="119"/>
      <c r="I22" s="6"/>
      <c r="J22" s="8"/>
      <c r="K22" s="8"/>
      <c r="L22" s="6"/>
      <c r="M22" s="119"/>
      <c r="N22" s="119"/>
      <c r="O22" s="119"/>
      <c r="P22" s="119"/>
      <c r="Q22" s="119"/>
      <c r="R22" s="119"/>
      <c r="S22" s="119"/>
      <c r="T22" s="119"/>
      <c r="U22" s="119"/>
      <c r="V22" s="119"/>
      <c r="W22" s="119"/>
      <c r="X22" s="119"/>
    </row>
    <row r="23" spans="1:24">
      <c r="A23" s="110">
        <v>46038</v>
      </c>
      <c r="B23" s="112" t="s">
        <v>589</v>
      </c>
      <c r="C23" s="112"/>
      <c r="D23" s="112">
        <v>738</v>
      </c>
      <c r="E23" s="120">
        <f t="shared" si="0"/>
        <v>5132.3999999999996</v>
      </c>
      <c r="F23" t="s">
        <v>633</v>
      </c>
      <c r="H23" s="119"/>
      <c r="I23" s="6"/>
      <c r="J23" s="8"/>
      <c r="K23" s="8"/>
      <c r="L23" s="6"/>
      <c r="M23" s="119"/>
      <c r="N23" s="119"/>
      <c r="O23" s="119"/>
      <c r="P23" s="119"/>
      <c r="Q23" s="119"/>
      <c r="R23" s="119"/>
      <c r="S23" s="119"/>
      <c r="T23" s="119"/>
      <c r="U23" s="119"/>
      <c r="V23" s="119"/>
      <c r="W23" s="119"/>
      <c r="X23" s="119"/>
    </row>
    <row r="24" spans="1:24">
      <c r="A24" s="110"/>
      <c r="B24" s="112"/>
      <c r="C24" s="112"/>
      <c r="D24" s="112"/>
      <c r="E24" s="120">
        <v>5134</v>
      </c>
      <c r="F24" s="119"/>
      <c r="G24" s="119"/>
      <c r="H24" s="119" t="s">
        <v>849</v>
      </c>
      <c r="I24" s="6"/>
      <c r="J24" s="8"/>
      <c r="K24" s="8"/>
      <c r="L24" s="6"/>
      <c r="M24" s="119"/>
      <c r="N24" s="119"/>
      <c r="O24" s="119"/>
      <c r="P24" s="119"/>
      <c r="Q24" s="119"/>
      <c r="R24" s="119"/>
      <c r="S24" s="119"/>
      <c r="T24" s="119"/>
      <c r="U24" s="119"/>
      <c r="V24" s="119"/>
      <c r="W24" s="119"/>
      <c r="X24" s="119"/>
    </row>
    <row r="25" spans="1:24">
      <c r="A25" s="110">
        <v>46041</v>
      </c>
      <c r="B25" s="112" t="s">
        <v>784</v>
      </c>
      <c r="C25" s="112"/>
      <c r="D25" s="112">
        <v>19</v>
      </c>
      <c r="E25" s="120">
        <f>E24+C25-D25</f>
        <v>5115</v>
      </c>
      <c r="F25" s="119"/>
      <c r="G25" s="119"/>
      <c r="H25" s="119"/>
      <c r="I25" s="6"/>
      <c r="J25" s="8"/>
      <c r="K25" s="8"/>
      <c r="L25" s="6"/>
      <c r="M25" s="119"/>
      <c r="N25" s="119"/>
      <c r="O25" s="119"/>
      <c r="P25" s="119"/>
      <c r="Q25" s="119"/>
      <c r="R25" s="119"/>
      <c r="S25" s="119"/>
      <c r="T25" s="119"/>
      <c r="U25" s="119"/>
      <c r="V25" s="119"/>
      <c r="W25" s="119"/>
      <c r="X25" s="119"/>
    </row>
    <row r="26" spans="1:24">
      <c r="A26" s="110">
        <v>46041</v>
      </c>
      <c r="B26" s="112" t="s">
        <v>850</v>
      </c>
      <c r="C26" s="112"/>
      <c r="D26" s="112">
        <v>355</v>
      </c>
      <c r="E26" s="120">
        <f>E25+C26-D26</f>
        <v>4760</v>
      </c>
      <c r="F26" s="119" t="s">
        <v>826</v>
      </c>
      <c r="G26" s="119"/>
      <c r="H26" s="119"/>
      <c r="I26" s="6"/>
      <c r="J26" s="8"/>
      <c r="K26" s="8"/>
      <c r="L26" s="6"/>
      <c r="M26" s="119"/>
      <c r="N26" s="119"/>
      <c r="O26" s="119"/>
      <c r="P26" s="119"/>
      <c r="Q26" s="119"/>
      <c r="R26" s="119"/>
      <c r="S26" s="119"/>
      <c r="T26" s="119"/>
      <c r="U26" s="119"/>
      <c r="V26" s="119"/>
      <c r="W26" s="119"/>
      <c r="X26" s="119"/>
    </row>
    <row r="27" spans="1:24">
      <c r="A27" s="110">
        <v>46041</v>
      </c>
      <c r="B27" s="112" t="s">
        <v>620</v>
      </c>
      <c r="C27" s="112"/>
      <c r="D27" s="112">
        <v>2600</v>
      </c>
      <c r="E27" s="120">
        <f>E26+C27-D27</f>
        <v>2160</v>
      </c>
      <c r="F27" s="119"/>
      <c r="G27" s="119"/>
      <c r="H27" s="119"/>
      <c r="I27" s="6"/>
      <c r="J27" s="8"/>
      <c r="K27" s="8"/>
      <c r="L27" s="6"/>
      <c r="M27" s="119"/>
      <c r="N27" s="119"/>
      <c r="O27" s="119"/>
      <c r="P27" s="119"/>
      <c r="Q27" s="119"/>
      <c r="R27" s="119"/>
      <c r="S27" s="119"/>
      <c r="T27" s="119"/>
      <c r="U27" s="119"/>
      <c r="V27" s="119"/>
      <c r="W27" s="119"/>
      <c r="X27" s="119"/>
    </row>
    <row r="28" spans="1:24">
      <c r="A28" s="110">
        <v>46041</v>
      </c>
      <c r="B28" s="112" t="s">
        <v>566</v>
      </c>
      <c r="C28" s="112">
        <v>174</v>
      </c>
      <c r="D28" s="112"/>
      <c r="E28" s="120">
        <f>E27+C28-D28</f>
        <v>2334</v>
      </c>
      <c r="F28" s="119"/>
      <c r="G28" s="119"/>
      <c r="H28" s="119"/>
      <c r="I28" s="6"/>
      <c r="J28" s="8"/>
      <c r="K28" s="8"/>
      <c r="L28" s="6"/>
      <c r="M28" s="119"/>
      <c r="N28" s="119"/>
      <c r="O28" s="119"/>
      <c r="P28" s="119"/>
      <c r="Q28" s="119"/>
      <c r="R28" s="119"/>
      <c r="S28" s="119"/>
      <c r="T28" s="119"/>
      <c r="U28" s="119"/>
      <c r="V28" s="119"/>
      <c r="W28" s="119"/>
      <c r="X28" s="119"/>
    </row>
    <row r="29" spans="1:24">
      <c r="A29" s="110">
        <v>46041</v>
      </c>
      <c r="B29" s="112" t="s">
        <v>316</v>
      </c>
      <c r="C29" s="112">
        <v>1112</v>
      </c>
      <c r="D29" s="112"/>
      <c r="E29" s="120">
        <f>E28+C29-D29</f>
        <v>3446</v>
      </c>
      <c r="F29" s="206" t="s">
        <v>851</v>
      </c>
      <c r="G29" s="119"/>
      <c r="H29" s="119"/>
      <c r="I29" s="6"/>
      <c r="J29" s="8"/>
      <c r="K29" s="8"/>
      <c r="L29" s="8"/>
      <c r="M29" s="8"/>
      <c r="N29" s="119"/>
      <c r="O29" s="119"/>
      <c r="P29" s="119"/>
      <c r="Q29" s="119"/>
      <c r="R29" s="119"/>
      <c r="S29" s="119"/>
      <c r="T29" s="119"/>
      <c r="U29" s="119"/>
      <c r="V29" s="119"/>
      <c r="W29" s="119"/>
      <c r="X29" s="119"/>
    </row>
    <row r="30" spans="1:24">
      <c r="A30" s="110"/>
      <c r="B30" s="112"/>
      <c r="C30" s="112"/>
      <c r="D30" s="112"/>
      <c r="E30" s="120">
        <v>3441</v>
      </c>
      <c r="F30" s="9"/>
      <c r="G30" s="119"/>
      <c r="H30" s="119"/>
      <c r="I30" s="6"/>
      <c r="J30" s="8"/>
      <c r="K30" s="8"/>
      <c r="L30" s="8"/>
      <c r="M30" s="8"/>
      <c r="N30" s="119"/>
      <c r="O30" s="119"/>
      <c r="P30" s="119"/>
      <c r="Q30" s="119"/>
      <c r="R30" s="119"/>
      <c r="S30" s="119"/>
      <c r="T30" s="119"/>
      <c r="U30" s="119"/>
      <c r="V30" s="119"/>
      <c r="W30" s="119"/>
      <c r="X30" s="119"/>
    </row>
    <row r="31" spans="1:24">
      <c r="A31" s="110">
        <v>46043</v>
      </c>
      <c r="B31" s="112" t="s">
        <v>566</v>
      </c>
      <c r="C31" s="112">
        <v>18</v>
      </c>
      <c r="D31" s="112"/>
      <c r="E31" s="120">
        <f t="shared" ref="E31" si="2">E30+C31-D31</f>
        <v>3459</v>
      </c>
      <c r="F31" s="119"/>
      <c r="G31" s="119"/>
      <c r="H31" s="119"/>
      <c r="I31" s="6"/>
      <c r="J31" s="8"/>
      <c r="K31" s="8"/>
      <c r="L31" s="8"/>
      <c r="M31" s="8"/>
      <c r="N31" s="119"/>
      <c r="O31" s="119"/>
      <c r="P31" s="119"/>
      <c r="Q31" s="119"/>
      <c r="R31" s="119"/>
      <c r="S31" s="119"/>
      <c r="T31" s="119"/>
      <c r="U31" s="119"/>
      <c r="V31" s="119"/>
      <c r="W31" s="119"/>
      <c r="X31" s="119"/>
    </row>
    <row r="32" spans="1:24">
      <c r="A32" s="110">
        <v>46043</v>
      </c>
      <c r="B32" s="112" t="s">
        <v>878</v>
      </c>
      <c r="C32" s="112"/>
      <c r="D32" s="112">
        <v>1550</v>
      </c>
      <c r="E32" s="120">
        <f t="shared" si="0"/>
        <v>1909</v>
      </c>
      <c r="F32" s="119"/>
      <c r="G32" s="119"/>
      <c r="H32" s="119"/>
      <c r="I32" s="6"/>
      <c r="J32" s="8"/>
      <c r="K32" s="8"/>
      <c r="L32" s="8"/>
      <c r="M32" s="8"/>
      <c r="N32" s="119"/>
      <c r="O32" s="119"/>
      <c r="P32" s="119"/>
      <c r="Q32" s="119"/>
      <c r="R32" s="119"/>
      <c r="S32" s="119"/>
      <c r="T32" s="119"/>
      <c r="U32" s="119"/>
      <c r="V32" s="119"/>
      <c r="W32" s="119"/>
      <c r="X32" s="119"/>
    </row>
    <row r="33" spans="1:24">
      <c r="A33" s="110"/>
      <c r="B33" s="112"/>
      <c r="D33" s="112"/>
      <c r="E33" s="120">
        <f t="shared" si="0"/>
        <v>1909</v>
      </c>
      <c r="F33" s="119"/>
      <c r="G33" s="119"/>
      <c r="H33" s="119"/>
      <c r="I33" s="6"/>
      <c r="J33" s="8"/>
      <c r="K33" s="8"/>
      <c r="L33" s="6"/>
      <c r="M33" s="119"/>
      <c r="N33" s="119"/>
      <c r="O33" s="119"/>
      <c r="P33" s="119"/>
      <c r="Q33" s="119"/>
      <c r="R33" s="119"/>
      <c r="S33" s="119"/>
      <c r="T33" s="119"/>
      <c r="U33" s="119"/>
      <c r="V33" s="119"/>
      <c r="W33" s="119"/>
      <c r="X33" s="119"/>
    </row>
    <row r="34" spans="1:24">
      <c r="A34" s="110">
        <v>46044</v>
      </c>
      <c r="B34" s="112" t="str">
        <f>B5</f>
        <v>诚瑞1A2</v>
      </c>
      <c r="C34" s="112">
        <f>D5</f>
        <v>1003</v>
      </c>
      <c r="D34" s="112"/>
      <c r="E34" s="120">
        <f t="shared" si="0"/>
        <v>2912</v>
      </c>
      <c r="F34" s="221" t="s">
        <v>906</v>
      </c>
      <c r="H34" s="119"/>
      <c r="I34" s="6"/>
      <c r="J34" s="8"/>
      <c r="K34" s="8"/>
      <c r="L34" s="6"/>
      <c r="M34" s="119"/>
      <c r="N34" s="119"/>
      <c r="O34" s="119"/>
      <c r="P34" s="119"/>
      <c r="Q34" s="119"/>
      <c r="R34" s="119"/>
      <c r="S34" s="119"/>
      <c r="T34" s="119"/>
      <c r="U34" s="119"/>
      <c r="V34" s="119"/>
      <c r="W34" s="119"/>
      <c r="X34" s="119"/>
    </row>
    <row r="35" spans="1:24">
      <c r="A35" s="110">
        <v>46045</v>
      </c>
      <c r="B35" s="112" t="s">
        <v>570</v>
      </c>
      <c r="C35" s="112">
        <v>105</v>
      </c>
      <c r="D35" s="112"/>
      <c r="E35" s="120">
        <f t="shared" si="0"/>
        <v>3017</v>
      </c>
      <c r="F35" s="119"/>
      <c r="G35" s="119"/>
      <c r="H35" s="119"/>
      <c r="I35" s="6"/>
      <c r="J35" s="8"/>
      <c r="K35" s="8"/>
      <c r="L35" s="6"/>
      <c r="M35" s="119"/>
      <c r="N35" s="119"/>
      <c r="O35" s="119"/>
      <c r="P35" s="119"/>
      <c r="Q35" s="119"/>
      <c r="R35" s="119"/>
      <c r="S35" s="119"/>
      <c r="T35" s="119"/>
      <c r="U35" s="119"/>
      <c r="V35" s="119"/>
      <c r="W35" s="119"/>
      <c r="X35" s="119"/>
    </row>
    <row r="36" spans="1:24">
      <c r="A36" s="110">
        <v>46045</v>
      </c>
      <c r="B36" s="112" t="s">
        <v>879</v>
      </c>
      <c r="C36" s="112">
        <v>1550</v>
      </c>
      <c r="D36" s="112"/>
      <c r="E36" s="120">
        <f>E35+C36-D36</f>
        <v>4567</v>
      </c>
      <c r="F36" s="119"/>
      <c r="G36" s="119"/>
      <c r="H36" s="119"/>
      <c r="I36" s="6"/>
      <c r="J36" s="8"/>
      <c r="K36" s="8"/>
      <c r="L36" s="6"/>
      <c r="M36" s="119"/>
      <c r="N36" s="119"/>
      <c r="O36" s="119"/>
      <c r="P36" s="119"/>
      <c r="Q36" s="119"/>
      <c r="R36" s="119"/>
      <c r="S36" s="119"/>
      <c r="T36" s="119"/>
      <c r="U36" s="119"/>
      <c r="V36" s="119"/>
      <c r="W36" s="119"/>
      <c r="X36" s="119"/>
    </row>
    <row r="37" spans="1:24">
      <c r="A37" s="110">
        <v>46048</v>
      </c>
      <c r="B37" s="112" t="s">
        <v>850</v>
      </c>
      <c r="C37" s="112">
        <v>353</v>
      </c>
      <c r="D37" s="112"/>
      <c r="E37" s="120">
        <f t="shared" ref="E37:E47" si="3">E36+C37-D37</f>
        <v>4920</v>
      </c>
      <c r="F37" s="119" t="s">
        <v>910</v>
      </c>
      <c r="G37" s="119"/>
      <c r="H37" s="119"/>
      <c r="I37" s="6"/>
      <c r="J37" s="8"/>
      <c r="K37" s="8"/>
      <c r="L37" s="6"/>
      <c r="M37" s="119"/>
      <c r="N37" s="119"/>
      <c r="O37" s="119"/>
      <c r="P37" s="119"/>
      <c r="Q37" s="119"/>
      <c r="R37" s="119"/>
      <c r="S37" s="119"/>
      <c r="T37" s="119"/>
      <c r="U37" s="119"/>
      <c r="V37" s="119"/>
      <c r="W37" s="119"/>
      <c r="X37" s="119"/>
    </row>
    <row r="38" spans="1:24">
      <c r="A38" s="110">
        <v>46048</v>
      </c>
      <c r="B38" s="112" t="s">
        <v>566</v>
      </c>
      <c r="C38" s="112">
        <v>180</v>
      </c>
      <c r="D38" s="112"/>
      <c r="E38" s="120">
        <f t="shared" si="3"/>
        <v>5100</v>
      </c>
      <c r="F38" s="119"/>
      <c r="G38" s="119"/>
      <c r="H38" s="119"/>
      <c r="I38" s="6"/>
      <c r="J38" s="8"/>
      <c r="K38" s="8"/>
      <c r="L38" s="6"/>
      <c r="M38" s="119"/>
      <c r="N38" s="119"/>
      <c r="O38" s="119"/>
      <c r="P38" s="119"/>
      <c r="Q38" s="119"/>
      <c r="R38" s="119"/>
      <c r="S38" s="119"/>
      <c r="T38" s="119"/>
      <c r="U38" s="119"/>
      <c r="V38" s="119"/>
      <c r="W38" s="119"/>
      <c r="X38" s="119"/>
    </row>
    <row r="39" spans="1:24">
      <c r="A39" s="110"/>
      <c r="B39" s="112"/>
      <c r="C39" s="112"/>
      <c r="D39" s="112"/>
      <c r="E39" s="120">
        <f t="shared" si="3"/>
        <v>5100</v>
      </c>
      <c r="F39" s="119"/>
      <c r="G39" s="119"/>
      <c r="H39" s="119"/>
      <c r="I39" s="6"/>
      <c r="J39" s="8"/>
      <c r="K39" s="8"/>
      <c r="L39" s="6"/>
      <c r="M39" s="119"/>
      <c r="N39" s="119"/>
      <c r="O39" s="119"/>
      <c r="P39" s="119"/>
      <c r="Q39" s="119"/>
      <c r="R39" s="119"/>
      <c r="S39" s="119"/>
      <c r="T39" s="119"/>
      <c r="U39" s="119"/>
      <c r="V39" s="119"/>
      <c r="W39" s="119"/>
      <c r="X39" s="119"/>
    </row>
    <row r="40" spans="1:24">
      <c r="A40" s="110">
        <v>46049</v>
      </c>
      <c r="B40" s="112" t="s">
        <v>966</v>
      </c>
      <c r="C40" s="112">
        <v>100</v>
      </c>
      <c r="D40" s="112"/>
      <c r="E40" s="120">
        <v>5207</v>
      </c>
      <c r="F40" s="119"/>
      <c r="G40" s="119"/>
      <c r="H40" s="119"/>
      <c r="I40" s="6"/>
      <c r="J40" s="8"/>
      <c r="K40" s="8"/>
      <c r="L40" s="6"/>
      <c r="M40" s="119"/>
      <c r="N40" s="119"/>
      <c r="O40" s="119"/>
      <c r="P40" s="119"/>
      <c r="Q40" s="119"/>
      <c r="R40" s="119"/>
      <c r="S40" s="119"/>
      <c r="T40" s="119"/>
      <c r="U40" s="119"/>
      <c r="V40" s="119"/>
      <c r="W40" s="119"/>
      <c r="X40" s="119"/>
    </row>
    <row r="41" spans="1:24">
      <c r="A41" s="110">
        <v>46050</v>
      </c>
      <c r="B41" s="112" t="s">
        <v>566</v>
      </c>
      <c r="C41" s="112">
        <v>200</v>
      </c>
      <c r="D41" s="112"/>
      <c r="E41" s="120">
        <f t="shared" si="3"/>
        <v>5407</v>
      </c>
      <c r="F41" s="119" t="s">
        <v>940</v>
      </c>
      <c r="G41" s="119"/>
      <c r="H41" s="119"/>
      <c r="I41" s="6"/>
      <c r="J41" s="8"/>
      <c r="K41" s="8"/>
      <c r="L41" s="6"/>
      <c r="M41" s="119"/>
      <c r="N41" s="119"/>
      <c r="O41" s="119"/>
      <c r="P41" s="119"/>
      <c r="Q41" s="119"/>
      <c r="R41" s="119"/>
      <c r="S41" s="119"/>
      <c r="T41" s="119"/>
      <c r="U41" s="119"/>
      <c r="V41" s="119"/>
      <c r="W41" s="119"/>
      <c r="X41" s="119"/>
    </row>
    <row r="42" spans="1:24">
      <c r="A42" s="110">
        <v>46051</v>
      </c>
      <c r="B42" s="112" t="s">
        <v>588</v>
      </c>
      <c r="C42" s="112">
        <f>870*1.02104</f>
        <v>888.3048</v>
      </c>
      <c r="D42" s="112"/>
      <c r="E42" s="120">
        <f t="shared" si="3"/>
        <v>6295.3047999999999</v>
      </c>
      <c r="F42" s="119" t="s">
        <v>941</v>
      </c>
      <c r="G42" s="119"/>
      <c r="H42" s="119"/>
      <c r="I42" s="6"/>
      <c r="J42" s="8"/>
      <c r="K42" s="8"/>
      <c r="L42" s="6"/>
      <c r="M42" s="119"/>
      <c r="N42" s="225"/>
      <c r="O42" s="119"/>
      <c r="P42" s="119"/>
      <c r="Q42" s="119"/>
      <c r="R42" s="119"/>
      <c r="S42" s="119"/>
      <c r="T42" s="119"/>
      <c r="U42" s="119"/>
      <c r="V42" s="119"/>
      <c r="W42" s="119"/>
      <c r="X42" s="119"/>
    </row>
    <row r="43" spans="1:24">
      <c r="A43" s="117"/>
      <c r="E43" s="120">
        <f t="shared" si="3"/>
        <v>6295.3047999999999</v>
      </c>
      <c r="F43" s="119"/>
      <c r="G43" s="119"/>
      <c r="H43" s="119"/>
      <c r="I43" s="6"/>
      <c r="J43" s="8"/>
      <c r="K43" s="8"/>
      <c r="L43" s="6"/>
      <c r="M43" s="119"/>
      <c r="N43" s="119"/>
      <c r="O43" s="119"/>
      <c r="P43" s="119"/>
      <c r="Q43" s="119"/>
      <c r="R43" s="119"/>
      <c r="S43" s="119"/>
      <c r="T43" s="119"/>
      <c r="U43" s="119"/>
      <c r="V43" s="119"/>
      <c r="W43" s="119"/>
      <c r="X43" s="119"/>
    </row>
    <row r="44" spans="1:24">
      <c r="A44" s="110">
        <v>46051</v>
      </c>
      <c r="B44" s="112" t="s">
        <v>820</v>
      </c>
      <c r="C44" s="112">
        <v>603</v>
      </c>
      <c r="D44" s="112"/>
      <c r="E44" s="120">
        <f t="shared" si="3"/>
        <v>6898.3047999999999</v>
      </c>
      <c r="F44" s="119"/>
      <c r="G44" s="119"/>
      <c r="H44" s="119"/>
      <c r="I44" s="6"/>
      <c r="J44" s="8"/>
      <c r="K44" s="8"/>
      <c r="L44" s="6"/>
      <c r="M44" s="119"/>
      <c r="N44" s="119"/>
      <c r="O44" s="119"/>
      <c r="P44" s="119"/>
      <c r="Q44" s="119"/>
      <c r="R44" s="119"/>
      <c r="S44" s="119"/>
      <c r="T44" s="119"/>
      <c r="U44" s="119"/>
      <c r="V44" s="119"/>
      <c r="W44" s="119"/>
      <c r="X44" s="119"/>
    </row>
    <row r="45" spans="1:24">
      <c r="A45" s="110">
        <v>46051</v>
      </c>
      <c r="B45" s="112" t="s">
        <v>314</v>
      </c>
      <c r="C45" s="112"/>
      <c r="D45" s="112">
        <v>6236</v>
      </c>
      <c r="E45" s="120">
        <f t="shared" si="3"/>
        <v>662.30479999999989</v>
      </c>
      <c r="F45" s="119"/>
      <c r="J45" s="8"/>
      <c r="K45" s="8"/>
      <c r="L45" s="6"/>
      <c r="M45" s="119"/>
      <c r="N45" s="119"/>
      <c r="O45" s="119"/>
      <c r="P45" s="119"/>
      <c r="Q45" s="119"/>
      <c r="R45" s="119"/>
      <c r="S45" s="119"/>
      <c r="T45" s="119"/>
      <c r="U45" s="119"/>
      <c r="V45" s="119"/>
      <c r="W45" s="119"/>
      <c r="X45" s="119"/>
    </row>
    <row r="46" spans="1:24">
      <c r="A46" s="110">
        <v>46052</v>
      </c>
      <c r="B46" s="112" t="s">
        <v>611</v>
      </c>
      <c r="C46" s="112">
        <v>502</v>
      </c>
      <c r="D46" s="112"/>
      <c r="E46" s="120">
        <v>1167</v>
      </c>
      <c r="F46" s="119" t="s">
        <v>986</v>
      </c>
      <c r="J46" s="8"/>
      <c r="K46" s="8"/>
      <c r="M46" s="226"/>
      <c r="N46" s="119"/>
      <c r="O46" s="119"/>
      <c r="P46" s="119"/>
      <c r="Q46" s="119"/>
      <c r="R46" s="119"/>
      <c r="S46" s="119"/>
      <c r="T46" s="119"/>
      <c r="U46" s="119"/>
      <c r="V46" s="119"/>
      <c r="W46" s="119"/>
      <c r="X46" s="119"/>
    </row>
    <row r="47" spans="1:24">
      <c r="A47" s="110">
        <v>46052</v>
      </c>
      <c r="B47" s="112" t="s">
        <v>981</v>
      </c>
      <c r="C47" s="112">
        <v>100</v>
      </c>
      <c r="D47" s="112"/>
      <c r="E47" s="120">
        <f t="shared" si="3"/>
        <v>1267</v>
      </c>
      <c r="F47" s="119"/>
      <c r="J47" s="8"/>
      <c r="K47" s="8"/>
      <c r="L47" s="6"/>
      <c r="M47" s="119"/>
      <c r="N47" s="119"/>
      <c r="O47" s="119"/>
      <c r="P47" s="119"/>
      <c r="Q47" s="119"/>
      <c r="R47" s="119"/>
      <c r="S47" s="119"/>
      <c r="T47" s="119"/>
      <c r="U47" s="119"/>
      <c r="V47" s="119"/>
      <c r="W47" s="119"/>
      <c r="X47" s="119"/>
    </row>
    <row r="48" spans="1:24">
      <c r="E48" s="120">
        <f>E47+C48-D48</f>
        <v>1267</v>
      </c>
      <c r="F48" s="119"/>
      <c r="H48" s="119"/>
      <c r="I48" s="6"/>
      <c r="J48" s="8"/>
      <c r="K48" s="8"/>
      <c r="L48" s="6"/>
      <c r="M48" s="119"/>
      <c r="N48" s="119"/>
      <c r="O48" s="119"/>
      <c r="P48" s="119"/>
      <c r="Q48" s="119"/>
      <c r="R48" s="119"/>
      <c r="S48" s="119"/>
      <c r="T48" s="119"/>
      <c r="U48" s="119"/>
      <c r="V48" s="119"/>
      <c r="W48" s="119"/>
      <c r="X48" s="119"/>
    </row>
    <row r="49" spans="1:24">
      <c r="A49" s="156">
        <v>46055</v>
      </c>
      <c r="B49" s="112" t="s">
        <v>566</v>
      </c>
      <c r="C49" s="112">
        <v>100</v>
      </c>
      <c r="D49" s="112"/>
      <c r="E49" s="120">
        <f t="shared" ref="E49:E102" si="4">E48+C49-D49</f>
        <v>1367</v>
      </c>
      <c r="F49" s="119"/>
      <c r="G49" s="119"/>
      <c r="H49" s="119"/>
      <c r="I49" s="6"/>
      <c r="J49" s="8"/>
      <c r="K49" s="8"/>
      <c r="L49" s="6"/>
      <c r="M49" s="119"/>
      <c r="N49" s="119"/>
      <c r="O49" s="119"/>
      <c r="P49" s="119"/>
      <c r="Q49" s="119"/>
      <c r="R49" s="119"/>
      <c r="S49" s="119"/>
      <c r="T49" s="119"/>
      <c r="U49" s="119"/>
      <c r="V49" s="119"/>
      <c r="W49" s="119"/>
      <c r="X49" s="119"/>
    </row>
    <row r="50" spans="1:24">
      <c r="A50" s="156">
        <v>46055</v>
      </c>
      <c r="B50" s="112" t="s">
        <v>605</v>
      </c>
      <c r="C50" s="112"/>
      <c r="D50" s="112">
        <v>1019</v>
      </c>
      <c r="E50" s="120">
        <f t="shared" si="4"/>
        <v>348</v>
      </c>
      <c r="F50" s="119"/>
      <c r="G50" s="119"/>
      <c r="H50" s="119"/>
      <c r="I50" s="6"/>
      <c r="J50" s="8"/>
      <c r="K50" s="8"/>
      <c r="L50" s="6"/>
      <c r="M50" s="119"/>
      <c r="N50" s="119"/>
      <c r="O50" s="119"/>
      <c r="P50" s="119"/>
      <c r="Q50" s="119"/>
      <c r="R50" s="119"/>
      <c r="S50" s="119"/>
      <c r="T50" s="119"/>
      <c r="U50" s="119"/>
      <c r="V50" s="119"/>
      <c r="W50" s="119"/>
      <c r="X50" s="119"/>
    </row>
    <row r="51" spans="1:24">
      <c r="A51" s="156">
        <v>46055</v>
      </c>
      <c r="B51" s="112" t="s">
        <v>1024</v>
      </c>
      <c r="C51" s="112"/>
      <c r="D51" s="112">
        <v>200</v>
      </c>
      <c r="E51" s="120">
        <f t="shared" si="4"/>
        <v>148</v>
      </c>
      <c r="F51" s="119"/>
      <c r="G51" s="119"/>
      <c r="H51" s="119"/>
      <c r="I51" s="6"/>
      <c r="J51" s="8"/>
      <c r="K51" s="8"/>
      <c r="L51" s="6"/>
      <c r="M51" s="119"/>
      <c r="N51" s="119"/>
      <c r="O51" s="119"/>
      <c r="P51" s="119"/>
      <c r="Q51" s="119"/>
      <c r="R51" s="119"/>
      <c r="S51" s="119"/>
      <c r="T51" s="119"/>
      <c r="U51" s="119"/>
      <c r="V51" s="119"/>
      <c r="W51" s="119"/>
      <c r="X51" s="119"/>
    </row>
    <row r="52" spans="1:24">
      <c r="A52" s="156"/>
      <c r="B52" s="112"/>
      <c r="C52" s="112"/>
      <c r="D52" s="112"/>
      <c r="E52" s="120">
        <f t="shared" si="4"/>
        <v>148</v>
      </c>
      <c r="F52" s="119"/>
      <c r="G52" s="119"/>
      <c r="H52" s="119"/>
      <c r="I52" s="6"/>
      <c r="J52" s="8"/>
      <c r="K52" s="8"/>
      <c r="L52" s="6"/>
      <c r="M52" s="119"/>
      <c r="N52" s="119"/>
      <c r="O52" s="119"/>
      <c r="P52" s="119"/>
      <c r="Q52" s="119"/>
      <c r="R52" s="119"/>
      <c r="S52" s="119"/>
      <c r="T52" s="119"/>
      <c r="U52" s="119"/>
      <c r="V52" s="119"/>
      <c r="W52" s="119"/>
      <c r="X52" s="119"/>
    </row>
    <row r="53" spans="1:24">
      <c r="A53" s="156">
        <v>46056</v>
      </c>
      <c r="B53" s="112" t="s">
        <v>898</v>
      </c>
      <c r="C53" s="112">
        <v>200</v>
      </c>
      <c r="D53" s="112"/>
      <c r="E53" s="120">
        <f t="shared" si="4"/>
        <v>348</v>
      </c>
      <c r="F53" s="119"/>
      <c r="G53" s="119"/>
      <c r="H53" s="119"/>
      <c r="I53" s="6"/>
      <c r="J53" s="8"/>
      <c r="K53" s="8"/>
      <c r="L53" s="6"/>
      <c r="M53" s="119"/>
      <c r="N53" s="119"/>
      <c r="O53" s="119"/>
      <c r="P53" s="119"/>
      <c r="Q53" s="119"/>
      <c r="R53" s="119"/>
      <c r="S53" s="119"/>
      <c r="T53" s="119"/>
      <c r="U53" s="119"/>
      <c r="V53" s="119"/>
      <c r="W53" s="119"/>
      <c r="X53" s="119"/>
    </row>
    <row r="54" spans="1:24">
      <c r="A54" s="156">
        <v>46057</v>
      </c>
      <c r="B54" s="112" t="s">
        <v>566</v>
      </c>
      <c r="C54" s="112">
        <v>100</v>
      </c>
      <c r="D54" s="112"/>
      <c r="E54" s="120">
        <f>E53+C54-D54</f>
        <v>448</v>
      </c>
      <c r="F54" s="119"/>
      <c r="G54" s="119"/>
      <c r="H54" s="119"/>
      <c r="I54" s="6"/>
      <c r="J54" s="8"/>
      <c r="K54" s="8"/>
      <c r="L54" s="6"/>
      <c r="M54" s="119"/>
      <c r="N54" s="119"/>
      <c r="O54" s="119"/>
      <c r="P54" s="119"/>
      <c r="Q54" s="119"/>
      <c r="R54" s="119"/>
      <c r="S54" s="119"/>
      <c r="T54" s="119"/>
      <c r="U54" s="119"/>
      <c r="V54" s="119"/>
      <c r="W54" s="119"/>
      <c r="X54" s="119"/>
    </row>
    <row r="55" spans="1:24">
      <c r="A55" s="156">
        <v>46057</v>
      </c>
      <c r="B55" s="112" t="s">
        <v>1008</v>
      </c>
      <c r="C55" s="112">
        <v>1019</v>
      </c>
      <c r="D55" s="112"/>
      <c r="E55" s="120">
        <f>E54+C55-D55</f>
        <v>1467</v>
      </c>
      <c r="F55" s="119"/>
      <c r="G55" s="119"/>
      <c r="H55" s="119"/>
      <c r="I55" s="6"/>
      <c r="J55" s="8"/>
      <c r="K55" s="8"/>
      <c r="L55" s="6"/>
      <c r="M55" s="119"/>
      <c r="N55" s="119"/>
      <c r="O55" s="119"/>
      <c r="P55" s="119"/>
      <c r="Q55" s="119"/>
      <c r="R55" s="119"/>
      <c r="S55" s="119"/>
      <c r="T55" s="119"/>
      <c r="U55" s="119"/>
      <c r="V55" s="119"/>
      <c r="W55" s="119"/>
      <c r="X55" s="119"/>
    </row>
    <row r="56" spans="1:24">
      <c r="A56" s="156">
        <v>46057</v>
      </c>
      <c r="B56" s="112" t="s">
        <v>606</v>
      </c>
      <c r="C56" s="112"/>
      <c r="D56" s="112">
        <v>1400</v>
      </c>
      <c r="E56" s="120">
        <v>65</v>
      </c>
      <c r="F56" s="119"/>
      <c r="G56" s="119"/>
      <c r="H56" s="119"/>
      <c r="I56" s="6"/>
      <c r="J56" s="8"/>
      <c r="K56" s="8"/>
      <c r="L56" s="6"/>
      <c r="M56" s="119"/>
      <c r="N56" s="119"/>
      <c r="O56" s="119"/>
      <c r="P56" s="119"/>
      <c r="Q56" s="119"/>
      <c r="R56" s="119"/>
      <c r="S56" s="119"/>
      <c r="T56" s="119"/>
      <c r="U56" s="119"/>
      <c r="V56" s="119"/>
      <c r="W56" s="119"/>
      <c r="X56" s="119"/>
    </row>
    <row r="57" spans="1:24">
      <c r="A57" s="156">
        <v>46062</v>
      </c>
      <c r="B57" s="112" t="s">
        <v>570</v>
      </c>
      <c r="C57" s="112">
        <v>16</v>
      </c>
      <c r="D57" s="112"/>
      <c r="E57" s="120">
        <f t="shared" ref="E57:E63" si="5">E56+C57-D57</f>
        <v>81</v>
      </c>
      <c r="F57" s="119"/>
      <c r="G57" s="119"/>
      <c r="H57" s="119"/>
      <c r="I57" s="6"/>
      <c r="O57" s="163"/>
    </row>
    <row r="58" spans="1:24">
      <c r="A58" s="156"/>
      <c r="B58" s="112"/>
      <c r="C58" s="112"/>
      <c r="D58" s="112"/>
      <c r="E58" s="120">
        <v>81</v>
      </c>
      <c r="F58" s="119"/>
      <c r="G58" s="119"/>
      <c r="H58" s="119"/>
      <c r="I58" s="6"/>
      <c r="N58" s="117"/>
    </row>
    <row r="59" spans="1:24">
      <c r="A59" s="156">
        <v>46063</v>
      </c>
      <c r="B59" s="112" t="s">
        <v>566</v>
      </c>
      <c r="C59" s="112">
        <v>200</v>
      </c>
      <c r="D59" s="112"/>
      <c r="E59" s="120">
        <f t="shared" si="5"/>
        <v>281</v>
      </c>
      <c r="F59" s="119"/>
      <c r="G59" s="119"/>
      <c r="H59" s="119"/>
      <c r="I59" s="6"/>
      <c r="N59" s="117"/>
    </row>
    <row r="60" spans="1:24">
      <c r="A60" s="156">
        <v>46065</v>
      </c>
      <c r="B60" s="112" t="s">
        <v>566</v>
      </c>
      <c r="C60" s="112">
        <v>410</v>
      </c>
      <c r="D60" s="112"/>
      <c r="E60" s="120">
        <f t="shared" si="5"/>
        <v>691</v>
      </c>
      <c r="F60" s="119"/>
      <c r="G60" s="119"/>
      <c r="H60" s="2"/>
      <c r="I60" s="6"/>
    </row>
    <row r="61" spans="1:24">
      <c r="A61" s="156">
        <v>46065</v>
      </c>
      <c r="B61" s="112" t="s">
        <v>859</v>
      </c>
      <c r="C61" s="112"/>
      <c r="D61" s="112">
        <f>300*1.09914</f>
        <v>329.74200000000002</v>
      </c>
      <c r="E61" s="120">
        <f t="shared" si="5"/>
        <v>361.25799999999998</v>
      </c>
      <c r="F61" s="119" t="s">
        <v>1120</v>
      </c>
      <c r="G61" s="119"/>
      <c r="H61" s="2"/>
      <c r="I61" s="6"/>
    </row>
    <row r="62" spans="1:24">
      <c r="A62" s="156"/>
      <c r="B62" s="112"/>
      <c r="C62" s="112"/>
      <c r="D62" s="112"/>
      <c r="E62" s="120">
        <f t="shared" si="5"/>
        <v>361.25799999999998</v>
      </c>
      <c r="F62" s="119"/>
      <c r="G62" s="119"/>
      <c r="H62" s="2"/>
      <c r="I62" s="289"/>
    </row>
    <row r="63" spans="1:24">
      <c r="A63" s="156">
        <v>46068</v>
      </c>
      <c r="B63" s="112" t="s">
        <v>981</v>
      </c>
      <c r="C63" s="112">
        <v>116</v>
      </c>
      <c r="D63" s="112"/>
      <c r="E63" s="120">
        <f t="shared" si="5"/>
        <v>477.25799999999998</v>
      </c>
      <c r="F63" s="119"/>
      <c r="G63" s="119"/>
      <c r="H63" s="119"/>
      <c r="I63" s="6"/>
    </row>
    <row r="64" spans="1:24">
      <c r="A64" s="156"/>
      <c r="B64" s="112"/>
      <c r="C64" s="112"/>
      <c r="D64" s="112"/>
      <c r="E64" s="120">
        <f t="shared" si="4"/>
        <v>477.25799999999998</v>
      </c>
      <c r="F64" s="119"/>
      <c r="G64" s="119"/>
      <c r="H64" s="119"/>
      <c r="I64" s="6"/>
    </row>
    <row r="65" spans="1:15">
      <c r="A65" s="156">
        <v>46077</v>
      </c>
      <c r="B65" s="112" t="s">
        <v>566</v>
      </c>
      <c r="C65" s="112">
        <v>130</v>
      </c>
      <c r="D65" s="112"/>
      <c r="E65" s="120">
        <f t="shared" si="4"/>
        <v>607.25800000000004</v>
      </c>
      <c r="F65" s="119"/>
      <c r="G65" s="119"/>
      <c r="H65" s="119"/>
      <c r="I65" s="6"/>
    </row>
    <row r="66" spans="1:15">
      <c r="A66" s="156">
        <v>46077</v>
      </c>
      <c r="B66" s="168" t="s">
        <v>1144</v>
      </c>
      <c r="C66" s="112">
        <v>285</v>
      </c>
      <c r="D66" s="112"/>
      <c r="E66" s="120">
        <f t="shared" si="4"/>
        <v>892.25800000000004</v>
      </c>
      <c r="F66" s="119"/>
      <c r="G66" s="119"/>
      <c r="H66" s="119"/>
      <c r="I66" s="6"/>
    </row>
    <row r="67" spans="1:15">
      <c r="A67" s="156">
        <v>46080</v>
      </c>
      <c r="B67" s="112" t="s">
        <v>566</v>
      </c>
      <c r="C67" s="112">
        <v>305</v>
      </c>
      <c r="D67" s="112"/>
      <c r="E67" s="120">
        <f>E66+C67-D67</f>
        <v>1197.258</v>
      </c>
      <c r="F67" s="119"/>
      <c r="G67" s="119"/>
      <c r="H67" s="119"/>
      <c r="I67" s="6"/>
    </row>
    <row r="68" spans="1:15">
      <c r="A68" s="156"/>
      <c r="B68" s="112"/>
      <c r="C68" s="112"/>
      <c r="D68" s="112"/>
      <c r="E68" s="120">
        <f>E67+C68-D68</f>
        <v>1197.258</v>
      </c>
      <c r="F68" s="119"/>
      <c r="G68" s="119"/>
      <c r="H68" s="119"/>
      <c r="I68" s="6"/>
    </row>
    <row r="69" spans="1:15">
      <c r="E69" s="120">
        <f>E68+C69-D69</f>
        <v>1197.258</v>
      </c>
      <c r="F69" s="119"/>
      <c r="G69" s="119"/>
      <c r="H69" s="119"/>
      <c r="I69" s="6"/>
      <c r="M69" t="s">
        <v>1181</v>
      </c>
      <c r="N69" t="s">
        <v>293</v>
      </c>
    </row>
    <row r="70" spans="1:15">
      <c r="A70" s="156">
        <v>46083</v>
      </c>
      <c r="B70" s="112" t="s">
        <v>859</v>
      </c>
      <c r="C70" s="113">
        <f>300*G70/100</f>
        <v>328.26</v>
      </c>
      <c r="D70" s="112"/>
      <c r="E70" s="120">
        <f t="shared" si="4"/>
        <v>1525.518</v>
      </c>
      <c r="F70" t="s">
        <v>1241</v>
      </c>
      <c r="G70" s="119">
        <v>109.42</v>
      </c>
      <c r="H70" s="119"/>
      <c r="I70" s="6"/>
      <c r="J70" s="276" t="s">
        <v>1003</v>
      </c>
      <c r="K70" s="4">
        <v>46079</v>
      </c>
      <c r="L70" s="276">
        <v>108.7534</v>
      </c>
      <c r="M70" s="117">
        <v>46083</v>
      </c>
      <c r="N70" s="277">
        <v>5.8999999999999997E-2</v>
      </c>
      <c r="O70">
        <f>L70*(1+N70/365*(M70-K70))</f>
        <v>108.82371726684931</v>
      </c>
    </row>
    <row r="71" spans="1:15">
      <c r="A71" s="156">
        <v>46083</v>
      </c>
      <c r="B71" s="168" t="s">
        <v>552</v>
      </c>
      <c r="C71" s="113">
        <f>1100*G71/100</f>
        <v>763.91872715068484</v>
      </c>
      <c r="D71" s="112"/>
      <c r="E71" s="120">
        <f t="shared" si="4"/>
        <v>2289.4367271506849</v>
      </c>
      <c r="F71" t="s">
        <v>1226</v>
      </c>
      <c r="G71" s="165">
        <f>H71+I71</f>
        <v>69.447157013698629</v>
      </c>
      <c r="H71" s="119">
        <v>69.39</v>
      </c>
      <c r="I71" s="6">
        <v>5.7157013698630139E-2</v>
      </c>
    </row>
    <row r="72" spans="1:15">
      <c r="A72" s="156">
        <v>46083</v>
      </c>
      <c r="B72" s="168" t="s">
        <v>589</v>
      </c>
      <c r="C72" s="113">
        <f>665*G72/100</f>
        <v>744.06850000000009</v>
      </c>
      <c r="D72" s="112"/>
      <c r="E72" s="120">
        <f t="shared" si="4"/>
        <v>3033.5052271506847</v>
      </c>
      <c r="F72" t="s">
        <v>1227</v>
      </c>
      <c r="G72" s="119">
        <v>111.89</v>
      </c>
      <c r="H72" s="119"/>
      <c r="I72" s="6"/>
      <c r="J72" s="276" t="s">
        <v>589</v>
      </c>
      <c r="K72" s="4">
        <v>46079</v>
      </c>
      <c r="L72" s="276">
        <v>111.24630000000001</v>
      </c>
      <c r="M72" s="117">
        <v>46083</v>
      </c>
      <c r="N72" s="150">
        <v>8.5000000000000006E-2</v>
      </c>
      <c r="O72">
        <f t="shared" ref="O72:O73" si="6">L72*(1+N72/365*(M72-K72))</f>
        <v>111.34992669041095</v>
      </c>
    </row>
    <row r="73" spans="1:15">
      <c r="A73" s="156">
        <v>46083</v>
      </c>
      <c r="B73" s="112" t="s">
        <v>1003</v>
      </c>
      <c r="C73" s="113">
        <f>2000*G73/100</f>
        <v>2176.2800000000002</v>
      </c>
      <c r="D73" s="112"/>
      <c r="E73" s="120">
        <f t="shared" si="4"/>
        <v>5209.7852271506854</v>
      </c>
      <c r="F73" t="s">
        <v>1228</v>
      </c>
      <c r="G73" s="119">
        <v>108.81399999999999</v>
      </c>
      <c r="H73" s="119"/>
      <c r="I73" s="6"/>
      <c r="J73" s="276" t="s">
        <v>1180</v>
      </c>
      <c r="K73" s="4">
        <v>46079</v>
      </c>
      <c r="L73" s="276">
        <v>109.35899999999999</v>
      </c>
      <c r="M73" s="117">
        <v>46083</v>
      </c>
      <c r="N73" s="150">
        <v>5.8999999999999997E-2</v>
      </c>
      <c r="O73">
        <f t="shared" si="6"/>
        <v>109.42970883287671</v>
      </c>
    </row>
    <row r="74" spans="1:15">
      <c r="A74" s="156"/>
      <c r="B74" s="112"/>
      <c r="C74" s="112"/>
      <c r="D74" s="112"/>
      <c r="E74" s="120">
        <f t="shared" si="4"/>
        <v>5209.7852271506854</v>
      </c>
      <c r="F74" s="119"/>
      <c r="G74" s="119"/>
      <c r="H74" s="119"/>
      <c r="I74" s="6"/>
      <c r="J74" s="276" t="s">
        <v>589</v>
      </c>
      <c r="M74" s="280">
        <v>46038</v>
      </c>
      <c r="N74" s="281">
        <v>111.075</v>
      </c>
      <c r="O74" s="165">
        <f>N74*(1+6%/365*(M72-M74))</f>
        <v>111.89665068493152</v>
      </c>
    </row>
    <row r="75" spans="1:15">
      <c r="A75" s="156"/>
      <c r="B75" s="112"/>
      <c r="C75" s="112"/>
      <c r="D75" s="112"/>
      <c r="E75" s="120">
        <f t="shared" si="4"/>
        <v>5209.7852271506854</v>
      </c>
      <c r="F75" s="119"/>
      <c r="G75" s="119"/>
      <c r="H75" s="119"/>
      <c r="I75" s="6"/>
      <c r="J75" s="276"/>
      <c r="K75" s="4"/>
      <c r="L75" s="276"/>
      <c r="M75" s="117"/>
      <c r="N75" s="277"/>
    </row>
    <row r="76" spans="1:15">
      <c r="A76" s="156">
        <v>46083</v>
      </c>
      <c r="B76" s="112" t="s">
        <v>571</v>
      </c>
      <c r="C76" s="112"/>
      <c r="D76" s="112">
        <v>4828</v>
      </c>
      <c r="E76" s="120">
        <f t="shared" si="4"/>
        <v>381.78522715068539</v>
      </c>
      <c r="F76" s="119"/>
      <c r="J76" s="119"/>
      <c r="K76" s="119"/>
      <c r="L76" s="119"/>
      <c r="M76" s="119"/>
      <c r="N76" s="119"/>
      <c r="O76" s="119"/>
    </row>
    <row r="77" spans="1:15">
      <c r="A77" s="156">
        <v>46084</v>
      </c>
      <c r="B77" s="112" t="s">
        <v>570</v>
      </c>
      <c r="C77" s="112">
        <v>11</v>
      </c>
      <c r="D77" s="112"/>
      <c r="E77" s="120">
        <f t="shared" si="4"/>
        <v>392.78522715068539</v>
      </c>
      <c r="F77" s="119"/>
      <c r="J77" s="119"/>
      <c r="K77" s="119"/>
      <c r="L77" s="119"/>
      <c r="M77" s="119"/>
      <c r="N77" s="119"/>
      <c r="O77" s="119"/>
    </row>
    <row r="78" spans="1:15">
      <c r="A78" s="156">
        <v>46085</v>
      </c>
      <c r="B78" s="112" t="s">
        <v>566</v>
      </c>
      <c r="C78" s="112">
        <v>45</v>
      </c>
      <c r="D78" s="112"/>
      <c r="E78" s="120">
        <f t="shared" si="4"/>
        <v>437.78522715068539</v>
      </c>
      <c r="F78" s="119"/>
    </row>
    <row r="79" spans="1:15">
      <c r="A79" s="156"/>
      <c r="B79" s="112"/>
      <c r="C79" s="112"/>
      <c r="D79" s="112"/>
      <c r="E79" s="120">
        <f t="shared" si="4"/>
        <v>437.78522715068539</v>
      </c>
      <c r="F79" s="119"/>
    </row>
    <row r="80" spans="1:15">
      <c r="A80" s="156">
        <v>46087</v>
      </c>
      <c r="B80" s="112" t="s">
        <v>531</v>
      </c>
      <c r="C80" s="112">
        <v>200</v>
      </c>
      <c r="D80" s="112"/>
      <c r="E80" s="120">
        <f t="shared" si="4"/>
        <v>637.78522715068539</v>
      </c>
      <c r="F80" s="119"/>
      <c r="M80" t="s">
        <v>849</v>
      </c>
    </row>
    <row r="81" spans="1:15">
      <c r="A81" s="156">
        <v>46087</v>
      </c>
      <c r="B81" s="112" t="s">
        <v>860</v>
      </c>
      <c r="C81" s="112">
        <f>1000*107.625/100</f>
        <v>1076.25</v>
      </c>
      <c r="D81" s="112"/>
      <c r="E81" s="120">
        <f t="shared" si="4"/>
        <v>1714.0352271506854</v>
      </c>
      <c r="F81" s="119" t="s">
        <v>1307</v>
      </c>
      <c r="G81">
        <v>107.63</v>
      </c>
      <c r="J81" s="119"/>
      <c r="K81" s="119"/>
      <c r="L81" s="119"/>
      <c r="M81" s="119"/>
      <c r="N81" s="119"/>
      <c r="O81" s="119"/>
    </row>
    <row r="82" spans="1:15">
      <c r="A82" s="156"/>
      <c r="B82" s="112"/>
      <c r="C82" s="112"/>
      <c r="D82" s="112"/>
      <c r="E82" s="120">
        <f t="shared" si="4"/>
        <v>1714.0352271506854</v>
      </c>
      <c r="J82"/>
      <c r="K82"/>
      <c r="L82"/>
    </row>
    <row r="83" spans="1:15">
      <c r="A83" s="156"/>
      <c r="B83" s="112"/>
      <c r="C83" s="112"/>
      <c r="D83" s="112"/>
      <c r="E83" s="120">
        <f t="shared" si="4"/>
        <v>1714.0352271506854</v>
      </c>
      <c r="J83"/>
      <c r="K83"/>
      <c r="L83"/>
    </row>
    <row r="84" spans="1:15">
      <c r="A84" s="156">
        <v>46090</v>
      </c>
      <c r="B84" s="112" t="s">
        <v>783</v>
      </c>
      <c r="C84" s="112">
        <v>550</v>
      </c>
      <c r="D84" s="112"/>
      <c r="E84" s="120">
        <f t="shared" si="4"/>
        <v>2264.0352271506854</v>
      </c>
    </row>
    <row r="85" spans="1:15">
      <c r="A85" s="156">
        <v>46090</v>
      </c>
      <c r="B85" s="112" t="s">
        <v>1191</v>
      </c>
      <c r="C85" s="112"/>
      <c r="D85" s="112">
        <v>2200</v>
      </c>
      <c r="E85" s="120">
        <f>E84+C85-D85</f>
        <v>64.035227150685387</v>
      </c>
      <c r="F85" t="s">
        <v>1321</v>
      </c>
    </row>
    <row r="86" spans="1:15">
      <c r="A86" s="156"/>
      <c r="B86" s="112"/>
      <c r="C86" s="112"/>
      <c r="D86" s="112"/>
      <c r="E86" s="120">
        <f t="shared" si="4"/>
        <v>64.035227150685387</v>
      </c>
    </row>
    <row r="87" spans="1:15">
      <c r="A87" s="156">
        <v>46092</v>
      </c>
      <c r="B87" s="112" t="s">
        <v>783</v>
      </c>
      <c r="C87" s="112">
        <v>1310</v>
      </c>
      <c r="D87" s="112"/>
      <c r="E87" s="120">
        <f t="shared" si="4"/>
        <v>1374.0352271506854</v>
      </c>
      <c r="H87" s="2"/>
    </row>
    <row r="88" spans="1:15">
      <c r="A88" s="156">
        <v>46093</v>
      </c>
      <c r="B88" s="112" t="s">
        <v>850</v>
      </c>
      <c r="C88" s="112"/>
      <c r="D88" s="112">
        <v>329</v>
      </c>
      <c r="E88" s="120">
        <f t="shared" si="4"/>
        <v>1045.0352271506854</v>
      </c>
      <c r="H88" s="165"/>
    </row>
    <row r="89" spans="1:15">
      <c r="A89" s="156"/>
      <c r="B89" s="112"/>
      <c r="C89" s="112"/>
      <c r="D89" s="112"/>
      <c r="E89" s="120">
        <f t="shared" si="4"/>
        <v>1045.0352271506854</v>
      </c>
      <c r="H89" s="165"/>
    </row>
    <row r="90" spans="1:15">
      <c r="A90" s="156">
        <v>46094</v>
      </c>
      <c r="B90" s="112" t="s">
        <v>620</v>
      </c>
      <c r="C90" s="112"/>
      <c r="D90" s="112">
        <v>750</v>
      </c>
      <c r="E90" s="120">
        <f t="shared" si="4"/>
        <v>295.03522715068539</v>
      </c>
      <c r="H90" s="165"/>
    </row>
    <row r="91" spans="1:15">
      <c r="A91" s="156">
        <v>46094</v>
      </c>
      <c r="B91" s="112" t="s">
        <v>531</v>
      </c>
      <c r="C91" s="112">
        <v>100</v>
      </c>
      <c r="D91" s="112"/>
      <c r="E91" s="120">
        <f t="shared" si="4"/>
        <v>395.03522715068539</v>
      </c>
      <c r="H91" s="165"/>
    </row>
    <row r="92" spans="1:15">
      <c r="A92" s="156"/>
      <c r="B92" s="112"/>
      <c r="C92" s="112"/>
      <c r="D92" s="112"/>
      <c r="E92" s="120">
        <f t="shared" si="4"/>
        <v>395.03522715068539</v>
      </c>
      <c r="H92" s="165"/>
    </row>
    <row r="93" spans="1:15">
      <c r="A93" s="156">
        <v>46097</v>
      </c>
      <c r="B93" s="112" t="s">
        <v>783</v>
      </c>
      <c r="C93" s="112">
        <v>129</v>
      </c>
      <c r="D93" s="112"/>
      <c r="E93" s="120">
        <f t="shared" si="4"/>
        <v>524.03522715068539</v>
      </c>
      <c r="H93" s="165"/>
    </row>
    <row r="94" spans="1:15">
      <c r="A94" s="156">
        <v>46097</v>
      </c>
      <c r="B94" s="253" t="s">
        <v>1457</v>
      </c>
      <c r="C94" s="112"/>
      <c r="D94" s="112">
        <f>540*82.512/100</f>
        <v>445.56480000000005</v>
      </c>
      <c r="E94" s="120">
        <f t="shared" si="4"/>
        <v>78.470427150685339</v>
      </c>
      <c r="F94" t="s">
        <v>1469</v>
      </c>
      <c r="H94" s="165"/>
    </row>
    <row r="95" spans="1:15">
      <c r="A95" s="156"/>
      <c r="B95" s="253"/>
      <c r="C95" s="112"/>
      <c r="D95" s="112"/>
      <c r="E95" s="120">
        <f>E94+C95-D95</f>
        <v>78.470427150685339</v>
      </c>
      <c r="H95" s="165"/>
    </row>
    <row r="96" spans="1:15">
      <c r="A96" s="156">
        <v>46104</v>
      </c>
      <c r="B96" s="253" t="s">
        <v>820</v>
      </c>
      <c r="C96" s="112">
        <v>1000</v>
      </c>
      <c r="D96" s="112"/>
      <c r="E96" s="120">
        <f>E95+C96-D96</f>
        <v>1078.4704271506853</v>
      </c>
      <c r="H96" s="165"/>
    </row>
    <row r="97" spans="1:8">
      <c r="A97" s="4">
        <v>46104</v>
      </c>
      <c r="B97" s="253" t="s">
        <v>619</v>
      </c>
      <c r="C97">
        <v>79.5</v>
      </c>
      <c r="E97" s="120">
        <f>E96+C97-D97</f>
        <v>1157.9704271506853</v>
      </c>
      <c r="H97" s="165"/>
    </row>
    <row r="98" spans="1:8">
      <c r="A98" s="156">
        <v>46104</v>
      </c>
      <c r="B98" s="112" t="s">
        <v>566</v>
      </c>
      <c r="C98" s="112">
        <v>237</v>
      </c>
      <c r="D98" s="112"/>
      <c r="E98" s="120">
        <f>E97+C98-D98</f>
        <v>1394.9704271506853</v>
      </c>
      <c r="H98" s="165"/>
    </row>
    <row r="99" spans="1:8">
      <c r="A99" s="156">
        <v>46104</v>
      </c>
      <c r="B99" s="253" t="s">
        <v>893</v>
      </c>
      <c r="C99" s="112"/>
      <c r="D99" s="112">
        <v>1300</v>
      </c>
      <c r="E99" s="120">
        <f t="shared" si="4"/>
        <v>94.970427150685282</v>
      </c>
    </row>
    <row r="100" spans="1:8">
      <c r="A100" s="156">
        <v>46105</v>
      </c>
      <c r="B100" s="253" t="s">
        <v>570</v>
      </c>
      <c r="C100" s="112">
        <v>100</v>
      </c>
      <c r="D100" s="112"/>
      <c r="E100" s="120">
        <f t="shared" si="4"/>
        <v>194.97042715068528</v>
      </c>
    </row>
    <row r="101" spans="1:8">
      <c r="A101" s="156">
        <v>46106</v>
      </c>
      <c r="B101" s="253" t="s">
        <v>981</v>
      </c>
      <c r="C101" s="112">
        <v>106</v>
      </c>
      <c r="D101" s="112"/>
      <c r="E101" s="120">
        <f t="shared" si="4"/>
        <v>300.97042715068528</v>
      </c>
    </row>
    <row r="102" spans="1:8">
      <c r="A102" s="156"/>
      <c r="B102" s="112"/>
      <c r="C102" s="112"/>
      <c r="D102" s="112"/>
      <c r="E102" s="120">
        <f t="shared" si="4"/>
        <v>300.97042715068528</v>
      </c>
    </row>
    <row r="103" spans="1:8">
      <c r="A103" s="156">
        <v>46108</v>
      </c>
      <c r="B103" s="112" t="s">
        <v>981</v>
      </c>
      <c r="C103" s="112">
        <v>100</v>
      </c>
      <c r="D103" s="112"/>
      <c r="E103" s="120">
        <f>E102+C103-D103</f>
        <v>400.97042715068528</v>
      </c>
    </row>
    <row r="104" spans="1:8">
      <c r="A104" s="156"/>
      <c r="B104" s="112"/>
      <c r="C104" s="112"/>
      <c r="D104" s="112"/>
      <c r="E104" s="120">
        <f>E103+C104-D104</f>
        <v>400.97042715068528</v>
      </c>
    </row>
    <row r="105" spans="1:8">
      <c r="A105" s="156"/>
      <c r="B105" s="112"/>
      <c r="C105" s="112"/>
      <c r="D105" s="112"/>
      <c r="E105" s="120">
        <f>E104+C105-D105</f>
        <v>400.97042715068528</v>
      </c>
    </row>
    <row r="106" spans="1:8">
      <c r="A106" s="156">
        <v>46111</v>
      </c>
      <c r="B106" s="112" t="s">
        <v>820</v>
      </c>
      <c r="C106" s="112">
        <f>朗瑞1_5!D78</f>
        <v>3622.0022000000004</v>
      </c>
      <c r="D106" s="112"/>
      <c r="E106" s="120">
        <f>E105+C106-D106</f>
        <v>4022.9726271506856</v>
      </c>
    </row>
    <row r="107" spans="1:8">
      <c r="A107" s="156">
        <v>46111</v>
      </c>
      <c r="B107" s="112" t="s">
        <v>571</v>
      </c>
      <c r="C107" s="112"/>
      <c r="D107" s="112">
        <v>2312</v>
      </c>
      <c r="E107" s="120">
        <f>E106+C107-D107</f>
        <v>1710.9726271506856</v>
      </c>
    </row>
    <row r="108" spans="1:8">
      <c r="A108" s="156">
        <v>46112</v>
      </c>
      <c r="B108" s="112" t="s">
        <v>981</v>
      </c>
      <c r="C108" s="112">
        <v>50</v>
      </c>
      <c r="D108" s="112"/>
      <c r="E108" s="120">
        <f t="shared" ref="E108:E111" si="7">E107+C108-D108</f>
        <v>1760.9726271506856</v>
      </c>
    </row>
    <row r="109" spans="1:8">
      <c r="A109" s="156">
        <v>46112</v>
      </c>
      <c r="B109" s="112" t="s">
        <v>566</v>
      </c>
      <c r="C109" s="112">
        <v>216</v>
      </c>
      <c r="D109" s="112"/>
      <c r="E109" s="120">
        <f t="shared" si="7"/>
        <v>1976.9726271506856</v>
      </c>
    </row>
    <row r="110" spans="1:8">
      <c r="A110" s="156">
        <v>46113</v>
      </c>
      <c r="B110" s="112" t="s">
        <v>566</v>
      </c>
      <c r="C110" s="112">
        <v>60</v>
      </c>
      <c r="D110" s="112"/>
      <c r="E110" s="120">
        <f t="shared" si="7"/>
        <v>2036.9726271506856</v>
      </c>
    </row>
    <row r="111" spans="1:8">
      <c r="A111" s="156">
        <v>46115</v>
      </c>
      <c r="B111" s="112" t="s">
        <v>981</v>
      </c>
      <c r="C111" s="112">
        <v>100</v>
      </c>
      <c r="D111" s="112"/>
      <c r="E111" s="120">
        <f t="shared" si="7"/>
        <v>2136.9726271506856</v>
      </c>
    </row>
    <row r="112" spans="1:8">
      <c r="A112" s="156">
        <v>46119</v>
      </c>
      <c r="B112" s="112" t="s">
        <v>566</v>
      </c>
      <c r="C112" s="112">
        <v>346</v>
      </c>
      <c r="D112" s="112"/>
      <c r="E112" s="120">
        <f t="shared" ref="E112:E118" si="8">E111+C112-D112</f>
        <v>2482.9726271506856</v>
      </c>
    </row>
    <row r="113" spans="1:10">
      <c r="A113" s="156"/>
      <c r="B113" s="112"/>
      <c r="C113" s="112"/>
      <c r="D113" s="112"/>
      <c r="E113" s="120">
        <f t="shared" si="8"/>
        <v>2482.9726271506856</v>
      </c>
    </row>
    <row r="114" spans="1:10">
      <c r="A114" s="156">
        <v>46119</v>
      </c>
      <c r="B114" s="112" t="s">
        <v>1567</v>
      </c>
      <c r="C114" s="112"/>
      <c r="D114" s="112">
        <v>2100</v>
      </c>
      <c r="E114" s="120">
        <f t="shared" si="8"/>
        <v>382.97262715068564</v>
      </c>
    </row>
    <row r="115" spans="1:10">
      <c r="A115" s="252">
        <v>46120</v>
      </c>
      <c r="B115" s="253" t="s">
        <v>531</v>
      </c>
      <c r="C115" s="253">
        <v>100</v>
      </c>
      <c r="D115" s="253"/>
      <c r="E115" s="120">
        <f t="shared" si="8"/>
        <v>482.97262715068564</v>
      </c>
    </row>
    <row r="116" spans="1:10">
      <c r="A116" s="252">
        <v>46120</v>
      </c>
      <c r="B116" s="253" t="s">
        <v>1365</v>
      </c>
      <c r="C116" s="253"/>
      <c r="D116" s="253">
        <v>159</v>
      </c>
      <c r="E116" s="120">
        <f t="shared" si="8"/>
        <v>323.97262715068564</v>
      </c>
    </row>
    <row r="117" spans="1:10">
      <c r="A117" s="252">
        <v>46120</v>
      </c>
      <c r="B117" s="253" t="s">
        <v>1847</v>
      </c>
      <c r="C117" s="253"/>
      <c r="D117" s="253">
        <v>4.7</v>
      </c>
      <c r="E117" s="120">
        <f t="shared" si="8"/>
        <v>319.27262715068565</v>
      </c>
    </row>
    <row r="118" spans="1:10">
      <c r="A118" s="252">
        <v>46121</v>
      </c>
      <c r="B118" s="253" t="s">
        <v>566</v>
      </c>
      <c r="C118" s="253">
        <v>740</v>
      </c>
      <c r="D118" s="253"/>
      <c r="E118" s="120">
        <f t="shared" si="8"/>
        <v>1059.2726271506856</v>
      </c>
    </row>
    <row r="119" spans="1:10">
      <c r="A119" s="156">
        <v>46122</v>
      </c>
      <c r="B119" s="112" t="s">
        <v>1801</v>
      </c>
      <c r="C119" s="112"/>
      <c r="D119" s="112">
        <v>1000</v>
      </c>
      <c r="E119" s="120">
        <f>E118+C119-D119</f>
        <v>59.272627150685594</v>
      </c>
    </row>
    <row r="120" spans="1:10">
      <c r="A120" s="156">
        <v>46125</v>
      </c>
      <c r="B120" s="112" t="s">
        <v>566</v>
      </c>
      <c r="C120" s="112">
        <v>500</v>
      </c>
      <c r="D120" s="112"/>
      <c r="E120" s="120">
        <f t="shared" ref="E120" si="9">E119+C120-D120</f>
        <v>559.27262715068559</v>
      </c>
    </row>
    <row r="121" spans="1:10">
      <c r="A121" s="156">
        <v>46125</v>
      </c>
      <c r="B121" s="112" t="s">
        <v>531</v>
      </c>
      <c r="C121" s="112">
        <v>100</v>
      </c>
      <c r="D121" s="112"/>
      <c r="E121" s="422">
        <f>604+58</f>
        <v>662</v>
      </c>
      <c r="I121" s="2" t="s">
        <v>915</v>
      </c>
      <c r="J121" s="163">
        <f>XIRR(J122:J125,I122:I125)</f>
        <v>6.6277113556861889E-2</v>
      </c>
    </row>
    <row r="122" spans="1:10">
      <c r="A122" s="156">
        <v>46126</v>
      </c>
      <c r="B122" s="112" t="s">
        <v>915</v>
      </c>
      <c r="C122" s="112"/>
      <c r="D122" s="112">
        <f>295*102.332%</f>
        <v>301.87939999999998</v>
      </c>
      <c r="E122" s="120">
        <f t="shared" ref="E122:E136" si="10">E121+C122-D122</f>
        <v>360.12060000000002</v>
      </c>
      <c r="F122" t="s">
        <v>1875</v>
      </c>
      <c r="I122" s="266">
        <v>45832</v>
      </c>
      <c r="J122" s="9">
        <v>-100</v>
      </c>
    </row>
    <row r="123" spans="1:10">
      <c r="A123" s="156"/>
      <c r="B123" s="112"/>
      <c r="C123" s="112"/>
      <c r="D123" s="112"/>
      <c r="E123" s="120">
        <f t="shared" si="10"/>
        <v>360.12060000000002</v>
      </c>
      <c r="I123" s="266">
        <v>45958</v>
      </c>
      <c r="J123" s="9">
        <v>1.726</v>
      </c>
    </row>
    <row r="124" spans="1:10">
      <c r="A124" s="156"/>
      <c r="B124" s="112"/>
      <c r="C124" s="112"/>
      <c r="D124" s="112"/>
      <c r="E124" s="120">
        <f t="shared" si="10"/>
        <v>360.12060000000002</v>
      </c>
      <c r="I124" s="279">
        <v>46044</v>
      </c>
      <c r="J124" s="9">
        <v>1.1780999999999999</v>
      </c>
    </row>
    <row r="125" spans="1:10">
      <c r="A125" s="156">
        <v>46127</v>
      </c>
      <c r="B125" s="112" t="s">
        <v>566</v>
      </c>
      <c r="C125" s="112">
        <v>388</v>
      </c>
      <c r="D125" s="112"/>
      <c r="E125" s="120">
        <f t="shared" si="10"/>
        <v>748.12059999999997</v>
      </c>
      <c r="I125" s="279">
        <v>46126</v>
      </c>
      <c r="J125" s="9">
        <v>102.33199999999999</v>
      </c>
    </row>
    <row r="126" spans="1:10">
      <c r="A126" s="156">
        <v>46129</v>
      </c>
      <c r="B126" s="112" t="s">
        <v>1857</v>
      </c>
      <c r="C126" s="112"/>
      <c r="D126" s="112">
        <v>730</v>
      </c>
      <c r="E126" s="120">
        <f t="shared" si="10"/>
        <v>18.120599999999968</v>
      </c>
      <c r="F126" s="112" t="s">
        <v>816</v>
      </c>
      <c r="I126" s="2" t="s">
        <v>1860</v>
      </c>
      <c r="J126" s="9">
        <v>102.2323</v>
      </c>
    </row>
    <row r="127" spans="1:10">
      <c r="A127" s="156">
        <v>46129</v>
      </c>
      <c r="B127" s="112" t="s">
        <v>981</v>
      </c>
      <c r="C127" s="112">
        <v>150</v>
      </c>
      <c r="D127" s="112"/>
      <c r="E127" s="120">
        <f t="shared" si="10"/>
        <v>168.12059999999997</v>
      </c>
    </row>
    <row r="128" spans="1:10">
      <c r="A128" s="156">
        <v>46132</v>
      </c>
      <c r="B128" s="112" t="s">
        <v>1767</v>
      </c>
      <c r="C128" s="112"/>
      <c r="D128" s="112">
        <v>9.65</v>
      </c>
      <c r="E128" s="120">
        <f t="shared" si="10"/>
        <v>158.47059999999996</v>
      </c>
    </row>
    <row r="129" spans="1:11">
      <c r="A129" s="156">
        <v>46132</v>
      </c>
      <c r="B129" s="112" t="s">
        <v>566</v>
      </c>
      <c r="C129" s="112">
        <v>1166.4000000000001</v>
      </c>
      <c r="D129" s="112"/>
      <c r="E129" s="120">
        <f t="shared" si="10"/>
        <v>1324.8706</v>
      </c>
    </row>
    <row r="130" spans="1:11">
      <c r="A130" s="156">
        <v>46133</v>
      </c>
      <c r="B130" s="112" t="s">
        <v>981</v>
      </c>
      <c r="C130" s="112">
        <v>500</v>
      </c>
      <c r="D130" s="112"/>
      <c r="E130" s="120">
        <f t="shared" si="10"/>
        <v>1824.8706</v>
      </c>
    </row>
    <row r="131" spans="1:11">
      <c r="A131" s="156">
        <v>46133</v>
      </c>
      <c r="B131" s="112" t="s">
        <v>2205</v>
      </c>
      <c r="C131" s="112">
        <v>3.6</v>
      </c>
      <c r="D131" s="112"/>
      <c r="E131" s="120">
        <f>E130+C131-D131</f>
        <v>1828.4705999999999</v>
      </c>
    </row>
    <row r="132" spans="1:11">
      <c r="A132" s="156">
        <v>46134</v>
      </c>
      <c r="B132" s="112" t="s">
        <v>566</v>
      </c>
      <c r="C132" s="112">
        <v>173.3</v>
      </c>
      <c r="D132" s="112"/>
      <c r="E132" s="120">
        <f>E131+C132-D132</f>
        <v>2001.7705999999998</v>
      </c>
    </row>
    <row r="133" spans="1:11">
      <c r="A133" s="156">
        <v>46134</v>
      </c>
      <c r="B133" s="112" t="s">
        <v>1987</v>
      </c>
      <c r="C133" s="112">
        <v>70</v>
      </c>
      <c r="D133" s="112"/>
      <c r="E133" s="120">
        <f>E132+C133-D133</f>
        <v>2071.7705999999998</v>
      </c>
    </row>
    <row r="134" spans="1:11">
      <c r="A134" s="156">
        <v>46136</v>
      </c>
      <c r="B134" s="112" t="s">
        <v>981</v>
      </c>
      <c r="C134" s="112">
        <v>540</v>
      </c>
      <c r="D134" s="112"/>
      <c r="E134" s="120">
        <f>E133+C134-D134</f>
        <v>2611.7705999999998</v>
      </c>
    </row>
    <row r="135" spans="1:11">
      <c r="A135" s="156"/>
      <c r="B135" s="156"/>
      <c r="C135" s="156"/>
      <c r="D135" s="156"/>
      <c r="E135" s="120">
        <f>E134+C135-D135</f>
        <v>2611.7705999999998</v>
      </c>
      <c r="F135" s="4"/>
      <c r="G135" s="4"/>
    </row>
    <row r="136" spans="1:11">
      <c r="A136" s="156">
        <v>46136</v>
      </c>
      <c r="B136" s="112" t="s">
        <v>1943</v>
      </c>
      <c r="C136" s="112"/>
      <c r="D136" s="112">
        <v>800</v>
      </c>
      <c r="E136" s="120">
        <f t="shared" si="10"/>
        <v>1811.7705999999998</v>
      </c>
      <c r="F136" s="473" t="s">
        <v>2108</v>
      </c>
    </row>
    <row r="137" spans="1:11">
      <c r="A137" s="156">
        <v>46139</v>
      </c>
      <c r="B137" s="112" t="s">
        <v>566</v>
      </c>
      <c r="C137" s="112">
        <v>361</v>
      </c>
      <c r="D137" s="112"/>
      <c r="E137" s="120">
        <f t="shared" ref="E137" si="11">E136+C137-D137</f>
        <v>2172.7705999999998</v>
      </c>
    </row>
    <row r="138" spans="1:11">
      <c r="A138" s="156"/>
      <c r="B138" s="112"/>
      <c r="C138" s="112"/>
      <c r="D138" s="112"/>
      <c r="E138" s="120">
        <f>E137+C138-D138</f>
        <v>2172.7705999999998</v>
      </c>
    </row>
    <row r="139" spans="1:11">
      <c r="A139" s="156">
        <v>46140</v>
      </c>
      <c r="B139" s="112" t="s">
        <v>531</v>
      </c>
      <c r="C139" s="112">
        <v>100</v>
      </c>
      <c r="D139" s="112"/>
      <c r="E139" s="120">
        <f>E138+C139-D139</f>
        <v>2272.7705999999998</v>
      </c>
    </row>
    <row r="140" spans="1:11">
      <c r="A140" s="156">
        <v>46141</v>
      </c>
      <c r="B140" s="112" t="s">
        <v>566</v>
      </c>
      <c r="C140" s="112">
        <v>103.05</v>
      </c>
      <c r="D140" s="112"/>
      <c r="E140" s="120">
        <f t="shared" ref="E140:E154" si="12">E139+C140-D140</f>
        <v>2375.8206</v>
      </c>
    </row>
    <row r="141" spans="1:11">
      <c r="A141" s="156">
        <v>46142</v>
      </c>
      <c r="B141" s="112" t="s">
        <v>571</v>
      </c>
      <c r="C141" s="112"/>
      <c r="D141" s="112">
        <f>1721.903296+2.846648</f>
        <v>1724.7499439999999</v>
      </c>
      <c r="E141" s="120">
        <f t="shared" si="12"/>
        <v>651.0706560000001</v>
      </c>
    </row>
    <row r="142" spans="1:11">
      <c r="A142" s="156">
        <v>46142</v>
      </c>
      <c r="B142" s="112" t="s">
        <v>2287</v>
      </c>
      <c r="C142" s="112">
        <v>21.98</v>
      </c>
      <c r="D142" s="112"/>
      <c r="E142" s="120">
        <f t="shared" si="12"/>
        <v>673.05065600000012</v>
      </c>
      <c r="K142" s="9" t="s">
        <v>2343</v>
      </c>
    </row>
    <row r="143" spans="1:11">
      <c r="A143" s="156"/>
      <c r="B143" s="112"/>
      <c r="C143" s="112"/>
      <c r="D143" s="112"/>
      <c r="E143" s="120">
        <f>E142+C143-D143</f>
        <v>673.05065600000012</v>
      </c>
    </row>
    <row r="144" spans="1:11">
      <c r="A144" s="156">
        <v>46148</v>
      </c>
      <c r="B144" s="112" t="s">
        <v>981</v>
      </c>
      <c r="C144" s="112">
        <v>340</v>
      </c>
      <c r="D144" s="112"/>
      <c r="E144" s="120">
        <f>E143+C144-D144</f>
        <v>1013.0506560000001</v>
      </c>
    </row>
    <row r="145" spans="1:7">
      <c r="A145" s="156">
        <v>46149</v>
      </c>
      <c r="B145" s="112" t="s">
        <v>566</v>
      </c>
      <c r="C145" s="112">
        <v>856.97</v>
      </c>
      <c r="D145" s="112"/>
      <c r="E145" s="120">
        <f>E144+C145-D145</f>
        <v>1870.0206560000001</v>
      </c>
    </row>
    <row r="146" spans="1:7">
      <c r="A146" s="156">
        <v>46150</v>
      </c>
      <c r="B146" s="112" t="s">
        <v>981</v>
      </c>
      <c r="C146" s="112">
        <v>467</v>
      </c>
      <c r="D146" s="112"/>
      <c r="E146" s="120">
        <f t="shared" ref="E146:E148" si="13">E145+C146-D146</f>
        <v>2337.0206560000001</v>
      </c>
    </row>
    <row r="147" spans="1:7">
      <c r="A147" s="156">
        <v>46150</v>
      </c>
      <c r="B147" s="112" t="s">
        <v>620</v>
      </c>
      <c r="C147" s="112"/>
      <c r="D147" s="112">
        <v>700</v>
      </c>
      <c r="E147" s="120">
        <f t="shared" si="13"/>
        <v>1637.0206560000001</v>
      </c>
      <c r="F147" s="399" t="s">
        <v>816</v>
      </c>
    </row>
    <row r="148" spans="1:7">
      <c r="A148" s="156">
        <v>46150</v>
      </c>
      <c r="B148" s="112" t="s">
        <v>2264</v>
      </c>
      <c r="C148" s="112"/>
      <c r="D148" s="112">
        <v>1600</v>
      </c>
      <c r="E148" s="120">
        <f t="shared" si="13"/>
        <v>37.020656000000145</v>
      </c>
      <c r="F148" s="399" t="s">
        <v>816</v>
      </c>
    </row>
    <row r="149" spans="1:7">
      <c r="A149" s="156"/>
      <c r="B149" s="112"/>
      <c r="C149" s="112"/>
      <c r="D149" s="112"/>
      <c r="E149" s="120">
        <f>E148+C149-D149</f>
        <v>37.020656000000145</v>
      </c>
    </row>
    <row r="150" spans="1:7">
      <c r="A150" s="156"/>
      <c r="B150" s="112"/>
      <c r="C150" s="112"/>
      <c r="D150" s="112"/>
      <c r="E150" s="120">
        <f>E149+C150-D150</f>
        <v>37.020656000000145</v>
      </c>
    </row>
    <row r="151" spans="1:7">
      <c r="A151" s="156">
        <v>46153</v>
      </c>
      <c r="B151" s="112" t="s">
        <v>566</v>
      </c>
      <c r="C151" s="112">
        <v>111</v>
      </c>
      <c r="D151" s="112"/>
      <c r="E151" s="120">
        <f>E150+C151-D151</f>
        <v>148.02065600000014</v>
      </c>
    </row>
    <row r="152" spans="1:7">
      <c r="A152" s="156">
        <v>46154</v>
      </c>
      <c r="B152" s="112" t="s">
        <v>981</v>
      </c>
      <c r="C152" s="112">
        <v>20</v>
      </c>
      <c r="D152" s="112"/>
      <c r="E152" s="120">
        <f t="shared" si="12"/>
        <v>168.02065600000014</v>
      </c>
    </row>
    <row r="153" spans="1:7">
      <c r="A153" s="156">
        <v>46155</v>
      </c>
      <c r="B153" s="112" t="s">
        <v>566</v>
      </c>
      <c r="C153" s="112">
        <v>561</v>
      </c>
      <c r="D153" s="112"/>
      <c r="E153" s="120">
        <f t="shared" si="12"/>
        <v>729.02065600000014</v>
      </c>
    </row>
    <row r="154" spans="1:7">
      <c r="A154" s="156">
        <v>46157</v>
      </c>
      <c r="B154" s="112" t="s">
        <v>981</v>
      </c>
      <c r="C154" s="112">
        <v>100</v>
      </c>
      <c r="D154" s="112"/>
      <c r="E154" s="120">
        <f t="shared" si="12"/>
        <v>829.02065600000014</v>
      </c>
      <c r="G154" t="s">
        <v>849</v>
      </c>
    </row>
    <row r="155" spans="1:7">
      <c r="A155" s="156">
        <v>46157</v>
      </c>
      <c r="B155" s="112" t="s">
        <v>1567</v>
      </c>
      <c r="C155" s="112"/>
      <c r="D155" s="112">
        <v>800</v>
      </c>
      <c r="E155" s="120">
        <f t="shared" ref="E155:E179" si="14">E154+C155-D155</f>
        <v>29.020656000000145</v>
      </c>
      <c r="F155" s="399" t="s">
        <v>816</v>
      </c>
    </row>
    <row r="156" spans="1:7">
      <c r="A156" s="156"/>
      <c r="B156" s="112"/>
      <c r="C156" s="112"/>
      <c r="D156" s="112"/>
      <c r="E156" s="120">
        <f>E155+C156-D156</f>
        <v>29.020656000000145</v>
      </c>
    </row>
    <row r="157" spans="1:7">
      <c r="A157" s="156"/>
      <c r="B157" s="112"/>
      <c r="C157" s="112"/>
      <c r="D157" s="112"/>
      <c r="E157" s="120">
        <f>E156+C157-D157</f>
        <v>29.020656000000145</v>
      </c>
    </row>
    <row r="158" spans="1:7">
      <c r="A158" s="156"/>
      <c r="B158" s="112"/>
      <c r="C158" s="112"/>
      <c r="D158" s="112"/>
      <c r="E158" s="120">
        <f t="shared" si="14"/>
        <v>29.020656000000145</v>
      </c>
    </row>
    <row r="159" spans="1:7">
      <c r="A159" s="156">
        <v>46160</v>
      </c>
      <c r="B159" s="112" t="s">
        <v>566</v>
      </c>
      <c r="C159" s="112">
        <v>137</v>
      </c>
      <c r="D159" s="112"/>
      <c r="E159" s="120">
        <f t="shared" si="14"/>
        <v>166.02065600000014</v>
      </c>
    </row>
    <row r="160" spans="1:7">
      <c r="A160" s="4">
        <v>46161</v>
      </c>
      <c r="B160" t="s">
        <v>531</v>
      </c>
      <c r="C160">
        <v>103.5</v>
      </c>
      <c r="E160" s="245">
        <f t="shared" ref="E160" si="15">E159+C160-D160</f>
        <v>269.52065600000014</v>
      </c>
    </row>
    <row r="161" spans="1:6">
      <c r="A161" s="4">
        <v>46162</v>
      </c>
      <c r="B161" t="s">
        <v>566</v>
      </c>
      <c r="C161">
        <v>1630</v>
      </c>
      <c r="E161" s="245">
        <f t="shared" ref="E161:E178" si="16">E160+C161-D161</f>
        <v>1899.5206560000001</v>
      </c>
    </row>
    <row r="162" spans="1:6">
      <c r="A162" s="4">
        <v>46164</v>
      </c>
      <c r="B162" t="s">
        <v>2515</v>
      </c>
      <c r="C162">
        <v>70</v>
      </c>
      <c r="E162" s="245">
        <f t="shared" si="16"/>
        <v>1969.5206560000001</v>
      </c>
    </row>
    <row r="163" spans="1:6">
      <c r="E163" s="245">
        <f t="shared" si="16"/>
        <v>1969.5206560000001</v>
      </c>
    </row>
    <row r="164" spans="1:6">
      <c r="A164" s="4">
        <v>46164</v>
      </c>
      <c r="B164" t="s">
        <v>2520</v>
      </c>
      <c r="D164">
        <v>1100</v>
      </c>
      <c r="E164" s="245">
        <f t="shared" si="16"/>
        <v>869.52065600000014</v>
      </c>
      <c r="F164" t="s">
        <v>2540</v>
      </c>
    </row>
    <row r="165" spans="1:6">
      <c r="E165" s="245">
        <f t="shared" si="16"/>
        <v>869.52065600000014</v>
      </c>
    </row>
    <row r="166" spans="1:6">
      <c r="A166" s="4">
        <v>46168</v>
      </c>
      <c r="B166" t="s">
        <v>2514</v>
      </c>
      <c r="D166">
        <v>500</v>
      </c>
      <c r="E166" s="245">
        <f t="shared" si="16"/>
        <v>369.52065600000014</v>
      </c>
      <c r="F166" t="s">
        <v>2541</v>
      </c>
    </row>
    <row r="167" spans="1:6">
      <c r="A167" s="4">
        <v>46170</v>
      </c>
      <c r="B167" t="s">
        <v>1966</v>
      </c>
      <c r="D167">
        <f>(110+132.44)*1.2</f>
        <v>290.928</v>
      </c>
      <c r="E167" s="245">
        <f t="shared" si="16"/>
        <v>78.592656000000147</v>
      </c>
    </row>
    <row r="168" spans="1:6">
      <c r="E168" s="245">
        <f t="shared" si="16"/>
        <v>78.592656000000147</v>
      </c>
    </row>
    <row r="169" spans="1:6">
      <c r="E169" s="245">
        <f t="shared" si="16"/>
        <v>78.592656000000147</v>
      </c>
    </row>
    <row r="170" spans="1:6">
      <c r="E170" s="245">
        <f t="shared" si="16"/>
        <v>78.592656000000147</v>
      </c>
    </row>
    <row r="171" spans="1:6">
      <c r="E171" s="245">
        <f t="shared" si="16"/>
        <v>78.592656000000147</v>
      </c>
    </row>
    <row r="172" spans="1:6">
      <c r="E172" s="245">
        <f t="shared" si="16"/>
        <v>78.592656000000147</v>
      </c>
    </row>
    <row r="173" spans="1:6">
      <c r="E173" s="245">
        <f t="shared" si="16"/>
        <v>78.592656000000147</v>
      </c>
    </row>
    <row r="174" spans="1:6">
      <c r="E174" s="245">
        <f t="shared" si="16"/>
        <v>78.592656000000147</v>
      </c>
    </row>
    <row r="175" spans="1:6">
      <c r="A175" s="4">
        <v>46200</v>
      </c>
      <c r="B175" t="s">
        <v>571</v>
      </c>
      <c r="D175">
        <f>240*1.2</f>
        <v>288</v>
      </c>
      <c r="E175" s="245">
        <f t="shared" si="16"/>
        <v>-209.40734399999985</v>
      </c>
    </row>
    <row r="176" spans="1:6">
      <c r="E176" s="245">
        <f t="shared" si="16"/>
        <v>-209.40734399999985</v>
      </c>
    </row>
    <row r="177" spans="5:5">
      <c r="E177" s="245">
        <f t="shared" si="16"/>
        <v>-209.40734399999985</v>
      </c>
    </row>
    <row r="178" spans="5:5">
      <c r="E178" s="245">
        <f t="shared" si="16"/>
        <v>-209.40734399999985</v>
      </c>
    </row>
    <row r="179" spans="5:5">
      <c r="E179" s="245">
        <f t="shared" si="14"/>
        <v>-209.40734399999985</v>
      </c>
    </row>
    <row r="180" spans="5:5">
      <c r="E180" s="245">
        <f>E179+C180-D180</f>
        <v>-209.40734399999985</v>
      </c>
    </row>
    <row r="181" spans="5:5">
      <c r="E181" s="245">
        <f>E180+C181-D181</f>
        <v>-209.40734399999985</v>
      </c>
    </row>
    <row r="182" spans="5:5">
      <c r="E182" s="245">
        <f>E181+C182-D182</f>
        <v>-209.40734399999985</v>
      </c>
    </row>
    <row r="183" spans="5:5">
      <c r="E183" s="245">
        <f>E182+C183-D183</f>
        <v>-209.40734399999985</v>
      </c>
    </row>
  </sheetData>
  <phoneticPr fontId="6" type="noConversion"/>
  <conditionalFormatting sqref="B94:B97 B100:B101">
    <cfRule type="duplicateValues" dxfId="84" priority="3"/>
  </conditionalFormatting>
  <conditionalFormatting sqref="B99">
    <cfRule type="duplicateValues" dxfId="83" priority="2"/>
  </conditionalFormatting>
  <conditionalFormatting sqref="E1:E1048576">
    <cfRule type="cellIs" dxfId="82" priority="1" operator="lessThan">
      <formula>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BFE59-D45B-4B58-96FE-1ED3B2C0482D}">
  <sheetPr codeName="Sheet3"/>
  <dimension ref="A1:S146"/>
  <sheetViews>
    <sheetView zoomScaleNormal="100" workbookViewId="0">
      <pane ySplit="2" topLeftCell="A111" activePane="bottomLeft" state="frozen"/>
      <selection sqref="A1:E1"/>
      <selection pane="bottomLeft" activeCell="G136" sqref="G136"/>
    </sheetView>
  </sheetViews>
  <sheetFormatPr defaultRowHeight="16.5"/>
  <cols>
    <col min="1" max="1" width="11" style="4" customWidth="1"/>
    <col min="2" max="2" width="16.5" bestFit="1" customWidth="1"/>
    <col min="3" max="3" width="11" customWidth="1"/>
    <col min="4" max="4" width="12" customWidth="1"/>
    <col min="5" max="5" width="8.75" style="3" bestFit="1" customWidth="1"/>
    <col min="7" max="7" width="15.75" customWidth="1"/>
    <col min="8" max="8" width="12.875" bestFit="1" customWidth="1"/>
    <col min="9" max="9" width="9.25" style="2" bestFit="1" customWidth="1"/>
    <col min="10" max="10" width="13.625" style="9" bestFit="1" customWidth="1"/>
    <col min="11" max="11" width="9" style="9"/>
    <col min="12" max="12" width="16.125" style="2" bestFit="1" customWidth="1"/>
  </cols>
  <sheetData>
    <row r="1" spans="1:10" ht="17.100000000000001" customHeight="1">
      <c r="A1" s="10"/>
      <c r="B1" s="10"/>
      <c r="C1" s="10"/>
      <c r="D1" s="10"/>
      <c r="E1" s="10"/>
    </row>
    <row r="2" spans="1:10">
      <c r="A2" s="4" t="s">
        <v>0</v>
      </c>
      <c r="B2" t="s">
        <v>1</v>
      </c>
      <c r="C2" t="s">
        <v>2</v>
      </c>
      <c r="D2" t="s">
        <v>3</v>
      </c>
      <c r="E2" s="3" t="s">
        <v>4</v>
      </c>
    </row>
    <row r="3" spans="1:10">
      <c r="A3" s="4">
        <v>46023</v>
      </c>
      <c r="E3" s="3">
        <v>4182</v>
      </c>
    </row>
    <row r="4" spans="1:10">
      <c r="E4" s="3">
        <f>+E3+C4-D4</f>
        <v>4182</v>
      </c>
    </row>
    <row r="5" spans="1:10">
      <c r="A5" s="4">
        <v>46027</v>
      </c>
      <c r="E5" s="3">
        <v>2377</v>
      </c>
    </row>
    <row r="6" spans="1:10">
      <c r="A6" s="156">
        <v>46030</v>
      </c>
      <c r="B6" s="112" t="s">
        <v>8</v>
      </c>
      <c r="C6" s="112">
        <v>109</v>
      </c>
      <c r="D6" s="112"/>
      <c r="E6" s="157">
        <f t="shared" ref="E6:E46" si="0">+E5+C6-D6</f>
        <v>2486</v>
      </c>
    </row>
    <row r="7" spans="1:10">
      <c r="A7" s="156">
        <v>46029</v>
      </c>
      <c r="B7" s="112" t="s">
        <v>9</v>
      </c>
      <c r="C7" s="112">
        <v>550</v>
      </c>
      <c r="D7" s="112"/>
      <c r="E7" s="157">
        <f t="shared" si="0"/>
        <v>3036</v>
      </c>
    </row>
    <row r="8" spans="1:10">
      <c r="A8" s="156">
        <v>46029</v>
      </c>
      <c r="B8" s="112" t="s">
        <v>10</v>
      </c>
      <c r="C8" s="112">
        <v>430</v>
      </c>
      <c r="D8" s="112"/>
      <c r="E8" s="157">
        <f t="shared" si="0"/>
        <v>3466</v>
      </c>
      <c r="J8" s="190"/>
    </row>
    <row r="9" spans="1:10">
      <c r="A9" s="156">
        <v>46029</v>
      </c>
      <c r="B9" s="112" t="s">
        <v>11</v>
      </c>
      <c r="C9" s="112"/>
      <c r="D9" s="112">
        <v>3213</v>
      </c>
      <c r="E9" s="157">
        <f t="shared" si="0"/>
        <v>253</v>
      </c>
    </row>
    <row r="10" spans="1:10">
      <c r="A10" s="156"/>
      <c r="B10" s="112"/>
      <c r="C10" s="112"/>
      <c r="D10" s="112"/>
      <c r="E10" s="157">
        <f>+E9+C10-D10</f>
        <v>253</v>
      </c>
    </row>
    <row r="11" spans="1:10">
      <c r="A11" s="156">
        <v>46034</v>
      </c>
      <c r="B11" s="112" t="s">
        <v>635</v>
      </c>
      <c r="C11" s="112">
        <v>5</v>
      </c>
      <c r="D11" s="112"/>
      <c r="E11" s="113">
        <f>+E10+C11-D11</f>
        <v>258</v>
      </c>
    </row>
    <row r="12" spans="1:10">
      <c r="A12" s="156">
        <v>46035</v>
      </c>
      <c r="B12" s="112" t="s">
        <v>581</v>
      </c>
      <c r="C12" s="112">
        <v>450</v>
      </c>
      <c r="D12" s="112"/>
      <c r="E12" s="157">
        <f t="shared" si="0"/>
        <v>708</v>
      </c>
    </row>
    <row r="13" spans="1:10">
      <c r="A13" s="156">
        <v>46037</v>
      </c>
      <c r="B13" s="112" t="s">
        <v>635</v>
      </c>
      <c r="C13" s="112">
        <v>217</v>
      </c>
      <c r="D13" s="112"/>
      <c r="E13" s="157">
        <f t="shared" si="0"/>
        <v>925</v>
      </c>
      <c r="G13" s="122" t="s">
        <v>629</v>
      </c>
    </row>
    <row r="14" spans="1:10">
      <c r="A14" s="156">
        <v>46038</v>
      </c>
      <c r="B14" s="112" t="s">
        <v>12</v>
      </c>
      <c r="C14" s="112">
        <v>600</v>
      </c>
      <c r="D14" s="112"/>
      <c r="E14" s="157">
        <f t="shared" si="0"/>
        <v>1525</v>
      </c>
      <c r="F14" t="s">
        <v>798</v>
      </c>
    </row>
    <row r="15" spans="1:10">
      <c r="A15" s="156">
        <v>46038</v>
      </c>
      <c r="B15" s="112" t="s">
        <v>13</v>
      </c>
      <c r="C15" s="112">
        <v>995</v>
      </c>
      <c r="D15" s="112"/>
      <c r="E15" s="157">
        <f t="shared" si="0"/>
        <v>2520</v>
      </c>
      <c r="F15" t="s">
        <v>799</v>
      </c>
    </row>
    <row r="16" spans="1:10">
      <c r="A16" s="156">
        <v>46038</v>
      </c>
      <c r="B16" s="112" t="s">
        <v>14</v>
      </c>
      <c r="C16" s="112">
        <v>1000</v>
      </c>
      <c r="D16" s="112"/>
      <c r="E16" s="157">
        <f t="shared" si="0"/>
        <v>3520</v>
      </c>
      <c r="F16" t="s">
        <v>800</v>
      </c>
    </row>
    <row r="17" spans="1:8">
      <c r="A17" s="156"/>
      <c r="B17" s="112"/>
      <c r="C17" s="112"/>
      <c r="D17" s="112"/>
      <c r="E17" s="157">
        <f t="shared" ref="E17:E23" si="1">+E16+C17-D17</f>
        <v>3520</v>
      </c>
    </row>
    <row r="18" spans="1:8">
      <c r="A18" s="156">
        <v>46038</v>
      </c>
      <c r="B18" s="112" t="s">
        <v>552</v>
      </c>
      <c r="C18" s="112"/>
      <c r="D18" s="112">
        <v>570</v>
      </c>
      <c r="E18" s="157">
        <f t="shared" si="1"/>
        <v>2950</v>
      </c>
      <c r="F18" t="s">
        <v>815</v>
      </c>
    </row>
    <row r="19" spans="1:8">
      <c r="E19" s="3">
        <v>2951</v>
      </c>
      <c r="F19" t="s">
        <v>853</v>
      </c>
    </row>
    <row r="20" spans="1:8">
      <c r="A20" s="156">
        <v>46041</v>
      </c>
      <c r="B20" s="112" t="s">
        <v>15</v>
      </c>
      <c r="C20" s="112"/>
      <c r="D20" s="112">
        <v>2632</v>
      </c>
      <c r="E20" s="3">
        <f t="shared" si="1"/>
        <v>319</v>
      </c>
    </row>
    <row r="21" spans="1:8">
      <c r="A21" s="156">
        <v>46042</v>
      </c>
      <c r="B21" s="112" t="s">
        <v>570</v>
      </c>
      <c r="C21" s="112">
        <v>180</v>
      </c>
      <c r="D21" s="112"/>
      <c r="E21" s="3">
        <f t="shared" si="1"/>
        <v>499</v>
      </c>
    </row>
    <row r="22" spans="1:8">
      <c r="A22" s="156">
        <v>46044</v>
      </c>
      <c r="B22" s="112" t="s">
        <v>565</v>
      </c>
      <c r="C22" s="112">
        <v>462</v>
      </c>
      <c r="D22" s="112"/>
      <c r="E22" s="3">
        <f t="shared" si="1"/>
        <v>961</v>
      </c>
    </row>
    <row r="23" spans="1:8">
      <c r="A23" s="156">
        <v>46045</v>
      </c>
      <c r="B23" s="112" t="s">
        <v>565</v>
      </c>
      <c r="C23" s="112">
        <v>28</v>
      </c>
      <c r="D23" s="112"/>
      <c r="E23" s="3">
        <f t="shared" si="1"/>
        <v>989</v>
      </c>
    </row>
    <row r="24" spans="1:8">
      <c r="E24" s="3">
        <v>993</v>
      </c>
    </row>
    <row r="25" spans="1:8">
      <c r="A25" s="156">
        <v>46048</v>
      </c>
      <c r="B25" s="112" t="s">
        <v>565</v>
      </c>
      <c r="C25" s="112">
        <v>242</v>
      </c>
      <c r="D25" s="112"/>
      <c r="E25" s="3">
        <f t="shared" si="0"/>
        <v>1235</v>
      </c>
    </row>
    <row r="26" spans="1:8">
      <c r="A26" s="156">
        <v>46049</v>
      </c>
      <c r="B26" s="112" t="s">
        <v>918</v>
      </c>
      <c r="C26" s="112">
        <v>1070</v>
      </c>
      <c r="D26" s="112"/>
      <c r="E26" s="3">
        <f t="shared" si="0"/>
        <v>2305</v>
      </c>
    </row>
    <row r="27" spans="1:8">
      <c r="A27" s="156">
        <v>46052</v>
      </c>
      <c r="B27" s="112" t="s">
        <v>565</v>
      </c>
      <c r="C27" s="112">
        <v>53</v>
      </c>
      <c r="D27" s="112"/>
      <c r="E27" s="3">
        <f>+E26+C27-D27</f>
        <v>2358</v>
      </c>
    </row>
    <row r="28" spans="1:8">
      <c r="A28" s="156">
        <v>46052</v>
      </c>
      <c r="B28" s="112" t="s">
        <v>949</v>
      </c>
      <c r="C28" s="112"/>
      <c r="D28" s="112">
        <v>505</v>
      </c>
      <c r="E28" s="157">
        <v>1850</v>
      </c>
      <c r="F28" t="s">
        <v>987</v>
      </c>
    </row>
    <row r="29" spans="1:8">
      <c r="A29" s="156">
        <v>46058</v>
      </c>
      <c r="B29" s="112" t="s">
        <v>510</v>
      </c>
      <c r="C29" s="112"/>
      <c r="D29" s="112">
        <v>1500</v>
      </c>
      <c r="E29" s="157">
        <f t="shared" si="0"/>
        <v>350</v>
      </c>
      <c r="F29" t="s">
        <v>1007</v>
      </c>
    </row>
    <row r="30" spans="1:8">
      <c r="A30" s="156"/>
      <c r="B30" s="156"/>
      <c r="C30" s="156"/>
      <c r="D30" s="156"/>
      <c r="E30" s="157">
        <v>347</v>
      </c>
    </row>
    <row r="31" spans="1:8">
      <c r="A31" s="156"/>
      <c r="B31" s="156"/>
      <c r="C31" s="156"/>
      <c r="D31" s="156"/>
      <c r="E31" s="157">
        <f t="shared" si="0"/>
        <v>347</v>
      </c>
    </row>
    <row r="32" spans="1:8">
      <c r="A32" s="156">
        <v>46059</v>
      </c>
      <c r="B32" s="112" t="s">
        <v>948</v>
      </c>
      <c r="C32" s="112">
        <v>2090</v>
      </c>
      <c r="D32" s="112"/>
      <c r="E32" s="157">
        <f>+E31+C32-D32</f>
        <v>2437</v>
      </c>
      <c r="H32" s="190"/>
    </row>
    <row r="33" spans="1:9">
      <c r="A33" s="156">
        <v>46063</v>
      </c>
      <c r="B33" s="112" t="s">
        <v>922</v>
      </c>
      <c r="C33" s="112"/>
      <c r="D33" s="112">
        <f>300*1.076</f>
        <v>322.8</v>
      </c>
      <c r="E33" s="157">
        <f>+E32+C33-D33</f>
        <v>2114.1999999999998</v>
      </c>
    </row>
    <row r="34" spans="1:9">
      <c r="A34" s="156">
        <v>46065</v>
      </c>
      <c r="B34" s="112" t="s">
        <v>1029</v>
      </c>
      <c r="C34" s="112"/>
      <c r="D34" s="112">
        <v>2000</v>
      </c>
      <c r="E34" s="157">
        <f t="shared" si="0"/>
        <v>114.19999999999982</v>
      </c>
      <c r="F34" t="s">
        <v>1078</v>
      </c>
    </row>
    <row r="35" spans="1:9">
      <c r="A35" s="156">
        <v>46065</v>
      </c>
      <c r="B35" s="112" t="s">
        <v>1115</v>
      </c>
      <c r="C35" s="112"/>
      <c r="D35" s="112">
        <v>18</v>
      </c>
      <c r="E35" s="157">
        <f t="shared" si="0"/>
        <v>96.199999999999818</v>
      </c>
      <c r="F35" t="s">
        <v>1116</v>
      </c>
    </row>
    <row r="36" spans="1:9">
      <c r="A36" s="156">
        <v>46066</v>
      </c>
      <c r="B36" s="112" t="s">
        <v>1147</v>
      </c>
      <c r="C36" s="112">
        <v>2.7</v>
      </c>
      <c r="D36" s="112"/>
      <c r="E36" s="157">
        <f t="shared" si="0"/>
        <v>98.899999999999821</v>
      </c>
    </row>
    <row r="37" spans="1:9">
      <c r="A37" s="156"/>
      <c r="B37" s="112"/>
      <c r="C37" s="112"/>
      <c r="D37" s="112"/>
      <c r="E37" s="157">
        <f t="shared" si="0"/>
        <v>98.899999999999821</v>
      </c>
    </row>
    <row r="38" spans="1:9">
      <c r="A38" s="156">
        <v>46077</v>
      </c>
      <c r="B38" s="112" t="s">
        <v>1147</v>
      </c>
      <c r="C38" s="112">
        <v>727</v>
      </c>
      <c r="D38" s="112"/>
      <c r="E38" s="157">
        <f t="shared" si="0"/>
        <v>825.89999999999986</v>
      </c>
      <c r="F38" t="s">
        <v>1148</v>
      </c>
    </row>
    <row r="39" spans="1:9">
      <c r="A39" s="156"/>
      <c r="B39" s="112"/>
      <c r="C39" s="112"/>
      <c r="D39" s="112"/>
      <c r="E39" s="157">
        <f t="shared" si="0"/>
        <v>825.89999999999986</v>
      </c>
    </row>
    <row r="40" spans="1:9">
      <c r="A40" s="156"/>
      <c r="B40" s="112"/>
      <c r="C40" s="112"/>
      <c r="D40" s="112"/>
      <c r="E40" s="157">
        <f t="shared" si="0"/>
        <v>825.89999999999986</v>
      </c>
    </row>
    <row r="41" spans="1:9">
      <c r="A41" s="156">
        <v>46078</v>
      </c>
      <c r="B41" s="112" t="s">
        <v>1123</v>
      </c>
      <c r="C41" s="112">
        <v>794</v>
      </c>
      <c r="D41" s="112"/>
      <c r="E41" s="157">
        <f t="shared" si="0"/>
        <v>1619.8999999999999</v>
      </c>
      <c r="F41" t="s">
        <v>1151</v>
      </c>
      <c r="I41"/>
    </row>
    <row r="42" spans="1:9">
      <c r="A42" s="156">
        <v>46078</v>
      </c>
      <c r="B42" s="112" t="s">
        <v>1149</v>
      </c>
      <c r="C42" s="112"/>
      <c r="D42" s="112">
        <v>184.8</v>
      </c>
      <c r="E42" s="157">
        <f t="shared" si="0"/>
        <v>1435.1</v>
      </c>
      <c r="F42" t="s">
        <v>1150</v>
      </c>
      <c r="I42"/>
    </row>
    <row r="43" spans="1:9">
      <c r="A43" s="156">
        <v>46079</v>
      </c>
      <c r="B43" s="112" t="s">
        <v>1147</v>
      </c>
      <c r="C43" s="112">
        <v>5.9</v>
      </c>
      <c r="D43" s="112"/>
      <c r="E43" s="157">
        <v>1426</v>
      </c>
      <c r="I43"/>
    </row>
    <row r="44" spans="1:9">
      <c r="A44" s="156">
        <v>46079</v>
      </c>
      <c r="B44" s="112" t="s">
        <v>1114</v>
      </c>
      <c r="C44" s="112">
        <v>790</v>
      </c>
      <c r="D44" s="112"/>
      <c r="E44" s="157">
        <f t="shared" si="0"/>
        <v>2216</v>
      </c>
      <c r="I44"/>
    </row>
    <row r="45" spans="1:9">
      <c r="A45" s="156">
        <v>46079</v>
      </c>
      <c r="B45" s="112" t="s">
        <v>1158</v>
      </c>
      <c r="C45" s="112"/>
      <c r="D45" s="112">
        <v>1625</v>
      </c>
      <c r="E45" s="157">
        <f t="shared" si="0"/>
        <v>591</v>
      </c>
      <c r="I45"/>
    </row>
    <row r="46" spans="1:9">
      <c r="A46" s="156">
        <v>46079</v>
      </c>
      <c r="B46" s="112" t="s">
        <v>1157</v>
      </c>
      <c r="C46" s="112">
        <v>593</v>
      </c>
      <c r="D46" s="112"/>
      <c r="E46" s="157">
        <f t="shared" si="0"/>
        <v>1184</v>
      </c>
      <c r="I46"/>
    </row>
    <row r="47" spans="1:9">
      <c r="A47" s="156">
        <v>46079</v>
      </c>
      <c r="B47" s="112" t="s">
        <v>1126</v>
      </c>
      <c r="C47" s="112">
        <v>814</v>
      </c>
      <c r="D47" s="112"/>
      <c r="E47" s="157">
        <f>+E46+C47-D47</f>
        <v>1998</v>
      </c>
      <c r="F47" t="s">
        <v>1159</v>
      </c>
      <c r="G47" t="s">
        <v>1178</v>
      </c>
      <c r="I47"/>
    </row>
    <row r="48" spans="1:9">
      <c r="A48" s="156">
        <v>46080</v>
      </c>
      <c r="B48" s="112" t="s">
        <v>1147</v>
      </c>
      <c r="C48" s="112">
        <v>15.4</v>
      </c>
      <c r="D48" s="112"/>
      <c r="E48" s="113">
        <f t="shared" ref="E48:E56" si="2">+E47+C48-D48</f>
        <v>2013.4</v>
      </c>
    </row>
    <row r="49" spans="1:19">
      <c r="A49" s="156">
        <v>46080</v>
      </c>
      <c r="B49" s="112" t="s">
        <v>606</v>
      </c>
      <c r="C49" s="112"/>
      <c r="D49" s="112">
        <v>600</v>
      </c>
      <c r="E49" s="113">
        <f t="shared" si="2"/>
        <v>1413.4</v>
      </c>
    </row>
    <row r="50" spans="1:19">
      <c r="A50" s="156"/>
      <c r="B50" s="112"/>
      <c r="C50" s="112"/>
      <c r="D50" s="112"/>
      <c r="E50" s="113">
        <v>1409</v>
      </c>
    </row>
    <row r="51" spans="1:19">
      <c r="A51" s="156">
        <v>46083</v>
      </c>
      <c r="B51" s="112" t="s">
        <v>1162</v>
      </c>
      <c r="C51" s="112"/>
      <c r="D51" s="112">
        <v>200</v>
      </c>
      <c r="E51" s="113">
        <f t="shared" si="2"/>
        <v>1209</v>
      </c>
      <c r="F51" t="s">
        <v>1239</v>
      </c>
    </row>
    <row r="52" spans="1:19">
      <c r="A52" s="156">
        <v>46083</v>
      </c>
      <c r="B52" s="112" t="s">
        <v>549</v>
      </c>
      <c r="C52" s="112">
        <f>苏信次级Z2502!D38</f>
        <v>327.92911249315074</v>
      </c>
      <c r="D52" s="112"/>
      <c r="E52" s="113">
        <f t="shared" si="2"/>
        <v>1536.9291124931508</v>
      </c>
    </row>
    <row r="53" spans="1:19">
      <c r="A53" s="156">
        <v>46083</v>
      </c>
      <c r="B53" s="112" t="s">
        <v>613</v>
      </c>
      <c r="C53" s="112">
        <v>65</v>
      </c>
      <c r="D53" s="112"/>
      <c r="E53" s="113">
        <f t="shared" si="2"/>
        <v>1601.9291124931508</v>
      </c>
      <c r="N53" t="s">
        <v>1352</v>
      </c>
      <c r="O53" s="109">
        <v>1000</v>
      </c>
      <c r="P53" s="109">
        <v>11000</v>
      </c>
      <c r="Q53" s="109">
        <f>O53+P53</f>
        <v>12000</v>
      </c>
      <c r="R53" s="2"/>
    </row>
    <row r="54" spans="1:19">
      <c r="A54" s="156">
        <v>46084</v>
      </c>
      <c r="B54" s="112" t="s">
        <v>1161</v>
      </c>
      <c r="C54" s="112"/>
      <c r="D54" s="112">
        <v>1135</v>
      </c>
      <c r="E54" s="113">
        <f t="shared" si="2"/>
        <v>466.9291124931508</v>
      </c>
      <c r="F54" t="s">
        <v>1216</v>
      </c>
      <c r="N54" t="s">
        <v>621</v>
      </c>
      <c r="O54" s="109">
        <v>500</v>
      </c>
      <c r="P54" s="109">
        <v>4000</v>
      </c>
      <c r="Q54" s="109">
        <f>O54+P54</f>
        <v>4500</v>
      </c>
      <c r="R54" s="151">
        <v>4.4999999999999998E-2</v>
      </c>
      <c r="S54" s="109">
        <f>Q54*R54</f>
        <v>202.5</v>
      </c>
    </row>
    <row r="55" spans="1:19">
      <c r="E55" s="109">
        <v>469</v>
      </c>
      <c r="N55" t="s">
        <v>487</v>
      </c>
      <c r="O55" s="109"/>
      <c r="P55" s="109">
        <f>12000*25%</f>
        <v>3000</v>
      </c>
      <c r="Q55" s="109">
        <f>O55+P55</f>
        <v>3000</v>
      </c>
      <c r="R55" s="151">
        <v>5.5E-2</v>
      </c>
      <c r="S55" s="109">
        <f>Q55*R55</f>
        <v>165</v>
      </c>
    </row>
    <row r="56" spans="1:19">
      <c r="A56" s="156">
        <v>46090</v>
      </c>
      <c r="B56" s="112" t="s">
        <v>581</v>
      </c>
      <c r="C56" s="112">
        <v>1400</v>
      </c>
      <c r="D56" s="112"/>
      <c r="E56" s="113">
        <f t="shared" si="2"/>
        <v>1869</v>
      </c>
      <c r="N56" t="s">
        <v>919</v>
      </c>
      <c r="O56" s="109">
        <v>500</v>
      </c>
      <c r="P56" s="109">
        <v>4000</v>
      </c>
      <c r="Q56" s="109">
        <f>O56+P56</f>
        <v>4500</v>
      </c>
      <c r="R56" s="151">
        <v>0.03</v>
      </c>
      <c r="S56" s="109">
        <f>Q56*R56</f>
        <v>135</v>
      </c>
    </row>
    <row r="57" spans="1:19">
      <c r="A57" s="156">
        <v>46092</v>
      </c>
      <c r="B57" s="112" t="s">
        <v>1343</v>
      </c>
      <c r="C57" s="112"/>
      <c r="D57" s="112">
        <v>1115</v>
      </c>
      <c r="E57" s="113">
        <f>+E56+C57-D57</f>
        <v>754</v>
      </c>
      <c r="O57" s="109">
        <f>SUM(O54:O56)</f>
        <v>1000</v>
      </c>
      <c r="P57" s="109">
        <f>SUM(P54:P56)</f>
        <v>11000</v>
      </c>
      <c r="Q57" s="109">
        <f>SUM(Q54:Q56)</f>
        <v>12000</v>
      </c>
      <c r="R57" s="151">
        <f>S57/(Q57)</f>
        <v>4.1875000000000002E-2</v>
      </c>
      <c r="S57" s="109">
        <f>SUM(S54:S56)</f>
        <v>502.5</v>
      </c>
    </row>
    <row r="58" spans="1:19">
      <c r="A58" s="156">
        <v>46093</v>
      </c>
      <c r="B58" s="112" t="s">
        <v>1344</v>
      </c>
      <c r="C58" s="112"/>
      <c r="D58" s="112">
        <v>702</v>
      </c>
      <c r="E58" s="113">
        <f t="shared" ref="E58:E62" si="3">+E57+C58-D58</f>
        <v>52</v>
      </c>
    </row>
    <row r="59" spans="1:19">
      <c r="B59" s="112"/>
      <c r="E59" s="109">
        <f t="shared" si="3"/>
        <v>52</v>
      </c>
    </row>
    <row r="60" spans="1:19">
      <c r="A60" s="156">
        <v>46094</v>
      </c>
      <c r="B60" s="112" t="s">
        <v>1397</v>
      </c>
      <c r="C60" s="112">
        <v>100</v>
      </c>
      <c r="D60" s="112"/>
      <c r="E60" s="113">
        <f t="shared" si="3"/>
        <v>152</v>
      </c>
      <c r="F60" t="s">
        <v>1444</v>
      </c>
    </row>
    <row r="61" spans="1:19">
      <c r="A61" s="156">
        <v>46094</v>
      </c>
      <c r="B61" s="112" t="s">
        <v>1126</v>
      </c>
      <c r="C61" s="112"/>
      <c r="D61" s="112">
        <v>122</v>
      </c>
      <c r="E61" s="113">
        <f t="shared" si="3"/>
        <v>30</v>
      </c>
      <c r="F61" t="s">
        <v>1442</v>
      </c>
    </row>
    <row r="62" spans="1:19">
      <c r="B62" s="112"/>
      <c r="E62" s="109">
        <f t="shared" si="3"/>
        <v>30</v>
      </c>
      <c r="F62" t="s">
        <v>1443</v>
      </c>
    </row>
    <row r="63" spans="1:19">
      <c r="A63" s="156">
        <v>46097</v>
      </c>
      <c r="B63" s="112" t="s">
        <v>613</v>
      </c>
      <c r="C63" s="112">
        <v>749</v>
      </c>
      <c r="D63" s="112"/>
      <c r="E63" s="113">
        <f>+E62+C63-D63</f>
        <v>779</v>
      </c>
    </row>
    <row r="64" spans="1:19">
      <c r="A64" s="156">
        <v>46097</v>
      </c>
      <c r="B64" s="112" t="s">
        <v>1721</v>
      </c>
      <c r="C64" s="112">
        <v>500</v>
      </c>
      <c r="D64" s="112"/>
      <c r="E64" s="113">
        <f>+E63+C64-D64</f>
        <v>1279</v>
      </c>
      <c r="L64" s="158"/>
    </row>
    <row r="65" spans="1:12">
      <c r="A65" s="156">
        <v>46097</v>
      </c>
      <c r="B65" s="112" t="s">
        <v>1471</v>
      </c>
      <c r="C65" s="112">
        <v>120</v>
      </c>
      <c r="D65" s="112"/>
      <c r="E65" s="113">
        <f t="shared" ref="E65:E67" si="4">+E64+C65-D65</f>
        <v>1399</v>
      </c>
      <c r="L65" s="158"/>
    </row>
    <row r="66" spans="1:12">
      <c r="A66" s="156"/>
      <c r="B66" s="112"/>
      <c r="C66" s="112"/>
      <c r="D66" s="112"/>
      <c r="E66" s="113">
        <f t="shared" si="4"/>
        <v>1399</v>
      </c>
      <c r="L66" s="158"/>
    </row>
    <row r="67" spans="1:12">
      <c r="A67" s="156">
        <v>46098</v>
      </c>
      <c r="B67" s="112" t="s">
        <v>1488</v>
      </c>
      <c r="C67" s="213">
        <f>+苏信优先级Z2501!N38</f>
        <v>1780.3156821917812</v>
      </c>
      <c r="D67" s="112"/>
      <c r="E67" s="113">
        <f t="shared" si="4"/>
        <v>3179.315682191781</v>
      </c>
      <c r="F67" t="s">
        <v>1494</v>
      </c>
      <c r="L67" s="158"/>
    </row>
    <row r="68" spans="1:12">
      <c r="A68" s="156"/>
      <c r="B68" s="112" t="s">
        <v>1489</v>
      </c>
      <c r="C68" s="213">
        <f>+苏信优先级Z2501!N39</f>
        <v>2276.8068493150686</v>
      </c>
      <c r="D68" s="112"/>
      <c r="E68" s="113">
        <f t="shared" ref="E68:E76" si="5">+E67+C68-D68</f>
        <v>5456.1225315068496</v>
      </c>
      <c r="F68" t="s">
        <v>1494</v>
      </c>
      <c r="L68" s="158"/>
    </row>
    <row r="69" spans="1:12">
      <c r="A69" s="156">
        <v>46099</v>
      </c>
      <c r="B69" s="112" t="s">
        <v>606</v>
      </c>
      <c r="C69" s="112"/>
      <c r="D69" s="112">
        <v>101</v>
      </c>
      <c r="E69" s="113">
        <f t="shared" si="5"/>
        <v>5355.1225315068496</v>
      </c>
      <c r="L69" s="158"/>
    </row>
    <row r="70" spans="1:12">
      <c r="A70" s="156">
        <v>46101</v>
      </c>
      <c r="B70" s="112" t="s">
        <v>613</v>
      </c>
      <c r="C70" s="112">
        <v>24</v>
      </c>
      <c r="D70" s="112"/>
      <c r="E70" s="113">
        <f t="shared" si="5"/>
        <v>5379.1225315068496</v>
      </c>
      <c r="F70" s="347"/>
      <c r="L70" s="158"/>
    </row>
    <row r="71" spans="1:12">
      <c r="A71" s="156">
        <v>46104</v>
      </c>
      <c r="B71" s="112" t="s">
        <v>606</v>
      </c>
      <c r="C71" s="112"/>
      <c r="D71" s="112">
        <v>2955</v>
      </c>
      <c r="E71" s="113">
        <f t="shared" si="5"/>
        <v>2424.1225315068496</v>
      </c>
      <c r="L71" s="158"/>
    </row>
    <row r="72" spans="1:12">
      <c r="A72" s="156">
        <v>46104</v>
      </c>
      <c r="B72" s="112" t="s">
        <v>613</v>
      </c>
      <c r="C72" s="112">
        <v>336</v>
      </c>
      <c r="D72" s="112"/>
      <c r="E72" s="113">
        <f t="shared" si="5"/>
        <v>2760.1225315068496</v>
      </c>
      <c r="L72" s="158"/>
    </row>
    <row r="73" spans="1:12">
      <c r="A73" s="156">
        <v>46104</v>
      </c>
      <c r="B73" s="112" t="s">
        <v>581</v>
      </c>
      <c r="C73" s="112">
        <v>250</v>
      </c>
      <c r="D73" s="112"/>
      <c r="E73" s="113">
        <f t="shared" si="5"/>
        <v>3010.1225315068496</v>
      </c>
      <c r="L73" s="158"/>
    </row>
    <row r="74" spans="1:12">
      <c r="A74" s="156"/>
      <c r="B74" s="112"/>
      <c r="C74" s="112"/>
      <c r="D74" s="112"/>
      <c r="E74" s="113">
        <f t="shared" si="5"/>
        <v>3010.1225315068496</v>
      </c>
      <c r="L74" s="158"/>
    </row>
    <row r="75" spans="1:12">
      <c r="A75" s="156">
        <v>46105</v>
      </c>
      <c r="B75" s="112" t="s">
        <v>606</v>
      </c>
      <c r="C75" s="112"/>
      <c r="D75" s="112">
        <v>850</v>
      </c>
      <c r="E75" s="113">
        <f t="shared" si="5"/>
        <v>2160.1225315068496</v>
      </c>
      <c r="L75" s="158"/>
    </row>
    <row r="76" spans="1:12">
      <c r="A76" s="156">
        <v>46106</v>
      </c>
      <c r="B76" s="112" t="s">
        <v>1253</v>
      </c>
      <c r="C76" s="112"/>
      <c r="D76" s="112">
        <f>1000*101.707%</f>
        <v>1017.0699999999999</v>
      </c>
      <c r="E76" s="113">
        <f t="shared" si="5"/>
        <v>1143.0525315068496</v>
      </c>
      <c r="H76" s="2"/>
      <c r="I76" s="9"/>
    </row>
    <row r="77" spans="1:12">
      <c r="E77" s="109">
        <f t="shared" ref="E77:E82" si="6">+E76+C77-D77</f>
        <v>1143.0525315068496</v>
      </c>
      <c r="H77" s="2"/>
      <c r="I77" s="348"/>
    </row>
    <row r="78" spans="1:12">
      <c r="A78" s="156">
        <v>46108</v>
      </c>
      <c r="B78" s="116" t="s">
        <v>1594</v>
      </c>
      <c r="C78" s="112">
        <v>1006</v>
      </c>
      <c r="D78" s="112"/>
      <c r="E78" s="113">
        <f t="shared" si="6"/>
        <v>2149.0525315068498</v>
      </c>
      <c r="F78" s="109" t="s">
        <v>1665</v>
      </c>
      <c r="G78" s="109" t="s">
        <v>1667</v>
      </c>
      <c r="H78" s="2"/>
      <c r="I78" s="348"/>
    </row>
    <row r="79" spans="1:12">
      <c r="A79" s="156">
        <v>46108</v>
      </c>
      <c r="B79" s="116" t="s">
        <v>1595</v>
      </c>
      <c r="C79" s="112">
        <v>1500</v>
      </c>
      <c r="D79" s="112"/>
      <c r="E79" s="113">
        <f t="shared" si="6"/>
        <v>3649.0525315068498</v>
      </c>
      <c r="F79" s="109" t="s">
        <v>1674</v>
      </c>
      <c r="G79" s="109" t="s">
        <v>1668</v>
      </c>
      <c r="H79" s="2"/>
      <c r="I79" s="348"/>
    </row>
    <row r="80" spans="1:12">
      <c r="A80" s="156">
        <v>46111</v>
      </c>
      <c r="B80" s="112" t="s">
        <v>1554</v>
      </c>
      <c r="C80" s="112"/>
      <c r="D80" s="112">
        <v>1900</v>
      </c>
      <c r="E80" s="113">
        <f t="shared" si="6"/>
        <v>1749.0525315068498</v>
      </c>
      <c r="F80" t="s">
        <v>1685</v>
      </c>
      <c r="H80" s="2"/>
      <c r="I80" s="348"/>
    </row>
    <row r="81" spans="1:9">
      <c r="A81" s="156">
        <v>46112</v>
      </c>
      <c r="B81" s="112" t="s">
        <v>613</v>
      </c>
      <c r="C81" s="112">
        <v>50</v>
      </c>
      <c r="D81" s="112"/>
      <c r="E81" s="113">
        <f t="shared" si="6"/>
        <v>1799.0525315068498</v>
      </c>
      <c r="G81" s="201"/>
      <c r="H81" s="2"/>
      <c r="I81" s="348"/>
    </row>
    <row r="82" spans="1:9">
      <c r="A82" s="156"/>
      <c r="B82" s="112"/>
      <c r="C82" s="112"/>
      <c r="D82" s="112"/>
      <c r="E82" s="113">
        <f t="shared" si="6"/>
        <v>1799.0525315068498</v>
      </c>
    </row>
    <row r="83" spans="1:9">
      <c r="A83" s="156">
        <v>46120</v>
      </c>
      <c r="B83" s="112" t="s">
        <v>1608</v>
      </c>
      <c r="C83" s="112">
        <v>1103</v>
      </c>
      <c r="D83" s="112"/>
      <c r="E83" s="113">
        <f t="shared" ref="E83:E91" si="7">+E82+C83-D83</f>
        <v>2902.0525315068498</v>
      </c>
    </row>
    <row r="84" spans="1:9">
      <c r="A84" s="156">
        <v>46120</v>
      </c>
      <c r="B84" s="112" t="s">
        <v>571</v>
      </c>
      <c r="C84" s="112"/>
      <c r="D84" s="112">
        <f>759.664103+0.601897</f>
        <v>760.26599999999996</v>
      </c>
      <c r="E84" s="113">
        <f t="shared" si="7"/>
        <v>2141.7865315068498</v>
      </c>
    </row>
    <row r="85" spans="1:9">
      <c r="A85" s="156"/>
      <c r="B85" s="112"/>
      <c r="C85" s="112"/>
      <c r="D85" s="112"/>
      <c r="E85" s="113">
        <f>+E84+C85-D85</f>
        <v>2141.7865315068498</v>
      </c>
      <c r="G85" t="s">
        <v>849</v>
      </c>
    </row>
    <row r="86" spans="1:9">
      <c r="A86" s="156"/>
      <c r="B86" s="112"/>
      <c r="C86" s="112"/>
      <c r="D86" s="112"/>
      <c r="E86" s="113">
        <f>+E85+C86-D86</f>
        <v>2141.7865315068498</v>
      </c>
    </row>
    <row r="87" spans="1:9">
      <c r="A87" s="156">
        <v>46121</v>
      </c>
      <c r="B87" s="112" t="s">
        <v>1806</v>
      </c>
      <c r="C87" s="112"/>
      <c r="D87" s="112">
        <v>1000</v>
      </c>
      <c r="E87" s="113">
        <f>+E86+C87-D87</f>
        <v>1141.7865315068498</v>
      </c>
      <c r="F87" t="s">
        <v>1807</v>
      </c>
    </row>
    <row r="88" spans="1:9">
      <c r="A88" s="156"/>
      <c r="B88" s="112"/>
      <c r="C88" s="112"/>
      <c r="D88" s="112"/>
      <c r="E88" s="113">
        <f t="shared" si="7"/>
        <v>1141.7865315068498</v>
      </c>
    </row>
    <row r="89" spans="1:9">
      <c r="A89" s="156"/>
      <c r="B89" s="112"/>
      <c r="C89" s="112"/>
      <c r="D89" s="112"/>
      <c r="E89" s="113">
        <f t="shared" si="7"/>
        <v>1141.7865315068498</v>
      </c>
      <c r="F89" t="s">
        <v>1604</v>
      </c>
    </row>
    <row r="90" spans="1:9">
      <c r="A90" s="156"/>
      <c r="B90" s="112"/>
      <c r="C90" s="112"/>
      <c r="D90" s="112"/>
      <c r="E90" s="113">
        <f t="shared" si="7"/>
        <v>1141.7865315068498</v>
      </c>
      <c r="F90" t="s">
        <v>1768</v>
      </c>
    </row>
    <row r="91" spans="1:9">
      <c r="A91" s="156">
        <v>46122</v>
      </c>
      <c r="B91" s="112" t="s">
        <v>1365</v>
      </c>
      <c r="C91" s="112"/>
      <c r="D91" s="116">
        <v>27.825586000000001</v>
      </c>
      <c r="E91" s="113">
        <f t="shared" si="7"/>
        <v>1113.9609455068498</v>
      </c>
    </row>
    <row r="92" spans="1:9">
      <c r="A92" s="156">
        <v>46122</v>
      </c>
      <c r="B92" s="112" t="s">
        <v>1766</v>
      </c>
      <c r="C92" s="112"/>
      <c r="D92" s="116">
        <v>38.998922999999998</v>
      </c>
      <c r="E92" s="113">
        <f t="shared" ref="E92:E101" si="8">+E91+C92-D92</f>
        <v>1074.9620225068497</v>
      </c>
    </row>
    <row r="93" spans="1:9">
      <c r="A93" s="156"/>
      <c r="B93" s="112"/>
      <c r="C93" s="112"/>
      <c r="D93" s="112"/>
      <c r="E93" s="113">
        <v>1077</v>
      </c>
    </row>
    <row r="94" spans="1:9">
      <c r="A94" s="156">
        <v>46127</v>
      </c>
      <c r="B94" s="112" t="s">
        <v>619</v>
      </c>
      <c r="C94" s="112">
        <v>280</v>
      </c>
      <c r="D94" s="112"/>
      <c r="E94" s="113">
        <f t="shared" si="8"/>
        <v>1357</v>
      </c>
    </row>
    <row r="95" spans="1:9">
      <c r="A95" s="156">
        <v>46128</v>
      </c>
      <c r="B95" s="112" t="s">
        <v>1854</v>
      </c>
      <c r="C95" s="112">
        <v>305</v>
      </c>
      <c r="D95" s="112"/>
      <c r="E95" s="113">
        <f t="shared" si="8"/>
        <v>1662</v>
      </c>
      <c r="F95" s="399" t="s">
        <v>1883</v>
      </c>
      <c r="G95" s="399" t="s">
        <v>1884</v>
      </c>
      <c r="H95" t="s">
        <v>849</v>
      </c>
    </row>
    <row r="96" spans="1:9">
      <c r="A96" s="156"/>
      <c r="B96" s="112"/>
      <c r="C96" s="112"/>
      <c r="D96" s="112"/>
      <c r="E96" s="113">
        <f t="shared" si="8"/>
        <v>1662</v>
      </c>
    </row>
    <row r="97" spans="1:10">
      <c r="A97" s="156">
        <v>46129</v>
      </c>
      <c r="B97" s="112" t="s">
        <v>1828</v>
      </c>
      <c r="C97" s="112">
        <v>510</v>
      </c>
      <c r="D97" s="112"/>
      <c r="E97" s="113">
        <f t="shared" si="8"/>
        <v>2172</v>
      </c>
      <c r="F97" s="399" t="s">
        <v>1938</v>
      </c>
      <c r="G97" s="399" t="s">
        <v>1939</v>
      </c>
      <c r="H97" t="s">
        <v>849</v>
      </c>
    </row>
    <row r="98" spans="1:10">
      <c r="A98" s="156"/>
      <c r="B98" s="112"/>
      <c r="C98" s="112"/>
      <c r="D98" s="112"/>
      <c r="E98" s="113">
        <f t="shared" si="8"/>
        <v>2172</v>
      </c>
    </row>
    <row r="99" spans="1:10">
      <c r="A99" s="156">
        <v>46133</v>
      </c>
      <c r="B99" s="112" t="s">
        <v>581</v>
      </c>
      <c r="C99" s="112">
        <v>150</v>
      </c>
      <c r="D99" s="112"/>
      <c r="E99" s="113">
        <f t="shared" ref="E99:E100" si="9">+E98+C99-D99</f>
        <v>2322</v>
      </c>
      <c r="I99" s="282"/>
    </row>
    <row r="100" spans="1:10">
      <c r="A100" s="156">
        <v>46134</v>
      </c>
      <c r="B100" s="112" t="s">
        <v>2154</v>
      </c>
      <c r="C100" s="112"/>
      <c r="D100" s="112">
        <v>1000</v>
      </c>
      <c r="E100" s="113">
        <f t="shared" si="9"/>
        <v>1322</v>
      </c>
      <c r="F100" s="399" t="s">
        <v>2006</v>
      </c>
    </row>
    <row r="101" spans="1:10">
      <c r="A101" s="156">
        <v>46134</v>
      </c>
      <c r="B101" s="112" t="s">
        <v>899</v>
      </c>
      <c r="C101" s="112">
        <v>508.27</v>
      </c>
      <c r="D101" s="112"/>
      <c r="E101" s="113">
        <f t="shared" si="8"/>
        <v>1830.27</v>
      </c>
    </row>
    <row r="102" spans="1:10">
      <c r="A102" s="156">
        <v>46134</v>
      </c>
      <c r="B102" s="112" t="s">
        <v>2059</v>
      </c>
      <c r="C102" s="112"/>
      <c r="D102" s="112">
        <v>350.4</v>
      </c>
      <c r="E102" s="113">
        <f t="shared" ref="E102:E111" si="10">+E101+C102-D102</f>
        <v>1479.87</v>
      </c>
    </row>
    <row r="103" spans="1:10">
      <c r="A103" s="156">
        <v>46134</v>
      </c>
      <c r="B103" s="112" t="s">
        <v>1114</v>
      </c>
      <c r="C103" s="112">
        <v>350</v>
      </c>
      <c r="D103" s="112"/>
      <c r="E103" s="113">
        <f t="shared" si="10"/>
        <v>1829.87</v>
      </c>
      <c r="F103" t="s">
        <v>2062</v>
      </c>
    </row>
    <row r="104" spans="1:10">
      <c r="A104" s="156"/>
      <c r="B104" s="112"/>
      <c r="C104" s="112"/>
      <c r="D104" s="112"/>
      <c r="E104" s="113">
        <f>+E103+C104-D104</f>
        <v>1829.87</v>
      </c>
    </row>
    <row r="105" spans="1:10">
      <c r="A105" s="156">
        <v>46139</v>
      </c>
      <c r="B105" s="112" t="s">
        <v>613</v>
      </c>
      <c r="C105" s="112">
        <v>38.9</v>
      </c>
      <c r="D105" s="112"/>
      <c r="E105" s="113">
        <f>+E104+C105-D105</f>
        <v>1868.77</v>
      </c>
    </row>
    <row r="106" spans="1:10">
      <c r="A106" s="156">
        <v>46139</v>
      </c>
      <c r="B106" s="112" t="s">
        <v>581</v>
      </c>
      <c r="C106" s="112">
        <v>570</v>
      </c>
      <c r="D106" s="112"/>
      <c r="E106" s="113">
        <f>+E105+C106-D106</f>
        <v>2438.77</v>
      </c>
      <c r="F106" s="308" t="s">
        <v>2159</v>
      </c>
      <c r="G106" s="308" t="s">
        <v>2172</v>
      </c>
    </row>
    <row r="107" spans="1:10">
      <c r="A107" s="286">
        <v>46139</v>
      </c>
      <c r="B107" s="274" t="s">
        <v>2061</v>
      </c>
      <c r="C107" s="274">
        <v>799</v>
      </c>
      <c r="D107" s="274"/>
      <c r="E107" s="113">
        <f t="shared" si="10"/>
        <v>3237.77</v>
      </c>
      <c r="F107" s="308" t="s">
        <v>2170</v>
      </c>
      <c r="G107" s="308"/>
      <c r="H107" s="308" t="s">
        <v>2171</v>
      </c>
      <c r="I107"/>
    </row>
    <row r="108" spans="1:10">
      <c r="A108" s="156"/>
      <c r="B108" s="112"/>
      <c r="C108" s="112"/>
      <c r="D108" s="112"/>
      <c r="E108" s="113">
        <f t="shared" si="10"/>
        <v>3237.77</v>
      </c>
      <c r="I108"/>
    </row>
    <row r="109" spans="1:10">
      <c r="A109" s="156">
        <v>46139</v>
      </c>
      <c r="B109" s="112" t="s">
        <v>2060</v>
      </c>
      <c r="C109" s="112"/>
      <c r="D109" s="112">
        <v>1400.78</v>
      </c>
      <c r="E109" s="113">
        <f t="shared" si="10"/>
        <v>1836.99</v>
      </c>
      <c r="F109" t="s">
        <v>1216</v>
      </c>
      <c r="I109"/>
    </row>
    <row r="110" spans="1:10">
      <c r="A110" s="252">
        <v>46139</v>
      </c>
      <c r="B110" s="253" t="s">
        <v>2001</v>
      </c>
      <c r="C110" s="120">
        <v>600</v>
      </c>
      <c r="D110" s="253"/>
      <c r="E110" s="369">
        <f t="shared" si="10"/>
        <v>2436.9899999999998</v>
      </c>
      <c r="F110" s="473" t="s">
        <v>2193</v>
      </c>
      <c r="G110" s="308" t="s">
        <v>2171</v>
      </c>
      <c r="I110"/>
    </row>
    <row r="111" spans="1:10">
      <c r="A111" s="252">
        <v>46139</v>
      </c>
      <c r="B111" s="253" t="s">
        <v>552</v>
      </c>
      <c r="C111" s="120">
        <v>200</v>
      </c>
      <c r="D111" s="253"/>
      <c r="E111" s="369">
        <f t="shared" si="10"/>
        <v>2636.99</v>
      </c>
      <c r="F111" s="473" t="s">
        <v>2194</v>
      </c>
      <c r="G111" s="308" t="s">
        <v>2171</v>
      </c>
      <c r="I111"/>
    </row>
    <row r="112" spans="1:10">
      <c r="A112" s="156">
        <v>46139</v>
      </c>
      <c r="B112" s="112" t="s">
        <v>2160</v>
      </c>
      <c r="C112" s="112"/>
      <c r="D112" s="112">
        <v>2000</v>
      </c>
      <c r="E112" s="113">
        <f>+E111+C112-D112</f>
        <v>636.98999999999978</v>
      </c>
      <c r="F112" s="399" t="s">
        <v>816</v>
      </c>
      <c r="G112" t="s">
        <v>2124</v>
      </c>
      <c r="H112" s="4"/>
      <c r="I112"/>
      <c r="J112"/>
    </row>
    <row r="113" spans="1:9">
      <c r="A113" s="156">
        <v>46139</v>
      </c>
      <c r="B113" s="112" t="s">
        <v>2161</v>
      </c>
      <c r="C113" s="112"/>
      <c r="D113" s="112">
        <v>500</v>
      </c>
      <c r="E113" s="113">
        <f t="shared" ref="E113:E116" si="11">+E112+C113-D113</f>
        <v>136.98999999999978</v>
      </c>
      <c r="F113" s="399" t="s">
        <v>816</v>
      </c>
    </row>
    <row r="114" spans="1:9">
      <c r="A114" s="156">
        <v>46139</v>
      </c>
      <c r="B114" s="112" t="s">
        <v>2275</v>
      </c>
      <c r="C114" s="112">
        <v>32.04</v>
      </c>
      <c r="D114" s="112"/>
      <c r="E114" s="113">
        <f t="shared" si="11"/>
        <v>169.02999999999977</v>
      </c>
    </row>
    <row r="115" spans="1:9">
      <c r="A115" s="156">
        <v>46140</v>
      </c>
      <c r="B115" s="112" t="s">
        <v>613</v>
      </c>
      <c r="C115" s="112">
        <v>31</v>
      </c>
      <c r="D115" s="112"/>
      <c r="E115" s="113">
        <f t="shared" si="11"/>
        <v>200.02999999999977</v>
      </c>
    </row>
    <row r="116" spans="1:9">
      <c r="A116" s="156">
        <v>46140</v>
      </c>
      <c r="B116" s="112" t="s">
        <v>1999</v>
      </c>
      <c r="C116" s="112">
        <v>607</v>
      </c>
      <c r="D116" s="112"/>
      <c r="E116" s="113">
        <f t="shared" si="11"/>
        <v>807.02999999999975</v>
      </c>
      <c r="F116" s="399" t="s">
        <v>2227</v>
      </c>
    </row>
    <row r="117" spans="1:9">
      <c r="A117" s="156">
        <v>46142</v>
      </c>
      <c r="B117" s="112" t="s">
        <v>2212</v>
      </c>
      <c r="C117" s="112">
        <v>206</v>
      </c>
      <c r="D117" s="112"/>
      <c r="E117" s="113">
        <f t="shared" ref="E117:E126" si="12">+E116+C117-D117</f>
        <v>1013.0299999999997</v>
      </c>
    </row>
    <row r="118" spans="1:9">
      <c r="A118" s="156">
        <v>46148</v>
      </c>
      <c r="B118" s="112" t="s">
        <v>2388</v>
      </c>
      <c r="C118" s="112">
        <v>4.4000000000000004</v>
      </c>
      <c r="D118" s="112"/>
      <c r="E118" s="113">
        <f t="shared" si="12"/>
        <v>1017.4299999999997</v>
      </c>
    </row>
    <row r="119" spans="1:9">
      <c r="A119" s="156">
        <v>46148</v>
      </c>
      <c r="B119" s="112" t="s">
        <v>2352</v>
      </c>
      <c r="C119" s="112">
        <v>12.8</v>
      </c>
      <c r="D119" s="112"/>
      <c r="E119" s="113">
        <f t="shared" si="12"/>
        <v>1030.2299999999998</v>
      </c>
    </row>
    <row r="120" spans="1:9">
      <c r="A120" s="156">
        <v>46150</v>
      </c>
      <c r="B120" s="112" t="s">
        <v>1114</v>
      </c>
      <c r="C120" s="112">
        <v>300</v>
      </c>
      <c r="D120" s="112"/>
      <c r="E120" s="113">
        <f t="shared" si="12"/>
        <v>1330.2299999999998</v>
      </c>
    </row>
    <row r="121" spans="1:9">
      <c r="A121" s="156">
        <v>46150</v>
      </c>
      <c r="B121" s="112" t="s">
        <v>1993</v>
      </c>
      <c r="C121" s="112"/>
      <c r="D121" s="113">
        <v>1195.7</v>
      </c>
      <c r="E121" s="113">
        <v>132</v>
      </c>
      <c r="I121"/>
    </row>
    <row r="122" spans="1:9">
      <c r="A122" s="156">
        <v>46157</v>
      </c>
      <c r="B122" s="112" t="s">
        <v>2454</v>
      </c>
      <c r="C122" s="112">
        <v>203</v>
      </c>
      <c r="D122" s="113"/>
      <c r="E122" s="113">
        <f>+E121+C122-D122</f>
        <v>335</v>
      </c>
      <c r="I122"/>
    </row>
    <row r="123" spans="1:9">
      <c r="A123" s="156">
        <v>46160</v>
      </c>
      <c r="B123" s="112" t="s">
        <v>581</v>
      </c>
      <c r="C123" s="112">
        <v>450</v>
      </c>
      <c r="D123" s="113"/>
      <c r="E123" s="113">
        <f>+E122+C123-D123</f>
        <v>785</v>
      </c>
      <c r="F123" s="112" t="s">
        <v>2516</v>
      </c>
      <c r="I123"/>
    </row>
    <row r="124" spans="1:9">
      <c r="A124" s="156">
        <v>46160</v>
      </c>
      <c r="B124" s="112" t="s">
        <v>1114</v>
      </c>
      <c r="C124" s="112">
        <v>250</v>
      </c>
      <c r="D124" s="113"/>
      <c r="E124" s="113">
        <f>+E123+C124-D124</f>
        <v>1035</v>
      </c>
      <c r="F124" s="112"/>
      <c r="I124"/>
    </row>
    <row r="125" spans="1:9">
      <c r="A125" s="156">
        <v>46160</v>
      </c>
      <c r="B125" s="112" t="s">
        <v>2263</v>
      </c>
      <c r="C125" s="112"/>
      <c r="D125" s="112">
        <v>1000</v>
      </c>
      <c r="E125" s="113">
        <f>+E124+C125-D125</f>
        <v>35</v>
      </c>
      <c r="F125" s="112" t="s">
        <v>2535</v>
      </c>
    </row>
    <row r="126" spans="1:9">
      <c r="E126" s="109">
        <f t="shared" si="12"/>
        <v>35</v>
      </c>
    </row>
    <row r="127" spans="1:9">
      <c r="A127" s="445">
        <v>46161</v>
      </c>
      <c r="B127" s="122" t="s">
        <v>1721</v>
      </c>
      <c r="C127" s="122">
        <v>4000</v>
      </c>
      <c r="D127" s="122"/>
      <c r="E127" s="548">
        <f t="shared" ref="E127:E139" si="13">+E126+C127-D127</f>
        <v>4035</v>
      </c>
      <c r="F127" s="122" t="s">
        <v>2516</v>
      </c>
    </row>
    <row r="128" spans="1:9">
      <c r="A128" s="4">
        <v>46161</v>
      </c>
      <c r="B128" t="s">
        <v>1989</v>
      </c>
      <c r="D128">
        <v>2000</v>
      </c>
      <c r="E128" s="109">
        <f t="shared" si="13"/>
        <v>2035</v>
      </c>
      <c r="F128" s="399" t="s">
        <v>2486</v>
      </c>
    </row>
    <row r="129" spans="1:7">
      <c r="A129" s="4">
        <v>46161</v>
      </c>
      <c r="B129" t="s">
        <v>523</v>
      </c>
      <c r="D129">
        <v>900</v>
      </c>
      <c r="E129" s="109">
        <f t="shared" si="13"/>
        <v>1135</v>
      </c>
      <c r="F129" s="399" t="s">
        <v>2487</v>
      </c>
    </row>
    <row r="130" spans="1:7">
      <c r="E130" s="109">
        <f t="shared" si="13"/>
        <v>1135</v>
      </c>
    </row>
    <row r="131" spans="1:7">
      <c r="E131" s="109">
        <f>+E130+C131-D131</f>
        <v>1135</v>
      </c>
    </row>
    <row r="132" spans="1:7">
      <c r="A132" s="4">
        <v>46167</v>
      </c>
      <c r="B132" t="s">
        <v>606</v>
      </c>
      <c r="D132">
        <v>250</v>
      </c>
      <c r="E132" s="109">
        <f>+E131+C132-D132</f>
        <v>885</v>
      </c>
    </row>
    <row r="133" spans="1:7">
      <c r="A133" s="4">
        <v>46167</v>
      </c>
      <c r="B133" t="s">
        <v>2458</v>
      </c>
      <c r="C133">
        <v>1205</v>
      </c>
      <c r="E133" s="109">
        <f>+E132+C133-D133</f>
        <v>2090</v>
      </c>
      <c r="F133" t="s">
        <v>1604</v>
      </c>
    </row>
    <row r="134" spans="1:7">
      <c r="E134" s="109">
        <f t="shared" si="13"/>
        <v>2090</v>
      </c>
    </row>
    <row r="135" spans="1:7">
      <c r="E135" s="109">
        <f t="shared" si="13"/>
        <v>2090</v>
      </c>
    </row>
    <row r="136" spans="1:7">
      <c r="E136" s="109">
        <f t="shared" si="13"/>
        <v>2090</v>
      </c>
    </row>
    <row r="137" spans="1:7">
      <c r="E137" s="109">
        <f t="shared" si="13"/>
        <v>2090</v>
      </c>
    </row>
    <row r="138" spans="1:7">
      <c r="E138" s="109">
        <f t="shared" si="13"/>
        <v>2090</v>
      </c>
    </row>
    <row r="139" spans="1:7">
      <c r="E139" s="109">
        <f t="shared" si="13"/>
        <v>2090</v>
      </c>
    </row>
    <row r="140" spans="1:7">
      <c r="A140" s="4" t="s">
        <v>1891</v>
      </c>
      <c r="B140" t="s">
        <v>2250</v>
      </c>
      <c r="D140">
        <v>2500</v>
      </c>
      <c r="E140" s="109">
        <f>+E139+C140-D140</f>
        <v>-410</v>
      </c>
      <c r="G140" t="s">
        <v>2013</v>
      </c>
    </row>
    <row r="141" spans="1:7">
      <c r="E141" s="109">
        <f t="shared" ref="E141:E146" si="14">+E140+C141-D141</f>
        <v>-410</v>
      </c>
    </row>
    <row r="142" spans="1:7">
      <c r="E142" s="109">
        <f t="shared" si="14"/>
        <v>-410</v>
      </c>
    </row>
    <row r="143" spans="1:7">
      <c r="E143" s="109">
        <f t="shared" si="14"/>
        <v>-410</v>
      </c>
    </row>
    <row r="144" spans="1:7">
      <c r="E144" s="109">
        <f t="shared" si="14"/>
        <v>-410</v>
      </c>
    </row>
    <row r="145" spans="5:5">
      <c r="E145" s="109">
        <f t="shared" si="14"/>
        <v>-410</v>
      </c>
    </row>
    <row r="146" spans="5:5">
      <c r="E146" s="109">
        <f t="shared" si="14"/>
        <v>-410</v>
      </c>
    </row>
  </sheetData>
  <phoneticPr fontId="6" type="noConversion"/>
  <conditionalFormatting sqref="E1:E1048576">
    <cfRule type="cellIs" dxfId="81" priority="1"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32AD8-A353-4A98-9179-FC3039EC296F}">
  <sheetPr codeName="Sheet4"/>
  <dimension ref="A1:V304"/>
  <sheetViews>
    <sheetView zoomScaleNormal="100" workbookViewId="0">
      <pane ySplit="2" topLeftCell="A248" activePane="bottomLeft" state="frozen"/>
      <selection pane="bottomLeft" activeCell="D272" sqref="D272"/>
    </sheetView>
  </sheetViews>
  <sheetFormatPr defaultRowHeight="16.5"/>
  <cols>
    <col min="1" max="1" width="10" style="4" bestFit="1" customWidth="1"/>
    <col min="2" max="2" width="15.125" customWidth="1"/>
    <col min="3" max="3" width="11.625" customWidth="1"/>
    <col min="4" max="4" width="10.625" customWidth="1"/>
    <col min="5" max="5" width="8.75" style="109" bestFit="1" customWidth="1"/>
    <col min="7" max="7" width="9" customWidth="1"/>
    <col min="8" max="8" width="14" bestFit="1" customWidth="1"/>
    <col min="9" max="9" width="9.625" style="2" customWidth="1"/>
    <col min="10" max="10" width="17.375" style="9" bestFit="1" customWidth="1"/>
    <col min="11" max="11" width="14.75" style="9" bestFit="1" customWidth="1"/>
    <col min="12" max="12" width="10.75" style="2" bestFit="1" customWidth="1"/>
    <col min="13" max="13" width="11.125" bestFit="1" customWidth="1"/>
    <col min="14" max="14" width="13.375" bestFit="1" customWidth="1"/>
    <col min="15" max="15" width="11.125" bestFit="1" customWidth="1"/>
    <col min="16" max="16" width="10.75" bestFit="1" customWidth="1"/>
    <col min="17" max="17" width="11.25" customWidth="1"/>
    <col min="18" max="18" width="10.875" customWidth="1"/>
    <col min="20" max="20" width="11.125" bestFit="1" customWidth="1"/>
  </cols>
  <sheetData>
    <row r="1" spans="1:6" ht="14.1" customHeight="1">
      <c r="A1" s="10"/>
      <c r="B1" s="10"/>
      <c r="C1" s="10"/>
      <c r="D1" s="10"/>
      <c r="E1" s="10"/>
    </row>
    <row r="2" spans="1:6">
      <c r="A2" s="4" t="s">
        <v>0</v>
      </c>
      <c r="B2" t="s">
        <v>1</v>
      </c>
      <c r="C2" t="s">
        <v>2</v>
      </c>
      <c r="D2" t="s">
        <v>3</v>
      </c>
      <c r="E2" s="109" t="s">
        <v>4</v>
      </c>
    </row>
    <row r="3" spans="1:6">
      <c r="A3" s="156">
        <v>46023</v>
      </c>
      <c r="B3" s="112"/>
      <c r="C3" s="112"/>
      <c r="D3" s="112"/>
      <c r="E3" s="113">
        <v>97</v>
      </c>
    </row>
    <row r="4" spans="1:6">
      <c r="A4" s="110">
        <v>46031</v>
      </c>
      <c r="B4" s="115" t="s">
        <v>312</v>
      </c>
      <c r="C4" s="112">
        <v>500</v>
      </c>
      <c r="D4" s="112"/>
      <c r="E4" s="369">
        <f t="shared" ref="E4:E26" si="0">E3+C4-D4</f>
        <v>597</v>
      </c>
    </row>
    <row r="5" spans="1:6">
      <c r="A5" s="112"/>
      <c r="B5" s="115"/>
      <c r="C5" s="112"/>
      <c r="D5" s="112"/>
      <c r="E5" s="369">
        <v>579</v>
      </c>
    </row>
    <row r="6" spans="1:6">
      <c r="A6" s="110">
        <v>46034</v>
      </c>
      <c r="B6" s="112" t="s">
        <v>325</v>
      </c>
      <c r="C6" s="112"/>
      <c r="D6" s="209">
        <f>365*1.11025</f>
        <v>405.24124999999998</v>
      </c>
      <c r="E6" s="369">
        <f t="shared" si="0"/>
        <v>173.75875000000002</v>
      </c>
      <c r="F6" t="s">
        <v>569</v>
      </c>
    </row>
    <row r="7" spans="1:6">
      <c r="A7" s="110">
        <v>46035</v>
      </c>
      <c r="B7" s="112" t="s">
        <v>581</v>
      </c>
      <c r="C7" s="112">
        <v>450</v>
      </c>
      <c r="D7" s="209"/>
      <c r="E7" s="369">
        <f t="shared" si="0"/>
        <v>623.75874999999996</v>
      </c>
    </row>
    <row r="8" spans="1:6">
      <c r="A8" s="110">
        <v>46035</v>
      </c>
      <c r="B8" s="112" t="s">
        <v>587</v>
      </c>
      <c r="C8" s="112"/>
      <c r="D8" s="209">
        <f>279*1.09225</f>
        <v>304.73775000000001</v>
      </c>
      <c r="E8" s="369">
        <f t="shared" si="0"/>
        <v>319.02099999999996</v>
      </c>
      <c r="F8" t="s">
        <v>602</v>
      </c>
    </row>
    <row r="9" spans="1:6">
      <c r="A9" s="110">
        <v>46035</v>
      </c>
      <c r="B9" s="112" t="s">
        <v>630</v>
      </c>
      <c r="C9" s="112">
        <v>50</v>
      </c>
      <c r="D9" s="112"/>
      <c r="E9" s="369">
        <f t="shared" si="0"/>
        <v>369.02099999999996</v>
      </c>
    </row>
    <row r="10" spans="1:6">
      <c r="A10" s="110">
        <v>46037</v>
      </c>
      <c r="B10" s="112" t="s">
        <v>613</v>
      </c>
      <c r="C10" s="112">
        <v>319</v>
      </c>
      <c r="D10" s="112"/>
      <c r="E10" s="369">
        <f t="shared" si="0"/>
        <v>688.02099999999996</v>
      </c>
    </row>
    <row r="11" spans="1:6">
      <c r="A11" s="110">
        <v>46038</v>
      </c>
      <c r="B11" s="112" t="s">
        <v>921</v>
      </c>
      <c r="C11" s="112"/>
      <c r="D11" s="112">
        <v>54</v>
      </c>
      <c r="E11" s="369">
        <f t="shared" si="0"/>
        <v>634.02099999999996</v>
      </c>
    </row>
    <row r="12" spans="1:6">
      <c r="A12" s="110">
        <v>46038</v>
      </c>
      <c r="B12" s="112" t="s">
        <v>785</v>
      </c>
      <c r="C12" s="112">
        <v>300</v>
      </c>
      <c r="D12" s="112"/>
      <c r="E12" s="369">
        <f t="shared" si="0"/>
        <v>934.02099999999996</v>
      </c>
    </row>
    <row r="13" spans="1:6">
      <c r="A13" s="110"/>
      <c r="B13" s="112"/>
      <c r="C13" s="112"/>
      <c r="D13" s="112"/>
      <c r="E13" s="369">
        <f t="shared" si="0"/>
        <v>934.02099999999996</v>
      </c>
    </row>
    <row r="14" spans="1:6">
      <c r="A14" s="110">
        <v>46041</v>
      </c>
      <c r="B14" s="112" t="s">
        <v>784</v>
      </c>
      <c r="C14" s="112"/>
      <c r="D14" s="112">
        <v>17.7</v>
      </c>
      <c r="E14" s="369">
        <f t="shared" si="0"/>
        <v>916.32099999999991</v>
      </c>
    </row>
    <row r="15" spans="1:6">
      <c r="A15" s="110">
        <v>46041</v>
      </c>
      <c r="B15" s="115" t="s">
        <v>326</v>
      </c>
      <c r="C15" s="112"/>
      <c r="D15" s="112"/>
      <c r="E15" s="369">
        <f t="shared" si="0"/>
        <v>916.32099999999991</v>
      </c>
      <c r="F15" s="9" t="s">
        <v>846</v>
      </c>
    </row>
    <row r="16" spans="1:6">
      <c r="A16" s="112"/>
      <c r="B16" s="202" t="s">
        <v>327</v>
      </c>
      <c r="C16" s="210">
        <v>308.06700000000001</v>
      </c>
      <c r="D16" s="224"/>
      <c r="E16" s="369">
        <f t="shared" si="0"/>
        <v>1224.3879999999999</v>
      </c>
      <c r="F16" s="9" t="s">
        <v>838</v>
      </c>
    </row>
    <row r="17" spans="1:8">
      <c r="A17" s="112"/>
      <c r="B17" s="203" t="s">
        <v>328</v>
      </c>
      <c r="C17" s="210">
        <v>385.94787671232882</v>
      </c>
      <c r="D17" s="224"/>
      <c r="E17" s="369">
        <f t="shared" si="0"/>
        <v>1610.3358767123286</v>
      </c>
      <c r="F17" s="9" t="s">
        <v>839</v>
      </c>
    </row>
    <row r="18" spans="1:8">
      <c r="A18" s="112"/>
      <c r="B18" s="203" t="s">
        <v>329</v>
      </c>
      <c r="C18" s="210">
        <v>1864.3420317123289</v>
      </c>
      <c r="D18" s="224"/>
      <c r="E18" s="369">
        <f t="shared" si="0"/>
        <v>3474.6779084246573</v>
      </c>
      <c r="F18" s="9" t="s">
        <v>841</v>
      </c>
    </row>
    <row r="19" spans="1:8">
      <c r="A19" s="112"/>
      <c r="B19" s="204" t="s">
        <v>843</v>
      </c>
      <c r="C19" s="112">
        <v>518.08000000000004</v>
      </c>
      <c r="D19" s="224"/>
      <c r="E19" s="369">
        <f t="shared" si="0"/>
        <v>3992.7579084246572</v>
      </c>
    </row>
    <row r="20" spans="1:8">
      <c r="A20" s="112"/>
      <c r="B20" s="112"/>
      <c r="C20" s="112"/>
      <c r="D20" s="112"/>
      <c r="E20" s="369">
        <f t="shared" si="0"/>
        <v>3992.7579084246572</v>
      </c>
    </row>
    <row r="21" spans="1:8">
      <c r="A21" s="110">
        <v>46041</v>
      </c>
      <c r="B21" s="115" t="s">
        <v>330</v>
      </c>
      <c r="C21" s="112"/>
      <c r="D21" s="112">
        <v>1762</v>
      </c>
      <c r="E21" s="369">
        <f t="shared" si="0"/>
        <v>2230.7579084246572</v>
      </c>
      <c r="F21" t="s">
        <v>634</v>
      </c>
    </row>
    <row r="22" spans="1:8">
      <c r="A22" s="110">
        <v>46041</v>
      </c>
      <c r="B22" s="112" t="s">
        <v>631</v>
      </c>
      <c r="C22" s="112">
        <v>189</v>
      </c>
      <c r="D22" s="112"/>
      <c r="E22" s="369">
        <f t="shared" si="0"/>
        <v>2419.7579084246572</v>
      </c>
      <c r="H22" s="169"/>
    </row>
    <row r="23" spans="1:8">
      <c r="A23" s="110">
        <v>46041</v>
      </c>
      <c r="B23" s="112" t="s">
        <v>789</v>
      </c>
      <c r="C23" s="112"/>
      <c r="D23" s="112">
        <f>1500*1.07743</f>
        <v>1616.1450000000002</v>
      </c>
      <c r="E23" s="369">
        <f t="shared" si="0"/>
        <v>803.61290842465701</v>
      </c>
      <c r="F23" t="s">
        <v>823</v>
      </c>
      <c r="H23" s="169"/>
    </row>
    <row r="24" spans="1:8">
      <c r="A24" s="110">
        <v>46041</v>
      </c>
      <c r="B24" s="112" t="s">
        <v>606</v>
      </c>
      <c r="C24" s="112"/>
      <c r="D24" s="112">
        <v>498</v>
      </c>
      <c r="E24" s="369">
        <v>298</v>
      </c>
      <c r="H24" s="169"/>
    </row>
    <row r="25" spans="1:8">
      <c r="A25" s="110">
        <v>46043</v>
      </c>
      <c r="B25" s="112" t="s">
        <v>588</v>
      </c>
      <c r="C25" s="112">
        <f>1960*1.01973</f>
        <v>1998.6708000000001</v>
      </c>
      <c r="D25" s="112"/>
      <c r="E25" s="369">
        <f t="shared" si="0"/>
        <v>2296.6707999999999</v>
      </c>
      <c r="F25" t="s">
        <v>865</v>
      </c>
      <c r="H25" s="169"/>
    </row>
    <row r="26" spans="1:8">
      <c r="A26" s="110">
        <v>46043</v>
      </c>
      <c r="B26" s="112" t="s">
        <v>861</v>
      </c>
      <c r="C26" s="112">
        <v>1015</v>
      </c>
      <c r="D26" s="112"/>
      <c r="E26" s="369">
        <f t="shared" si="0"/>
        <v>3311.6707999999999</v>
      </c>
      <c r="H26" s="169"/>
    </row>
    <row r="27" spans="1:8">
      <c r="A27" s="110">
        <v>46043</v>
      </c>
      <c r="B27" s="112" t="s">
        <v>862</v>
      </c>
      <c r="C27" s="112"/>
      <c r="D27" s="112">
        <v>3206</v>
      </c>
      <c r="E27" s="369">
        <f>E26+C27-D27</f>
        <v>105.67079999999987</v>
      </c>
      <c r="H27" s="169"/>
    </row>
    <row r="28" spans="1:8">
      <c r="A28" s="110">
        <v>46044</v>
      </c>
      <c r="B28" s="112" t="s">
        <v>863</v>
      </c>
      <c r="C28" s="112"/>
      <c r="D28" s="112">
        <v>8</v>
      </c>
      <c r="E28" s="369">
        <f>E27+C28-D28</f>
        <v>97.670799999999872</v>
      </c>
      <c r="H28" s="169"/>
    </row>
    <row r="29" spans="1:8">
      <c r="A29" s="110">
        <v>46044</v>
      </c>
      <c r="B29" s="112" t="s">
        <v>881</v>
      </c>
      <c r="C29" s="112">
        <v>263</v>
      </c>
      <c r="D29" s="112"/>
      <c r="E29" s="369">
        <f t="shared" ref="E29:E31" si="1">E28+C29-D29</f>
        <v>360.67079999999987</v>
      </c>
      <c r="H29" s="169"/>
    </row>
    <row r="30" spans="1:8">
      <c r="A30" s="110">
        <v>46044</v>
      </c>
      <c r="B30" s="112" t="s">
        <v>795</v>
      </c>
      <c r="C30" s="112"/>
      <c r="D30" s="112">
        <v>100</v>
      </c>
      <c r="E30" s="369">
        <f t="shared" si="1"/>
        <v>260.67079999999987</v>
      </c>
      <c r="F30" t="s">
        <v>867</v>
      </c>
      <c r="H30" s="169"/>
    </row>
    <row r="31" spans="1:8">
      <c r="A31" s="117"/>
      <c r="E31" s="369">
        <f t="shared" si="1"/>
        <v>260.67079999999987</v>
      </c>
      <c r="H31" s="169"/>
    </row>
    <row r="32" spans="1:8">
      <c r="A32" s="110">
        <v>46044</v>
      </c>
      <c r="B32" s="112" t="s">
        <v>891</v>
      </c>
      <c r="C32" s="112">
        <v>2050</v>
      </c>
      <c r="D32" s="112"/>
      <c r="E32" s="369">
        <f t="shared" ref="E32:E34" si="2">E31+C32-D32</f>
        <v>2310.6707999999999</v>
      </c>
      <c r="F32" s="112" t="s">
        <v>895</v>
      </c>
      <c r="G32" s="112"/>
      <c r="H32" s="169"/>
    </row>
    <row r="33" spans="1:19">
      <c r="A33" s="110">
        <v>46045</v>
      </c>
      <c r="B33" s="112" t="s">
        <v>859</v>
      </c>
      <c r="C33" s="112"/>
      <c r="D33" s="112">
        <f>470*1.08874</f>
        <v>511.70780000000002</v>
      </c>
      <c r="E33" s="369">
        <f t="shared" si="2"/>
        <v>1798.9629999999997</v>
      </c>
      <c r="F33" s="218" t="s">
        <v>896</v>
      </c>
      <c r="H33" s="169"/>
    </row>
    <row r="34" spans="1:19">
      <c r="A34" s="110">
        <v>46045</v>
      </c>
      <c r="B34" s="112" t="s">
        <v>860</v>
      </c>
      <c r="C34" s="112"/>
      <c r="D34" s="112">
        <f>350*1.06951</f>
        <v>374.32849999999996</v>
      </c>
      <c r="E34" s="369">
        <f t="shared" si="2"/>
        <v>1424.6344999999997</v>
      </c>
      <c r="F34" s="112" t="s">
        <v>897</v>
      </c>
      <c r="H34" s="169"/>
    </row>
    <row r="35" spans="1:19">
      <c r="A35" s="110"/>
      <c r="B35" s="112"/>
      <c r="C35" s="112"/>
      <c r="D35" s="112"/>
      <c r="E35" s="369">
        <v>1427</v>
      </c>
      <c r="F35" s="112"/>
      <c r="G35" s="112"/>
      <c r="H35" s="169"/>
    </row>
    <row r="36" spans="1:19">
      <c r="A36" s="110">
        <v>46048</v>
      </c>
      <c r="B36" s="112" t="s">
        <v>866</v>
      </c>
      <c r="C36" s="112"/>
      <c r="D36" s="112">
        <f>400*1.22349</f>
        <v>489.39599999999996</v>
      </c>
      <c r="E36" s="369">
        <f t="shared" ref="E36:E60" si="3">E35+C36-D36</f>
        <v>937.60400000000004</v>
      </c>
      <c r="F36" s="217" t="s">
        <v>914</v>
      </c>
      <c r="H36" s="169"/>
    </row>
    <row r="37" spans="1:19">
      <c r="A37" s="110">
        <v>46048</v>
      </c>
      <c r="B37" s="227" t="s">
        <v>917</v>
      </c>
      <c r="C37" s="112"/>
      <c r="D37" s="112">
        <v>100</v>
      </c>
      <c r="E37" s="369">
        <f t="shared" si="3"/>
        <v>837.60400000000004</v>
      </c>
      <c r="F37" t="s">
        <v>942</v>
      </c>
      <c r="G37" s="217"/>
      <c r="H37" s="169"/>
    </row>
    <row r="38" spans="1:19">
      <c r="A38" s="110">
        <v>46050</v>
      </c>
      <c r="B38" s="112" t="s">
        <v>587</v>
      </c>
      <c r="C38" s="112">
        <f>279*1.09494</f>
        <v>305.48826000000003</v>
      </c>
      <c r="D38" s="112"/>
      <c r="E38" s="369">
        <f t="shared" si="3"/>
        <v>1143.0922600000001</v>
      </c>
      <c r="F38" t="s">
        <v>943</v>
      </c>
      <c r="H38" s="169"/>
    </row>
    <row r="39" spans="1:19">
      <c r="A39" s="110">
        <v>46050</v>
      </c>
      <c r="B39" s="112" t="s">
        <v>915</v>
      </c>
      <c r="C39" s="112">
        <f>1300*1.00381</f>
        <v>1304.9530000000002</v>
      </c>
      <c r="D39" s="112"/>
      <c r="E39" s="369">
        <f t="shared" si="3"/>
        <v>2448.0452600000003</v>
      </c>
      <c r="F39" s="112" t="s">
        <v>944</v>
      </c>
      <c r="H39" s="169"/>
    </row>
    <row r="40" spans="1:19">
      <c r="A40" s="110">
        <v>46050</v>
      </c>
      <c r="B40" s="112" t="s">
        <v>915</v>
      </c>
      <c r="C40" s="112"/>
      <c r="D40" s="112">
        <f>1500*1.0002</f>
        <v>1500.3</v>
      </c>
      <c r="E40" s="369">
        <f t="shared" si="3"/>
        <v>947.74526000000037</v>
      </c>
      <c r="F40" t="s">
        <v>923</v>
      </c>
      <c r="H40" s="169"/>
    </row>
    <row r="41" spans="1:19">
      <c r="A41" s="110"/>
      <c r="B41" s="112"/>
      <c r="C41" s="112"/>
      <c r="D41" s="112"/>
      <c r="E41" s="369">
        <f>E40+C41-D41</f>
        <v>947.74526000000037</v>
      </c>
      <c r="F41" s="112"/>
      <c r="H41" s="169"/>
    </row>
    <row r="42" spans="1:19">
      <c r="A42" s="110"/>
      <c r="B42" s="112"/>
      <c r="C42" s="112"/>
      <c r="D42" s="112"/>
      <c r="E42" s="369">
        <f t="shared" ref="E42:E50" si="4">E41+C42-D42</f>
        <v>947.74526000000037</v>
      </c>
      <c r="F42" s="112"/>
      <c r="H42" s="169"/>
      <c r="R42" t="s">
        <v>915</v>
      </c>
      <c r="S42" s="163">
        <f>XIRR(S43:S46,R43:R46)</f>
        <v>5.6049260497093203E-2</v>
      </c>
    </row>
    <row r="43" spans="1:19">
      <c r="A43" s="110">
        <v>46055</v>
      </c>
      <c r="B43" s="112" t="s">
        <v>915</v>
      </c>
      <c r="C43" s="112">
        <f>1000*1.00456</f>
        <v>1004.56</v>
      </c>
      <c r="D43" s="112"/>
      <c r="E43" s="369">
        <f t="shared" si="4"/>
        <v>1952.3052600000003</v>
      </c>
      <c r="F43" s="112" t="s">
        <v>1020</v>
      </c>
      <c r="H43" s="169"/>
      <c r="R43" s="1">
        <v>45832</v>
      </c>
      <c r="S43">
        <v>-100</v>
      </c>
    </row>
    <row r="44" spans="1:19">
      <c r="A44" s="156"/>
      <c r="B44" s="112"/>
      <c r="C44" s="112"/>
      <c r="D44" s="112"/>
      <c r="E44" s="369">
        <f t="shared" si="4"/>
        <v>1952.3052600000003</v>
      </c>
      <c r="H44" s="169"/>
      <c r="R44" s="1">
        <v>45955</v>
      </c>
      <c r="S44">
        <v>1.726</v>
      </c>
    </row>
    <row r="45" spans="1:19">
      <c r="E45" s="369">
        <f>E44+C45-D45</f>
        <v>1952.3052600000003</v>
      </c>
      <c r="F45" s="112" t="s">
        <v>1058</v>
      </c>
      <c r="R45" s="1">
        <v>46044</v>
      </c>
      <c r="S45">
        <v>1.1780999999999999</v>
      </c>
    </row>
    <row r="46" spans="1:19">
      <c r="A46" s="110">
        <v>46057</v>
      </c>
      <c r="B46" s="112" t="s">
        <v>915</v>
      </c>
      <c r="C46" s="112">
        <f>920*1.00486</f>
        <v>924.47120000000007</v>
      </c>
      <c r="D46" s="112"/>
      <c r="E46" s="369">
        <f>E45+C46-D46</f>
        <v>2876.7764600000005</v>
      </c>
      <c r="F46" s="112" t="s">
        <v>1021</v>
      </c>
      <c r="R46" s="1">
        <v>46058</v>
      </c>
      <c r="S46">
        <f>ROUND(-S43*(1+5.5%*(R46-R43)/365)-S44-S45,3)</f>
        <v>100.501</v>
      </c>
    </row>
    <row r="47" spans="1:19">
      <c r="A47" s="110">
        <v>46057</v>
      </c>
      <c r="B47" s="112" t="s">
        <v>588</v>
      </c>
      <c r="C47" s="112">
        <f>620*1.02203</f>
        <v>633.65859999999998</v>
      </c>
      <c r="D47" s="112"/>
      <c r="E47" s="369">
        <f>E46+C47-D47</f>
        <v>3510.4350600000007</v>
      </c>
      <c r="F47" s="112" t="s">
        <v>1022</v>
      </c>
      <c r="R47" s="1"/>
    </row>
    <row r="48" spans="1:19">
      <c r="A48" s="110">
        <v>46058</v>
      </c>
      <c r="B48" s="112" t="s">
        <v>1001</v>
      </c>
      <c r="C48" s="112"/>
      <c r="D48" s="112">
        <f>700*0.97423</f>
        <v>681.96100000000001</v>
      </c>
      <c r="E48" s="369">
        <f>E47+C48-D48</f>
        <v>2828.4740600000005</v>
      </c>
      <c r="F48" s="112"/>
      <c r="R48" s="1"/>
    </row>
    <row r="49" spans="1:19">
      <c r="A49" s="110">
        <v>46058</v>
      </c>
      <c r="B49" s="112" t="s">
        <v>915</v>
      </c>
      <c r="C49" s="112">
        <f>410*1.00501</f>
        <v>412.05410000000001</v>
      </c>
      <c r="D49" s="112"/>
      <c r="E49" s="369">
        <f>E48+C49-D49</f>
        <v>3240.5281600000003</v>
      </c>
      <c r="F49" s="112" t="s">
        <v>1023</v>
      </c>
      <c r="R49" s="1"/>
    </row>
    <row r="50" spans="1:19">
      <c r="A50" s="156">
        <v>46059</v>
      </c>
      <c r="B50" s="112" t="s">
        <v>1002</v>
      </c>
      <c r="C50" s="112">
        <f>1600*1.368</f>
        <v>2188.8000000000002</v>
      </c>
      <c r="D50" s="112"/>
      <c r="E50" s="369">
        <f t="shared" si="4"/>
        <v>5429.3281600000009</v>
      </c>
      <c r="F50" t="s">
        <v>1054</v>
      </c>
    </row>
    <row r="51" spans="1:19">
      <c r="E51" s="369">
        <v>5420</v>
      </c>
      <c r="R51" t="s">
        <v>588</v>
      </c>
      <c r="S51" s="163">
        <f>XIRR(S52:S57,R52:R57)</f>
        <v>6.115258634090423E-2</v>
      </c>
    </row>
    <row r="52" spans="1:19">
      <c r="A52" s="117"/>
      <c r="D52" s="250"/>
      <c r="E52" s="369">
        <f t="shared" si="3"/>
        <v>5420</v>
      </c>
      <c r="R52" s="1">
        <v>45923</v>
      </c>
      <c r="S52">
        <v>-100</v>
      </c>
    </row>
    <row r="53" spans="1:19">
      <c r="A53" s="110">
        <v>46063</v>
      </c>
      <c r="B53" s="112" t="s">
        <v>581</v>
      </c>
      <c r="C53" s="112">
        <v>500</v>
      </c>
      <c r="D53" s="116"/>
      <c r="E53" s="369">
        <f>E52+C53-D53</f>
        <v>5920</v>
      </c>
      <c r="H53" t="s">
        <v>791</v>
      </c>
      <c r="I53">
        <v>1500</v>
      </c>
      <c r="J53" s="158">
        <v>0.7</v>
      </c>
      <c r="K53" s="2">
        <v>1050</v>
      </c>
      <c r="L53" s="9" t="s">
        <v>1030</v>
      </c>
      <c r="R53" s="1"/>
    </row>
    <row r="54" spans="1:19">
      <c r="A54" s="156">
        <v>46063</v>
      </c>
      <c r="B54" s="112" t="s">
        <v>891</v>
      </c>
      <c r="C54" s="112">
        <v>2187</v>
      </c>
      <c r="D54" s="116"/>
      <c r="E54" s="369">
        <f>E53+C54-D54</f>
        <v>8107</v>
      </c>
      <c r="F54" t="s">
        <v>1034</v>
      </c>
      <c r="H54" t="s">
        <v>552</v>
      </c>
      <c r="I54">
        <v>2000</v>
      </c>
      <c r="J54" s="158">
        <v>0.6</v>
      </c>
      <c r="K54" s="2">
        <f>I54*94.79%*J54</f>
        <v>1137.48</v>
      </c>
      <c r="L54" s="9" t="s">
        <v>1031</v>
      </c>
      <c r="R54" s="1"/>
    </row>
    <row r="55" spans="1:19">
      <c r="A55" s="156">
        <v>46063</v>
      </c>
      <c r="B55" s="112" t="s">
        <v>1110</v>
      </c>
      <c r="C55" s="112"/>
      <c r="D55" s="116">
        <v>1718</v>
      </c>
      <c r="E55" s="369">
        <f>E54+C55-D55</f>
        <v>6389</v>
      </c>
      <c r="I55"/>
      <c r="J55" s="158"/>
      <c r="K55" s="2"/>
      <c r="L55" s="9"/>
      <c r="R55" s="1"/>
    </row>
    <row r="56" spans="1:19">
      <c r="A56" s="156">
        <v>46064</v>
      </c>
      <c r="B56" s="112" t="s">
        <v>1111</v>
      </c>
      <c r="C56" s="112">
        <f>1718</f>
        <v>1718</v>
      </c>
      <c r="D56" s="116"/>
      <c r="E56" s="369">
        <f>E55+C56-D56</f>
        <v>8107</v>
      </c>
      <c r="I56"/>
      <c r="J56" s="158"/>
      <c r="K56" s="2"/>
      <c r="L56" s="9"/>
      <c r="R56" s="1"/>
    </row>
    <row r="57" spans="1:19">
      <c r="A57" s="110"/>
      <c r="B57" s="112"/>
      <c r="C57" s="112"/>
      <c r="D57" s="116"/>
      <c r="E57" s="369">
        <f>E56+C57-D57</f>
        <v>8107</v>
      </c>
      <c r="R57" s="1">
        <v>46057</v>
      </c>
      <c r="S57">
        <f>ROUND(-S52*(1+6%*(R57-R52)/365),3)</f>
        <v>102.203</v>
      </c>
    </row>
    <row r="58" spans="1:19">
      <c r="A58" s="110">
        <v>46064</v>
      </c>
      <c r="B58" s="115" t="s">
        <v>314</v>
      </c>
      <c r="C58" s="112"/>
      <c r="D58" s="112">
        <f>302*1.11</f>
        <v>335.22</v>
      </c>
      <c r="E58" s="369">
        <f t="shared" si="3"/>
        <v>7771.78</v>
      </c>
    </row>
    <row r="59" spans="1:19">
      <c r="A59" s="110">
        <v>46065</v>
      </c>
      <c r="B59" s="112" t="s">
        <v>990</v>
      </c>
      <c r="C59" s="112"/>
      <c r="D59" s="116">
        <v>7505</v>
      </c>
      <c r="E59" s="369">
        <f t="shared" si="3"/>
        <v>266.77999999999975</v>
      </c>
      <c r="F59" t="s">
        <v>1079</v>
      </c>
    </row>
    <row r="60" spans="1:19">
      <c r="A60" s="156">
        <v>46064</v>
      </c>
      <c r="B60" s="112" t="s">
        <v>1012</v>
      </c>
      <c r="C60" s="112"/>
      <c r="D60" s="116">
        <v>100</v>
      </c>
      <c r="E60" s="369">
        <f t="shared" si="3"/>
        <v>166.77999999999975</v>
      </c>
      <c r="F60" t="s">
        <v>1094</v>
      </c>
    </row>
    <row r="61" spans="1:19">
      <c r="A61" s="156">
        <v>46065</v>
      </c>
      <c r="B61" s="112" t="s">
        <v>1091</v>
      </c>
      <c r="C61" s="112"/>
      <c r="D61" s="116">
        <v>100</v>
      </c>
      <c r="E61" s="369">
        <f>E60+C61-D61</f>
        <v>66.779999999999745</v>
      </c>
      <c r="F61" t="s">
        <v>1092</v>
      </c>
    </row>
    <row r="62" spans="1:19">
      <c r="A62" s="156">
        <v>46065</v>
      </c>
      <c r="B62" s="112" t="s">
        <v>1112</v>
      </c>
      <c r="C62" s="112">
        <v>400</v>
      </c>
      <c r="D62" s="116"/>
      <c r="E62" s="369">
        <f t="shared" ref="E62:E88" si="5">E61+C62-D62</f>
        <v>466.77999999999975</v>
      </c>
      <c r="F62" t="s">
        <v>1113</v>
      </c>
    </row>
    <row r="63" spans="1:19">
      <c r="A63" s="156">
        <v>46065</v>
      </c>
      <c r="B63" s="112" t="s">
        <v>1114</v>
      </c>
      <c r="C63" s="112">
        <v>600</v>
      </c>
      <c r="D63" s="116"/>
      <c r="E63" s="369">
        <f t="shared" si="5"/>
        <v>1066.7799999999997</v>
      </c>
      <c r="F63" t="s">
        <v>1118</v>
      </c>
    </row>
    <row r="64" spans="1:19">
      <c r="A64" s="156">
        <v>46065</v>
      </c>
      <c r="B64" s="112" t="s">
        <v>611</v>
      </c>
      <c r="C64" s="112"/>
      <c r="D64" s="116">
        <v>898</v>
      </c>
      <c r="E64" s="369">
        <f t="shared" si="5"/>
        <v>168.77999999999975</v>
      </c>
      <c r="F64" t="s">
        <v>1117</v>
      </c>
    </row>
    <row r="65" spans="1:19">
      <c r="D65" s="250"/>
      <c r="E65" s="370">
        <v>160</v>
      </c>
    </row>
    <row r="66" spans="1:19">
      <c r="D66" s="250"/>
      <c r="E66" s="370">
        <f t="shared" si="5"/>
        <v>160</v>
      </c>
    </row>
    <row r="67" spans="1:19">
      <c r="A67" s="156">
        <v>46077</v>
      </c>
      <c r="B67" s="112" t="s">
        <v>1147</v>
      </c>
      <c r="C67" s="112">
        <v>748</v>
      </c>
      <c r="D67" s="116"/>
      <c r="E67" s="369">
        <f t="shared" si="5"/>
        <v>908</v>
      </c>
    </row>
    <row r="68" spans="1:19">
      <c r="A68" s="156">
        <v>46077</v>
      </c>
      <c r="B68" s="112" t="s">
        <v>1152</v>
      </c>
      <c r="C68" s="112"/>
      <c r="D68" s="116">
        <v>305.76</v>
      </c>
      <c r="E68" s="369">
        <f t="shared" si="5"/>
        <v>602.24</v>
      </c>
    </row>
    <row r="69" spans="1:19">
      <c r="A69" s="156">
        <v>46078</v>
      </c>
      <c r="B69" s="112" t="s">
        <v>1165</v>
      </c>
      <c r="C69" s="112"/>
      <c r="D69" s="112">
        <v>245</v>
      </c>
      <c r="E69" s="369">
        <v>341</v>
      </c>
    </row>
    <row r="70" spans="1:19">
      <c r="A70" s="156">
        <v>46080</v>
      </c>
      <c r="B70" s="112" t="s">
        <v>1182</v>
      </c>
      <c r="C70" s="113">
        <f>1585*100.833/100</f>
        <v>1598.2030499999998</v>
      </c>
      <c r="D70" s="112"/>
      <c r="E70" s="369">
        <f t="shared" si="5"/>
        <v>1939.2030499999998</v>
      </c>
      <c r="F70" s="217">
        <v>100.833</v>
      </c>
      <c r="H70" s="276">
        <v>101.4294</v>
      </c>
      <c r="I70" s="2">
        <f>H70-F70</f>
        <v>0.59640000000000271</v>
      </c>
      <c r="J70" t="s">
        <v>1186</v>
      </c>
    </row>
    <row r="71" spans="1:19">
      <c r="A71" s="156"/>
      <c r="B71" s="112"/>
      <c r="C71" s="112"/>
      <c r="D71" s="112"/>
      <c r="E71" s="369">
        <f t="shared" si="5"/>
        <v>1939.2030499999998</v>
      </c>
      <c r="J71" s="9" t="s">
        <v>1187</v>
      </c>
    </row>
    <row r="72" spans="1:19">
      <c r="A72" s="156">
        <v>46080</v>
      </c>
      <c r="B72" s="112" t="s">
        <v>1108</v>
      </c>
      <c r="C72" s="112">
        <v>2000</v>
      </c>
      <c r="D72" s="112"/>
      <c r="E72" s="369">
        <f t="shared" si="5"/>
        <v>3939.2030500000001</v>
      </c>
      <c r="J72" s="9" t="s">
        <v>1188</v>
      </c>
    </row>
    <row r="73" spans="1:19">
      <c r="A73" s="156">
        <v>46080</v>
      </c>
      <c r="B73" s="112" t="s">
        <v>606</v>
      </c>
      <c r="C73" s="112"/>
      <c r="D73" s="112">
        <v>600</v>
      </c>
      <c r="E73" s="369">
        <f t="shared" si="5"/>
        <v>3339.2030500000001</v>
      </c>
    </row>
    <row r="74" spans="1:19">
      <c r="A74" s="156">
        <v>46080</v>
      </c>
      <c r="B74" s="112" t="s">
        <v>1114</v>
      </c>
      <c r="C74" s="112">
        <v>600</v>
      </c>
      <c r="D74" s="112"/>
      <c r="E74" s="369">
        <f t="shared" si="5"/>
        <v>3939.2030500000001</v>
      </c>
    </row>
    <row r="75" spans="1:19">
      <c r="A75" s="156">
        <v>46083</v>
      </c>
      <c r="B75" s="112" t="s">
        <v>1147</v>
      </c>
      <c r="C75" s="112">
        <v>140</v>
      </c>
      <c r="D75" s="112"/>
      <c r="E75" s="370">
        <f t="shared" si="5"/>
        <v>4079.2030500000001</v>
      </c>
    </row>
    <row r="76" spans="1:19">
      <c r="A76" s="156">
        <v>46083</v>
      </c>
      <c r="B76" s="112" t="s">
        <v>1189</v>
      </c>
      <c r="C76" s="113">
        <f>1100*102.2137/100</f>
        <v>1124.3507</v>
      </c>
      <c r="D76" s="112"/>
      <c r="E76" s="370">
        <f t="shared" si="5"/>
        <v>5203.55375</v>
      </c>
      <c r="O76" s="169" t="s">
        <v>860</v>
      </c>
      <c r="P76" s="163">
        <f>XIRR(P77:P78,O77:O78)</f>
        <v>5.8523878455162048E-2</v>
      </c>
      <c r="R76" s="169" t="s">
        <v>1071</v>
      </c>
      <c r="S76" s="163">
        <f>XIRR(S77:S78,R77:R78)</f>
        <v>5.8529719710350037E-2</v>
      </c>
    </row>
    <row r="77" spans="1:19">
      <c r="A77" s="156">
        <v>46083</v>
      </c>
      <c r="B77" s="112" t="s">
        <v>1071</v>
      </c>
      <c r="C77" s="112"/>
      <c r="D77" s="113">
        <f>1250*1.07549</f>
        <v>1344.3625000000002</v>
      </c>
      <c r="E77" s="369">
        <f t="shared" si="5"/>
        <v>3859.1912499999999</v>
      </c>
      <c r="F77" t="s">
        <v>1233</v>
      </c>
      <c r="O77" s="1">
        <v>45615</v>
      </c>
      <c r="P77">
        <v>-100</v>
      </c>
      <c r="R77" s="1">
        <v>45616</v>
      </c>
      <c r="S77">
        <v>-100</v>
      </c>
    </row>
    <row r="78" spans="1:19">
      <c r="A78" s="156">
        <v>46083</v>
      </c>
      <c r="B78" s="112" t="s">
        <v>1093</v>
      </c>
      <c r="C78" s="112"/>
      <c r="D78" s="112">
        <v>500</v>
      </c>
      <c r="E78" s="369">
        <f t="shared" si="5"/>
        <v>3359.1912499999999</v>
      </c>
      <c r="F78" t="s">
        <v>1183</v>
      </c>
      <c r="O78" s="1">
        <v>46083</v>
      </c>
      <c r="P78">
        <f>ROUND(-P77*(1+5.9%*(O78-O77)/365),3)</f>
        <v>107.565</v>
      </c>
      <c r="R78" s="1">
        <v>46083</v>
      </c>
      <c r="S78">
        <f>ROUND(-S77*(1+5.9%*(R78-R77)/365),3)</f>
        <v>107.54900000000001</v>
      </c>
    </row>
    <row r="79" spans="1:19">
      <c r="A79" s="156">
        <v>46083</v>
      </c>
      <c r="B79" s="112" t="s">
        <v>1109</v>
      </c>
      <c r="C79" s="112"/>
      <c r="D79" s="112">
        <v>831</v>
      </c>
      <c r="E79" s="369">
        <f t="shared" si="5"/>
        <v>2528.1912499999999</v>
      </c>
    </row>
    <row r="80" spans="1:19">
      <c r="A80" s="156">
        <v>46083</v>
      </c>
      <c r="B80" s="112" t="s">
        <v>1153</v>
      </c>
      <c r="C80" s="112">
        <v>500</v>
      </c>
      <c r="D80" s="112"/>
      <c r="E80" s="369">
        <f t="shared" si="5"/>
        <v>3028.1912499999999</v>
      </c>
    </row>
    <row r="81" spans="1:18">
      <c r="A81" s="156"/>
      <c r="B81" s="112"/>
      <c r="C81" s="112"/>
      <c r="D81" s="112"/>
      <c r="E81" s="369">
        <f t="shared" si="5"/>
        <v>3028.1912499999999</v>
      </c>
    </row>
    <row r="82" spans="1:18">
      <c r="A82" s="156">
        <v>46083</v>
      </c>
      <c r="B82" s="112" t="s">
        <v>1057</v>
      </c>
      <c r="C82" s="112"/>
      <c r="D82" s="112">
        <f>1100*100.894/100</f>
        <v>1109.8340000000001</v>
      </c>
      <c r="E82" s="369">
        <f t="shared" si="5"/>
        <v>1918.3572499999998</v>
      </c>
      <c r="F82">
        <v>100.89400000000001</v>
      </c>
      <c r="G82" t="s">
        <v>1204</v>
      </c>
      <c r="L82" s="279"/>
      <c r="M82" s="9" t="s">
        <v>1201</v>
      </c>
    </row>
    <row r="83" spans="1:18">
      <c r="A83" s="156">
        <v>46084</v>
      </c>
      <c r="B83" s="112" t="s">
        <v>1261</v>
      </c>
      <c r="C83" s="112"/>
      <c r="D83" s="112">
        <v>1800</v>
      </c>
      <c r="E83" s="369">
        <f t="shared" si="5"/>
        <v>118.35724999999979</v>
      </c>
      <c r="G83" t="s">
        <v>1205</v>
      </c>
      <c r="L83" s="279"/>
      <c r="M83" s="9" t="s">
        <v>1203</v>
      </c>
    </row>
    <row r="84" spans="1:18">
      <c r="A84" s="156">
        <v>46084</v>
      </c>
      <c r="B84" s="112" t="s">
        <v>1070</v>
      </c>
      <c r="C84" s="113">
        <f>900*101.026/100</f>
        <v>909.23399999999992</v>
      </c>
      <c r="D84" s="112"/>
      <c r="E84" s="369">
        <f t="shared" si="5"/>
        <v>1027.5912499999997</v>
      </c>
      <c r="F84" t="s">
        <v>1291</v>
      </c>
      <c r="K84" s="2"/>
      <c r="M84" s="9" t="s">
        <v>1202</v>
      </c>
    </row>
    <row r="85" spans="1:18">
      <c r="A85" s="156">
        <v>46084</v>
      </c>
      <c r="B85" s="112" t="s">
        <v>1143</v>
      </c>
      <c r="C85" s="113">
        <v>400</v>
      </c>
      <c r="D85" s="112"/>
      <c r="E85" s="369">
        <f t="shared" si="5"/>
        <v>1427.5912499999997</v>
      </c>
      <c r="O85" t="s">
        <v>1057</v>
      </c>
      <c r="P85" s="163">
        <f>XIRR(P86:P87,O86:O87)</f>
        <v>5.1128163933753981E-2</v>
      </c>
    </row>
    <row r="86" spans="1:18">
      <c r="A86" s="156">
        <v>46085</v>
      </c>
      <c r="B86" s="112" t="s">
        <v>571</v>
      </c>
      <c r="C86" s="113"/>
      <c r="D86" s="112">
        <f>71*1.11</f>
        <v>78.81</v>
      </c>
      <c r="E86" s="369">
        <v>1364</v>
      </c>
      <c r="O86" s="1">
        <v>46058</v>
      </c>
      <c r="P86">
        <v>-100.55</v>
      </c>
    </row>
    <row r="87" spans="1:18">
      <c r="A87" s="156">
        <v>46087</v>
      </c>
      <c r="B87" s="112" t="s">
        <v>570</v>
      </c>
      <c r="C87" s="113">
        <v>350</v>
      </c>
      <c r="D87" s="112"/>
      <c r="E87" s="369">
        <f t="shared" si="5"/>
        <v>1714</v>
      </c>
      <c r="O87" s="1">
        <v>46083</v>
      </c>
      <c r="P87">
        <v>100.89400000000001</v>
      </c>
      <c r="Q87">
        <f>-P86*(1+R87*(O87-O86)/365)</f>
        <v>100.89434931506848</v>
      </c>
      <c r="R87" s="163">
        <v>0.05</v>
      </c>
    </row>
    <row r="88" spans="1:18">
      <c r="A88" s="156">
        <v>46087</v>
      </c>
      <c r="B88" s="112" t="s">
        <v>860</v>
      </c>
      <c r="C88" s="113">
        <f>700*1.07625</f>
        <v>753.375</v>
      </c>
      <c r="D88" s="112"/>
      <c r="E88" s="369">
        <f t="shared" si="5"/>
        <v>2467.375</v>
      </c>
      <c r="F88" s="119" t="s">
        <v>1308</v>
      </c>
      <c r="O88" s="1"/>
    </row>
    <row r="89" spans="1:18">
      <c r="A89" s="156"/>
      <c r="B89" s="112"/>
      <c r="C89" s="113"/>
      <c r="D89" s="112"/>
      <c r="E89" s="369">
        <f>E88+C89-D89</f>
        <v>2467.375</v>
      </c>
    </row>
    <row r="90" spans="1:18">
      <c r="A90" s="156">
        <v>46090</v>
      </c>
      <c r="B90" s="112" t="s">
        <v>791</v>
      </c>
      <c r="C90" s="113"/>
      <c r="D90" s="113">
        <f>50*1.08535</f>
        <v>54.267499999999998</v>
      </c>
      <c r="E90" s="369">
        <f t="shared" ref="E90:E116" si="6">E89+C90-D90</f>
        <v>2413.1075000000001</v>
      </c>
      <c r="F90" t="s">
        <v>1341</v>
      </c>
    </row>
    <row r="91" spans="1:18">
      <c r="A91" s="156">
        <v>46090</v>
      </c>
      <c r="B91" s="112" t="s">
        <v>860</v>
      </c>
      <c r="C91" s="113"/>
      <c r="D91" s="113">
        <f>150*1.07678</f>
        <v>161.51700000000002</v>
      </c>
      <c r="E91" s="369">
        <f t="shared" si="6"/>
        <v>2251.5905000000002</v>
      </c>
      <c r="F91" t="s">
        <v>1342</v>
      </c>
    </row>
    <row r="92" spans="1:18">
      <c r="A92" s="156"/>
      <c r="B92" s="112"/>
      <c r="C92" s="113"/>
      <c r="D92" s="113"/>
      <c r="E92" s="369">
        <f t="shared" si="6"/>
        <v>2251.5905000000002</v>
      </c>
    </row>
    <row r="93" spans="1:18">
      <c r="A93" s="156"/>
      <c r="B93" s="112"/>
      <c r="C93" s="113"/>
      <c r="D93" s="113"/>
      <c r="E93" s="369">
        <f t="shared" si="6"/>
        <v>2251.5905000000002</v>
      </c>
      <c r="G93" t="s">
        <v>849</v>
      </c>
    </row>
    <row r="94" spans="1:18">
      <c r="A94" s="156"/>
      <c r="B94" s="112"/>
      <c r="C94" s="113"/>
      <c r="D94" s="113"/>
      <c r="E94" s="369">
        <f t="shared" si="6"/>
        <v>2251.5905000000002</v>
      </c>
    </row>
    <row r="95" spans="1:18">
      <c r="A95" s="156">
        <v>46091</v>
      </c>
      <c r="B95" s="112" t="s">
        <v>570</v>
      </c>
      <c r="C95" s="113">
        <v>1000</v>
      </c>
      <c r="D95" s="113"/>
      <c r="E95" s="369">
        <f t="shared" si="6"/>
        <v>3251.5905000000002</v>
      </c>
    </row>
    <row r="96" spans="1:18">
      <c r="A96" s="156">
        <v>46091</v>
      </c>
      <c r="B96" s="112" t="s">
        <v>1262</v>
      </c>
      <c r="C96" s="113">
        <v>1800</v>
      </c>
      <c r="D96" s="112"/>
      <c r="E96" s="369">
        <f t="shared" si="6"/>
        <v>5051.5905000000002</v>
      </c>
    </row>
    <row r="97" spans="1:10">
      <c r="A97" s="156">
        <v>46091</v>
      </c>
      <c r="B97" s="112" t="s">
        <v>1264</v>
      </c>
      <c r="C97" s="113">
        <v>1080</v>
      </c>
      <c r="D97" s="112"/>
      <c r="E97" s="369">
        <f t="shared" si="6"/>
        <v>6131.5905000000002</v>
      </c>
    </row>
    <row r="98" spans="1:10">
      <c r="A98" s="156">
        <v>46091</v>
      </c>
      <c r="B98" s="112" t="s">
        <v>912</v>
      </c>
      <c r="C98" s="113"/>
      <c r="D98" s="116">
        <v>2549.9</v>
      </c>
      <c r="E98" s="369">
        <f t="shared" si="6"/>
        <v>3581.6905000000002</v>
      </c>
    </row>
    <row r="99" spans="1:10">
      <c r="A99" s="156">
        <v>46091</v>
      </c>
      <c r="B99" s="112" t="s">
        <v>1351</v>
      </c>
      <c r="C99" s="113"/>
      <c r="D99" s="116">
        <f>1500*103.091/100</f>
        <v>1546.365</v>
      </c>
      <c r="E99" s="369">
        <f t="shared" si="6"/>
        <v>2035.3255000000001</v>
      </c>
    </row>
    <row r="100" spans="1:10">
      <c r="A100" s="156">
        <v>46092</v>
      </c>
      <c r="B100" s="112" t="s">
        <v>1351</v>
      </c>
      <c r="C100" s="113">
        <f>1500*103.109/100</f>
        <v>1546.635</v>
      </c>
      <c r="D100" s="116"/>
      <c r="E100" s="369">
        <f t="shared" si="6"/>
        <v>3581.9605000000001</v>
      </c>
      <c r="H100" s="165"/>
    </row>
    <row r="101" spans="1:10">
      <c r="A101" s="156">
        <v>46092</v>
      </c>
      <c r="B101" s="112" t="s">
        <v>571</v>
      </c>
      <c r="C101" s="113"/>
      <c r="D101" s="116">
        <f>140*1.116</f>
        <v>156.24</v>
      </c>
      <c r="E101" s="369">
        <f t="shared" si="6"/>
        <v>3425.7205000000004</v>
      </c>
    </row>
    <row r="102" spans="1:10">
      <c r="A102" s="156">
        <v>46092</v>
      </c>
      <c r="B102" s="112" t="s">
        <v>1070</v>
      </c>
      <c r="C102" s="113">
        <f>800*101.157/100</f>
        <v>809.25599999999986</v>
      </c>
      <c r="D102" s="112"/>
      <c r="E102" s="369">
        <f t="shared" si="6"/>
        <v>4234.9765000000007</v>
      </c>
      <c r="F102" t="s">
        <v>1435</v>
      </c>
    </row>
    <row r="103" spans="1:10">
      <c r="A103" s="156">
        <v>46092</v>
      </c>
      <c r="B103" s="112" t="s">
        <v>606</v>
      </c>
      <c r="C103" s="112"/>
      <c r="D103" s="112">
        <v>3149</v>
      </c>
      <c r="E103" s="369">
        <f t="shared" si="6"/>
        <v>1085.9765000000007</v>
      </c>
    </row>
    <row r="104" spans="1:10">
      <c r="A104" s="156">
        <v>46092</v>
      </c>
      <c r="B104" s="112" t="s">
        <v>565</v>
      </c>
      <c r="C104" s="112">
        <v>180</v>
      </c>
      <c r="D104" s="112"/>
      <c r="E104" s="369">
        <f>E103+C104-D104</f>
        <v>1265.9765000000007</v>
      </c>
    </row>
    <row r="105" spans="1:10">
      <c r="A105" s="156">
        <v>46094</v>
      </c>
      <c r="B105" s="320" t="s">
        <v>1249</v>
      </c>
      <c r="C105" s="112">
        <f>500*100.983/100</f>
        <v>504.91500000000002</v>
      </c>
      <c r="D105" s="112"/>
      <c r="E105" s="369">
        <f>E104+C105-D105</f>
        <v>1770.8915000000006</v>
      </c>
    </row>
    <row r="106" spans="1:10">
      <c r="A106" s="156">
        <v>46094</v>
      </c>
      <c r="B106" s="253" t="s">
        <v>1415</v>
      </c>
      <c r="C106" s="112">
        <v>300</v>
      </c>
      <c r="D106" s="112"/>
      <c r="E106" s="369">
        <f>E105+C106-D106</f>
        <v>2070.8915000000006</v>
      </c>
    </row>
    <row r="107" spans="1:10">
      <c r="A107" s="156">
        <v>46094</v>
      </c>
      <c r="B107" s="253" t="s">
        <v>1455</v>
      </c>
      <c r="C107" s="112"/>
      <c r="D107" s="116">
        <f>105.481*193/100</f>
        <v>203.57832999999999</v>
      </c>
      <c r="E107" s="369">
        <f t="shared" ref="E107" si="7">E106+C107-D107</f>
        <v>1867.3131700000006</v>
      </c>
      <c r="F107" t="s">
        <v>1466</v>
      </c>
    </row>
    <row r="108" spans="1:10">
      <c r="B108" s="308"/>
      <c r="E108" s="370">
        <v>1854</v>
      </c>
    </row>
    <row r="109" spans="1:10">
      <c r="A109" s="156">
        <v>46097</v>
      </c>
      <c r="B109" s="253" t="s">
        <v>565</v>
      </c>
      <c r="C109" s="112">
        <v>622</v>
      </c>
      <c r="D109" s="112"/>
      <c r="E109" s="369">
        <f>E108+C109-D109</f>
        <v>2476</v>
      </c>
    </row>
    <row r="110" spans="1:10">
      <c r="A110" s="156">
        <v>46097</v>
      </c>
      <c r="B110" s="253" t="s">
        <v>1114</v>
      </c>
      <c r="C110" s="112">
        <v>1500</v>
      </c>
      <c r="D110" s="112"/>
      <c r="E110" s="369">
        <f t="shared" ref="E110:E112" si="8">E109+C110-D110</f>
        <v>3976</v>
      </c>
      <c r="F110" t="s">
        <v>1460</v>
      </c>
      <c r="H110" t="s">
        <v>1455</v>
      </c>
      <c r="I110" s="2">
        <f>836+563</f>
        <v>1399</v>
      </c>
      <c r="J110" s="9" t="s">
        <v>1459</v>
      </c>
    </row>
    <row r="111" spans="1:10">
      <c r="A111" s="156"/>
      <c r="B111" s="253"/>
      <c r="C111" s="112"/>
      <c r="D111" s="213"/>
      <c r="E111" s="369">
        <f t="shared" si="8"/>
        <v>3976</v>
      </c>
      <c r="H111" t="s">
        <v>1456</v>
      </c>
      <c r="I111" s="2">
        <v>1048</v>
      </c>
      <c r="J111" s="9" t="s">
        <v>553</v>
      </c>
    </row>
    <row r="112" spans="1:10">
      <c r="A112" s="156">
        <v>46097</v>
      </c>
      <c r="B112" s="253" t="s">
        <v>1456</v>
      </c>
      <c r="C112" s="112"/>
      <c r="D112" s="213">
        <f>985*106.507/100</f>
        <v>1049.0939499999999</v>
      </c>
      <c r="E112" s="369">
        <f t="shared" si="8"/>
        <v>2926.9060500000001</v>
      </c>
      <c r="F112" t="s">
        <v>1467</v>
      </c>
      <c r="H112" t="s">
        <v>1458</v>
      </c>
      <c r="I112" s="2">
        <v>445</v>
      </c>
      <c r="J112" s="9" t="s">
        <v>554</v>
      </c>
    </row>
    <row r="113" spans="1:10">
      <c r="A113" s="156">
        <v>46097</v>
      </c>
      <c r="B113" s="112" t="s">
        <v>1454</v>
      </c>
      <c r="C113" s="112"/>
      <c r="D113" s="213">
        <f>2005*134.922/100</f>
        <v>2705.1860999999999</v>
      </c>
      <c r="E113" s="369">
        <f t="shared" si="6"/>
        <v>221.71995000000015</v>
      </c>
      <c r="F113" t="s">
        <v>1468</v>
      </c>
      <c r="H113" t="s">
        <v>1454</v>
      </c>
      <c r="I113" s="325">
        <v>2705</v>
      </c>
      <c r="J113" s="9" t="s">
        <v>553</v>
      </c>
    </row>
    <row r="114" spans="1:10">
      <c r="A114" s="156"/>
      <c r="B114" s="253"/>
      <c r="C114" s="112"/>
      <c r="D114" s="112"/>
      <c r="E114" s="369">
        <f t="shared" si="6"/>
        <v>221.71995000000015</v>
      </c>
      <c r="H114" t="s">
        <v>850</v>
      </c>
      <c r="I114" s="2">
        <v>322</v>
      </c>
      <c r="J114" s="9" t="s">
        <v>554</v>
      </c>
    </row>
    <row r="115" spans="1:10">
      <c r="A115" s="156">
        <v>46097</v>
      </c>
      <c r="B115" s="253" t="s">
        <v>1323</v>
      </c>
      <c r="C115" s="112">
        <v>500</v>
      </c>
      <c r="D115" s="112"/>
      <c r="E115" s="369">
        <f t="shared" si="6"/>
        <v>721.71995000000015</v>
      </c>
      <c r="I115" s="2">
        <f>SUM(I110:I114)</f>
        <v>5919</v>
      </c>
    </row>
    <row r="116" spans="1:10">
      <c r="A116" s="156">
        <v>46097</v>
      </c>
      <c r="B116" s="253" t="s">
        <v>1471</v>
      </c>
      <c r="C116" s="112">
        <v>180</v>
      </c>
      <c r="D116" s="112"/>
      <c r="E116" s="369">
        <f t="shared" si="6"/>
        <v>901.71995000000015</v>
      </c>
    </row>
    <row r="117" spans="1:10">
      <c r="A117" s="156">
        <v>46099</v>
      </c>
      <c r="B117" s="253" t="s">
        <v>570</v>
      </c>
      <c r="C117" s="112">
        <v>830</v>
      </c>
      <c r="D117" s="112"/>
      <c r="E117" s="369">
        <f t="shared" ref="E117:E147" si="9">E116+C117-D117</f>
        <v>1731.7199500000002</v>
      </c>
    </row>
    <row r="118" spans="1:10">
      <c r="A118" s="156">
        <v>46099</v>
      </c>
      <c r="B118" s="112" t="s">
        <v>571</v>
      </c>
      <c r="C118" s="112"/>
      <c r="D118" s="112">
        <v>78.16</v>
      </c>
      <c r="E118" s="369">
        <f t="shared" si="9"/>
        <v>1653.5599500000001</v>
      </c>
    </row>
    <row r="119" spans="1:10">
      <c r="A119" s="156">
        <v>46099</v>
      </c>
      <c r="B119" s="112" t="s">
        <v>1489</v>
      </c>
      <c r="C119" s="213">
        <f>+苏信优先级Z2501!N40</f>
        <v>1051.2889931506852</v>
      </c>
      <c r="D119" s="112"/>
      <c r="E119" s="369">
        <f t="shared" si="9"/>
        <v>2704.848943150685</v>
      </c>
      <c r="F119" t="s">
        <v>1494</v>
      </c>
    </row>
    <row r="120" spans="1:10">
      <c r="A120" s="156">
        <v>46104</v>
      </c>
      <c r="B120" s="112" t="s">
        <v>635</v>
      </c>
      <c r="C120" s="112">
        <v>590</v>
      </c>
      <c r="D120" s="112"/>
      <c r="E120" s="369">
        <v>3281</v>
      </c>
    </row>
    <row r="121" spans="1:10">
      <c r="A121" s="156"/>
      <c r="B121" s="112"/>
      <c r="C121" s="112"/>
      <c r="D121" s="112"/>
      <c r="E121" s="369">
        <f t="shared" si="9"/>
        <v>3281</v>
      </c>
    </row>
    <row r="122" spans="1:10">
      <c r="A122" s="156">
        <v>46104</v>
      </c>
      <c r="B122" s="112" t="s">
        <v>606</v>
      </c>
      <c r="C122" s="112"/>
      <c r="D122" s="112">
        <v>2818</v>
      </c>
      <c r="E122" s="369">
        <f t="shared" si="9"/>
        <v>463</v>
      </c>
    </row>
    <row r="123" spans="1:10">
      <c r="A123" s="156"/>
      <c r="B123" s="112"/>
      <c r="C123" s="112"/>
      <c r="D123" s="112"/>
      <c r="E123" s="369">
        <f t="shared" si="9"/>
        <v>463</v>
      </c>
    </row>
    <row r="124" spans="1:10">
      <c r="A124" s="156">
        <v>46105</v>
      </c>
      <c r="B124" s="112" t="s">
        <v>552</v>
      </c>
      <c r="C124" s="112">
        <f>苏信次级Z2502!AF48*苏信次级Z2502!M48/100</f>
        <v>1965.44</v>
      </c>
      <c r="D124" s="112"/>
      <c r="E124" s="369">
        <f t="shared" si="9"/>
        <v>2428.44</v>
      </c>
      <c r="F124" t="s">
        <v>1580</v>
      </c>
      <c r="G124" t="s">
        <v>1585</v>
      </c>
    </row>
    <row r="125" spans="1:10">
      <c r="A125" s="156">
        <v>46105</v>
      </c>
      <c r="B125" s="112" t="s">
        <v>1499</v>
      </c>
      <c r="C125" s="112">
        <f>苏信次级Z2502!AF49*苏信次级Z2502!M49/100</f>
        <v>2022</v>
      </c>
      <c r="D125" s="112"/>
      <c r="E125" s="369">
        <f t="shared" si="9"/>
        <v>4450.4400000000005</v>
      </c>
      <c r="F125" t="s">
        <v>1581</v>
      </c>
      <c r="G125" t="s">
        <v>1586</v>
      </c>
    </row>
    <row r="126" spans="1:10">
      <c r="A126" s="156"/>
      <c r="B126" s="112"/>
      <c r="C126" s="112"/>
      <c r="D126" s="112"/>
      <c r="E126" s="369">
        <f t="shared" si="9"/>
        <v>4450.4400000000005</v>
      </c>
    </row>
    <row r="127" spans="1:10">
      <c r="A127" s="156">
        <v>46105</v>
      </c>
      <c r="B127" s="112" t="s">
        <v>1509</v>
      </c>
      <c r="C127" s="112">
        <v>200</v>
      </c>
      <c r="D127" s="112"/>
      <c r="E127" s="369">
        <f t="shared" si="9"/>
        <v>4650.4400000000005</v>
      </c>
    </row>
    <row r="128" spans="1:10">
      <c r="A128" s="156">
        <v>46105</v>
      </c>
      <c r="B128" s="112" t="s">
        <v>860</v>
      </c>
      <c r="C128" s="112"/>
      <c r="D128" s="112">
        <f>200*1.07921</f>
        <v>215.84200000000001</v>
      </c>
      <c r="E128" s="369">
        <v>4480</v>
      </c>
      <c r="F128" t="s">
        <v>1550</v>
      </c>
    </row>
    <row r="129" spans="1:20">
      <c r="A129" s="156">
        <v>46106</v>
      </c>
      <c r="B129" s="112" t="s">
        <v>1509</v>
      </c>
      <c r="C129" s="112">
        <v>200</v>
      </c>
      <c r="D129" s="112"/>
      <c r="E129" s="369">
        <f t="shared" si="9"/>
        <v>4680</v>
      </c>
      <c r="T129" s="163"/>
    </row>
    <row r="130" spans="1:20">
      <c r="A130" s="156">
        <v>46106</v>
      </c>
      <c r="B130" s="112" t="s">
        <v>571</v>
      </c>
      <c r="C130" s="112"/>
      <c r="D130" s="112">
        <v>101.38446</v>
      </c>
      <c r="E130" s="369">
        <f t="shared" si="9"/>
        <v>4578.6155399999998</v>
      </c>
      <c r="I130" s="158"/>
    </row>
    <row r="131" spans="1:20">
      <c r="A131" s="156">
        <v>46106</v>
      </c>
      <c r="B131" s="112" t="s">
        <v>1582</v>
      </c>
      <c r="C131" s="112">
        <f>1000*104.714%</f>
        <v>1047.1399999999999</v>
      </c>
      <c r="D131" s="112"/>
      <c r="E131" s="369">
        <f t="shared" si="9"/>
        <v>5625.7555400000001</v>
      </c>
      <c r="F131" t="s">
        <v>1614</v>
      </c>
      <c r="I131" s="158"/>
    </row>
    <row r="132" spans="1:20">
      <c r="A132" s="156">
        <v>46106</v>
      </c>
      <c r="B132" s="112" t="s">
        <v>1253</v>
      </c>
      <c r="C132" s="112"/>
      <c r="D132" s="112">
        <f>4000*100.707%</f>
        <v>4028.2799999999997</v>
      </c>
      <c r="E132" s="369">
        <f>E131+C132-D132</f>
        <v>1597.4755400000004</v>
      </c>
      <c r="F132" s="201"/>
      <c r="I132"/>
    </row>
    <row r="133" spans="1:20">
      <c r="A133" s="156"/>
      <c r="B133" s="112"/>
      <c r="C133" s="112"/>
      <c r="D133" s="112"/>
      <c r="E133" s="369">
        <f>E132+C133-D133</f>
        <v>1597.4755400000004</v>
      </c>
      <c r="I133" s="158"/>
    </row>
    <row r="134" spans="1:20">
      <c r="A134" s="156">
        <v>46111</v>
      </c>
      <c r="B134" s="112" t="s">
        <v>565</v>
      </c>
      <c r="C134" s="112">
        <v>158.46</v>
      </c>
      <c r="D134" s="112"/>
      <c r="E134" s="369">
        <v>1753</v>
      </c>
      <c r="I134" s="158"/>
    </row>
    <row r="135" spans="1:20">
      <c r="A135" s="156">
        <v>46111</v>
      </c>
      <c r="B135" s="112" t="s">
        <v>1616</v>
      </c>
      <c r="C135" s="112">
        <v>400</v>
      </c>
      <c r="D135" s="112"/>
      <c r="E135" s="369">
        <f t="shared" ref="E135:E143" si="10">E134+C135-D135</f>
        <v>2153</v>
      </c>
      <c r="I135" s="158"/>
    </row>
    <row r="136" spans="1:20">
      <c r="A136" s="156"/>
      <c r="B136" s="112"/>
      <c r="C136" s="112"/>
      <c r="D136" s="112"/>
      <c r="E136" s="369">
        <f t="shared" si="10"/>
        <v>2153</v>
      </c>
      <c r="I136" s="158"/>
    </row>
    <row r="137" spans="1:20">
      <c r="A137" s="156">
        <v>46111</v>
      </c>
      <c r="B137" s="112" t="s">
        <v>1217</v>
      </c>
      <c r="C137" s="112"/>
      <c r="D137" s="112">
        <v>1500</v>
      </c>
      <c r="E137" s="369">
        <f t="shared" si="10"/>
        <v>653</v>
      </c>
      <c r="I137" s="158"/>
    </row>
    <row r="138" spans="1:20">
      <c r="A138" s="156"/>
      <c r="B138" s="156"/>
      <c r="C138" s="156"/>
      <c r="D138" s="112"/>
      <c r="E138" s="369">
        <f t="shared" si="10"/>
        <v>653</v>
      </c>
      <c r="I138" s="158"/>
    </row>
    <row r="139" spans="1:20">
      <c r="A139" s="156"/>
      <c r="B139" s="112"/>
      <c r="C139" s="112"/>
      <c r="D139" s="112"/>
      <c r="E139" s="369">
        <f t="shared" si="10"/>
        <v>653</v>
      </c>
      <c r="I139" s="158"/>
    </row>
    <row r="140" spans="1:20">
      <c r="A140" s="156"/>
      <c r="B140" s="112"/>
      <c r="C140" s="112"/>
      <c r="D140" s="112"/>
      <c r="E140" s="369">
        <f t="shared" si="10"/>
        <v>653</v>
      </c>
      <c r="I140" s="158"/>
    </row>
    <row r="141" spans="1:20">
      <c r="A141" s="156">
        <v>46113</v>
      </c>
      <c r="B141" s="112" t="s">
        <v>571</v>
      </c>
      <c r="C141" s="112"/>
      <c r="D141" s="112">
        <v>162.26949999999999</v>
      </c>
      <c r="E141" s="369">
        <f t="shared" si="10"/>
        <v>490.73050000000001</v>
      </c>
      <c r="I141" s="158"/>
    </row>
    <row r="142" spans="1:20">
      <c r="A142" s="156">
        <v>46113</v>
      </c>
      <c r="B142" s="112" t="s">
        <v>1617</v>
      </c>
      <c r="C142" s="112">
        <v>1014</v>
      </c>
      <c r="D142" s="112"/>
      <c r="E142" s="369">
        <f t="shared" si="10"/>
        <v>1504.7305000000001</v>
      </c>
      <c r="F142" t="s">
        <v>1729</v>
      </c>
      <c r="I142" s="158"/>
    </row>
    <row r="143" spans="1:20">
      <c r="A143" s="156">
        <v>46115</v>
      </c>
      <c r="B143" s="112" t="s">
        <v>531</v>
      </c>
      <c r="C143" s="112">
        <v>600</v>
      </c>
      <c r="D143" s="112"/>
      <c r="E143" s="369">
        <f t="shared" si="10"/>
        <v>2104.7305000000001</v>
      </c>
      <c r="I143" s="158"/>
    </row>
    <row r="144" spans="1:20">
      <c r="A144" s="156"/>
      <c r="B144" s="112"/>
      <c r="C144" s="112"/>
      <c r="D144" s="112"/>
      <c r="E144" s="369">
        <f>E143+C144-D144</f>
        <v>2104.7305000000001</v>
      </c>
      <c r="I144" s="158"/>
    </row>
    <row r="145" spans="1:17">
      <c r="A145" s="156"/>
      <c r="B145" s="112"/>
      <c r="C145" s="112"/>
      <c r="D145" s="112"/>
      <c r="E145" s="369">
        <f>E144+C145-D145</f>
        <v>2104.7305000000001</v>
      </c>
      <c r="I145" s="158"/>
    </row>
    <row r="146" spans="1:17">
      <c r="A146" s="156"/>
      <c r="B146" s="112"/>
      <c r="C146" s="112"/>
      <c r="D146" s="112"/>
      <c r="E146" s="369">
        <f>E145+C146-D146</f>
        <v>2104.7305000000001</v>
      </c>
      <c r="F146" s="165"/>
      <c r="H146" t="s">
        <v>525</v>
      </c>
      <c r="I146" t="s">
        <v>0</v>
      </c>
      <c r="J146" t="s">
        <v>529</v>
      </c>
      <c r="K146" s="158" t="s">
        <v>1777</v>
      </c>
      <c r="L146" s="9" t="s">
        <v>1770</v>
      </c>
      <c r="M146" s="9"/>
      <c r="N146" s="2" t="s">
        <v>1778</v>
      </c>
    </row>
    <row r="147" spans="1:17">
      <c r="A147" s="156">
        <v>46120</v>
      </c>
      <c r="B147" s="112" t="s">
        <v>1798</v>
      </c>
      <c r="C147" s="112"/>
      <c r="D147" s="112">
        <v>454.6388</v>
      </c>
      <c r="E147" s="369">
        <f t="shared" si="9"/>
        <v>1650.0917000000002</v>
      </c>
      <c r="F147" s="165"/>
      <c r="G147" t="s">
        <v>589</v>
      </c>
      <c r="H147" t="s">
        <v>1230</v>
      </c>
      <c r="I147" s="117">
        <v>46120</v>
      </c>
      <c r="J147">
        <v>337</v>
      </c>
      <c r="K147" s="282">
        <v>112.60299999999999</v>
      </c>
      <c r="L147" s="155">
        <v>112.075</v>
      </c>
      <c r="M147" s="9">
        <f>+(L147-K147)*J147/100</f>
        <v>-1.7793599999999716</v>
      </c>
      <c r="N147" s="2">
        <f>+K147*J147/100</f>
        <v>379.47210999999993</v>
      </c>
      <c r="O147" s="2" t="s">
        <v>1781</v>
      </c>
      <c r="P147" t="str">
        <f>G147&amp;"["&amp;H147&amp;"]，"&amp;J147&amp;"w，"&amp;K147&amp;"，"&amp;TEXT(I147,"m月d日")&amp;"，"&amp;"【】"&amp;" to "&amp;O147</f>
        <v>铁建051C[199768.SH]，337w，112.603，4月8日，【】 to 元康盛景28号 刘靖涛3003993899</v>
      </c>
      <c r="Q147" t="s">
        <v>1783</v>
      </c>
    </row>
    <row r="148" spans="1:17">
      <c r="A148" s="156">
        <v>46120</v>
      </c>
      <c r="B148" s="112" t="s">
        <v>1741</v>
      </c>
      <c r="C148" s="112"/>
      <c r="D148" s="213">
        <v>1491.13121</v>
      </c>
      <c r="E148" s="369">
        <f>E147+C148-D148</f>
        <v>158.96049000000016</v>
      </c>
      <c r="G148" t="s">
        <v>1740</v>
      </c>
      <c r="H148" t="s">
        <v>1779</v>
      </c>
      <c r="I148" s="117">
        <v>46120</v>
      </c>
      <c r="J148">
        <v>320</v>
      </c>
      <c r="K148" s="282">
        <v>111.938</v>
      </c>
      <c r="L148" s="155">
        <f>-M271*(1+K278*(L276-L271)/365)-SUM(M272:M275)</f>
        <v>110.85139726027397</v>
      </c>
      <c r="M148" s="9">
        <f>+(L148-K148)*J148/100</f>
        <v>-3.477128767123304</v>
      </c>
      <c r="N148" s="2">
        <f>+K148*J148/100</f>
        <v>358.20160000000004</v>
      </c>
      <c r="O148" s="2" t="s">
        <v>1781</v>
      </c>
      <c r="P148" t="str">
        <f>G148&amp;"["&amp;H148&amp;"]，"&amp;J148&amp;"w，"&amp;K148&amp;"，"&amp;TEXT(I148,"m月d日")&amp;"，"&amp;"【】"&amp;" to "&amp;O148</f>
        <v>铁建061C[260663.SH]，320w，111.938，4月8日，【】 to 元康盛景28号 刘靖涛3003993899</v>
      </c>
      <c r="Q148" t="s">
        <v>1784</v>
      </c>
    </row>
    <row r="149" spans="1:17">
      <c r="A149" s="156">
        <v>46120</v>
      </c>
      <c r="B149" s="112" t="s">
        <v>1796</v>
      </c>
      <c r="C149" s="112"/>
      <c r="D149" s="112">
        <v>64.5</v>
      </c>
      <c r="E149" s="369">
        <f>E148+C149-D149</f>
        <v>94.460490000000163</v>
      </c>
      <c r="G149" t="s">
        <v>588</v>
      </c>
      <c r="H149" t="s">
        <v>1780</v>
      </c>
      <c r="I149" s="117">
        <v>46120</v>
      </c>
      <c r="J149">
        <v>750</v>
      </c>
      <c r="K149" s="282">
        <v>100.461</v>
      </c>
      <c r="L149" s="155">
        <v>101.23180000000001</v>
      </c>
      <c r="M149" s="9">
        <f>+(L149-K149)*J149/100</f>
        <v>5.7810000000000628</v>
      </c>
      <c r="N149" s="2">
        <f>+K149*J149/100</f>
        <v>753.45749999999998</v>
      </c>
      <c r="O149" s="2" t="s">
        <v>1781</v>
      </c>
      <c r="P149" t="str">
        <f>G149&amp;"["&amp;H149&amp;"]，"&amp;J149&amp;"w，"&amp;K149&amp;"，"&amp;TEXT(I149,"m月d日")&amp;"，"&amp;"【】"&amp;" to "&amp;O149</f>
        <v>G铁建82C[266500.SH]，750w，100.461，4月8日，【】 to 元康盛景28号 刘靖涛3003993899</v>
      </c>
      <c r="Q149" t="s">
        <v>1785</v>
      </c>
    </row>
    <row r="150" spans="1:17">
      <c r="A150" s="156">
        <v>46120</v>
      </c>
      <c r="B150" s="112" t="s">
        <v>1797</v>
      </c>
      <c r="C150" s="112"/>
      <c r="D150" s="112">
        <v>14</v>
      </c>
      <c r="E150" s="369">
        <f>E149+C150-D150</f>
        <v>80.460490000000163</v>
      </c>
      <c r="I150"/>
      <c r="J150"/>
      <c r="K150" s="2"/>
      <c r="L150" s="9"/>
      <c r="M150" s="248">
        <f>SUM(M147:M149)</f>
        <v>0.52451123287678669</v>
      </c>
      <c r="N150" s="248">
        <f>SUM(N147:N149)</f>
        <v>1491.13121</v>
      </c>
      <c r="O150" s="2"/>
    </row>
    <row r="151" spans="1:17">
      <c r="A151" s="156"/>
      <c r="B151" s="112"/>
      <c r="C151" s="112"/>
      <c r="D151" s="112"/>
      <c r="E151" s="369">
        <f t="shared" ref="E151" si="11">E150+C151-D151</f>
        <v>80.460490000000163</v>
      </c>
      <c r="G151" t="s">
        <v>1740</v>
      </c>
      <c r="H151" t="s">
        <v>1779</v>
      </c>
      <c r="I151" s="117">
        <v>46120</v>
      </c>
      <c r="J151">
        <f>975-J148</f>
        <v>655</v>
      </c>
      <c r="K151" s="282">
        <v>111.938</v>
      </c>
      <c r="L151" s="155">
        <f>+L148</f>
        <v>110.85139726027397</v>
      </c>
      <c r="M151" s="9">
        <f>+(L151-K151)*J151/100</f>
        <v>-7.1172479452055128</v>
      </c>
      <c r="N151" s="2">
        <f>+K151*J151/100</f>
        <v>733.19389999999999</v>
      </c>
      <c r="O151" s="2" t="s">
        <v>1782</v>
      </c>
      <c r="P151" t="str">
        <f>G151&amp;"["&amp;H151&amp;"]，"&amp;J151&amp;"w，"&amp;K151&amp;"，"&amp;TEXT(I151,"m月d日")&amp;"，"&amp;"【】"&amp;" to "&amp;O151</f>
        <v>铁建061C[260663.SH]，655w，111.938，4月8日，【】 to 外贸信托-元康盛景1号 赵婷婷 qt2850551246</v>
      </c>
      <c r="Q151" t="s">
        <v>1786</v>
      </c>
    </row>
    <row r="152" spans="1:17">
      <c r="A152" s="156">
        <v>46121</v>
      </c>
      <c r="B152" s="112" t="s">
        <v>1803</v>
      </c>
      <c r="C152" s="112">
        <v>2000</v>
      </c>
      <c r="D152" s="112"/>
      <c r="E152" s="369">
        <f t="shared" ref="E152:E275" si="12">E151+C152-D152</f>
        <v>2080.4604900000004</v>
      </c>
      <c r="G152" t="s">
        <v>588</v>
      </c>
      <c r="H152" t="s">
        <v>1780</v>
      </c>
      <c r="I152" s="117">
        <v>46120</v>
      </c>
      <c r="J152">
        <f>1775-J149</f>
        <v>1025</v>
      </c>
      <c r="K152" s="282">
        <v>100.461</v>
      </c>
      <c r="L152" s="155">
        <v>101.23180000000001</v>
      </c>
      <c r="M152" s="9">
        <f>+(L152-K152)*J152/100</f>
        <v>7.9007000000000858</v>
      </c>
      <c r="N152" s="2">
        <f>+K152*J152/100</f>
        <v>1029.72525</v>
      </c>
      <c r="O152" s="2" t="s">
        <v>1782</v>
      </c>
      <c r="P152" t="str">
        <f>G152&amp;"["&amp;H152&amp;"]，"&amp;J152&amp;"w，"&amp;K152&amp;"，"&amp;TEXT(I152,"m月d日")&amp;"，"&amp;"【】"&amp;" to "&amp;O152</f>
        <v>G铁建82C[266500.SH]，1025w，100.461，4月8日，【】 to 外贸信托-元康盛景1号 赵婷婷 qt2850551246</v>
      </c>
      <c r="Q152" t="s">
        <v>1787</v>
      </c>
    </row>
    <row r="153" spans="1:17">
      <c r="A153" s="156">
        <v>46122</v>
      </c>
      <c r="B153" s="112" t="s">
        <v>1071</v>
      </c>
      <c r="C153" s="112"/>
      <c r="D153" s="112">
        <f>100*107.902/100</f>
        <v>107.902</v>
      </c>
      <c r="E153" s="369">
        <f t="shared" si="12"/>
        <v>1972.5584900000003</v>
      </c>
      <c r="F153" t="s">
        <v>1791</v>
      </c>
      <c r="I153"/>
      <c r="J153"/>
      <c r="K153" s="2"/>
      <c r="L153" s="9"/>
      <c r="M153" s="248">
        <f>SUM(M151:M152)</f>
        <v>0.78345205479457292</v>
      </c>
      <c r="N153" s="248">
        <f>SUM(N151:N152)</f>
        <v>1762.9191499999999</v>
      </c>
    </row>
    <row r="154" spans="1:17">
      <c r="A154" s="156">
        <v>46122</v>
      </c>
      <c r="B154" s="112" t="s">
        <v>606</v>
      </c>
      <c r="C154" s="112"/>
      <c r="D154" s="112">
        <v>1500</v>
      </c>
      <c r="E154" s="369">
        <f t="shared" si="12"/>
        <v>472.55849000000035</v>
      </c>
      <c r="F154" t="s">
        <v>1842</v>
      </c>
      <c r="I154"/>
      <c r="J154"/>
      <c r="K154" s="2"/>
      <c r="L154" s="9"/>
      <c r="M154" s="248"/>
      <c r="N154" s="248"/>
    </row>
    <row r="155" spans="1:17">
      <c r="A155" s="156">
        <v>46122</v>
      </c>
      <c r="B155" s="112" t="s">
        <v>1114</v>
      </c>
      <c r="C155" s="112">
        <v>1500</v>
      </c>
      <c r="D155" s="112"/>
      <c r="E155" s="369">
        <f t="shared" si="12"/>
        <v>1972.5584900000003</v>
      </c>
      <c r="F155" t="s">
        <v>1842</v>
      </c>
      <c r="I155"/>
      <c r="J155"/>
      <c r="K155" s="2"/>
      <c r="L155" s="9"/>
      <c r="M155" s="248"/>
      <c r="N155" s="248"/>
    </row>
    <row r="156" spans="1:17">
      <c r="A156" s="156">
        <v>46125</v>
      </c>
      <c r="B156" s="112" t="s">
        <v>1728</v>
      </c>
      <c r="C156" s="112">
        <v>2500</v>
      </c>
      <c r="D156" s="112"/>
      <c r="E156" s="369">
        <f t="shared" si="12"/>
        <v>4472.5584900000003</v>
      </c>
      <c r="F156" t="s">
        <v>1838</v>
      </c>
      <c r="I156"/>
      <c r="J156"/>
      <c r="K156" s="2"/>
      <c r="L156" s="9"/>
      <c r="M156" s="248"/>
      <c r="N156" s="248"/>
    </row>
    <row r="157" spans="1:17">
      <c r="A157" s="156"/>
      <c r="B157" s="112"/>
      <c r="C157" s="112"/>
      <c r="D157" s="112"/>
      <c r="E157" s="369">
        <f t="shared" si="12"/>
        <v>4472.5584900000003</v>
      </c>
      <c r="I157"/>
      <c r="J157"/>
      <c r="K157" s="2"/>
      <c r="L157" s="9"/>
      <c r="M157" s="9"/>
      <c r="N157" s="2"/>
    </row>
    <row r="158" spans="1:17">
      <c r="A158" s="156">
        <v>46125</v>
      </c>
      <c r="B158" s="112" t="s">
        <v>1091</v>
      </c>
      <c r="C158" s="112"/>
      <c r="D158" s="112">
        <v>100</v>
      </c>
      <c r="E158" s="369">
        <f t="shared" si="12"/>
        <v>4372.5584900000003</v>
      </c>
      <c r="F158" t="s">
        <v>1849</v>
      </c>
      <c r="I158"/>
      <c r="J158"/>
      <c r="K158" s="2"/>
      <c r="L158" s="9"/>
      <c r="M158" s="9"/>
      <c r="N158" s="2"/>
    </row>
    <row r="159" spans="1:17">
      <c r="A159" s="156">
        <v>46125</v>
      </c>
      <c r="B159" s="112" t="s">
        <v>1583</v>
      </c>
      <c r="C159" s="112"/>
      <c r="D159" s="112">
        <v>1600</v>
      </c>
      <c r="E159" s="369">
        <f t="shared" si="12"/>
        <v>2772.5584900000003</v>
      </c>
      <c r="F159" t="s">
        <v>1850</v>
      </c>
    </row>
    <row r="160" spans="1:17">
      <c r="A160" s="156">
        <v>46125</v>
      </c>
      <c r="B160" s="112" t="s">
        <v>588</v>
      </c>
      <c r="C160" s="112"/>
      <c r="D160" s="112">
        <f>1082*1.01</f>
        <v>1092.82</v>
      </c>
      <c r="E160" s="369">
        <f t="shared" si="12"/>
        <v>1679.7384900000004</v>
      </c>
      <c r="F160" t="s">
        <v>1851</v>
      </c>
    </row>
    <row r="161" spans="1:12">
      <c r="A161" s="156"/>
      <c r="B161" s="112"/>
      <c r="C161" s="112"/>
      <c r="D161" s="112"/>
      <c r="E161" s="369">
        <f t="shared" si="12"/>
        <v>1679.7384900000004</v>
      </c>
      <c r="F161" t="s">
        <v>1859</v>
      </c>
      <c r="G161" t="s">
        <v>1871</v>
      </c>
    </row>
    <row r="162" spans="1:12">
      <c r="A162" s="156">
        <v>46126</v>
      </c>
      <c r="B162" s="112" t="s">
        <v>1845</v>
      </c>
      <c r="C162" s="112">
        <v>338.7</v>
      </c>
      <c r="E162" s="370">
        <f t="shared" si="12"/>
        <v>2018.4384900000005</v>
      </c>
    </row>
    <row r="163" spans="1:12">
      <c r="E163" s="370">
        <f t="shared" si="12"/>
        <v>2018.4384900000005</v>
      </c>
    </row>
    <row r="164" spans="1:12">
      <c r="A164" s="156"/>
      <c r="B164" s="112"/>
      <c r="C164" s="112"/>
      <c r="D164" s="112"/>
      <c r="E164" s="369">
        <f t="shared" si="12"/>
        <v>2018.4384900000005</v>
      </c>
    </row>
    <row r="165" spans="1:12">
      <c r="A165" s="156">
        <v>46127</v>
      </c>
      <c r="B165" s="112" t="s">
        <v>1830</v>
      </c>
      <c r="C165" s="112"/>
      <c r="D165" s="112">
        <f>1500*101.2%</f>
        <v>1518</v>
      </c>
      <c r="E165" s="369">
        <f t="shared" si="12"/>
        <v>500.43849000000046</v>
      </c>
    </row>
    <row r="166" spans="1:12">
      <c r="A166" s="156">
        <v>46127</v>
      </c>
      <c r="B166" s="112" t="s">
        <v>1114</v>
      </c>
      <c r="C166" s="112">
        <v>550</v>
      </c>
      <c r="D166" s="112"/>
      <c r="E166" s="369">
        <f t="shared" si="12"/>
        <v>1050.4384900000005</v>
      </c>
      <c r="F166" t="s">
        <v>1876</v>
      </c>
      <c r="I166" s="250"/>
      <c r="J166" s="420"/>
      <c r="K166" s="420"/>
      <c r="L166" s="250"/>
    </row>
    <row r="167" spans="1:12">
      <c r="A167" s="156">
        <v>46127</v>
      </c>
      <c r="B167" s="112" t="s">
        <v>1798</v>
      </c>
      <c r="C167" s="112"/>
      <c r="D167" s="112">
        <v>987.71817999999996</v>
      </c>
      <c r="E167" s="369">
        <f>E166+C167-D167</f>
        <v>62.720310000000495</v>
      </c>
    </row>
    <row r="168" spans="1:12">
      <c r="A168" s="156">
        <v>46129</v>
      </c>
      <c r="B168" s="112" t="s">
        <v>581</v>
      </c>
      <c r="C168" s="112">
        <v>800</v>
      </c>
      <c r="D168" s="112"/>
      <c r="E168" s="369">
        <f t="shared" si="12"/>
        <v>862.7203100000005</v>
      </c>
    </row>
    <row r="169" spans="1:12">
      <c r="A169" s="156">
        <v>46129</v>
      </c>
      <c r="B169" s="112" t="s">
        <v>610</v>
      </c>
      <c r="C169" s="112"/>
      <c r="D169" s="112">
        <v>550</v>
      </c>
      <c r="E169" s="369">
        <f t="shared" ref="E169:E182" si="13">E168+C169-D169</f>
        <v>312.7203100000005</v>
      </c>
    </row>
    <row r="170" spans="1:12">
      <c r="A170" s="156">
        <v>46129</v>
      </c>
      <c r="B170" s="112" t="s">
        <v>1716</v>
      </c>
      <c r="C170" s="112">
        <v>2754</v>
      </c>
      <c r="D170" s="112"/>
      <c r="E170" s="369">
        <f t="shared" si="13"/>
        <v>3066.7203100000006</v>
      </c>
      <c r="F170" s="399" t="s">
        <v>1936</v>
      </c>
      <c r="G170" s="399" t="s">
        <v>1937</v>
      </c>
    </row>
    <row r="171" spans="1:12">
      <c r="A171" s="156"/>
      <c r="B171" s="112"/>
      <c r="C171" s="112"/>
      <c r="D171" s="112"/>
      <c r="E171" s="369">
        <f t="shared" si="13"/>
        <v>3066.7203100000006</v>
      </c>
    </row>
    <row r="172" spans="1:12">
      <c r="A172" s="156"/>
      <c r="B172" s="112"/>
      <c r="C172" s="112"/>
      <c r="D172" s="112"/>
      <c r="E172" s="369">
        <f t="shared" si="13"/>
        <v>3066.7203100000006</v>
      </c>
    </row>
    <row r="173" spans="1:12">
      <c r="A173" s="156">
        <v>46129</v>
      </c>
      <c r="B173" s="112" t="s">
        <v>1499</v>
      </c>
      <c r="C173" s="112">
        <v>500</v>
      </c>
      <c r="D173" s="112"/>
      <c r="E173" s="369">
        <f t="shared" si="13"/>
        <v>3566.7203100000006</v>
      </c>
      <c r="F173" s="399" t="s">
        <v>1974</v>
      </c>
      <c r="G173" s="399" t="s">
        <v>1941</v>
      </c>
    </row>
    <row r="174" spans="1:12">
      <c r="A174" s="156"/>
      <c r="B174" s="112"/>
      <c r="C174" s="112"/>
      <c r="D174" s="112"/>
      <c r="E174" s="369">
        <f t="shared" si="13"/>
        <v>3566.7203100000006</v>
      </c>
    </row>
    <row r="175" spans="1:12">
      <c r="A175" s="156"/>
      <c r="B175" s="112"/>
      <c r="C175" s="112"/>
      <c r="D175" s="112"/>
      <c r="E175" s="369">
        <f t="shared" si="13"/>
        <v>3566.7203100000006</v>
      </c>
      <c r="F175" s="399" t="s">
        <v>1964</v>
      </c>
    </row>
    <row r="176" spans="1:12">
      <c r="A176" s="156">
        <v>46132</v>
      </c>
      <c r="B176" s="112" t="s">
        <v>1855</v>
      </c>
      <c r="C176" s="112"/>
      <c r="D176" s="112">
        <v>2200</v>
      </c>
      <c r="E176" s="369">
        <f t="shared" si="13"/>
        <v>1366.7203100000006</v>
      </c>
      <c r="F176" s="399" t="s">
        <v>1965</v>
      </c>
    </row>
    <row r="177" spans="1:18">
      <c r="A177" s="156">
        <v>46132</v>
      </c>
      <c r="B177" s="112" t="s">
        <v>1856</v>
      </c>
      <c r="C177" s="116">
        <v>302.95499999999998</v>
      </c>
      <c r="D177" s="112"/>
      <c r="E177" s="369">
        <f t="shared" si="13"/>
        <v>1669.6753100000005</v>
      </c>
      <c r="F177" s="399" t="s">
        <v>1975</v>
      </c>
    </row>
    <row r="178" spans="1:18">
      <c r="A178" s="156">
        <v>46132</v>
      </c>
      <c r="B178" s="112" t="s">
        <v>842</v>
      </c>
      <c r="C178" s="116">
        <v>312.83699999999999</v>
      </c>
      <c r="D178" s="112"/>
      <c r="E178" s="369">
        <f t="shared" si="13"/>
        <v>1982.5123100000005</v>
      </c>
      <c r="F178" s="399" t="s">
        <v>1976</v>
      </c>
    </row>
    <row r="179" spans="1:18">
      <c r="A179" s="156">
        <v>46132</v>
      </c>
      <c r="B179" s="112" t="s">
        <v>1864</v>
      </c>
      <c r="C179" s="116">
        <v>503.95499999999998</v>
      </c>
      <c r="D179" s="112"/>
      <c r="E179" s="369">
        <f t="shared" si="13"/>
        <v>2486.4673100000005</v>
      </c>
      <c r="F179" s="399" t="s">
        <v>1977</v>
      </c>
    </row>
    <row r="180" spans="1:18">
      <c r="A180" s="156">
        <v>46132</v>
      </c>
      <c r="B180" t="s">
        <v>1767</v>
      </c>
      <c r="D180">
        <v>13.93</v>
      </c>
      <c r="E180" s="369">
        <f t="shared" si="13"/>
        <v>2472.5373100000006</v>
      </c>
    </row>
    <row r="181" spans="1:18">
      <c r="A181" s="156">
        <v>46132</v>
      </c>
      <c r="B181" s="454" t="s">
        <v>1114</v>
      </c>
      <c r="C181" s="112">
        <v>3100</v>
      </c>
      <c r="D181" s="112"/>
      <c r="E181" s="369">
        <f t="shared" si="13"/>
        <v>5572.5373100000006</v>
      </c>
    </row>
    <row r="182" spans="1:18">
      <c r="A182" s="252">
        <v>46133</v>
      </c>
      <c r="B182" s="253" t="s">
        <v>1869</v>
      </c>
      <c r="C182" s="253"/>
      <c r="D182" s="253">
        <v>1402</v>
      </c>
      <c r="E182" s="369">
        <f t="shared" si="13"/>
        <v>4170.5373100000006</v>
      </c>
      <c r="K182" s="9" t="s">
        <v>1646</v>
      </c>
      <c r="L182" s="2" t="s">
        <v>1645</v>
      </c>
      <c r="N182" t="s">
        <v>293</v>
      </c>
    </row>
    <row r="183" spans="1:18">
      <c r="A183" s="156">
        <v>46133</v>
      </c>
      <c r="B183" s="112" t="s">
        <v>1684</v>
      </c>
      <c r="C183" s="112"/>
      <c r="D183" s="112">
        <v>3424</v>
      </c>
      <c r="E183" s="369">
        <f t="shared" ref="E183:E189" si="14">E182+C183-D183</f>
        <v>746.53731000000062</v>
      </c>
      <c r="F183" s="399" t="s">
        <v>1994</v>
      </c>
      <c r="G183" t="s">
        <v>1825</v>
      </c>
      <c r="H183" s="298" t="s">
        <v>1607</v>
      </c>
      <c r="I183" s="298"/>
      <c r="J183" s="357">
        <v>460</v>
      </c>
      <c r="K183" s="358" t="s">
        <v>1604</v>
      </c>
      <c r="L183" s="359" t="s">
        <v>621</v>
      </c>
      <c r="N183" s="163">
        <v>6.8000000000000005E-2</v>
      </c>
      <c r="O183" s="163">
        <f>SUMPRODUCT(N183:N185,J183:J185)/SUM(J183:J185)</f>
        <v>1.8403225806451613E-2</v>
      </c>
      <c r="Q183" t="s">
        <v>951</v>
      </c>
      <c r="R183">
        <v>5300</v>
      </c>
    </row>
    <row r="184" spans="1:18">
      <c r="A184" s="156">
        <v>46134</v>
      </c>
      <c r="B184" s="112" t="s">
        <v>2076</v>
      </c>
      <c r="C184" s="112">
        <v>84.631200000000007</v>
      </c>
      <c r="D184" s="112"/>
      <c r="E184" s="369">
        <f t="shared" si="14"/>
        <v>831.16851000000065</v>
      </c>
      <c r="F184" s="399" t="s">
        <v>2078</v>
      </c>
      <c r="G184" s="117">
        <v>46136</v>
      </c>
      <c r="H184" s="298" t="s">
        <v>495</v>
      </c>
      <c r="I184" s="298"/>
      <c r="J184" s="357">
        <v>2500</v>
      </c>
      <c r="K184" s="358"/>
      <c r="L184" s="359"/>
      <c r="N184" s="163"/>
    </row>
    <row r="185" spans="1:18">
      <c r="A185" s="156">
        <v>46134</v>
      </c>
      <c r="B185" s="112" t="s">
        <v>1988</v>
      </c>
      <c r="C185" s="112">
        <v>179</v>
      </c>
      <c r="D185" s="112"/>
      <c r="E185" s="369">
        <f t="shared" si="14"/>
        <v>1010.1685100000007</v>
      </c>
      <c r="F185" s="399"/>
      <c r="G185" s="117">
        <v>46132</v>
      </c>
      <c r="H185" t="s">
        <v>1605</v>
      </c>
      <c r="J185" s="109">
        <v>2000</v>
      </c>
      <c r="K185" s="9" t="s">
        <v>1615</v>
      </c>
      <c r="N185" s="163">
        <v>0.03</v>
      </c>
    </row>
    <row r="186" spans="1:18">
      <c r="A186" s="156">
        <v>46134</v>
      </c>
      <c r="B186" s="112" t="s">
        <v>1798</v>
      </c>
      <c r="C186" s="112"/>
      <c r="D186" s="112">
        <f>587.8*1.1225</f>
        <v>659.80549999999994</v>
      </c>
      <c r="E186" s="369">
        <f t="shared" si="14"/>
        <v>350.36301000000071</v>
      </c>
      <c r="G186" s="117"/>
    </row>
    <row r="187" spans="1:18">
      <c r="A187" s="156">
        <v>46134</v>
      </c>
      <c r="B187" s="112" t="s">
        <v>1799</v>
      </c>
      <c r="C187" s="112"/>
      <c r="D187" s="112">
        <f>276*1.1225</f>
        <v>309.81</v>
      </c>
      <c r="E187" s="369">
        <f t="shared" si="14"/>
        <v>40.553010000000711</v>
      </c>
      <c r="G187" s="117"/>
    </row>
    <row r="188" spans="1:18">
      <c r="A188" s="156"/>
      <c r="B188" s="112"/>
      <c r="C188" s="112"/>
      <c r="D188" s="112"/>
      <c r="E188" s="369">
        <f t="shared" si="14"/>
        <v>40.553010000000711</v>
      </c>
      <c r="G188" s="117"/>
      <c r="I188" s="463">
        <v>0.17391304347826086</v>
      </c>
      <c r="J188" s="9" t="s">
        <v>2044</v>
      </c>
      <c r="K188" s="9" t="s">
        <v>527</v>
      </c>
      <c r="L188" s="2" t="s">
        <v>528</v>
      </c>
      <c r="M188" t="s">
        <v>530</v>
      </c>
      <c r="N188" t="s">
        <v>1778</v>
      </c>
      <c r="O188" t="s">
        <v>2058</v>
      </c>
      <c r="Q188" t="s">
        <v>2067</v>
      </c>
    </row>
    <row r="189" spans="1:18">
      <c r="A189" s="156"/>
      <c r="B189" s="112"/>
      <c r="C189" s="112"/>
      <c r="D189" s="112"/>
      <c r="E189" s="369">
        <f t="shared" si="14"/>
        <v>40.553010000000711</v>
      </c>
      <c r="G189" s="117"/>
      <c r="I189" s="2" t="s">
        <v>2056</v>
      </c>
      <c r="J189" s="2">
        <v>100</v>
      </c>
      <c r="K189" s="282">
        <f>100*(1+P189*(M189-O189)/365)</f>
        <v>109.26219178082192</v>
      </c>
      <c r="L189" s="282">
        <f>+K189</f>
        <v>109.26219178082192</v>
      </c>
      <c r="M189" s="117">
        <v>46135</v>
      </c>
      <c r="N189" s="282">
        <f>ROUND(L189*J189/100,3)</f>
        <v>109.262</v>
      </c>
      <c r="O189" s="1">
        <v>45562</v>
      </c>
      <c r="P189" s="150">
        <v>5.8999999999999997E-2</v>
      </c>
    </row>
    <row r="190" spans="1:18">
      <c r="A190" s="156"/>
      <c r="B190" s="112"/>
      <c r="C190" s="112"/>
      <c r="D190" s="112"/>
      <c r="E190" s="369">
        <f t="shared" ref="E190:E194" si="15">E189+C190-D190</f>
        <v>40.553010000000711</v>
      </c>
      <c r="I190" s="2" t="s">
        <v>2057</v>
      </c>
      <c r="J190" s="2">
        <v>50</v>
      </c>
      <c r="K190" s="282">
        <v>100.5</v>
      </c>
      <c r="L190" s="282">
        <f>ROUND(5.6*(M190-O190+1)/365+K190,3)</f>
        <v>100.93</v>
      </c>
      <c r="M190" s="117">
        <v>46135</v>
      </c>
      <c r="N190" s="282">
        <f>ROUND(L190*J190/100,3)</f>
        <v>50.465000000000003</v>
      </c>
      <c r="O190" s="117">
        <v>46108</v>
      </c>
      <c r="Q190" s="150">
        <v>4.7899999999999998E-2</v>
      </c>
    </row>
    <row r="191" spans="1:18">
      <c r="A191" s="156">
        <v>46135</v>
      </c>
      <c r="B191" s="112" t="s">
        <v>1499</v>
      </c>
      <c r="C191" s="112">
        <v>2000</v>
      </c>
      <c r="D191" s="112"/>
      <c r="E191" s="369">
        <f t="shared" si="15"/>
        <v>2040.5530100000008</v>
      </c>
      <c r="F191" s="399" t="s">
        <v>2115</v>
      </c>
      <c r="N191" s="165">
        <f>SUM(N189:N190)</f>
        <v>159.727</v>
      </c>
    </row>
    <row r="192" spans="1:18">
      <c r="A192" s="156"/>
      <c r="B192" s="112"/>
      <c r="C192" s="112"/>
      <c r="D192" s="112"/>
      <c r="E192" s="369">
        <f t="shared" si="15"/>
        <v>2040.5530100000008</v>
      </c>
    </row>
    <row r="193" spans="1:16">
      <c r="A193" s="156">
        <v>46135</v>
      </c>
      <c r="B193" s="116" t="s">
        <v>791</v>
      </c>
      <c r="C193" s="112"/>
      <c r="D193" s="112">
        <v>109.262</v>
      </c>
      <c r="E193" s="369">
        <f t="shared" si="15"/>
        <v>1931.2910100000008</v>
      </c>
      <c r="F193" s="399" t="s">
        <v>2085</v>
      </c>
    </row>
    <row r="194" spans="1:16">
      <c r="A194" s="156">
        <v>46135</v>
      </c>
      <c r="B194" s="116" t="s">
        <v>2057</v>
      </c>
      <c r="C194" s="112"/>
      <c r="D194" s="112">
        <v>50.465000000000003</v>
      </c>
      <c r="E194" s="369">
        <f t="shared" si="15"/>
        <v>1880.8260100000009</v>
      </c>
      <c r="F194" s="399" t="s">
        <v>2086</v>
      </c>
    </row>
    <row r="195" spans="1:16">
      <c r="A195" s="156"/>
      <c r="B195" s="112"/>
      <c r="C195" s="112"/>
      <c r="D195" s="112"/>
      <c r="E195" s="369">
        <f t="shared" si="12"/>
        <v>1880.8260100000009</v>
      </c>
    </row>
    <row r="196" spans="1:16">
      <c r="A196" s="156">
        <v>46136</v>
      </c>
      <c r="B196" s="112" t="s">
        <v>1090</v>
      </c>
      <c r="C196" s="112">
        <v>800</v>
      </c>
      <c r="D196" s="112"/>
      <c r="E196" s="369">
        <f t="shared" si="12"/>
        <v>2680.8260100000007</v>
      </c>
      <c r="F196" s="399" t="s">
        <v>1983</v>
      </c>
    </row>
    <row r="197" spans="1:16">
      <c r="A197" s="156">
        <v>46136</v>
      </c>
      <c r="B197" s="112" t="s">
        <v>1728</v>
      </c>
      <c r="C197" s="112">
        <v>500</v>
      </c>
      <c r="D197" s="112"/>
      <c r="E197" s="369">
        <f t="shared" si="12"/>
        <v>3180.8260100000007</v>
      </c>
    </row>
    <row r="198" spans="1:16">
      <c r="A198" s="156"/>
      <c r="B198" s="112"/>
      <c r="C198" s="112"/>
      <c r="D198" s="112"/>
      <c r="E198" s="369">
        <f>E197+C198-D198</f>
        <v>3180.8260100000007</v>
      </c>
    </row>
    <row r="199" spans="1:16">
      <c r="A199" s="156"/>
      <c r="B199" s="112"/>
      <c r="C199" s="112"/>
      <c r="D199" s="112"/>
      <c r="E199" s="369">
        <f t="shared" ref="E199:E202" si="16">E198+C199-D199</f>
        <v>3180.8260100000007</v>
      </c>
    </row>
    <row r="200" spans="1:16">
      <c r="A200" s="156"/>
      <c r="B200" s="112"/>
      <c r="C200" s="112"/>
      <c r="D200" s="112"/>
      <c r="E200" s="369">
        <f t="shared" si="16"/>
        <v>3180.8260100000007</v>
      </c>
    </row>
    <row r="201" spans="1:16">
      <c r="A201" s="156"/>
      <c r="B201" s="112"/>
      <c r="C201" s="112"/>
      <c r="D201" s="112"/>
      <c r="E201" s="369">
        <f t="shared" si="16"/>
        <v>3180.8260100000007</v>
      </c>
      <c r="J201" s="2" t="s">
        <v>2044</v>
      </c>
      <c r="K201" s="9" t="s">
        <v>2105</v>
      </c>
      <c r="L201" s="9" t="s">
        <v>2069</v>
      </c>
      <c r="M201" s="2" t="s">
        <v>2107</v>
      </c>
      <c r="N201" t="s">
        <v>530</v>
      </c>
      <c r="O201" t="s">
        <v>1777</v>
      </c>
      <c r="P201" t="s">
        <v>1778</v>
      </c>
    </row>
    <row r="202" spans="1:16">
      <c r="A202" s="156">
        <v>46139</v>
      </c>
      <c r="B202" s="112" t="s">
        <v>1811</v>
      </c>
      <c r="C202" s="112">
        <v>1845.6</v>
      </c>
      <c r="D202" s="112"/>
      <c r="E202" s="369">
        <f t="shared" si="16"/>
        <v>5026.426010000001</v>
      </c>
      <c r="H202" t="s">
        <v>2104</v>
      </c>
      <c r="I202" s="2" t="s">
        <v>2106</v>
      </c>
      <c r="J202" s="2">
        <v>900</v>
      </c>
      <c r="K202" s="163">
        <v>5.5E-2</v>
      </c>
      <c r="L202" s="266">
        <v>45951</v>
      </c>
      <c r="M202" s="2">
        <f>+S286</f>
        <v>1.4918</v>
      </c>
      <c r="N202" s="117">
        <v>46139</v>
      </c>
      <c r="O202" s="282">
        <f>ROUND(100*(1+K202*(N202-L202)/365)-M202,3)</f>
        <v>101.34099999999999</v>
      </c>
      <c r="P202" s="165">
        <f>+O202*J202/100</f>
        <v>912.06899999999996</v>
      </c>
    </row>
    <row r="203" spans="1:16">
      <c r="A203" s="156">
        <v>46139</v>
      </c>
      <c r="B203" s="112" t="s">
        <v>2093</v>
      </c>
      <c r="C203" s="112">
        <v>2721.6</v>
      </c>
      <c r="D203" s="112"/>
      <c r="E203" s="369">
        <f t="shared" si="12"/>
        <v>7748.0260100000014</v>
      </c>
      <c r="H203" t="s">
        <v>2094</v>
      </c>
      <c r="I203" s="2" t="s">
        <v>1230</v>
      </c>
      <c r="J203" s="2">
        <v>337</v>
      </c>
      <c r="K203" s="163">
        <v>8.5000000000000006E-2</v>
      </c>
      <c r="L203" s="266">
        <v>45068</v>
      </c>
      <c r="M203" s="2">
        <f>SUM(I272:I276)</f>
        <v>12.190999999999999</v>
      </c>
      <c r="N203" s="117">
        <v>46139</v>
      </c>
      <c r="O203" s="282">
        <f>ROUND(100*(1+K203*(N203-L203)/365)-M203,3)</f>
        <v>112.75</v>
      </c>
      <c r="P203" s="165">
        <f>+O203*J203/100</f>
        <v>379.96749999999997</v>
      </c>
    </row>
    <row r="204" spans="1:16">
      <c r="A204" s="156">
        <v>46139</v>
      </c>
      <c r="B204" s="112" t="s">
        <v>1740</v>
      </c>
      <c r="C204" s="116">
        <v>194.7645</v>
      </c>
      <c r="D204" s="112"/>
      <c r="E204" s="369">
        <f t="shared" si="12"/>
        <v>7942.7905100000016</v>
      </c>
      <c r="F204" t="s">
        <v>2095</v>
      </c>
      <c r="H204" t="s">
        <v>1789</v>
      </c>
      <c r="I204" s="2" t="s">
        <v>1779</v>
      </c>
      <c r="J204" s="2">
        <v>175</v>
      </c>
      <c r="K204" s="163">
        <v>8.5000000000000006E-2</v>
      </c>
      <c r="L204" s="266">
        <v>45187</v>
      </c>
      <c r="M204" s="2">
        <f>+SUM(O286:O289)</f>
        <v>10.875999999999999</v>
      </c>
      <c r="N204" s="117">
        <v>46139</v>
      </c>
      <c r="O204" s="282">
        <f>ROUND(100*(1+K204*(N204-L204)/365)-M204,3)</f>
        <v>111.294</v>
      </c>
      <c r="P204" s="165">
        <f>+O204*J204/100</f>
        <v>194.7645</v>
      </c>
    </row>
    <row r="205" spans="1:16">
      <c r="A205" s="156">
        <v>46139</v>
      </c>
      <c r="B205" s="112" t="s">
        <v>589</v>
      </c>
      <c r="C205" s="116">
        <v>379.96749999999997</v>
      </c>
      <c r="D205" s="112"/>
      <c r="E205" s="369">
        <f t="shared" si="12"/>
        <v>8322.7580100000014</v>
      </c>
      <c r="F205" t="s">
        <v>2095</v>
      </c>
      <c r="P205" s="165">
        <f>SUM(P202:P204)</f>
        <v>1486.8009999999999</v>
      </c>
    </row>
    <row r="206" spans="1:16">
      <c r="A206" s="156">
        <v>46139</v>
      </c>
      <c r="B206" s="112" t="s">
        <v>1057</v>
      </c>
      <c r="C206" s="116">
        <v>912.06899999999996</v>
      </c>
      <c r="D206" s="112"/>
      <c r="E206" s="369">
        <f t="shared" si="12"/>
        <v>9234.8270100000009</v>
      </c>
      <c r="F206" t="s">
        <v>2095</v>
      </c>
    </row>
    <row r="207" spans="1:16">
      <c r="A207" s="156">
        <v>46139</v>
      </c>
      <c r="B207" s="112" t="s">
        <v>2197</v>
      </c>
      <c r="C207" s="112"/>
      <c r="D207" s="116">
        <f>105.606%*751</f>
        <v>793.10105999999996</v>
      </c>
      <c r="E207" s="369">
        <f t="shared" si="12"/>
        <v>8441.72595</v>
      </c>
      <c r="F207" s="399" t="s">
        <v>2200</v>
      </c>
    </row>
    <row r="208" spans="1:16">
      <c r="A208" s="156">
        <v>46139</v>
      </c>
      <c r="B208" s="112" t="s">
        <v>2198</v>
      </c>
      <c r="C208" s="112"/>
      <c r="D208" s="116">
        <v>149</v>
      </c>
      <c r="E208" s="369">
        <f t="shared" ref="E208:E215" si="17">E207+C208-D208</f>
        <v>8292.72595</v>
      </c>
      <c r="F208" s="399" t="s">
        <v>2201</v>
      </c>
    </row>
    <row r="209" spans="1:16">
      <c r="A209" s="156">
        <v>46139</v>
      </c>
      <c r="B209" s="112" t="s">
        <v>2199</v>
      </c>
      <c r="C209" s="112"/>
      <c r="D209" s="116">
        <f>498*105.5295%</f>
        <v>525.53691000000003</v>
      </c>
      <c r="E209" s="369">
        <f t="shared" si="17"/>
        <v>7767.1890400000002</v>
      </c>
      <c r="F209" s="399" t="s">
        <v>2202</v>
      </c>
    </row>
    <row r="210" spans="1:16">
      <c r="A210" s="156">
        <v>46139</v>
      </c>
      <c r="B210" s="112" t="s">
        <v>2197</v>
      </c>
      <c r="C210" s="112"/>
      <c r="D210" s="116">
        <f>92*105.91%</f>
        <v>97.43719999999999</v>
      </c>
      <c r="E210" s="369">
        <f t="shared" si="17"/>
        <v>7669.7518399999999</v>
      </c>
      <c r="F210" s="399" t="s">
        <v>2203</v>
      </c>
    </row>
    <row r="211" spans="1:16">
      <c r="A211" s="156">
        <v>46139</v>
      </c>
      <c r="B211" s="112" t="s">
        <v>2199</v>
      </c>
      <c r="C211" s="112"/>
      <c r="D211" s="116">
        <f>42*105.6101%</f>
        <v>44.356241999999995</v>
      </c>
      <c r="E211" s="369">
        <f t="shared" si="17"/>
        <v>7625.3955980000001</v>
      </c>
      <c r="F211" s="399" t="s">
        <v>2204</v>
      </c>
    </row>
    <row r="212" spans="1:16">
      <c r="A212" s="156"/>
      <c r="B212" s="112"/>
      <c r="C212" s="112"/>
      <c r="D212" s="112"/>
      <c r="E212" s="369">
        <f t="shared" si="17"/>
        <v>7625.3955980000001</v>
      </c>
    </row>
    <row r="213" spans="1:16">
      <c r="A213" s="156"/>
      <c r="B213" s="112"/>
      <c r="C213" s="112"/>
      <c r="D213" s="112"/>
      <c r="E213" s="369">
        <f t="shared" si="17"/>
        <v>7625.3955980000001</v>
      </c>
    </row>
    <row r="214" spans="1:16">
      <c r="A214" s="156">
        <v>46139</v>
      </c>
      <c r="B214" s="454" t="s">
        <v>1870</v>
      </c>
      <c r="C214" s="112"/>
      <c r="D214" s="112">
        <v>472.6</v>
      </c>
      <c r="E214" s="369">
        <f t="shared" si="17"/>
        <v>7152.7955979999997</v>
      </c>
    </row>
    <row r="215" spans="1:16">
      <c r="A215" s="156">
        <v>46140</v>
      </c>
      <c r="B215" s="112" t="s">
        <v>613</v>
      </c>
      <c r="C215" s="116">
        <v>176.2</v>
      </c>
      <c r="D215" s="112"/>
      <c r="E215" s="369">
        <f t="shared" si="17"/>
        <v>7328.9955979999995</v>
      </c>
    </row>
    <row r="216" spans="1:16">
      <c r="A216" s="156">
        <v>46140</v>
      </c>
      <c r="B216" s="112" t="s">
        <v>1377</v>
      </c>
      <c r="C216" s="112">
        <v>700</v>
      </c>
      <c r="D216" s="112"/>
      <c r="E216" s="369">
        <f t="shared" si="12"/>
        <v>8028.9955979999995</v>
      </c>
      <c r="F216" s="399" t="s">
        <v>816</v>
      </c>
    </row>
    <row r="217" spans="1:16">
      <c r="A217" s="156">
        <v>46140</v>
      </c>
      <c r="B217" s="112" t="s">
        <v>1499</v>
      </c>
      <c r="C217" s="112">
        <v>354.06700000000006</v>
      </c>
      <c r="D217" s="112"/>
      <c r="E217" s="369">
        <f>E216+C217-D217</f>
        <v>8383.0625980000004</v>
      </c>
      <c r="F217" s="399" t="s">
        <v>2228</v>
      </c>
    </row>
    <row r="218" spans="1:16">
      <c r="A218" s="156">
        <v>46140</v>
      </c>
      <c r="B218" s="112" t="s">
        <v>2168</v>
      </c>
      <c r="C218" s="112">
        <v>784</v>
      </c>
      <c r="D218" s="112"/>
      <c r="E218" s="369">
        <f>E217+C218-D218</f>
        <v>9167.0625980000004</v>
      </c>
    </row>
    <row r="219" spans="1:16">
      <c r="A219" s="156">
        <v>46141</v>
      </c>
      <c r="B219" s="112" t="s">
        <v>2212</v>
      </c>
      <c r="C219" s="112">
        <v>1050</v>
      </c>
      <c r="D219" s="112"/>
      <c r="E219" s="369">
        <f>E218+C219-D219</f>
        <v>10217.062598</v>
      </c>
    </row>
    <row r="220" spans="1:16">
      <c r="A220" s="156">
        <v>46141</v>
      </c>
      <c r="B220" s="112" t="s">
        <v>1328</v>
      </c>
      <c r="C220" s="112"/>
      <c r="D220" s="112">
        <v>2000</v>
      </c>
      <c r="E220" s="369">
        <f>E219+C220-D220</f>
        <v>8217.0625980000004</v>
      </c>
      <c r="F220" s="399" t="s">
        <v>816</v>
      </c>
    </row>
    <row r="221" spans="1:16">
      <c r="A221" s="156">
        <v>46141</v>
      </c>
      <c r="B221" s="112" t="s">
        <v>2065</v>
      </c>
      <c r="C221" s="112"/>
      <c r="D221" s="112">
        <v>3000</v>
      </c>
      <c r="E221" s="369">
        <f t="shared" ref="E221:E246" si="18">E220+C221-D221</f>
        <v>5217.0625980000004</v>
      </c>
      <c r="F221" s="399" t="s">
        <v>816</v>
      </c>
    </row>
    <row r="222" spans="1:16">
      <c r="A222" s="156"/>
      <c r="B222" s="112"/>
      <c r="C222" s="112"/>
      <c r="D222" s="112"/>
      <c r="E222" s="369">
        <f>E221+C222-D222</f>
        <v>5217.0625980000004</v>
      </c>
    </row>
    <row r="223" spans="1:16">
      <c r="A223" s="156"/>
      <c r="B223" s="112"/>
      <c r="C223" s="112"/>
      <c r="D223" s="112"/>
      <c r="E223" s="369">
        <f>E222+C223-D223</f>
        <v>5217.0625980000004</v>
      </c>
    </row>
    <row r="224" spans="1:16">
      <c r="A224" s="156"/>
      <c r="B224" s="112"/>
      <c r="C224" s="116"/>
      <c r="D224" s="112"/>
      <c r="E224" s="369">
        <f>E223+C224-D224</f>
        <v>5217.0625980000004</v>
      </c>
      <c r="I224"/>
      <c r="J224" s="2"/>
      <c r="K224"/>
      <c r="L224"/>
      <c r="M224" s="9" t="s">
        <v>527</v>
      </c>
      <c r="N224" s="2" t="s">
        <v>528</v>
      </c>
      <c r="O224" t="s">
        <v>1778</v>
      </c>
      <c r="P224" t="s">
        <v>2088</v>
      </c>
    </row>
    <row r="225" spans="1:17">
      <c r="A225" s="156"/>
      <c r="B225" s="112"/>
      <c r="C225" s="116"/>
      <c r="D225" s="112"/>
      <c r="E225" s="369">
        <f t="shared" ref="E225:E226" si="19">E224+C225-D225</f>
        <v>5217.0625980000004</v>
      </c>
      <c r="H225" t="s">
        <v>2051</v>
      </c>
      <c r="I225" t="s">
        <v>2089</v>
      </c>
      <c r="J225" s="223">
        <v>3800</v>
      </c>
      <c r="K225" s="464">
        <v>9.5000000000000001E-2</v>
      </c>
      <c r="L225" s="117">
        <v>46148</v>
      </c>
      <c r="M225" s="464"/>
      <c r="N225" s="282">
        <f>+元康盛景28号!I242</f>
        <v>112.018</v>
      </c>
      <c r="O225" s="2">
        <f>+N225*J225/100</f>
        <v>4256.6840000000002</v>
      </c>
      <c r="P225" s="1">
        <v>47018</v>
      </c>
      <c r="Q225" t="s">
        <v>621</v>
      </c>
    </row>
    <row r="226" spans="1:17">
      <c r="A226" s="156">
        <v>46141</v>
      </c>
      <c r="B226" s="112" t="s">
        <v>2162</v>
      </c>
      <c r="C226" s="112"/>
      <c r="D226" s="112"/>
      <c r="E226" s="369">
        <f t="shared" si="19"/>
        <v>5217.0625980000004</v>
      </c>
      <c r="F226" t="s">
        <v>2163</v>
      </c>
      <c r="H226" t="s">
        <v>2052</v>
      </c>
      <c r="I226" t="s">
        <v>2090</v>
      </c>
      <c r="J226" s="223">
        <v>299</v>
      </c>
      <c r="K226" s="464">
        <v>7.4999999999999997E-2</v>
      </c>
      <c r="L226" s="117">
        <v>46148</v>
      </c>
      <c r="M226" s="464"/>
      <c r="N226" s="282">
        <f>+元康盛景28号!K238</f>
        <v>110.932</v>
      </c>
      <c r="O226" s="2">
        <f>+N226*J226/100</f>
        <v>331.68667999999997</v>
      </c>
      <c r="P226" s="1">
        <v>46563</v>
      </c>
      <c r="Q226" t="s">
        <v>621</v>
      </c>
    </row>
    <row r="227" spans="1:17">
      <c r="A227" s="156">
        <v>46141</v>
      </c>
      <c r="B227" s="112" t="s">
        <v>2251</v>
      </c>
      <c r="C227" s="112"/>
      <c r="D227" s="112">
        <v>1080</v>
      </c>
      <c r="E227" s="369">
        <f t="shared" ref="E227:E235" si="20">E226+C227-D227</f>
        <v>4137.0625980000004</v>
      </c>
      <c r="H227" t="s">
        <v>2053</v>
      </c>
      <c r="I227" t="s">
        <v>2092</v>
      </c>
      <c r="J227" s="223">
        <v>400</v>
      </c>
      <c r="K227" s="464">
        <v>8.5000000000000006E-2</v>
      </c>
      <c r="L227" s="117">
        <v>46148</v>
      </c>
      <c r="M227" s="464"/>
      <c r="N227" s="282">
        <f>+元康盛景28号!M242</f>
        <v>109.396</v>
      </c>
      <c r="O227" s="2">
        <f>+N227*J227/100</f>
        <v>437.584</v>
      </c>
      <c r="P227" s="1">
        <v>46287</v>
      </c>
      <c r="Q227" t="s">
        <v>621</v>
      </c>
    </row>
    <row r="228" spans="1:17">
      <c r="A228" s="156">
        <v>46142</v>
      </c>
      <c r="B228" s="112" t="s">
        <v>1555</v>
      </c>
      <c r="C228" s="116">
        <v>948.37305205479458</v>
      </c>
      <c r="D228" s="112"/>
      <c r="E228" s="369">
        <f t="shared" si="20"/>
        <v>5085.4356500547947</v>
      </c>
      <c r="F228" s="399" t="s">
        <v>2265</v>
      </c>
      <c r="H228" t="s">
        <v>2054</v>
      </c>
      <c r="I228" t="s">
        <v>2091</v>
      </c>
      <c r="J228" s="223">
        <v>1410</v>
      </c>
      <c r="K228" s="464">
        <v>6.5000000000000002E-2</v>
      </c>
      <c r="L228" s="117">
        <v>46148</v>
      </c>
      <c r="M228" s="464"/>
      <c r="N228" s="282">
        <f>+元康盛景28号!O239</f>
        <v>107.84182465753425</v>
      </c>
      <c r="O228" s="2">
        <f>+N228*J228/100</f>
        <v>1520.5697276712328</v>
      </c>
      <c r="P228" s="1">
        <v>46654</v>
      </c>
      <c r="Q228" t="s">
        <v>621</v>
      </c>
    </row>
    <row r="229" spans="1:17">
      <c r="A229" s="156">
        <v>46142</v>
      </c>
      <c r="B229" s="112" t="s">
        <v>2245</v>
      </c>
      <c r="C229" s="116">
        <v>305.214</v>
      </c>
      <c r="D229" s="112"/>
      <c r="E229" s="369">
        <f t="shared" si="20"/>
        <v>5390.6496500547946</v>
      </c>
      <c r="F229" s="399" t="s">
        <v>2280</v>
      </c>
      <c r="L229" s="117"/>
    </row>
    <row r="230" spans="1:17">
      <c r="A230" s="156"/>
      <c r="B230" s="112"/>
      <c r="C230" s="112"/>
      <c r="D230" s="112"/>
      <c r="E230" s="369">
        <f t="shared" si="20"/>
        <v>5390.6496500547946</v>
      </c>
      <c r="L230" s="117"/>
      <c r="O230" s="2">
        <f>SUM(O225:O229)</f>
        <v>6546.5244076712324</v>
      </c>
    </row>
    <row r="231" spans="1:17">
      <c r="A231" s="156"/>
      <c r="B231" s="112"/>
      <c r="C231" s="112"/>
      <c r="D231" s="112"/>
      <c r="E231" s="369">
        <f t="shared" si="20"/>
        <v>5390.6496500547946</v>
      </c>
      <c r="L231" s="117"/>
    </row>
    <row r="232" spans="1:17">
      <c r="A232" s="156">
        <v>46142</v>
      </c>
      <c r="B232" s="112" t="s">
        <v>989</v>
      </c>
      <c r="C232" s="112">
        <v>900</v>
      </c>
      <c r="D232" s="112"/>
      <c r="E232" s="369">
        <f t="shared" si="20"/>
        <v>6290.6496500547946</v>
      </c>
      <c r="L232" s="117"/>
    </row>
    <row r="233" spans="1:17">
      <c r="A233" s="156">
        <v>46142</v>
      </c>
      <c r="B233" s="112" t="s">
        <v>1090</v>
      </c>
      <c r="C233" s="112">
        <v>800</v>
      </c>
      <c r="D233" s="112"/>
      <c r="E233" s="369">
        <f t="shared" si="20"/>
        <v>7090.6496500547946</v>
      </c>
      <c r="F233" s="201"/>
    </row>
    <row r="234" spans="1:17">
      <c r="A234" s="156">
        <v>46142</v>
      </c>
      <c r="B234" s="112" t="s">
        <v>928</v>
      </c>
      <c r="C234" s="112">
        <v>300</v>
      </c>
      <c r="D234" s="112"/>
      <c r="E234" s="369">
        <f t="shared" si="20"/>
        <v>7390.6496500547946</v>
      </c>
    </row>
    <row r="235" spans="1:17">
      <c r="A235" s="156">
        <v>46148</v>
      </c>
      <c r="B235" s="112" t="s">
        <v>2051</v>
      </c>
      <c r="C235" s="112"/>
      <c r="D235" s="116">
        <v>4256.6840000000002</v>
      </c>
      <c r="E235" s="369">
        <f t="shared" si="20"/>
        <v>3133.9656500547944</v>
      </c>
      <c r="F235" t="s">
        <v>2064</v>
      </c>
      <c r="H235" t="s">
        <v>2051</v>
      </c>
      <c r="I235" s="163">
        <f>XIRR(I236:I242,H236:H242)</f>
        <v>9.2886194586753845E-2</v>
      </c>
      <c r="J235" t="s">
        <v>2052</v>
      </c>
      <c r="K235" s="163">
        <f>XIRR(K236:K238,J236:J238)</f>
        <v>7.3697337508201607E-2</v>
      </c>
      <c r="L235" t="s">
        <v>2053</v>
      </c>
      <c r="M235" s="163">
        <f>XIRR(M236:M242,L236:L242)</f>
        <v>8.3727636933326743E-2</v>
      </c>
      <c r="N235" t="s">
        <v>2054</v>
      </c>
      <c r="O235" s="163">
        <f>XIRR(O236:O239,N236:N239)</f>
        <v>6.4492848515510556E-2</v>
      </c>
      <c r="P235" t="s">
        <v>1454</v>
      </c>
    </row>
    <row r="236" spans="1:17">
      <c r="A236" s="156">
        <v>46148</v>
      </c>
      <c r="B236" s="112" t="s">
        <v>2052</v>
      </c>
      <c r="C236" s="112"/>
      <c r="D236" s="116">
        <v>331.68667999999997</v>
      </c>
      <c r="E236" s="369">
        <f t="shared" si="18"/>
        <v>2802.2789700547946</v>
      </c>
      <c r="F236" t="s">
        <v>2064</v>
      </c>
      <c r="H236" s="1">
        <v>45191</v>
      </c>
      <c r="I236" s="2">
        <v>-100</v>
      </c>
      <c r="J236" s="266">
        <v>45470</v>
      </c>
      <c r="K236" s="9">
        <v>-100</v>
      </c>
      <c r="L236" s="1">
        <v>45191</v>
      </c>
      <c r="M236" s="2">
        <v>-100</v>
      </c>
      <c r="N236" s="266">
        <v>45561</v>
      </c>
      <c r="O236" s="9">
        <v>-100</v>
      </c>
      <c r="P236" s="1">
        <v>45742</v>
      </c>
      <c r="Q236" s="2">
        <v>-100</v>
      </c>
    </row>
    <row r="237" spans="1:17">
      <c r="A237" s="156">
        <v>46148</v>
      </c>
      <c r="B237" s="112" t="s">
        <v>2053</v>
      </c>
      <c r="C237" s="112"/>
      <c r="D237" s="116">
        <v>437.584</v>
      </c>
      <c r="E237" s="369">
        <f t="shared" si="18"/>
        <v>2364.6949700547948</v>
      </c>
      <c r="F237" t="s">
        <v>2064</v>
      </c>
      <c r="H237" s="1">
        <v>45404</v>
      </c>
      <c r="I237" s="2">
        <v>2.9041000000000001</v>
      </c>
      <c r="J237" s="266">
        <v>45835</v>
      </c>
      <c r="K237" s="9">
        <v>3</v>
      </c>
      <c r="L237" s="1">
        <v>45404.000497685185</v>
      </c>
      <c r="M237" s="2">
        <v>2.9041000000000001</v>
      </c>
      <c r="N237" s="266">
        <v>45834</v>
      </c>
      <c r="O237" s="9">
        <f>944640/820000</f>
        <v>1.1519999999999999</v>
      </c>
    </row>
    <row r="238" spans="1:17">
      <c r="A238" s="156">
        <v>46148</v>
      </c>
      <c r="B238" s="112" t="s">
        <v>2054</v>
      </c>
      <c r="C238" s="112"/>
      <c r="D238" s="116">
        <v>1520.5697276712328</v>
      </c>
      <c r="E238" s="369">
        <f t="shared" si="18"/>
        <v>844.12524238356195</v>
      </c>
      <c r="F238" t="s">
        <v>2064</v>
      </c>
      <c r="H238" s="1">
        <v>45590</v>
      </c>
      <c r="I238" s="2">
        <v>2.5479000000000003</v>
      </c>
      <c r="J238" s="266">
        <v>46148</v>
      </c>
      <c r="K238" s="282">
        <f>ROUND(-K236*(1+元康盛景28号!K226*(J238-J236)/365)-K237,3)</f>
        <v>110.932</v>
      </c>
      <c r="L238" s="1">
        <v>45590.000497685185</v>
      </c>
      <c r="M238" s="2">
        <v>2.5479000000000003</v>
      </c>
      <c r="N238" s="266">
        <v>45926</v>
      </c>
      <c r="O238" s="9">
        <f>1196872/820000</f>
        <v>1.4596</v>
      </c>
    </row>
    <row r="239" spans="1:17">
      <c r="A239" s="156">
        <v>46148</v>
      </c>
      <c r="B239" s="454" t="s">
        <v>1870</v>
      </c>
      <c r="C239" s="112"/>
      <c r="D239" s="112">
        <v>140</v>
      </c>
      <c r="E239" s="369">
        <f t="shared" si="18"/>
        <v>704.12524238356195</v>
      </c>
      <c r="H239" s="1">
        <v>45768</v>
      </c>
      <c r="I239" s="2">
        <v>2.4384000000000001</v>
      </c>
      <c r="J239" s="266"/>
      <c r="L239" s="1">
        <v>45768.000497685185</v>
      </c>
      <c r="M239" s="2">
        <v>2.4384000000000001</v>
      </c>
      <c r="N239" s="266">
        <v>46148</v>
      </c>
      <c r="O239" s="9">
        <f>-O236*(1+元康盛景28号!K228*(N239-N236)/365)-SUM(O237:O238)</f>
        <v>107.84182465753425</v>
      </c>
    </row>
    <row r="240" spans="1:17">
      <c r="A240" s="156">
        <v>46148</v>
      </c>
      <c r="B240" s="112" t="s">
        <v>2396</v>
      </c>
      <c r="C240" s="112">
        <v>6.98</v>
      </c>
      <c r="D240" s="112"/>
      <c r="E240" s="369">
        <f>E239+C240-D240</f>
        <v>711.10524238356197</v>
      </c>
      <c r="H240" s="1">
        <v>45958</v>
      </c>
      <c r="I240" s="2">
        <v>2.6027</v>
      </c>
      <c r="J240" s="266"/>
      <c r="L240" s="1">
        <v>45958.000497685185</v>
      </c>
      <c r="M240" s="2">
        <v>2.6027</v>
      </c>
      <c r="N240" s="266"/>
      <c r="O240" s="9"/>
    </row>
    <row r="241" spans="1:15">
      <c r="A241" s="156">
        <v>46149</v>
      </c>
      <c r="B241" s="112" t="s">
        <v>2397</v>
      </c>
      <c r="C241" s="112">
        <v>31.1</v>
      </c>
      <c r="D241" s="112"/>
      <c r="E241" s="369">
        <f t="shared" si="18"/>
        <v>742.20524238356199</v>
      </c>
      <c r="H241" s="1">
        <v>46133</v>
      </c>
      <c r="I241" s="2">
        <v>2.3973</v>
      </c>
      <c r="J241" s="266"/>
      <c r="L241" s="1">
        <v>46133.000497685185</v>
      </c>
      <c r="M241" s="2">
        <v>2.3973</v>
      </c>
      <c r="N241" s="9"/>
      <c r="O241" s="9"/>
    </row>
    <row r="242" spans="1:15">
      <c r="A242" s="156">
        <v>46150</v>
      </c>
      <c r="B242" s="112" t="s">
        <v>581</v>
      </c>
      <c r="C242" s="112">
        <v>200</v>
      </c>
      <c r="D242" s="112"/>
      <c r="E242" s="407">
        <v>937</v>
      </c>
      <c r="H242" s="1">
        <v>46148</v>
      </c>
      <c r="I242" s="2">
        <f>ROUND(-I236*(1+元康盛景28号!K225*(H242-H236)/365)-SUM(I237:I241),3)</f>
        <v>112.018</v>
      </c>
      <c r="L242" s="1">
        <v>46148</v>
      </c>
      <c r="M242" s="2">
        <f>ROUND(-M236*(1+元康盛景28号!K227*(L242-L236)/365)-SUM(M237:M241),3)</f>
        <v>109.396</v>
      </c>
      <c r="N242" s="9"/>
      <c r="O242" s="9"/>
    </row>
    <row r="243" spans="1:15">
      <c r="A243" s="156">
        <v>46153</v>
      </c>
      <c r="B243" s="112" t="s">
        <v>1798</v>
      </c>
      <c r="C243" s="112"/>
      <c r="D243" s="112">
        <v>407.97570000000002</v>
      </c>
      <c r="E243" s="369">
        <f t="shared" si="18"/>
        <v>529.02430000000004</v>
      </c>
    </row>
    <row r="244" spans="1:15">
      <c r="A244" s="156"/>
      <c r="B244" s="112"/>
      <c r="C244" s="112"/>
      <c r="D244" s="112"/>
      <c r="E244" s="369">
        <f t="shared" si="18"/>
        <v>529.02430000000004</v>
      </c>
    </row>
    <row r="245" spans="1:15">
      <c r="A245" s="156">
        <v>46153</v>
      </c>
      <c r="B245" s="112" t="s">
        <v>1830</v>
      </c>
      <c r="C245" s="112">
        <f>1500*101.1307%</f>
        <v>1516.9604999999999</v>
      </c>
      <c r="D245" s="112"/>
      <c r="E245" s="369">
        <f t="shared" si="18"/>
        <v>2045.9848</v>
      </c>
      <c r="F245" s="399" t="s">
        <v>2347</v>
      </c>
    </row>
    <row r="246" spans="1:15">
      <c r="A246" s="156">
        <v>46153</v>
      </c>
      <c r="B246" s="454" t="s">
        <v>863</v>
      </c>
      <c r="C246" s="112"/>
      <c r="D246" s="112">
        <v>5.0999999999999996</v>
      </c>
      <c r="E246" s="369">
        <f t="shared" si="18"/>
        <v>2040.8848</v>
      </c>
    </row>
    <row r="247" spans="1:15">
      <c r="A247" s="156"/>
      <c r="B247" s="112"/>
      <c r="C247" s="112"/>
      <c r="D247" s="112"/>
      <c r="E247" s="369">
        <f>E246+C247-D247</f>
        <v>2040.8848</v>
      </c>
    </row>
    <row r="248" spans="1:15">
      <c r="A248" s="156"/>
      <c r="B248" s="112"/>
      <c r="C248" s="112"/>
      <c r="D248" s="112"/>
      <c r="E248" s="369">
        <f>E247+C248-D248</f>
        <v>2040.8848</v>
      </c>
    </row>
    <row r="249" spans="1:15">
      <c r="A249" s="156">
        <v>46154</v>
      </c>
      <c r="B249" s="112" t="s">
        <v>2353</v>
      </c>
      <c r="C249" s="112"/>
      <c r="D249" s="112">
        <v>1000.627</v>
      </c>
      <c r="E249" s="369">
        <f t="shared" ref="E249:E252" si="21">E248+C249-D249</f>
        <v>1040.2578000000001</v>
      </c>
      <c r="H249" s="109">
        <v>10006270</v>
      </c>
    </row>
    <row r="250" spans="1:15">
      <c r="A250" s="156"/>
      <c r="B250" s="112"/>
      <c r="C250" s="112"/>
      <c r="D250" s="112"/>
      <c r="E250" s="369">
        <f>E249+C250-D250</f>
        <v>1040.2578000000001</v>
      </c>
    </row>
    <row r="251" spans="1:15">
      <c r="A251" s="156"/>
      <c r="B251" s="112"/>
      <c r="C251" s="112"/>
      <c r="D251" s="112"/>
      <c r="E251" s="369">
        <f>E250+C251-D251</f>
        <v>1040.2578000000001</v>
      </c>
      <c r="N251" s="163"/>
    </row>
    <row r="252" spans="1:15">
      <c r="A252" s="156">
        <v>46155</v>
      </c>
      <c r="B252" s="112" t="s">
        <v>1108</v>
      </c>
      <c r="C252" s="112">
        <v>200</v>
      </c>
      <c r="D252" s="112"/>
      <c r="E252" s="369">
        <f t="shared" si="21"/>
        <v>1240.2578000000001</v>
      </c>
      <c r="N252" s="163"/>
    </row>
    <row r="253" spans="1:15">
      <c r="A253" s="156">
        <v>46155</v>
      </c>
      <c r="B253" s="112" t="s">
        <v>2460</v>
      </c>
      <c r="C253" s="112"/>
      <c r="D253" s="112">
        <v>920.16819999999996</v>
      </c>
      <c r="E253" s="369">
        <f t="shared" si="12"/>
        <v>320.08960000000013</v>
      </c>
      <c r="H253" s="367"/>
      <c r="K253" s="367"/>
      <c r="N253" s="163"/>
    </row>
    <row r="254" spans="1:15">
      <c r="A254" s="156">
        <v>46156</v>
      </c>
      <c r="B254" s="112" t="s">
        <v>2005</v>
      </c>
      <c r="C254" s="112">
        <v>1045</v>
      </c>
      <c r="D254" s="112"/>
      <c r="E254" s="369">
        <f t="shared" si="12"/>
        <v>1365.0896000000002</v>
      </c>
    </row>
    <row r="255" spans="1:15">
      <c r="A255" s="156">
        <v>46156</v>
      </c>
      <c r="B255" s="112" t="s">
        <v>606</v>
      </c>
      <c r="C255" s="112"/>
      <c r="D255" s="112">
        <v>845</v>
      </c>
      <c r="E255" s="369">
        <f t="shared" si="12"/>
        <v>520.08960000000025</v>
      </c>
    </row>
    <row r="256" spans="1:15">
      <c r="A256" s="156"/>
      <c r="B256" s="112"/>
      <c r="C256" s="112"/>
      <c r="D256" s="112"/>
      <c r="E256" s="369">
        <f t="shared" si="12"/>
        <v>520.08960000000025</v>
      </c>
    </row>
    <row r="257" spans="1:18">
      <c r="A257" s="156">
        <v>46157</v>
      </c>
      <c r="B257" s="112" t="s">
        <v>2542</v>
      </c>
      <c r="C257" s="112">
        <v>266</v>
      </c>
      <c r="D257" s="112"/>
      <c r="E257" s="369">
        <f t="shared" si="12"/>
        <v>786.08960000000025</v>
      </c>
      <c r="K257" s="9" t="s">
        <v>1629</v>
      </c>
    </row>
    <row r="258" spans="1:18">
      <c r="A258" s="156">
        <v>46157</v>
      </c>
      <c r="B258" s="112" t="s">
        <v>1845</v>
      </c>
      <c r="C258" s="112">
        <v>15.5</v>
      </c>
      <c r="D258" s="112"/>
      <c r="E258" s="369">
        <f t="shared" si="12"/>
        <v>801.58960000000025</v>
      </c>
      <c r="K258" s="9" t="s">
        <v>1630</v>
      </c>
      <c r="L258" s="2" t="s">
        <v>1639</v>
      </c>
      <c r="M258" t="s">
        <v>1631</v>
      </c>
      <c r="N258" t="s">
        <v>1632</v>
      </c>
      <c r="O258" t="s">
        <v>1633</v>
      </c>
    </row>
    <row r="259" spans="1:18">
      <c r="A259" s="156">
        <v>46157</v>
      </c>
      <c r="B259" s="112" t="s">
        <v>2467</v>
      </c>
      <c r="C259" s="112"/>
      <c r="D259" s="112">
        <v>50.019584999999999</v>
      </c>
      <c r="E259" s="369">
        <f t="shared" si="12"/>
        <v>751.57001500000024</v>
      </c>
      <c r="K259" s="9" t="s">
        <v>1634</v>
      </c>
      <c r="L259" s="2" t="s">
        <v>1686</v>
      </c>
    </row>
    <row r="260" spans="1:18">
      <c r="A260" s="156">
        <v>46160</v>
      </c>
      <c r="B260" s="112" t="s">
        <v>531</v>
      </c>
      <c r="C260" s="112">
        <v>325</v>
      </c>
      <c r="D260" s="112"/>
      <c r="E260" s="369">
        <f>E259+C260-D260</f>
        <v>1076.5700150000002</v>
      </c>
      <c r="K260" s="9" t="s">
        <v>1635</v>
      </c>
      <c r="L260" s="2" t="s">
        <v>1636</v>
      </c>
    </row>
    <row r="261" spans="1:18">
      <c r="A261" s="156">
        <v>46160</v>
      </c>
      <c r="B261" s="112" t="s">
        <v>2471</v>
      </c>
      <c r="C261" s="112"/>
      <c r="D261" s="112">
        <v>756.6</v>
      </c>
      <c r="E261" s="113">
        <f>+E260+C261-D261</f>
        <v>319.97001500000022</v>
      </c>
      <c r="F261" s="399" t="s">
        <v>2498</v>
      </c>
      <c r="J261" s="368" t="s">
        <v>324</v>
      </c>
      <c r="K261" s="9" t="s">
        <v>1637</v>
      </c>
      <c r="L261" s="2" t="s">
        <v>1638</v>
      </c>
    </row>
    <row r="262" spans="1:18">
      <c r="A262" s="156"/>
      <c r="B262" s="112"/>
      <c r="C262" s="112"/>
      <c r="D262" s="112"/>
      <c r="E262" s="113">
        <f>+E261+C262-D262</f>
        <v>319.97001500000022</v>
      </c>
    </row>
    <row r="263" spans="1:18">
      <c r="A263" s="156"/>
      <c r="B263" s="112"/>
      <c r="C263" s="112"/>
      <c r="D263" s="112"/>
      <c r="E263" s="369">
        <f>E262+C263-D263</f>
        <v>319.97001500000022</v>
      </c>
      <c r="K263" s="9" t="s">
        <v>951</v>
      </c>
      <c r="L263" s="2">
        <v>5000</v>
      </c>
    </row>
    <row r="264" spans="1:18">
      <c r="A264" s="156"/>
      <c r="B264" s="112"/>
      <c r="C264" s="112"/>
      <c r="D264" s="112"/>
      <c r="E264" s="369">
        <f>E263+C264-D264</f>
        <v>319.97001500000022</v>
      </c>
    </row>
    <row r="265" spans="1:18">
      <c r="A265" s="445">
        <v>46161</v>
      </c>
      <c r="B265" s="122" t="s">
        <v>2568</v>
      </c>
      <c r="C265" s="122">
        <v>570</v>
      </c>
      <c r="E265" s="370">
        <f>E264+C265-D265</f>
        <v>889.97001500000022</v>
      </c>
      <c r="F265" t="s">
        <v>2567</v>
      </c>
    </row>
    <row r="266" spans="1:18">
      <c r="A266" s="445">
        <v>46161</v>
      </c>
      <c r="B266" s="122" t="s">
        <v>1114</v>
      </c>
      <c r="C266" s="122">
        <v>1400</v>
      </c>
      <c r="E266" s="370">
        <f t="shared" si="12"/>
        <v>2289.9700150000003</v>
      </c>
      <c r="F266" t="s">
        <v>2557</v>
      </c>
    </row>
    <row r="267" spans="1:18">
      <c r="A267" s="4">
        <v>46162</v>
      </c>
      <c r="B267" s="112" t="s">
        <v>2471</v>
      </c>
      <c r="C267" s="112">
        <v>756.6</v>
      </c>
      <c r="E267" s="370">
        <f t="shared" si="12"/>
        <v>3046.5700150000002</v>
      </c>
    </row>
    <row r="268" spans="1:18">
      <c r="A268" s="4">
        <v>46162</v>
      </c>
      <c r="B268" t="s">
        <v>1798</v>
      </c>
      <c r="D268">
        <f>141*1.14</f>
        <v>160.73999999999998</v>
      </c>
      <c r="E268" s="370">
        <f t="shared" si="12"/>
        <v>2885.8300150000005</v>
      </c>
    </row>
    <row r="269" spans="1:18">
      <c r="A269" s="4">
        <v>46162</v>
      </c>
      <c r="B269" t="s">
        <v>1874</v>
      </c>
      <c r="D269">
        <f>2500*1.14</f>
        <v>2849.9999999999995</v>
      </c>
      <c r="E269" s="370">
        <f>E268+C269-D269</f>
        <v>35.830015000000913</v>
      </c>
      <c r="H269">
        <v>337</v>
      </c>
      <c r="J269" s="2">
        <f>H269*J278/100</f>
        <v>-379.47210999999993</v>
      </c>
      <c r="L269" s="2">
        <v>975</v>
      </c>
      <c r="N269" s="2">
        <f>L269*N276/100</f>
        <v>-1091.3955000000001</v>
      </c>
      <c r="O269" s="2"/>
    </row>
    <row r="270" spans="1:18">
      <c r="E270" s="370">
        <f>E269+C270-D270</f>
        <v>35.830015000000913</v>
      </c>
      <c r="H270" t="s">
        <v>589</v>
      </c>
      <c r="I270" s="163">
        <f>XIRR(I271:I279,H271:H279)</f>
        <v>8.3246913552284252E-2</v>
      </c>
      <c r="J270" s="163">
        <f>XIRR(J278:J279,H278:H279)</f>
        <v>5.501325428485869E-2</v>
      </c>
      <c r="L270" s="2" t="s">
        <v>1740</v>
      </c>
      <c r="M270" s="163">
        <f>XIRR(M271:M279,L271:L279)</f>
        <v>8.2995995879173279E-2</v>
      </c>
      <c r="N270" s="163">
        <f>XIRR(N276:N277,L276:L277)</f>
        <v>2.6420477032661444E-2</v>
      </c>
      <c r="O270" s="163">
        <f>XIRR(O277:O279,L277:L279)</f>
        <v>5.648413598537444E-2</v>
      </c>
      <c r="Q270" t="s">
        <v>915</v>
      </c>
      <c r="R270" s="163">
        <f>XIRR(R271:R274,Q271:Q274)</f>
        <v>6.6288402676582328E-2</v>
      </c>
    </row>
    <row r="271" spans="1:18">
      <c r="A271" s="4">
        <v>46164</v>
      </c>
      <c r="B271" t="s">
        <v>2469</v>
      </c>
      <c r="C271">
        <v>500</v>
      </c>
      <c r="E271" s="370">
        <f>E270+C271-D271</f>
        <v>535.83001500000091</v>
      </c>
      <c r="H271" s="266">
        <v>45068</v>
      </c>
      <c r="I271" s="2">
        <v>-100</v>
      </c>
      <c r="L271" s="266">
        <v>45187</v>
      </c>
      <c r="M271">
        <v>-100</v>
      </c>
      <c r="Q271" s="1">
        <v>45832</v>
      </c>
      <c r="R271">
        <v>-100</v>
      </c>
    </row>
    <row r="272" spans="1:18">
      <c r="E272" s="370">
        <f>E271+C272-D272</f>
        <v>535.83001500000091</v>
      </c>
      <c r="H272" s="1">
        <v>45226.000497685185</v>
      </c>
      <c r="I272" s="2">
        <v>2.1640000000000001</v>
      </c>
      <c r="L272" s="266">
        <v>45436.000497685185</v>
      </c>
      <c r="M272">
        <v>3.3970000000000002</v>
      </c>
      <c r="Q272" s="1">
        <v>45958.000497685185</v>
      </c>
      <c r="R272">
        <v>1.7260000000000002</v>
      </c>
    </row>
    <row r="273" spans="1:22">
      <c r="A273" s="4">
        <v>46164</v>
      </c>
      <c r="B273" t="s">
        <v>791</v>
      </c>
      <c r="D273">
        <f>331*109.731%</f>
        <v>363.20961</v>
      </c>
      <c r="E273" s="370">
        <f>E272+C273-D273</f>
        <v>172.62040500000091</v>
      </c>
      <c r="F273" s="399" t="s">
        <v>2503</v>
      </c>
      <c r="H273" s="1">
        <v>45405.000497685185</v>
      </c>
      <c r="I273" s="2">
        <v>2.4379999999999997</v>
      </c>
      <c r="L273" s="266">
        <v>45617.000497685185</v>
      </c>
      <c r="M273">
        <v>2.4790000000000001</v>
      </c>
      <c r="Q273" s="1">
        <v>46044.000497685185</v>
      </c>
      <c r="R273">
        <v>1.1780999999999999</v>
      </c>
    </row>
    <row r="274" spans="1:22">
      <c r="A274" s="4">
        <v>46164</v>
      </c>
      <c r="B274" t="s">
        <v>2197</v>
      </c>
      <c r="D274">
        <f>100*107.027%</f>
        <v>107.027</v>
      </c>
      <c r="E274" s="370">
        <f t="shared" si="12"/>
        <v>65.593405000000914</v>
      </c>
      <c r="F274" s="399" t="s">
        <v>2504</v>
      </c>
      <c r="H274" s="1">
        <v>45593.000497685185</v>
      </c>
      <c r="I274" s="2">
        <v>2.5749999999999997</v>
      </c>
      <c r="L274" s="266">
        <v>45803.000497685185</v>
      </c>
      <c r="M274">
        <v>2.548</v>
      </c>
      <c r="P274" s="150">
        <v>6.5000000000000002E-2</v>
      </c>
      <c r="Q274" s="1">
        <v>46119</v>
      </c>
      <c r="R274" s="201">
        <f>ROUND(-R271*(1+P274*(Q274-Q271)/365)-SUM(R272:R273),3)</f>
        <v>102.20699999999999</v>
      </c>
    </row>
    <row r="275" spans="1:22">
      <c r="A275" s="4">
        <v>46164</v>
      </c>
      <c r="B275" t="s">
        <v>928</v>
      </c>
      <c r="C275">
        <v>200</v>
      </c>
      <c r="E275" s="370">
        <f t="shared" si="12"/>
        <v>265.59340500000093</v>
      </c>
      <c r="H275" s="1">
        <v>45769.000497685185</v>
      </c>
      <c r="I275" s="2">
        <v>2.411</v>
      </c>
      <c r="L275" s="266">
        <v>45982.000497685185</v>
      </c>
      <c r="M275">
        <v>2.452</v>
      </c>
    </row>
    <row r="276" spans="1:22">
      <c r="A276" s="4">
        <v>46167</v>
      </c>
      <c r="B276" t="s">
        <v>2394</v>
      </c>
      <c r="C276">
        <v>3913</v>
      </c>
      <c r="E276" s="370">
        <f>E275+C276-D276</f>
        <v>4178.5934050000005</v>
      </c>
      <c r="H276" s="1">
        <v>45959.000497685185</v>
      </c>
      <c r="I276" s="2">
        <v>2.6030000000000002</v>
      </c>
      <c r="L276" s="266">
        <v>46120</v>
      </c>
      <c r="N276" s="397">
        <v>-111.938</v>
      </c>
      <c r="O276" s="397"/>
      <c r="Q276" t="s">
        <v>588</v>
      </c>
      <c r="R276" s="163">
        <f>XIRR(R277:R280,Q277:Q280)</f>
        <v>4.9140366911888111E-2</v>
      </c>
      <c r="S276" s="163">
        <f>XIRR(S279:S281,Q279:Q281)</f>
        <v>5.5039235949516305E-2</v>
      </c>
      <c r="T276" s="163">
        <f>XIRR(T279:T281,Q279:Q281)</f>
        <v>5.2628979086875916E-2</v>
      </c>
      <c r="U276" s="163">
        <f>XIRR(U280:U281,Q280:Q281)</f>
        <v>5.4248568415641782E-2</v>
      </c>
    </row>
    <row r="277" spans="1:22">
      <c r="E277" s="370">
        <f t="shared" ref="E277:E284" si="22">E276+C277-D277</f>
        <v>4178.5934050000005</v>
      </c>
      <c r="H277" s="1">
        <v>46083.000497685185</v>
      </c>
      <c r="I277" s="2">
        <v>0</v>
      </c>
      <c r="L277" s="266">
        <v>46129</v>
      </c>
      <c r="N277" s="397">
        <v>112.01</v>
      </c>
      <c r="O277" s="421">
        <f>-N277-0.01</f>
        <v>-112.02000000000001</v>
      </c>
      <c r="Q277" s="1">
        <v>45923</v>
      </c>
      <c r="R277">
        <v>-100</v>
      </c>
    </row>
    <row r="278" spans="1:22">
      <c r="A278" s="4">
        <v>46169</v>
      </c>
      <c r="B278" t="s">
        <v>571</v>
      </c>
      <c r="D278">
        <f>124*1.14</f>
        <v>141.35999999999999</v>
      </c>
      <c r="E278" s="370">
        <f t="shared" si="22"/>
        <v>4037.2334050000004</v>
      </c>
      <c r="H278" s="1">
        <v>46120</v>
      </c>
      <c r="J278" s="397">
        <v>-112.60299999999999</v>
      </c>
      <c r="K278" s="151">
        <v>8.5000000000000006E-2</v>
      </c>
      <c r="L278" s="266">
        <v>46168</v>
      </c>
      <c r="M278">
        <v>0</v>
      </c>
      <c r="N278" s="165">
        <f>M278</f>
        <v>0</v>
      </c>
      <c r="O278" s="165"/>
      <c r="Q278" s="117">
        <v>46080</v>
      </c>
      <c r="R278">
        <v>2.1505999999999998</v>
      </c>
      <c r="S278" s="184"/>
    </row>
    <row r="279" spans="1:22">
      <c r="E279" s="370">
        <f t="shared" si="22"/>
        <v>4037.2334050000004</v>
      </c>
      <c r="H279" s="1">
        <v>46164</v>
      </c>
      <c r="I279" s="2">
        <f>-I271*(1+G291*(H279-H271)/365)-SUM(I272:I277)</f>
        <v>113.33228767123288</v>
      </c>
      <c r="J279" s="282">
        <f>+I279</f>
        <v>113.33228767123288</v>
      </c>
      <c r="L279" s="266">
        <v>46283</v>
      </c>
      <c r="M279" s="2">
        <f>-M271*(1+K278*(L279-L271)/365)-SUM(M272:M278)</f>
        <v>114.64728767123287</v>
      </c>
      <c r="N279" s="165">
        <f>M279</f>
        <v>114.64728767123287</v>
      </c>
      <c r="O279" s="165">
        <f>+N279</f>
        <v>114.64728767123287</v>
      </c>
      <c r="P279" s="263">
        <v>6.5000000000000002E-2</v>
      </c>
      <c r="Q279" s="117">
        <v>46120</v>
      </c>
      <c r="R279" s="201">
        <v>100.461</v>
      </c>
      <c r="S279" s="184">
        <f>-R279</f>
        <v>-100.461</v>
      </c>
      <c r="T279">
        <f>+S279</f>
        <v>-100.461</v>
      </c>
    </row>
    <row r="280" spans="1:22">
      <c r="A280" s="4">
        <v>46176</v>
      </c>
      <c r="B280" t="s">
        <v>571</v>
      </c>
      <c r="D280">
        <f>207*1.14</f>
        <v>235.98</v>
      </c>
      <c r="E280" s="370">
        <f t="shared" si="22"/>
        <v>3801.2534050000004</v>
      </c>
      <c r="O280" s="282"/>
      <c r="Q280" s="117">
        <v>46128</v>
      </c>
      <c r="T280">
        <f>100.579-0.005</f>
        <v>100.574</v>
      </c>
      <c r="U280">
        <f>-T280-0.01</f>
        <v>-100.584</v>
      </c>
    </row>
    <row r="281" spans="1:22">
      <c r="A281" s="4">
        <v>46183</v>
      </c>
      <c r="B281" t="s">
        <v>571</v>
      </c>
      <c r="D281">
        <f>595*1.14</f>
        <v>678.3</v>
      </c>
      <c r="E281" s="370">
        <f t="shared" si="22"/>
        <v>3122.9534050000002</v>
      </c>
      <c r="J281" s="282">
        <f>-J279/(1+5.5%*(H279-H278)/365)</f>
        <v>-112.58582820750095</v>
      </c>
      <c r="N281" s="282">
        <f>-N279/(1+5.5%*(L279-L276)/365)</f>
        <v>-111.89886754108005</v>
      </c>
      <c r="Q281" s="117">
        <v>46152</v>
      </c>
      <c r="S281">
        <v>100.934</v>
      </c>
      <c r="U281">
        <f>+S281</f>
        <v>100.934</v>
      </c>
    </row>
    <row r="282" spans="1:22">
      <c r="A282" s="4">
        <v>46189</v>
      </c>
      <c r="B282" t="s">
        <v>1874</v>
      </c>
      <c r="D282">
        <f>2311.5*1.14</f>
        <v>2635.1099999999997</v>
      </c>
      <c r="E282" s="370">
        <f t="shared" si="22"/>
        <v>487.84340500000053</v>
      </c>
    </row>
    <row r="283" spans="1:22">
      <c r="E283" s="370">
        <f t="shared" si="22"/>
        <v>487.84340500000053</v>
      </c>
      <c r="F283" t="s">
        <v>2404</v>
      </c>
      <c r="M283" s="9">
        <f>320*O290/100</f>
        <v>356.14036164383566</v>
      </c>
      <c r="U283">
        <v>101.39</v>
      </c>
      <c r="V283">
        <f>+U283*(1-0.01)</f>
        <v>100.37609999999999</v>
      </c>
    </row>
    <row r="284" spans="1:22">
      <c r="E284" s="370">
        <f t="shared" si="22"/>
        <v>487.84340500000053</v>
      </c>
      <c r="H284" t="s">
        <v>589</v>
      </c>
      <c r="I284" s="163">
        <f>XIRR(I285:I293,H285:H293)</f>
        <v>8.3246913552284252E-2</v>
      </c>
      <c r="J284" s="163">
        <f>XIRR(J285:J293,H285:H293)</f>
        <v>8.336046636104584E-2</v>
      </c>
      <c r="K284" s="163">
        <f>XIRR(K292:K293,H292:H293)</f>
        <v>7.8106662631034871E-2</v>
      </c>
      <c r="L284" s="9"/>
      <c r="M284" s="2" t="s">
        <v>1740</v>
      </c>
      <c r="N284" s="163">
        <f>XIRR(N285:N292,M285:M292)</f>
        <v>8.2995995879173279E-2</v>
      </c>
      <c r="O284" s="163">
        <f>XIRR(O285:O292,M285:M292)</f>
        <v>8.3692196011543304E-2</v>
      </c>
      <c r="P284" s="163">
        <f>XIRR(P290:P292,M290:M292)</f>
        <v>7.8149726986885062E-2</v>
      </c>
      <c r="R284" t="s">
        <v>2104</v>
      </c>
      <c r="S284" s="163">
        <f>XIRR(S285:S287,R285:R287)</f>
        <v>-0.99999981519622472</v>
      </c>
    </row>
    <row r="285" spans="1:22">
      <c r="E285" s="370">
        <f>E284+C285-D285</f>
        <v>487.84340500000053</v>
      </c>
      <c r="H285" s="1">
        <f t="shared" ref="H285:I291" si="23">H271</f>
        <v>45068</v>
      </c>
      <c r="I285">
        <f t="shared" si="23"/>
        <v>-100</v>
      </c>
      <c r="J285" s="9">
        <f>+I285</f>
        <v>-100</v>
      </c>
      <c r="L285" s="9"/>
      <c r="M285" s="266">
        <v>45187</v>
      </c>
      <c r="N285">
        <v>-100</v>
      </c>
      <c r="O285">
        <f>+N285</f>
        <v>-100</v>
      </c>
      <c r="R285" s="1">
        <v>45951</v>
      </c>
      <c r="S285">
        <v>-100</v>
      </c>
    </row>
    <row r="286" spans="1:22">
      <c r="B286" t="s">
        <v>2403</v>
      </c>
      <c r="C286">
        <f>1200*99.918%</f>
        <v>1199.0160000000001</v>
      </c>
      <c r="E286" s="370">
        <f>E285+C286-D286</f>
        <v>1686.8594050000006</v>
      </c>
      <c r="F286" t="s">
        <v>2455</v>
      </c>
      <c r="H286" s="1">
        <f t="shared" si="23"/>
        <v>45226.000497685185</v>
      </c>
      <c r="I286">
        <f t="shared" si="23"/>
        <v>2.1640000000000001</v>
      </c>
      <c r="J286" s="9">
        <f t="shared" ref="J286:J290" si="24">+I286</f>
        <v>2.1640000000000001</v>
      </c>
      <c r="L286" s="9"/>
      <c r="M286" s="266">
        <v>45436.000497685185</v>
      </c>
      <c r="N286">
        <v>3.3970000000000002</v>
      </c>
      <c r="O286">
        <f>+N286</f>
        <v>3.3970000000000002</v>
      </c>
      <c r="R286" s="117">
        <v>46050</v>
      </c>
      <c r="S286">
        <v>1.4918</v>
      </c>
    </row>
    <row r="287" spans="1:22">
      <c r="E287" s="370">
        <f>E286+C287-D287</f>
        <v>1686.8594050000006</v>
      </c>
      <c r="H287" s="1">
        <f t="shared" si="23"/>
        <v>45405.000497685185</v>
      </c>
      <c r="I287">
        <f t="shared" si="23"/>
        <v>2.4379999999999997</v>
      </c>
      <c r="J287" s="9">
        <f t="shared" si="24"/>
        <v>2.4379999999999997</v>
      </c>
      <c r="L287" s="9"/>
      <c r="M287" s="266">
        <v>45617.000497685185</v>
      </c>
      <c r="N287">
        <v>2.4790000000000001</v>
      </c>
      <c r="O287">
        <f t="shared" ref="O287:O289" si="25">+N287</f>
        <v>2.4790000000000001</v>
      </c>
      <c r="R287" s="117">
        <v>46139</v>
      </c>
    </row>
    <row r="288" spans="1:22">
      <c r="A288" s="4">
        <v>46204</v>
      </c>
      <c r="B288" t="s">
        <v>571</v>
      </c>
      <c r="D288">
        <f>349*1.15</f>
        <v>401.34999999999997</v>
      </c>
      <c r="E288" s="370">
        <f t="shared" ref="E288:E294" si="26">E287+C288-D288</f>
        <v>1285.5094050000007</v>
      </c>
      <c r="H288" s="1">
        <f t="shared" si="23"/>
        <v>45593.000497685185</v>
      </c>
      <c r="I288">
        <f t="shared" si="23"/>
        <v>2.5749999999999997</v>
      </c>
      <c r="J288" s="9">
        <f t="shared" si="24"/>
        <v>2.5749999999999997</v>
      </c>
      <c r="L288" s="9"/>
      <c r="M288" s="266">
        <v>45803.000497685185</v>
      </c>
      <c r="N288">
        <v>2.548</v>
      </c>
      <c r="O288">
        <f t="shared" si="25"/>
        <v>2.548</v>
      </c>
    </row>
    <row r="289" spans="5:16">
      <c r="E289" s="370">
        <f t="shared" si="26"/>
        <v>1285.5094050000007</v>
      </c>
      <c r="H289" s="1">
        <f t="shared" si="23"/>
        <v>45769.000497685185</v>
      </c>
      <c r="I289">
        <f t="shared" si="23"/>
        <v>2.411</v>
      </c>
      <c r="J289" s="9">
        <f t="shared" si="24"/>
        <v>2.411</v>
      </c>
      <c r="L289" s="9"/>
      <c r="M289" s="266">
        <v>45982.000497685185</v>
      </c>
      <c r="N289">
        <v>2.452</v>
      </c>
      <c r="O289">
        <f t="shared" si="25"/>
        <v>2.452</v>
      </c>
    </row>
    <row r="290" spans="5:16">
      <c r="E290" s="370">
        <f t="shared" si="26"/>
        <v>1285.5094050000007</v>
      </c>
      <c r="H290" s="1">
        <f t="shared" si="23"/>
        <v>45959.000497685185</v>
      </c>
      <c r="I290">
        <f t="shared" si="23"/>
        <v>2.6030000000000002</v>
      </c>
      <c r="J290" s="9">
        <f t="shared" si="24"/>
        <v>2.6030000000000002</v>
      </c>
      <c r="L290" s="9"/>
      <c r="M290" s="266">
        <v>46139</v>
      </c>
      <c r="O290" s="397">
        <f>-O285*(1+L292*(M290-M285)/365)-SUM(O286:O289)</f>
        <v>111.29386301369863</v>
      </c>
      <c r="P290" s="421">
        <f>-O290</f>
        <v>-111.29386301369863</v>
      </c>
    </row>
    <row r="291" spans="5:16">
      <c r="E291" s="370">
        <f t="shared" si="26"/>
        <v>1285.5094050000007</v>
      </c>
      <c r="G291" s="150">
        <v>8.5000000000000006E-2</v>
      </c>
      <c r="H291" s="1">
        <f t="shared" si="23"/>
        <v>46083.000497685185</v>
      </c>
      <c r="I291">
        <f t="shared" si="23"/>
        <v>0</v>
      </c>
      <c r="L291" s="9"/>
      <c r="M291" s="266">
        <v>46168</v>
      </c>
      <c r="N291">
        <v>0</v>
      </c>
      <c r="O291" s="165"/>
      <c r="P291" s="165"/>
    </row>
    <row r="292" spans="5:16">
      <c r="E292" s="370">
        <f t="shared" si="26"/>
        <v>1285.5094050000007</v>
      </c>
      <c r="H292" s="1">
        <v>46139</v>
      </c>
      <c r="I292">
        <f>I278</f>
        <v>0</v>
      </c>
      <c r="J292" s="9">
        <f>-K292</f>
        <v>112.75</v>
      </c>
      <c r="K292" s="9">
        <f>-O203</f>
        <v>-112.75</v>
      </c>
      <c r="L292" s="9">
        <v>8.5000000000000006E-2</v>
      </c>
      <c r="M292" s="266">
        <v>46283</v>
      </c>
      <c r="N292" s="2">
        <f>-N285*(1+L292*(M292-M285)/365)-SUM(N286:N291)</f>
        <v>114.64728767123287</v>
      </c>
      <c r="O292" s="165"/>
      <c r="P292" s="165">
        <f>N292</f>
        <v>114.64728767123287</v>
      </c>
    </row>
    <row r="293" spans="5:16">
      <c r="E293" s="370">
        <f t="shared" si="26"/>
        <v>1285.5094050000007</v>
      </c>
      <c r="H293" s="1">
        <f>H279</f>
        <v>46164</v>
      </c>
      <c r="I293">
        <f>I279</f>
        <v>113.33228767123288</v>
      </c>
      <c r="K293" s="9">
        <f>+I293</f>
        <v>113.33228767123288</v>
      </c>
      <c r="L293" s="9"/>
      <c r="M293" s="2"/>
    </row>
    <row r="294" spans="5:16">
      <c r="E294" s="370">
        <f t="shared" si="26"/>
        <v>1285.5094050000007</v>
      </c>
      <c r="L294" s="266"/>
      <c r="N294" s="397"/>
      <c r="O294" s="397"/>
    </row>
    <row r="295" spans="5:16">
      <c r="H295" t="s">
        <v>2094</v>
      </c>
      <c r="I295" s="163">
        <f>XIRR(I296:I304,H296:H304)</f>
        <v>8.3246913552284252E-2</v>
      </c>
      <c r="J295" s="163">
        <f>XIRR(J296:J304,H296:H304)</f>
        <v>8.3824583888053888E-2</v>
      </c>
      <c r="K295" s="163">
        <f>XIRR(K303:K304,H303:H304)</f>
        <v>5.5084684491157526E-2</v>
      </c>
      <c r="M295" t="s">
        <v>915</v>
      </c>
      <c r="N295" s="163">
        <f>XIRR(N296:N300,M296:M300)</f>
        <v>6.6249099373817427E-2</v>
      </c>
    </row>
    <row r="296" spans="5:16">
      <c r="H296" s="1">
        <f t="shared" ref="H296:I302" si="27">H285</f>
        <v>45068</v>
      </c>
      <c r="I296">
        <f t="shared" si="27"/>
        <v>-100</v>
      </c>
      <c r="J296" s="9">
        <f t="shared" ref="J296:J302" si="28">+I296</f>
        <v>-100</v>
      </c>
      <c r="M296" s="1">
        <v>45832</v>
      </c>
      <c r="N296">
        <v>-100</v>
      </c>
    </row>
    <row r="297" spans="5:16">
      <c r="H297" s="1">
        <f t="shared" si="27"/>
        <v>45226.000497685185</v>
      </c>
      <c r="I297">
        <f t="shared" si="27"/>
        <v>2.1640000000000001</v>
      </c>
      <c r="J297" s="9">
        <f t="shared" si="28"/>
        <v>2.1640000000000001</v>
      </c>
      <c r="M297" s="1">
        <v>45958.000497685185</v>
      </c>
      <c r="N297">
        <v>1.7260000000000002</v>
      </c>
    </row>
    <row r="298" spans="5:16">
      <c r="H298" s="1">
        <f t="shared" si="27"/>
        <v>45405.000497685185</v>
      </c>
      <c r="I298">
        <f t="shared" si="27"/>
        <v>2.4379999999999997</v>
      </c>
      <c r="J298" s="9">
        <f t="shared" si="28"/>
        <v>2.4379999999999997</v>
      </c>
      <c r="M298" s="1">
        <v>46044.000497685185</v>
      </c>
      <c r="N298">
        <v>1.1780999999999999</v>
      </c>
    </row>
    <row r="299" spans="5:16">
      <c r="H299" s="1">
        <f t="shared" si="27"/>
        <v>45593.000497685185</v>
      </c>
      <c r="I299">
        <f t="shared" si="27"/>
        <v>2.5749999999999997</v>
      </c>
      <c r="J299" s="9">
        <f t="shared" si="28"/>
        <v>2.5749999999999997</v>
      </c>
      <c r="M299" s="1">
        <v>46133</v>
      </c>
      <c r="N299">
        <v>1.2192000000000001</v>
      </c>
    </row>
    <row r="300" spans="5:16">
      <c r="H300" s="1">
        <f t="shared" si="27"/>
        <v>45769.000497685185</v>
      </c>
      <c r="I300">
        <f t="shared" si="27"/>
        <v>2.411</v>
      </c>
      <c r="J300" s="9">
        <f t="shared" si="28"/>
        <v>2.411</v>
      </c>
      <c r="M300" s="1">
        <v>46141</v>
      </c>
      <c r="N300">
        <v>101.379</v>
      </c>
      <c r="O300">
        <f>100*(1+6%*(M300-M296)/365)-SUM(N297:N299)</f>
        <v>100.95615205479452</v>
      </c>
    </row>
    <row r="301" spans="5:16">
      <c r="H301" s="1">
        <f t="shared" si="27"/>
        <v>45959.000497685185</v>
      </c>
      <c r="I301">
        <f t="shared" si="27"/>
        <v>2.6030000000000002</v>
      </c>
      <c r="J301" s="9">
        <f t="shared" si="28"/>
        <v>2.6030000000000002</v>
      </c>
    </row>
    <row r="302" spans="5:16">
      <c r="H302" s="1">
        <f t="shared" si="27"/>
        <v>46083.000497685185</v>
      </c>
      <c r="I302">
        <f t="shared" si="27"/>
        <v>0</v>
      </c>
      <c r="J302" s="9">
        <f t="shared" si="28"/>
        <v>0</v>
      </c>
    </row>
    <row r="303" spans="5:16">
      <c r="H303" s="1">
        <v>46141</v>
      </c>
      <c r="I303">
        <f>I292</f>
        <v>0</v>
      </c>
      <c r="J303" s="9">
        <v>112.95</v>
      </c>
      <c r="K303" s="9">
        <f>-J303</f>
        <v>-112.95</v>
      </c>
    </row>
    <row r="304" spans="5:16">
      <c r="H304" s="1">
        <f>H293</f>
        <v>46164</v>
      </c>
      <c r="I304">
        <f>I293</f>
        <v>113.33228767123288</v>
      </c>
      <c r="K304" s="9">
        <f>+I304</f>
        <v>113.33228767123288</v>
      </c>
    </row>
  </sheetData>
  <phoneticPr fontId="6" type="noConversion"/>
  <conditionalFormatting sqref="B16">
    <cfRule type="duplicateValues" dxfId="80" priority="70"/>
    <cfRule type="duplicateValues" dxfId="79" priority="71"/>
    <cfRule type="duplicateValues" dxfId="78" priority="72"/>
  </conditionalFormatting>
  <conditionalFormatting sqref="B17">
    <cfRule type="duplicateValues" dxfId="77" priority="67"/>
    <cfRule type="duplicateValues" dxfId="76" priority="69"/>
  </conditionalFormatting>
  <conditionalFormatting sqref="B17:B18">
    <cfRule type="duplicateValues" dxfId="75" priority="66"/>
    <cfRule type="duplicateValues" dxfId="74" priority="68"/>
  </conditionalFormatting>
  <conditionalFormatting sqref="B114:B117 B105:B112">
    <cfRule type="duplicateValues" dxfId="73" priority="99"/>
  </conditionalFormatting>
  <conditionalFormatting sqref="E1:E260 E263:E1048576">
    <cfRule type="cellIs" dxfId="72" priority="2" operator="lessThan">
      <formula>0</formula>
    </cfRule>
  </conditionalFormatting>
  <conditionalFormatting sqref="E261:E262">
    <cfRule type="cellIs" dxfId="71" priority="1" operator="lessThan">
      <formula>0</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2739D-9771-48EC-9008-F63064C99EC4}">
  <sheetPr codeName="Sheet9"/>
  <dimension ref="A1:V127"/>
  <sheetViews>
    <sheetView zoomScaleNormal="100" workbookViewId="0">
      <pane ySplit="2" topLeftCell="A94" activePane="bottomLeft" state="frozen"/>
      <selection pane="bottomLeft" activeCell="E102" sqref="E102:E103"/>
    </sheetView>
  </sheetViews>
  <sheetFormatPr defaultRowHeight="16.5"/>
  <cols>
    <col min="1" max="1" width="13.75" customWidth="1"/>
    <col min="2" max="2" width="10.375" customWidth="1"/>
    <col min="4" max="4" width="11.25" bestFit="1" customWidth="1"/>
    <col min="7" max="7" width="16.25" customWidth="1"/>
    <col min="8" max="8" width="14" bestFit="1" customWidth="1"/>
    <col min="9" max="9" width="12.875" bestFit="1" customWidth="1"/>
    <col min="11" max="11" width="16.75" bestFit="1" customWidth="1"/>
    <col min="12" max="13" width="10.25" bestFit="1" customWidth="1"/>
    <col min="14" max="14" width="9.125" bestFit="1" customWidth="1"/>
    <col min="15" max="15" width="11.125" bestFit="1" customWidth="1"/>
    <col min="16" max="16" width="13.75" customWidth="1"/>
    <col min="17" max="17" width="15.75" customWidth="1"/>
    <col min="18" max="18" width="16" bestFit="1" customWidth="1"/>
    <col min="19" max="19" width="12.5" customWidth="1"/>
    <col min="20" max="20" width="11" customWidth="1"/>
    <col min="21" max="22" width="12" customWidth="1"/>
  </cols>
  <sheetData>
    <row r="1" spans="1:21">
      <c r="A1" s="10"/>
      <c r="B1" s="10"/>
      <c r="C1" s="10"/>
      <c r="D1" s="10"/>
      <c r="E1" s="10"/>
      <c r="T1" t="s">
        <v>778</v>
      </c>
    </row>
    <row r="2" spans="1:21">
      <c r="A2" s="4" t="s">
        <v>0</v>
      </c>
      <c r="B2" t="s">
        <v>1</v>
      </c>
      <c r="C2" t="s">
        <v>2</v>
      </c>
      <c r="D2" t="s">
        <v>3</v>
      </c>
      <c r="E2" s="3" t="s">
        <v>4</v>
      </c>
      <c r="R2" t="s">
        <v>776</v>
      </c>
      <c r="S2" s="2">
        <v>591186</v>
      </c>
      <c r="T2" s="165">
        <f>+S2</f>
        <v>591186</v>
      </c>
    </row>
    <row r="3" spans="1:21">
      <c r="A3" s="156">
        <v>46023</v>
      </c>
      <c r="B3" s="112"/>
      <c r="C3" s="112"/>
      <c r="D3" s="112"/>
      <c r="E3" s="157">
        <v>234</v>
      </c>
      <c r="R3" s="184" t="s">
        <v>777</v>
      </c>
      <c r="S3" s="2">
        <v>38739.041095891</v>
      </c>
      <c r="T3" s="165">
        <f t="shared" ref="T3:T10" si="0">+T2-S3</f>
        <v>552446.95890410896</v>
      </c>
    </row>
    <row r="4" spans="1:21">
      <c r="A4" s="156"/>
      <c r="B4" s="112"/>
      <c r="C4" s="112"/>
      <c r="D4" s="112"/>
      <c r="E4" s="157">
        <f t="shared" ref="E4:E30" si="1">+E3+C4-D4</f>
        <v>234</v>
      </c>
      <c r="R4" s="184" t="s">
        <v>888</v>
      </c>
      <c r="S4" s="165">
        <v>0</v>
      </c>
      <c r="T4" s="165">
        <f t="shared" si="0"/>
        <v>552446.95890410896</v>
      </c>
      <c r="U4" t="s">
        <v>889</v>
      </c>
    </row>
    <row r="5" spans="1:21">
      <c r="A5" s="110">
        <v>46027</v>
      </c>
      <c r="B5" s="115" t="s">
        <v>312</v>
      </c>
      <c r="C5" s="112">
        <v>972</v>
      </c>
      <c r="D5" s="112"/>
      <c r="E5" s="123">
        <f t="shared" ref="E5:E21" si="2">E4+C5-D5</f>
        <v>1206</v>
      </c>
      <c r="R5" s="184" t="s">
        <v>417</v>
      </c>
      <c r="S5" s="165">
        <v>525</v>
      </c>
      <c r="T5" s="165">
        <f t="shared" si="0"/>
        <v>551921.95890410896</v>
      </c>
    </row>
    <row r="6" spans="1:21">
      <c r="A6" s="110">
        <v>46030</v>
      </c>
      <c r="B6" s="115" t="s">
        <v>312</v>
      </c>
      <c r="C6" s="112">
        <v>550</v>
      </c>
      <c r="D6" s="112"/>
      <c r="E6" s="123">
        <f t="shared" si="2"/>
        <v>1756</v>
      </c>
      <c r="R6" s="184" t="s">
        <v>440</v>
      </c>
      <c r="S6" s="165">
        <v>18799.999999999956</v>
      </c>
      <c r="T6" s="165">
        <f t="shared" si="0"/>
        <v>533121.95890410896</v>
      </c>
    </row>
    <row r="7" spans="1:21">
      <c r="A7" s="110">
        <v>46031</v>
      </c>
      <c r="B7" s="171" t="s">
        <v>335</v>
      </c>
      <c r="C7" s="112"/>
      <c r="D7" s="112">
        <v>1200</v>
      </c>
      <c r="E7" s="123">
        <f t="shared" si="2"/>
        <v>556</v>
      </c>
      <c r="R7" s="184" t="s">
        <v>873</v>
      </c>
      <c r="S7" s="2">
        <v>331499.99999999627</v>
      </c>
      <c r="T7" s="165">
        <f t="shared" si="0"/>
        <v>201621.95890411269</v>
      </c>
    </row>
    <row r="8" spans="1:21">
      <c r="A8" s="110">
        <v>46031</v>
      </c>
      <c r="B8" s="112" t="s">
        <v>637</v>
      </c>
      <c r="C8" s="112"/>
      <c r="D8" s="112">
        <v>120</v>
      </c>
      <c r="E8" s="123">
        <f t="shared" si="2"/>
        <v>436</v>
      </c>
      <c r="R8" s="184" t="s">
        <v>355</v>
      </c>
      <c r="S8" s="2">
        <v>15479.999999999767</v>
      </c>
      <c r="T8" s="165">
        <f t="shared" si="0"/>
        <v>186141.95890411292</v>
      </c>
    </row>
    <row r="9" spans="1:21">
      <c r="E9" s="123">
        <v>436</v>
      </c>
      <c r="F9" s="201"/>
      <c r="R9" s="184" t="s">
        <v>358</v>
      </c>
      <c r="S9" s="2">
        <v>10010</v>
      </c>
      <c r="T9" s="165">
        <f t="shared" si="0"/>
        <v>176131.95890411292</v>
      </c>
    </row>
    <row r="10" spans="1:21">
      <c r="A10" s="110">
        <v>46037</v>
      </c>
      <c r="B10" s="112" t="s">
        <v>632</v>
      </c>
      <c r="C10" s="112">
        <v>5000</v>
      </c>
      <c r="D10" s="112"/>
      <c r="E10" s="123">
        <f t="shared" si="2"/>
        <v>5436</v>
      </c>
      <c r="R10" s="184" t="s">
        <v>354</v>
      </c>
      <c r="S10" s="165">
        <v>54000</v>
      </c>
      <c r="T10" s="165">
        <f t="shared" si="0"/>
        <v>122131.95890411292</v>
      </c>
    </row>
    <row r="11" spans="1:21">
      <c r="A11" s="110">
        <v>46037</v>
      </c>
      <c r="B11" s="171" t="s">
        <v>570</v>
      </c>
      <c r="C11" s="112">
        <v>536</v>
      </c>
      <c r="D11" s="112"/>
      <c r="E11" s="123">
        <f t="shared" si="2"/>
        <v>5972</v>
      </c>
      <c r="R11" s="184" t="s">
        <v>976</v>
      </c>
      <c r="S11">
        <f>朗瑞1_8!T29</f>
        <v>13224.000000000069</v>
      </c>
      <c r="T11" s="165">
        <f>+T10-S11</f>
        <v>108907.95890411285</v>
      </c>
    </row>
    <row r="12" spans="1:21">
      <c r="A12" s="110">
        <v>46038</v>
      </c>
      <c r="B12" s="112" t="s">
        <v>787</v>
      </c>
      <c r="C12" s="112"/>
      <c r="D12" s="112">
        <v>500</v>
      </c>
      <c r="E12" s="123">
        <f t="shared" si="2"/>
        <v>5472</v>
      </c>
      <c r="R12" s="184" t="s">
        <v>977</v>
      </c>
      <c r="S12">
        <f>朗瑞1_8!T30</f>
        <v>20019.999999999898</v>
      </c>
      <c r="T12" s="165">
        <f>+T11-S12</f>
        <v>88887.958904112951</v>
      </c>
    </row>
    <row r="13" spans="1:21">
      <c r="A13" s="117"/>
      <c r="E13" s="123">
        <f t="shared" si="2"/>
        <v>5472</v>
      </c>
      <c r="R13" s="184" t="s">
        <v>350</v>
      </c>
      <c r="S13" s="2">
        <f>鹏雅120!M16</f>
        <v>88883.999999998763</v>
      </c>
      <c r="T13" s="165">
        <f>+T12-S13</f>
        <v>3.9589041141880443</v>
      </c>
    </row>
    <row r="14" spans="1:21">
      <c r="A14" s="110"/>
      <c r="B14" s="112"/>
      <c r="C14" s="112"/>
      <c r="D14" s="112"/>
      <c r="E14" s="123">
        <f t="shared" si="2"/>
        <v>5472</v>
      </c>
      <c r="G14" s="183" t="s">
        <v>772</v>
      </c>
    </row>
    <row r="15" spans="1:21">
      <c r="A15" s="110"/>
      <c r="B15" s="162"/>
      <c r="C15" s="112"/>
      <c r="D15" s="112"/>
      <c r="E15" s="123">
        <f t="shared" si="2"/>
        <v>5472</v>
      </c>
      <c r="G15" t="s">
        <v>16</v>
      </c>
      <c r="H15" t="s">
        <v>20</v>
      </c>
      <c r="I15" t="s">
        <v>766</v>
      </c>
      <c r="J15" t="s">
        <v>22</v>
      </c>
      <c r="K15" t="s">
        <v>767</v>
      </c>
      <c r="L15" t="s">
        <v>24</v>
      </c>
      <c r="M15" t="s">
        <v>768</v>
      </c>
      <c r="N15" t="s">
        <v>769</v>
      </c>
      <c r="O15" t="s">
        <v>771</v>
      </c>
      <c r="P15" t="s">
        <v>648</v>
      </c>
      <c r="Q15" t="s">
        <v>773</v>
      </c>
      <c r="R15" t="s">
        <v>774</v>
      </c>
      <c r="S15" t="s">
        <v>779</v>
      </c>
      <c r="T15" t="s">
        <v>775</v>
      </c>
    </row>
    <row r="16" spans="1:21">
      <c r="A16" s="110">
        <v>46044</v>
      </c>
      <c r="B16" s="112" t="s">
        <v>882</v>
      </c>
      <c r="C16" s="112"/>
      <c r="D16" s="112">
        <v>2500</v>
      </c>
      <c r="E16" s="123">
        <f t="shared" si="2"/>
        <v>2972</v>
      </c>
      <c r="G16" t="s">
        <v>405</v>
      </c>
      <c r="H16" t="s">
        <v>196</v>
      </c>
      <c r="I16" t="s">
        <v>432</v>
      </c>
      <c r="J16" s="163">
        <v>0.05</v>
      </c>
      <c r="K16" s="1">
        <v>45023</v>
      </c>
      <c r="L16" s="2">
        <v>89875</v>
      </c>
      <c r="M16" s="2">
        <v>75</v>
      </c>
      <c r="N16" s="2">
        <v>0</v>
      </c>
      <c r="O16">
        <v>39.25</v>
      </c>
      <c r="P16" s="1">
        <v>46079</v>
      </c>
      <c r="Q16" s="1">
        <v>46041</v>
      </c>
      <c r="R16" s="185">
        <f>I28</f>
        <v>57.8</v>
      </c>
      <c r="S16" s="2">
        <f>R16*M16</f>
        <v>4335</v>
      </c>
      <c r="T16" s="165">
        <f>+(H28-I28)*M16</f>
        <v>210.00000000000031</v>
      </c>
      <c r="U16" t="s">
        <v>781</v>
      </c>
    </row>
    <row r="17" spans="1:22">
      <c r="A17" s="110">
        <v>46044</v>
      </c>
      <c r="B17" s="112" t="s">
        <v>893</v>
      </c>
      <c r="C17" s="112"/>
      <c r="D17" s="112">
        <v>800</v>
      </c>
      <c r="E17" s="123">
        <f t="shared" si="2"/>
        <v>2172</v>
      </c>
      <c r="G17" t="s">
        <v>417</v>
      </c>
      <c r="H17" t="s">
        <v>196</v>
      </c>
      <c r="I17" t="s">
        <v>433</v>
      </c>
      <c r="J17" s="163">
        <v>4.4999999999999998E-2</v>
      </c>
      <c r="K17" s="1">
        <v>45523</v>
      </c>
      <c r="L17" s="2">
        <v>82500</v>
      </c>
      <c r="M17" s="2">
        <v>700</v>
      </c>
      <c r="N17" s="2">
        <v>0</v>
      </c>
      <c r="O17">
        <v>40.270000000000003</v>
      </c>
      <c r="P17" s="1">
        <v>46045</v>
      </c>
      <c r="Q17" s="1">
        <f>+Q16</f>
        <v>46041</v>
      </c>
      <c r="R17" s="165">
        <f>+M30</f>
        <v>57.1</v>
      </c>
      <c r="S17" s="2">
        <f>R17*M17</f>
        <v>39970</v>
      </c>
      <c r="T17" s="165">
        <f>+(L30-M30)*M17</f>
        <v>525</v>
      </c>
      <c r="U17" t="s">
        <v>780</v>
      </c>
    </row>
    <row r="18" spans="1:22">
      <c r="A18" s="110">
        <v>46045</v>
      </c>
      <c r="B18" s="112" t="s">
        <v>570</v>
      </c>
      <c r="C18" s="112">
        <v>678</v>
      </c>
      <c r="D18" s="112"/>
      <c r="E18" s="123">
        <f t="shared" si="2"/>
        <v>2850</v>
      </c>
      <c r="G18" t="s">
        <v>809</v>
      </c>
      <c r="H18" t="s">
        <v>196</v>
      </c>
      <c r="I18" t="s">
        <v>433</v>
      </c>
      <c r="J18" s="163">
        <v>0.05</v>
      </c>
      <c r="K18" s="1">
        <v>45806</v>
      </c>
      <c r="L18" s="2">
        <v>40000</v>
      </c>
      <c r="M18" s="2">
        <v>40000</v>
      </c>
      <c r="N18" s="2">
        <v>440.64</v>
      </c>
      <c r="O18">
        <v>23.83</v>
      </c>
      <c r="P18" s="1">
        <v>46048</v>
      </c>
      <c r="Q18" s="1">
        <f>+Q17</f>
        <v>46041</v>
      </c>
      <c r="R18" s="165">
        <f>+Q27</f>
        <v>35.9</v>
      </c>
      <c r="S18" s="2">
        <f>R18*M18</f>
        <v>1436000</v>
      </c>
      <c r="T18" s="165">
        <f>+(P27-Q27)*M18</f>
        <v>18799.999999999956</v>
      </c>
      <c r="U18" t="s">
        <v>782</v>
      </c>
    </row>
    <row r="19" spans="1:22">
      <c r="A19" s="110">
        <v>46045</v>
      </c>
      <c r="B19" s="162" t="s">
        <v>314</v>
      </c>
      <c r="C19" s="112"/>
      <c r="D19" s="112">
        <v>74.599999999999994</v>
      </c>
      <c r="E19" s="123">
        <f t="shared" si="2"/>
        <v>2775.4</v>
      </c>
      <c r="G19" t="s">
        <v>810</v>
      </c>
      <c r="H19" t="s">
        <v>770</v>
      </c>
      <c r="I19" t="s">
        <v>431</v>
      </c>
      <c r="J19" s="163">
        <v>0.05</v>
      </c>
      <c r="K19" s="1">
        <v>45862</v>
      </c>
      <c r="L19" s="2">
        <v>14000</v>
      </c>
      <c r="M19" s="2">
        <v>14000</v>
      </c>
      <c r="N19" s="2">
        <v>88.605999999999995</v>
      </c>
      <c r="O19">
        <v>40.049999999999997</v>
      </c>
      <c r="P19" s="1">
        <v>46048</v>
      </c>
      <c r="Q19" s="1">
        <f>+Q18</f>
        <v>46041</v>
      </c>
      <c r="R19" s="165">
        <f>+H40</f>
        <v>47.955500000000001</v>
      </c>
      <c r="S19" s="2">
        <f>R19*M19</f>
        <v>671377</v>
      </c>
      <c r="U19" t="s">
        <v>782</v>
      </c>
    </row>
    <row r="20" spans="1:22">
      <c r="A20" s="110">
        <v>46045</v>
      </c>
      <c r="B20" s="112" t="s">
        <v>1033</v>
      </c>
      <c r="C20" s="112">
        <v>80.7</v>
      </c>
      <c r="D20" s="112"/>
      <c r="E20" s="123">
        <f t="shared" si="2"/>
        <v>2856.1</v>
      </c>
      <c r="G20" t="s">
        <v>646</v>
      </c>
      <c r="H20" t="s">
        <v>786</v>
      </c>
      <c r="I20" t="s">
        <v>433</v>
      </c>
      <c r="J20" s="163">
        <v>0.05</v>
      </c>
      <c r="K20" s="1">
        <v>45656</v>
      </c>
      <c r="L20" s="2">
        <v>6800</v>
      </c>
      <c r="M20" s="2">
        <v>6800</v>
      </c>
      <c r="N20" s="2">
        <v>68.680000000000007</v>
      </c>
      <c r="O20">
        <v>100</v>
      </c>
      <c r="P20" s="1">
        <v>46048</v>
      </c>
      <c r="Q20" s="1">
        <f>+Q19</f>
        <v>46041</v>
      </c>
      <c r="R20" s="165">
        <f>+L38</f>
        <v>106.33</v>
      </c>
      <c r="S20" s="2">
        <f>R20*M20</f>
        <v>723044</v>
      </c>
    </row>
    <row r="21" spans="1:22">
      <c r="A21" s="110">
        <v>46051</v>
      </c>
      <c r="B21" s="112" t="s">
        <v>898</v>
      </c>
      <c r="C21" s="112">
        <v>507</v>
      </c>
      <c r="D21" s="112"/>
      <c r="E21" s="123">
        <f t="shared" si="2"/>
        <v>3363.1</v>
      </c>
      <c r="S21" s="186">
        <f>SUM(S17:S20)</f>
        <v>2870391</v>
      </c>
    </row>
    <row r="22" spans="1:22">
      <c r="A22" s="110"/>
      <c r="B22" s="112"/>
      <c r="C22" s="112"/>
      <c r="D22" s="112"/>
      <c r="E22" s="157">
        <f t="shared" si="1"/>
        <v>3363.1</v>
      </c>
    </row>
    <row r="23" spans="1:22">
      <c r="A23" s="110"/>
      <c r="B23" s="112"/>
      <c r="C23" s="112"/>
      <c r="D23" s="112"/>
      <c r="E23" s="157">
        <f t="shared" si="1"/>
        <v>3363.1</v>
      </c>
      <c r="G23" t="s">
        <v>807</v>
      </c>
      <c r="H23" s="163">
        <f>XIRR(H24:H30,G24:G30)</f>
        <v>5.0110647082328805E-2</v>
      </c>
      <c r="I23" s="163">
        <f>XIRR(I24:I30,G24:G30)</f>
        <v>4.0020677447319047E-2</v>
      </c>
      <c r="K23" t="s">
        <v>808</v>
      </c>
      <c r="L23" s="163">
        <f>XIRR(L24:L30,K24:K30)</f>
        <v>4.5003798604011547E-2</v>
      </c>
      <c r="M23" s="163">
        <f>XIRR(M24:M30,K24:K30)</f>
        <v>3.9925482869148265E-2</v>
      </c>
      <c r="O23" t="s">
        <v>440</v>
      </c>
      <c r="P23" s="163">
        <f>XIRR(P24:P27,O24:O27)</f>
        <v>5.0075492262840263E-2</v>
      </c>
      <c r="Q23" s="163">
        <f>XIRR(Q24:Q30,O24:O30)</f>
        <v>4.0145227313041695E-2</v>
      </c>
    </row>
    <row r="24" spans="1:22">
      <c r="A24" s="110"/>
      <c r="B24" s="115"/>
      <c r="C24" s="112"/>
      <c r="D24" s="112"/>
      <c r="E24" s="157">
        <f t="shared" si="1"/>
        <v>3363.1</v>
      </c>
      <c r="G24" s="1">
        <v>45023</v>
      </c>
      <c r="H24">
        <v>-108</v>
      </c>
      <c r="I24">
        <f>+H24</f>
        <v>-108</v>
      </c>
      <c r="K24" s="1">
        <v>45523</v>
      </c>
      <c r="L24">
        <v>-111</v>
      </c>
      <c r="M24">
        <f t="shared" ref="M24:M29" si="3">+L24</f>
        <v>-111</v>
      </c>
      <c r="O24" s="1">
        <v>45806</v>
      </c>
      <c r="P24">
        <v>-110.16</v>
      </c>
      <c r="Q24">
        <f>+P24</f>
        <v>-110.16</v>
      </c>
    </row>
    <row r="25" spans="1:22">
      <c r="A25" s="156"/>
      <c r="B25" s="112"/>
      <c r="C25" s="112"/>
      <c r="D25" s="112"/>
      <c r="E25" s="157">
        <f t="shared" si="1"/>
        <v>3363.1</v>
      </c>
      <c r="G25" s="1">
        <v>45530.000497685185</v>
      </c>
      <c r="H25">
        <v>8.7799999999999994</v>
      </c>
      <c r="I25">
        <f>+H25</f>
        <v>8.7799999999999994</v>
      </c>
      <c r="J25" s="163"/>
      <c r="K25" s="1">
        <v>45894.000497685185</v>
      </c>
      <c r="L25">
        <v>7.55</v>
      </c>
      <c r="M25">
        <f t="shared" si="3"/>
        <v>7.55</v>
      </c>
      <c r="O25" s="1">
        <v>45866.000497685185</v>
      </c>
      <c r="P25">
        <v>22.53</v>
      </c>
      <c r="Q25">
        <f>+P25</f>
        <v>22.53</v>
      </c>
    </row>
    <row r="26" spans="1:22">
      <c r="A26" s="110">
        <v>46052</v>
      </c>
      <c r="B26" s="112" t="s">
        <v>930</v>
      </c>
      <c r="C26" s="112"/>
      <c r="D26" s="112">
        <v>300</v>
      </c>
      <c r="E26" s="157">
        <f t="shared" si="1"/>
        <v>3063.1</v>
      </c>
      <c r="G26" s="1">
        <v>45714.000497685185</v>
      </c>
      <c r="H26">
        <v>31.21</v>
      </c>
      <c r="I26">
        <f>+H26</f>
        <v>31.21</v>
      </c>
      <c r="J26" s="163"/>
      <c r="K26" s="1">
        <v>45923.000497685185</v>
      </c>
      <c r="L26">
        <v>10.36</v>
      </c>
      <c r="M26">
        <f t="shared" si="3"/>
        <v>10.36</v>
      </c>
      <c r="O26" s="1">
        <v>45957.000497685185</v>
      </c>
      <c r="P26">
        <v>53.64</v>
      </c>
      <c r="Q26">
        <f>+P26</f>
        <v>53.64</v>
      </c>
    </row>
    <row r="27" spans="1:22">
      <c r="A27" s="110">
        <v>46055</v>
      </c>
      <c r="B27" s="112" t="s">
        <v>570</v>
      </c>
      <c r="C27" s="112">
        <v>138</v>
      </c>
      <c r="D27" s="112"/>
      <c r="E27" s="157">
        <f t="shared" si="1"/>
        <v>3201.1</v>
      </c>
      <c r="G27" s="1">
        <v>45895.000497685185</v>
      </c>
      <c r="H27">
        <v>20.759999999999998</v>
      </c>
      <c r="I27">
        <f>+H27</f>
        <v>20.759999999999998</v>
      </c>
      <c r="J27" s="163"/>
      <c r="K27" s="1">
        <v>45953.000497685185</v>
      </c>
      <c r="L27">
        <v>14.23</v>
      </c>
      <c r="M27">
        <f t="shared" si="3"/>
        <v>14.23</v>
      </c>
      <c r="O27" s="1">
        <f>Q18</f>
        <v>46041</v>
      </c>
      <c r="P27" s="2">
        <v>36.369999999999997</v>
      </c>
      <c r="Q27" s="2">
        <v>35.9</v>
      </c>
    </row>
    <row r="28" spans="1:22">
      <c r="A28" s="110">
        <v>46055</v>
      </c>
      <c r="B28" s="115" t="s">
        <v>314</v>
      </c>
      <c r="C28" s="112"/>
      <c r="D28" s="112">
        <v>47</v>
      </c>
      <c r="E28" s="157">
        <f t="shared" si="1"/>
        <v>3154.1</v>
      </c>
      <c r="G28" s="1">
        <f>+Q16</f>
        <v>46041</v>
      </c>
      <c r="H28" s="185">
        <v>60.6</v>
      </c>
      <c r="I28" s="185">
        <v>57.8</v>
      </c>
      <c r="J28" s="163"/>
      <c r="K28" s="1">
        <v>45985.000497685185</v>
      </c>
      <c r="L28">
        <v>14.32</v>
      </c>
      <c r="M28">
        <f t="shared" si="3"/>
        <v>14.32</v>
      </c>
      <c r="O28" s="1"/>
      <c r="P28" s="217" t="s">
        <v>890</v>
      </c>
    </row>
    <row r="29" spans="1:22">
      <c r="A29" s="110"/>
      <c r="B29" s="112"/>
      <c r="C29" s="112"/>
      <c r="D29" s="112"/>
      <c r="E29" s="157">
        <f t="shared" si="1"/>
        <v>3154.1</v>
      </c>
      <c r="J29" s="163"/>
      <c r="K29" s="1">
        <v>46014.000497685185</v>
      </c>
      <c r="L29">
        <v>13.270000000000001</v>
      </c>
      <c r="M29">
        <f t="shared" si="3"/>
        <v>13.270000000000001</v>
      </c>
      <c r="O29" s="1"/>
      <c r="P29" t="s">
        <v>886</v>
      </c>
    </row>
    <row r="30" spans="1:22">
      <c r="A30" s="110"/>
      <c r="B30" s="115"/>
      <c r="C30" s="112"/>
      <c r="D30" s="112"/>
      <c r="E30" s="157">
        <f t="shared" si="1"/>
        <v>3154.1</v>
      </c>
      <c r="J30" s="163"/>
      <c r="K30" s="1">
        <f>+Q17</f>
        <v>46041</v>
      </c>
      <c r="L30" s="2">
        <v>57.85</v>
      </c>
      <c r="M30" s="2">
        <v>57.1</v>
      </c>
      <c r="P30" t="s">
        <v>887</v>
      </c>
    </row>
    <row r="31" spans="1:22">
      <c r="A31" s="252">
        <v>46056</v>
      </c>
      <c r="B31" s="253" t="s">
        <v>945</v>
      </c>
      <c r="C31" s="253"/>
      <c r="D31" s="253">
        <v>2000</v>
      </c>
      <c r="E31" s="157">
        <f>+E30+C31-D31</f>
        <v>1154.0999999999999</v>
      </c>
      <c r="G31" s="1"/>
      <c r="I31" s="163"/>
      <c r="J31" s="163"/>
      <c r="P31" s="217" t="s">
        <v>908</v>
      </c>
    </row>
    <row r="32" spans="1:22">
      <c r="A32" s="252"/>
      <c r="B32" s="253"/>
      <c r="C32" s="253"/>
      <c r="D32" s="253"/>
      <c r="E32" s="157">
        <f>+E31+C32-D32</f>
        <v>1154.0999999999999</v>
      </c>
      <c r="G32" t="s">
        <v>811</v>
      </c>
      <c r="I32" s="1"/>
      <c r="K32" s="163"/>
      <c r="L32" s="163"/>
      <c r="P32" t="s">
        <v>873</v>
      </c>
      <c r="Q32" s="215">
        <f>XIRR(Q33:Q34,P33:P34)</f>
        <v>5.0032940506935117E-2</v>
      </c>
      <c r="R32" s="215">
        <f>XIRR(R33:R34,P33:P34)</f>
        <v>3.99950832128525E-2</v>
      </c>
      <c r="T32" t="s">
        <v>884</v>
      </c>
      <c r="U32" s="215">
        <f>XIRR(U33:U34,T33:T34)</f>
        <v>5.0026986002922061E-2</v>
      </c>
      <c r="V32" s="215">
        <f>XIRR(V33:V34,T33:T34)</f>
        <v>4.0075197815895094E-2</v>
      </c>
    </row>
    <row r="33" spans="1:22">
      <c r="A33" s="252">
        <v>46062</v>
      </c>
      <c r="B33" s="253" t="s">
        <v>531</v>
      </c>
      <c r="C33" s="253">
        <v>1449</v>
      </c>
      <c r="D33" s="253"/>
      <c r="E33" s="157">
        <v>2600</v>
      </c>
      <c r="G33" t="s">
        <v>812</v>
      </c>
      <c r="I33" s="1"/>
      <c r="K33" s="163"/>
      <c r="L33" s="163"/>
      <c r="P33" s="1">
        <v>45288</v>
      </c>
      <c r="Q33">
        <v>-117</v>
      </c>
      <c r="R33">
        <f>Q33</f>
        <v>-117</v>
      </c>
      <c r="T33" s="1">
        <v>45772</v>
      </c>
      <c r="U33">
        <v>-105</v>
      </c>
      <c r="V33">
        <f>U33</f>
        <v>-105</v>
      </c>
    </row>
    <row r="34" spans="1:22">
      <c r="A34" s="156">
        <v>46062</v>
      </c>
      <c r="B34" s="253" t="s">
        <v>1000</v>
      </c>
      <c r="C34" s="112"/>
      <c r="D34" s="112">
        <v>1850</v>
      </c>
      <c r="E34" s="157">
        <f>+E33+C34-D34</f>
        <v>750</v>
      </c>
      <c r="G34" t="s">
        <v>821</v>
      </c>
      <c r="I34" s="1"/>
      <c r="K34" s="163"/>
      <c r="L34" s="163"/>
      <c r="P34" s="1">
        <v>46044</v>
      </c>
      <c r="Q34">
        <v>129.44999999999999</v>
      </c>
      <c r="R34" s="216">
        <v>126.9</v>
      </c>
      <c r="T34" s="1">
        <v>46044</v>
      </c>
      <c r="U34">
        <v>108.89</v>
      </c>
      <c r="V34" s="216">
        <v>108.12</v>
      </c>
    </row>
    <row r="35" spans="1:22">
      <c r="A35" s="156">
        <v>46065</v>
      </c>
      <c r="B35" s="253" t="s">
        <v>531</v>
      </c>
      <c r="C35" s="112">
        <v>56</v>
      </c>
      <c r="D35" s="112"/>
      <c r="E35" s="157">
        <f t="shared" ref="E35:E64" si="4">+E34+C35-D35</f>
        <v>806</v>
      </c>
      <c r="G35" t="s">
        <v>885</v>
      </c>
      <c r="I35" s="1"/>
      <c r="J35" s="163"/>
      <c r="K35" s="163"/>
      <c r="L35" s="163"/>
      <c r="P35" t="s">
        <v>874</v>
      </c>
      <c r="Q35">
        <v>1300</v>
      </c>
      <c r="R35">
        <f>Q35</f>
        <v>1300</v>
      </c>
      <c r="T35" t="s">
        <v>874</v>
      </c>
      <c r="U35">
        <v>130</v>
      </c>
      <c r="V35">
        <f>U35</f>
        <v>130</v>
      </c>
    </row>
    <row r="36" spans="1:22">
      <c r="A36" s="156"/>
      <c r="B36" s="112"/>
      <c r="C36" s="112"/>
      <c r="D36" s="274"/>
      <c r="E36" s="157">
        <v>809</v>
      </c>
      <c r="G36" t="s">
        <v>456</v>
      </c>
      <c r="H36" s="163">
        <f>XIRR(H37:H40,G37:G40)</f>
        <v>5.0026586651802069E-2</v>
      </c>
      <c r="I36" s="163"/>
      <c r="K36" t="s">
        <v>468</v>
      </c>
      <c r="L36" s="163">
        <f>XIRR(L37:L43,K37:K43)</f>
        <v>4.9963518977165222E-2</v>
      </c>
      <c r="P36" t="s">
        <v>875</v>
      </c>
      <c r="Q36" s="2">
        <f>Q35*Q34*100</f>
        <v>16828499.999999996</v>
      </c>
      <c r="R36" s="2">
        <f>R35*R34*100</f>
        <v>16497000</v>
      </c>
      <c r="T36" t="s">
        <v>875</v>
      </c>
      <c r="U36" s="2">
        <f>U35*U34*100</f>
        <v>1415570</v>
      </c>
      <c r="V36" s="2">
        <f>V35*V34*100</f>
        <v>1405560</v>
      </c>
    </row>
    <row r="37" spans="1:22">
      <c r="A37" s="156">
        <v>46078</v>
      </c>
      <c r="B37" s="112" t="s">
        <v>613</v>
      </c>
      <c r="C37" s="112">
        <v>451</v>
      </c>
      <c r="D37" s="112"/>
      <c r="E37" s="157">
        <f t="shared" si="4"/>
        <v>1260</v>
      </c>
      <c r="G37" s="1">
        <v>45862</v>
      </c>
      <c r="H37" s="2">
        <v>-106.22</v>
      </c>
      <c r="I37" s="2"/>
      <c r="K37" s="1">
        <v>45656</v>
      </c>
      <c r="L37" s="2">
        <v>-101</v>
      </c>
      <c r="P37" t="s">
        <v>775</v>
      </c>
      <c r="Q37" s="165">
        <f>Q36-R36</f>
        <v>331499.99999999627</v>
      </c>
      <c r="T37" t="s">
        <v>775</v>
      </c>
      <c r="U37" s="165">
        <f>U36-V36</f>
        <v>10010</v>
      </c>
    </row>
    <row r="38" spans="1:22">
      <c r="A38" s="156">
        <v>46078</v>
      </c>
      <c r="B38" s="112" t="s">
        <v>571</v>
      </c>
      <c r="C38" s="112"/>
      <c r="D38" s="274">
        <v>105.8</v>
      </c>
      <c r="E38" s="157">
        <f t="shared" si="4"/>
        <v>1154.2</v>
      </c>
      <c r="G38" s="1">
        <v>45866</v>
      </c>
      <c r="H38" s="2">
        <v>17.02</v>
      </c>
      <c r="I38" s="2"/>
      <c r="K38" s="1">
        <f>+Q20</f>
        <v>46041</v>
      </c>
      <c r="L38" s="2">
        <v>106.33</v>
      </c>
    </row>
    <row r="39" spans="1:22">
      <c r="A39" s="156">
        <v>46079</v>
      </c>
      <c r="B39" s="112" t="s">
        <v>571</v>
      </c>
      <c r="C39" s="112"/>
      <c r="D39" s="112">
        <f>9.9*1.07</f>
        <v>10.593000000000002</v>
      </c>
      <c r="E39" s="157">
        <f t="shared" si="4"/>
        <v>1143.607</v>
      </c>
      <c r="G39" s="1">
        <v>45957</v>
      </c>
      <c r="H39" s="2">
        <v>42.93</v>
      </c>
      <c r="I39" s="2"/>
      <c r="P39" t="s">
        <v>876</v>
      </c>
      <c r="Q39" s="215">
        <f>XIRR(Q40:Q41,P40:P41)</f>
        <v>4.9999269843101504E-2</v>
      </c>
      <c r="R39" s="215">
        <f>XIRR(R40:R41,P40:P41)</f>
        <v>4.0058770775794991E-2</v>
      </c>
      <c r="T39" t="s">
        <v>877</v>
      </c>
      <c r="U39" s="215">
        <f>XIRR(U40:U41,T40:T41)</f>
        <v>5.0041314959526059E-2</v>
      </c>
      <c r="V39" s="215">
        <f>XIRR(V40:V41,T40:T41)</f>
        <v>3.9991047978401209E-2</v>
      </c>
    </row>
    <row r="40" spans="1:22">
      <c r="A40" s="112"/>
      <c r="B40" s="112"/>
      <c r="C40" s="112"/>
      <c r="D40" s="112"/>
      <c r="E40" s="157">
        <f t="shared" si="4"/>
        <v>1143.607</v>
      </c>
      <c r="G40" s="1">
        <f>Q19</f>
        <v>46041</v>
      </c>
      <c r="H40" s="2">
        <v>47.955500000000001</v>
      </c>
      <c r="P40" s="1">
        <v>45741</v>
      </c>
      <c r="Q40">
        <v>-105</v>
      </c>
      <c r="R40">
        <v>-105</v>
      </c>
      <c r="T40" s="1">
        <v>45653</v>
      </c>
      <c r="U40">
        <v>-100</v>
      </c>
      <c r="V40">
        <f>U40</f>
        <v>-100</v>
      </c>
    </row>
    <row r="41" spans="1:22">
      <c r="A41" s="156"/>
      <c r="B41" s="253"/>
      <c r="C41" s="112"/>
      <c r="D41" s="112"/>
      <c r="E41" s="157">
        <f t="shared" si="4"/>
        <v>1143.607</v>
      </c>
      <c r="P41" s="1">
        <v>46044</v>
      </c>
      <c r="Q41">
        <v>109.34</v>
      </c>
      <c r="R41" s="216">
        <v>108.48</v>
      </c>
      <c r="T41" s="1">
        <v>46044</v>
      </c>
      <c r="U41">
        <v>105.37</v>
      </c>
      <c r="V41" s="216">
        <v>104.29</v>
      </c>
    </row>
    <row r="42" spans="1:22">
      <c r="A42" s="156"/>
      <c r="B42" s="253"/>
      <c r="C42" s="112"/>
      <c r="D42" s="112"/>
      <c r="E42" s="157">
        <f t="shared" si="4"/>
        <v>1143.607</v>
      </c>
      <c r="F42" t="s">
        <v>1207</v>
      </c>
      <c r="G42" s="109"/>
      <c r="H42" s="155"/>
      <c r="I42" s="2"/>
      <c r="P42" t="s">
        <v>874</v>
      </c>
      <c r="Q42">
        <v>180</v>
      </c>
      <c r="R42">
        <f>Q42</f>
        <v>180</v>
      </c>
      <c r="T42" t="s">
        <v>874</v>
      </c>
      <c r="U42">
        <v>500</v>
      </c>
      <c r="V42">
        <f>U42</f>
        <v>500</v>
      </c>
    </row>
    <row r="43" spans="1:22">
      <c r="A43" s="110">
        <v>46084</v>
      </c>
      <c r="B43" s="253" t="s">
        <v>1154</v>
      </c>
      <c r="C43" s="112">
        <v>1200</v>
      </c>
      <c r="D43" s="112"/>
      <c r="E43" s="157">
        <f t="shared" si="4"/>
        <v>2343.607</v>
      </c>
      <c r="F43" t="s">
        <v>1207</v>
      </c>
      <c r="I43" s="2"/>
      <c r="P43" t="s">
        <v>875</v>
      </c>
      <c r="Q43" s="2">
        <f>Q42*Q41*100</f>
        <v>1968120</v>
      </c>
      <c r="R43" s="2">
        <f>R42*R41*100</f>
        <v>1952640.0000000002</v>
      </c>
      <c r="T43" t="s">
        <v>875</v>
      </c>
      <c r="U43" s="2">
        <f>U42*U41*100</f>
        <v>5268500</v>
      </c>
      <c r="V43" s="2">
        <f>V42*V41*100</f>
        <v>5214500</v>
      </c>
    </row>
    <row r="44" spans="1:22">
      <c r="A44" s="110">
        <v>46084</v>
      </c>
      <c r="B44" s="253" t="s">
        <v>1155</v>
      </c>
      <c r="C44" s="112"/>
      <c r="D44" s="112">
        <v>1000</v>
      </c>
      <c r="E44" s="113">
        <f t="shared" si="4"/>
        <v>1343.607</v>
      </c>
      <c r="P44" t="s">
        <v>775</v>
      </c>
      <c r="Q44" s="165">
        <f>Q43-R43</f>
        <v>15479.999999999767</v>
      </c>
      <c r="T44" t="s">
        <v>775</v>
      </c>
      <c r="U44" s="165">
        <f>U43-V43</f>
        <v>54000</v>
      </c>
    </row>
    <row r="45" spans="1:22">
      <c r="A45" s="110">
        <v>46085</v>
      </c>
      <c r="B45" s="253" t="s">
        <v>1136</v>
      </c>
      <c r="C45" s="112">
        <v>660</v>
      </c>
      <c r="D45" s="112"/>
      <c r="E45" s="113">
        <f t="shared" si="4"/>
        <v>2003.607</v>
      </c>
      <c r="Q45" s="165"/>
      <c r="U45" s="165"/>
    </row>
    <row r="46" spans="1:22">
      <c r="A46" s="110">
        <v>46085</v>
      </c>
      <c r="B46" s="253" t="s">
        <v>893</v>
      </c>
      <c r="C46" s="112"/>
      <c r="D46" s="112">
        <v>5</v>
      </c>
      <c r="E46" s="113">
        <v>2001</v>
      </c>
      <c r="Q46" s="165"/>
      <c r="U46" s="165"/>
    </row>
    <row r="47" spans="1:22">
      <c r="A47" s="110">
        <v>46086</v>
      </c>
      <c r="B47" s="253" t="s">
        <v>531</v>
      </c>
      <c r="C47" s="112">
        <v>900</v>
      </c>
      <c r="D47" s="112"/>
      <c r="E47" s="113">
        <f>+E46+C47-D47</f>
        <v>2901</v>
      </c>
    </row>
    <row r="48" spans="1:22">
      <c r="A48" s="112"/>
      <c r="B48" s="112"/>
      <c r="C48" s="112"/>
      <c r="D48" s="112"/>
      <c r="E48" s="113">
        <f>+E47+C48-D48</f>
        <v>2901</v>
      </c>
    </row>
    <row r="49" spans="1:5">
      <c r="A49" s="110">
        <v>46094</v>
      </c>
      <c r="B49" s="112" t="s">
        <v>531</v>
      </c>
      <c r="C49" s="112">
        <v>1084</v>
      </c>
      <c r="D49" s="112"/>
      <c r="E49" s="157">
        <f t="shared" si="4"/>
        <v>3985</v>
      </c>
    </row>
    <row r="50" spans="1:5">
      <c r="A50" s="110">
        <v>46094</v>
      </c>
      <c r="B50" s="112" t="s">
        <v>787</v>
      </c>
      <c r="C50" s="112"/>
      <c r="D50" s="112">
        <v>100</v>
      </c>
      <c r="E50" s="157">
        <f>+E49+C50-D50</f>
        <v>3885</v>
      </c>
    </row>
    <row r="51" spans="1:5">
      <c r="A51" s="110">
        <v>46094</v>
      </c>
      <c r="B51" s="112" t="s">
        <v>1154</v>
      </c>
      <c r="C51" s="112">
        <v>2200</v>
      </c>
      <c r="D51" s="112"/>
      <c r="E51" s="157">
        <f>+E50+C51-D51</f>
        <v>6085</v>
      </c>
    </row>
    <row r="52" spans="1:5">
      <c r="A52" s="110"/>
      <c r="B52" s="112"/>
      <c r="C52" s="112"/>
      <c r="D52" s="112"/>
      <c r="E52" s="157">
        <f>+E51+C52-D52</f>
        <v>6085</v>
      </c>
    </row>
    <row r="53" spans="1:5">
      <c r="A53" s="110">
        <v>46099</v>
      </c>
      <c r="B53" s="112" t="s">
        <v>1136</v>
      </c>
      <c r="C53" s="112">
        <v>276</v>
      </c>
      <c r="D53" s="112"/>
      <c r="E53" s="157">
        <f>+E52+C53-D53</f>
        <v>6361</v>
      </c>
    </row>
    <row r="54" spans="1:5">
      <c r="A54" s="110">
        <v>46100</v>
      </c>
      <c r="B54" s="112" t="s">
        <v>570</v>
      </c>
      <c r="C54" s="112">
        <v>606</v>
      </c>
      <c r="D54" s="112"/>
      <c r="E54" s="113">
        <f>+E53+C54-D54</f>
        <v>6967</v>
      </c>
    </row>
    <row r="55" spans="1:5">
      <c r="E55" s="3">
        <f t="shared" si="4"/>
        <v>6967</v>
      </c>
    </row>
    <row r="56" spans="1:5">
      <c r="A56" s="110">
        <v>46104</v>
      </c>
      <c r="B56" s="112" t="s">
        <v>1069</v>
      </c>
      <c r="C56" s="112"/>
      <c r="D56" s="112">
        <v>300</v>
      </c>
      <c r="E56" s="157">
        <f t="shared" si="4"/>
        <v>6667</v>
      </c>
    </row>
    <row r="57" spans="1:5">
      <c r="A57" s="110">
        <v>46105</v>
      </c>
      <c r="B57" s="112" t="s">
        <v>1560</v>
      </c>
      <c r="C57" s="112"/>
      <c r="D57" s="112">
        <v>1030</v>
      </c>
      <c r="E57" s="157">
        <f t="shared" si="4"/>
        <v>5637</v>
      </c>
    </row>
    <row r="58" spans="1:5">
      <c r="A58" s="110">
        <v>46105</v>
      </c>
      <c r="B58" s="112" t="s">
        <v>1649</v>
      </c>
      <c r="C58" s="112">
        <v>368</v>
      </c>
      <c r="D58" s="112"/>
      <c r="E58" s="157">
        <f>+E57+C58-D58</f>
        <v>6005</v>
      </c>
    </row>
    <row r="59" spans="1:5">
      <c r="A59" s="110"/>
      <c r="B59" s="112"/>
      <c r="C59" s="112"/>
      <c r="D59" s="112"/>
      <c r="E59" s="157">
        <f t="shared" si="4"/>
        <v>6005</v>
      </c>
    </row>
    <row r="60" spans="1:5">
      <c r="A60" s="110"/>
      <c r="B60" s="112"/>
      <c r="C60" s="112"/>
      <c r="D60" s="112"/>
      <c r="E60" s="157">
        <v>6004</v>
      </c>
    </row>
    <row r="61" spans="1:5">
      <c r="A61" s="110"/>
      <c r="B61" s="112"/>
      <c r="C61" s="112"/>
      <c r="D61" s="112"/>
      <c r="E61" s="157">
        <f>+E60+C61-D61</f>
        <v>6004</v>
      </c>
    </row>
    <row r="62" spans="1:5">
      <c r="A62" s="110">
        <v>46111</v>
      </c>
      <c r="B62" s="112" t="s">
        <v>531</v>
      </c>
      <c r="C62" s="112">
        <v>880</v>
      </c>
      <c r="D62" s="112"/>
      <c r="E62" s="157">
        <f>+E61+C62-D62</f>
        <v>6884</v>
      </c>
    </row>
    <row r="63" spans="1:5">
      <c r="A63" s="110"/>
      <c r="B63" s="112"/>
      <c r="C63" s="112"/>
      <c r="D63" s="112"/>
      <c r="E63" s="157">
        <f>+E62+C63-D63</f>
        <v>6884</v>
      </c>
    </row>
    <row r="64" spans="1:5">
      <c r="A64" s="110">
        <v>46111</v>
      </c>
      <c r="B64" s="112" t="s">
        <v>1154</v>
      </c>
      <c r="C64" s="112">
        <v>1663</v>
      </c>
      <c r="D64" s="112"/>
      <c r="E64" s="157">
        <f t="shared" si="4"/>
        <v>8547</v>
      </c>
    </row>
    <row r="65" spans="1:6">
      <c r="A65" s="110">
        <v>46111</v>
      </c>
      <c r="B65" s="112" t="s">
        <v>571</v>
      </c>
      <c r="C65" s="112"/>
      <c r="D65" s="112">
        <v>745</v>
      </c>
      <c r="E65" s="157">
        <f t="shared" ref="E65:E73" si="5">+E64+C65-D65</f>
        <v>7802</v>
      </c>
    </row>
    <row r="66" spans="1:6">
      <c r="A66" s="110"/>
      <c r="B66" s="112"/>
      <c r="C66" s="112"/>
      <c r="D66" s="112"/>
      <c r="E66" s="157">
        <f t="shared" si="5"/>
        <v>7802</v>
      </c>
    </row>
    <row r="67" spans="1:6">
      <c r="A67" s="110">
        <v>46112</v>
      </c>
      <c r="B67" s="112" t="s">
        <v>1681</v>
      </c>
      <c r="C67" s="112"/>
      <c r="D67" s="112">
        <v>2150</v>
      </c>
      <c r="E67" s="113">
        <f t="shared" si="5"/>
        <v>5652</v>
      </c>
    </row>
    <row r="68" spans="1:6">
      <c r="A68" s="110">
        <v>46115</v>
      </c>
      <c r="B68" s="112" t="s">
        <v>571</v>
      </c>
      <c r="C68" s="112"/>
      <c r="D68" s="112">
        <v>786.13602400000002</v>
      </c>
      <c r="E68" s="113">
        <f t="shared" si="5"/>
        <v>4865.8639759999996</v>
      </c>
    </row>
    <row r="69" spans="1:6">
      <c r="A69" s="110"/>
      <c r="B69" s="112"/>
      <c r="C69" s="112"/>
      <c r="D69" s="112"/>
      <c r="E69" s="113">
        <f t="shared" si="5"/>
        <v>4865.8639759999996</v>
      </c>
    </row>
    <row r="70" spans="1:6">
      <c r="A70" s="110">
        <v>46115</v>
      </c>
      <c r="B70" s="112" t="s">
        <v>531</v>
      </c>
      <c r="C70" s="112">
        <v>130</v>
      </c>
      <c r="D70" s="112"/>
      <c r="E70" s="113">
        <f t="shared" si="5"/>
        <v>4995.8639759999996</v>
      </c>
    </row>
    <row r="71" spans="1:6">
      <c r="A71" s="110">
        <v>46115</v>
      </c>
      <c r="B71" s="112" t="s">
        <v>1706</v>
      </c>
      <c r="C71" s="112">
        <v>110</v>
      </c>
      <c r="D71" s="112"/>
      <c r="E71" s="113">
        <f t="shared" si="5"/>
        <v>5105.8639759999996</v>
      </c>
    </row>
    <row r="72" spans="1:6">
      <c r="A72" s="110">
        <v>46119</v>
      </c>
      <c r="B72" s="112" t="s">
        <v>1681</v>
      </c>
      <c r="C72" s="112"/>
      <c r="D72" s="112">
        <v>750</v>
      </c>
      <c r="E72" s="113">
        <f t="shared" si="5"/>
        <v>4355.8639759999996</v>
      </c>
      <c r="F72" s="347"/>
    </row>
    <row r="73" spans="1:6">
      <c r="A73" s="110">
        <v>46120</v>
      </c>
      <c r="B73" s="112" t="s">
        <v>945</v>
      </c>
      <c r="C73" s="112"/>
      <c r="D73" s="112">
        <v>650</v>
      </c>
      <c r="E73" s="113">
        <f t="shared" si="5"/>
        <v>3705.8639759999996</v>
      </c>
    </row>
    <row r="74" spans="1:6">
      <c r="A74" s="110">
        <v>46120</v>
      </c>
      <c r="B74" s="112" t="s">
        <v>1365</v>
      </c>
      <c r="C74" s="112"/>
      <c r="D74" s="112">
        <v>140.13586900000001</v>
      </c>
      <c r="E74" s="113">
        <f t="shared" ref="E74:E97" si="6">+E73+C74-D74</f>
        <v>3565.7281069999995</v>
      </c>
    </row>
    <row r="75" spans="1:6">
      <c r="A75" s="110">
        <v>46120</v>
      </c>
      <c r="B75" s="112" t="s">
        <v>1844</v>
      </c>
      <c r="C75" s="112"/>
      <c r="D75" s="112">
        <f>1.40136*2</f>
        <v>2.8027199999999999</v>
      </c>
      <c r="E75" s="113">
        <f t="shared" si="6"/>
        <v>3562.9253869999993</v>
      </c>
    </row>
    <row r="76" spans="1:6">
      <c r="A76" s="110"/>
      <c r="B76" s="112"/>
      <c r="C76" s="112"/>
      <c r="D76" s="112"/>
      <c r="E76" s="113">
        <f t="shared" si="6"/>
        <v>3562.9253869999993</v>
      </c>
    </row>
    <row r="77" spans="1:6">
      <c r="A77" s="110"/>
      <c r="B77" s="112"/>
      <c r="C77" s="112"/>
      <c r="D77" s="112"/>
      <c r="E77" s="113">
        <f t="shared" si="6"/>
        <v>3562.9253869999993</v>
      </c>
      <c r="F77" s="347"/>
    </row>
    <row r="78" spans="1:6">
      <c r="A78" s="110"/>
      <c r="B78" s="112"/>
      <c r="C78" s="112"/>
      <c r="D78" s="112"/>
      <c r="E78" s="113">
        <f t="shared" si="6"/>
        <v>3562.9253869999993</v>
      </c>
    </row>
    <row r="79" spans="1:6">
      <c r="A79" s="110">
        <v>46121</v>
      </c>
      <c r="B79" s="112" t="s">
        <v>1000</v>
      </c>
      <c r="C79" s="112"/>
      <c r="D79" s="112">
        <v>150</v>
      </c>
      <c r="E79" s="113">
        <f t="shared" si="6"/>
        <v>3412.9253869999993</v>
      </c>
    </row>
    <row r="80" spans="1:6">
      <c r="A80" s="110">
        <v>46122</v>
      </c>
      <c r="B80" s="112" t="s">
        <v>531</v>
      </c>
      <c r="C80" s="112">
        <v>139</v>
      </c>
      <c r="D80" s="112"/>
      <c r="E80" s="113">
        <f>+E79+C80-D80</f>
        <v>3551.9253869999993</v>
      </c>
    </row>
    <row r="81" spans="1:6">
      <c r="A81" s="110">
        <v>46122</v>
      </c>
      <c r="B81" s="112" t="s">
        <v>571</v>
      </c>
      <c r="C81" s="112"/>
      <c r="D81" s="116">
        <v>3491.76</v>
      </c>
      <c r="E81" s="113">
        <f>+E80+C81-D81</f>
        <v>60.1653869999991</v>
      </c>
    </row>
    <row r="82" spans="1:6">
      <c r="A82" s="110">
        <v>46122</v>
      </c>
      <c r="B82" s="112" t="s">
        <v>1908</v>
      </c>
      <c r="C82" s="112"/>
      <c r="D82" s="116">
        <v>14.645</v>
      </c>
      <c r="E82" s="113">
        <f t="shared" si="6"/>
        <v>45.520386999999104</v>
      </c>
    </row>
    <row r="83" spans="1:6">
      <c r="A83" s="110"/>
      <c r="B83" s="112"/>
      <c r="C83" s="112"/>
      <c r="D83" s="112"/>
      <c r="E83" s="113">
        <f t="shared" si="6"/>
        <v>45.520386999999104</v>
      </c>
    </row>
    <row r="84" spans="1:6">
      <c r="A84" s="110">
        <v>46128</v>
      </c>
      <c r="B84" s="112" t="s">
        <v>531</v>
      </c>
      <c r="C84" s="112">
        <v>342</v>
      </c>
      <c r="D84" s="112"/>
      <c r="E84" s="113">
        <f>+E83+C84-D84</f>
        <v>387.52038699999912</v>
      </c>
    </row>
    <row r="85" spans="1:6">
      <c r="A85" s="110">
        <v>46134</v>
      </c>
      <c r="B85" s="112" t="s">
        <v>2080</v>
      </c>
      <c r="C85" s="112"/>
      <c r="D85" s="112">
        <v>210</v>
      </c>
      <c r="E85" s="113">
        <f t="shared" si="6"/>
        <v>177.52038699999912</v>
      </c>
      <c r="F85" s="399" t="s">
        <v>816</v>
      </c>
    </row>
    <row r="86" spans="1:6">
      <c r="A86" s="110">
        <v>46135</v>
      </c>
      <c r="B86" s="112" t="s">
        <v>531</v>
      </c>
      <c r="C86" s="112">
        <v>225</v>
      </c>
      <c r="D86" s="112"/>
      <c r="E86" s="113">
        <f t="shared" si="6"/>
        <v>402.52038699999912</v>
      </c>
    </row>
    <row r="87" spans="1:6">
      <c r="A87" s="110">
        <v>46135</v>
      </c>
      <c r="B87" s="112" t="s">
        <v>2284</v>
      </c>
      <c r="C87" s="112">
        <v>324</v>
      </c>
      <c r="D87" s="112"/>
      <c r="E87" s="113">
        <f t="shared" si="6"/>
        <v>726.52038699999912</v>
      </c>
    </row>
    <row r="88" spans="1:6">
      <c r="A88" s="110"/>
      <c r="B88" s="112"/>
      <c r="C88" s="112"/>
      <c r="D88" s="112"/>
      <c r="E88" s="113">
        <f>+E87+C88-D88</f>
        <v>726.52038699999912</v>
      </c>
    </row>
    <row r="89" spans="1:6">
      <c r="A89" s="110">
        <v>46140</v>
      </c>
      <c r="B89" s="112" t="s">
        <v>1154</v>
      </c>
      <c r="C89" s="112">
        <v>2300</v>
      </c>
      <c r="D89" s="112"/>
      <c r="E89" s="113">
        <f>+E88+C89-D89</f>
        <v>3026.5203869999991</v>
      </c>
    </row>
    <row r="90" spans="1:6">
      <c r="A90" s="110">
        <v>46140</v>
      </c>
      <c r="B90" s="112" t="s">
        <v>930</v>
      </c>
      <c r="C90" s="112"/>
      <c r="D90" s="112">
        <v>1500</v>
      </c>
      <c r="E90" s="113">
        <f>+E89+C90-D90</f>
        <v>1526.5203869999991</v>
      </c>
      <c r="F90" s="399" t="s">
        <v>816</v>
      </c>
    </row>
    <row r="91" spans="1:6">
      <c r="A91" s="110">
        <v>46141</v>
      </c>
      <c r="B91" s="112" t="s">
        <v>787</v>
      </c>
      <c r="C91" s="112"/>
      <c r="D91" s="112">
        <v>30</v>
      </c>
      <c r="E91" s="113">
        <f>+E90+C91-D91</f>
        <v>1496.5203869999991</v>
      </c>
    </row>
    <row r="92" spans="1:6">
      <c r="A92" s="110"/>
      <c r="B92" s="112"/>
      <c r="C92" s="112"/>
      <c r="D92" s="112"/>
      <c r="E92" s="113">
        <f>+E91+C92-D92</f>
        <v>1496.5203869999991</v>
      </c>
    </row>
    <row r="93" spans="1:6">
      <c r="A93" s="110">
        <v>46142</v>
      </c>
      <c r="B93" s="112" t="s">
        <v>531</v>
      </c>
      <c r="C93" s="112">
        <v>100</v>
      </c>
      <c r="D93" s="112"/>
      <c r="E93" s="113">
        <f t="shared" si="6"/>
        <v>1596.5203869999991</v>
      </c>
    </row>
    <row r="94" spans="1:6">
      <c r="A94" s="110"/>
      <c r="B94" s="112"/>
      <c r="C94" s="112"/>
      <c r="D94" s="112"/>
      <c r="E94" s="113">
        <f>+E93+C94-D94</f>
        <v>1596.5203869999991</v>
      </c>
    </row>
    <row r="95" spans="1:6">
      <c r="A95" s="110">
        <v>46150</v>
      </c>
      <c r="B95" s="112" t="s">
        <v>531</v>
      </c>
      <c r="C95" s="112">
        <v>190</v>
      </c>
      <c r="D95" s="112"/>
      <c r="E95" s="113">
        <f>+E94+C95-D95</f>
        <v>1786.5203869999991</v>
      </c>
    </row>
    <row r="96" spans="1:6">
      <c r="A96" s="110">
        <v>46150</v>
      </c>
      <c r="B96" s="112" t="s">
        <v>571</v>
      </c>
      <c r="C96" s="112"/>
      <c r="D96" s="112"/>
      <c r="E96" s="113">
        <f t="shared" si="6"/>
        <v>1786.5203869999991</v>
      </c>
    </row>
    <row r="97" spans="1:8">
      <c r="A97" s="112"/>
      <c r="B97" s="112"/>
      <c r="C97" s="112"/>
      <c r="D97" s="112"/>
      <c r="E97" s="113">
        <f t="shared" si="6"/>
        <v>1786.5203869999991</v>
      </c>
    </row>
    <row r="98" spans="1:8">
      <c r="A98" s="110">
        <v>46156</v>
      </c>
      <c r="B98" s="112" t="s">
        <v>2459</v>
      </c>
      <c r="C98" s="112">
        <v>5140</v>
      </c>
      <c r="D98" s="112"/>
      <c r="E98" s="113">
        <f t="shared" ref="E98:E107" si="7">+E97+C98-D98</f>
        <v>6926.5203869999987</v>
      </c>
      <c r="F98" s="122" t="s">
        <v>2468</v>
      </c>
    </row>
    <row r="99" spans="1:8">
      <c r="A99" s="110"/>
      <c r="B99" s="112"/>
      <c r="C99" s="112"/>
      <c r="D99" s="112"/>
      <c r="E99" s="113">
        <f t="shared" ref="E99:E106" si="8">+E98+C99-D99</f>
        <v>6926.5203869999987</v>
      </c>
    </row>
    <row r="100" spans="1:8">
      <c r="A100" s="110">
        <v>46156</v>
      </c>
      <c r="B100" s="112" t="s">
        <v>1681</v>
      </c>
      <c r="C100" s="112"/>
      <c r="D100" s="112">
        <v>4800</v>
      </c>
      <c r="E100" s="113">
        <f t="shared" si="8"/>
        <v>2126.5203869999987</v>
      </c>
      <c r="F100" s="399" t="s">
        <v>816</v>
      </c>
    </row>
    <row r="101" spans="1:8">
      <c r="A101" s="117"/>
      <c r="E101" s="109">
        <f t="shared" si="8"/>
        <v>2126.5203869999987</v>
      </c>
      <c r="H101" s="201" t="s">
        <v>2309</v>
      </c>
    </row>
    <row r="102" spans="1:8">
      <c r="A102" s="117"/>
      <c r="E102" s="109">
        <f>+E101+C102-D102</f>
        <v>2126.5203869999987</v>
      </c>
      <c r="H102" s="201"/>
    </row>
    <row r="103" spans="1:8">
      <c r="A103" s="117"/>
      <c r="E103" s="109">
        <f>+E102+C103-D103</f>
        <v>2126.5203869999987</v>
      </c>
      <c r="H103" s="201"/>
    </row>
    <row r="104" spans="1:8">
      <c r="A104" s="117"/>
      <c r="E104" s="109">
        <f>+E103+C104-D104</f>
        <v>2126.5203869999987</v>
      </c>
      <c r="H104" s="201"/>
    </row>
    <row r="105" spans="1:8">
      <c r="A105" s="117">
        <v>46163</v>
      </c>
      <c r="B105" t="s">
        <v>531</v>
      </c>
      <c r="C105">
        <v>20</v>
      </c>
      <c r="E105" s="109">
        <f t="shared" si="8"/>
        <v>2146.5203869999987</v>
      </c>
    </row>
    <row r="106" spans="1:8">
      <c r="A106" s="117">
        <v>46163</v>
      </c>
      <c r="B106" t="s">
        <v>571</v>
      </c>
      <c r="D106">
        <f>(210-140)*1.1</f>
        <v>77</v>
      </c>
      <c r="E106" s="109">
        <f t="shared" si="8"/>
        <v>2069.5203869999987</v>
      </c>
      <c r="F106" t="s">
        <v>2374</v>
      </c>
    </row>
    <row r="107" spans="1:8">
      <c r="E107" s="109">
        <f t="shared" si="7"/>
        <v>2069.5203869999987</v>
      </c>
    </row>
    <row r="108" spans="1:8">
      <c r="B108" t="s">
        <v>945</v>
      </c>
      <c r="D108">
        <v>1000</v>
      </c>
      <c r="E108" s="109">
        <f t="shared" ref="E108:E115" si="9">+E107+C108-D108</f>
        <v>1069.5203869999987</v>
      </c>
    </row>
    <row r="109" spans="1:8">
      <c r="E109" s="109">
        <f>+E108+C109-D109</f>
        <v>1069.5203869999987</v>
      </c>
      <c r="F109" t="s">
        <v>2310</v>
      </c>
    </row>
    <row r="110" spans="1:8">
      <c r="A110" s="117">
        <v>46177</v>
      </c>
      <c r="B110" t="s">
        <v>571</v>
      </c>
      <c r="D110">
        <f>90*1.1</f>
        <v>99.000000000000014</v>
      </c>
      <c r="E110" s="109">
        <f t="shared" si="9"/>
        <v>970.52038699999866</v>
      </c>
    </row>
    <row r="111" spans="1:8">
      <c r="E111" s="109">
        <f t="shared" si="9"/>
        <v>970.52038699999866</v>
      </c>
      <c r="F111" s="201"/>
    </row>
    <row r="112" spans="1:8">
      <c r="E112" s="109">
        <f t="shared" si="9"/>
        <v>970.52038699999866</v>
      </c>
    </row>
    <row r="113" spans="1:5">
      <c r="A113" s="117">
        <v>46184</v>
      </c>
      <c r="B113" t="s">
        <v>571</v>
      </c>
      <c r="D113">
        <f>29*1.1</f>
        <v>31.900000000000002</v>
      </c>
      <c r="E113" s="109">
        <f t="shared" si="9"/>
        <v>938.62038699999869</v>
      </c>
    </row>
    <row r="114" spans="1:5">
      <c r="E114" s="109">
        <f t="shared" si="9"/>
        <v>938.62038699999869</v>
      </c>
    </row>
    <row r="115" spans="1:5">
      <c r="E115" s="109">
        <f t="shared" si="9"/>
        <v>938.62038699999869</v>
      </c>
    </row>
    <row r="116" spans="1:5">
      <c r="A116" s="117">
        <v>46191</v>
      </c>
      <c r="B116" t="s">
        <v>571</v>
      </c>
      <c r="D116">
        <f>100*1.1</f>
        <v>110.00000000000001</v>
      </c>
      <c r="E116" s="109">
        <f t="shared" ref="E116:E123" si="10">+E115+C116-D116</f>
        <v>828.62038699999869</v>
      </c>
    </row>
    <row r="117" spans="1:5">
      <c r="E117" s="109">
        <f t="shared" si="10"/>
        <v>828.62038699999869</v>
      </c>
    </row>
    <row r="118" spans="1:5">
      <c r="E118" s="109">
        <f t="shared" si="10"/>
        <v>828.62038699999869</v>
      </c>
    </row>
    <row r="119" spans="1:5">
      <c r="E119" s="109">
        <f t="shared" si="10"/>
        <v>828.62038699999869</v>
      </c>
    </row>
    <row r="120" spans="1:5">
      <c r="E120" s="109">
        <f t="shared" si="10"/>
        <v>828.62038699999869</v>
      </c>
    </row>
    <row r="121" spans="1:5">
      <c r="E121" s="109">
        <f t="shared" si="10"/>
        <v>828.62038699999869</v>
      </c>
    </row>
    <row r="122" spans="1:5">
      <c r="A122" s="117">
        <v>46213</v>
      </c>
      <c r="B122" s="122" t="s">
        <v>1900</v>
      </c>
      <c r="C122" s="122"/>
      <c r="D122" s="487">
        <v>100</v>
      </c>
      <c r="E122" s="109">
        <f t="shared" si="10"/>
        <v>728.62038699999869</v>
      </c>
    </row>
    <row r="123" spans="1:5">
      <c r="E123" s="109">
        <f t="shared" si="10"/>
        <v>728.62038699999869</v>
      </c>
    </row>
    <row r="124" spans="1:5">
      <c r="E124" s="109">
        <f t="shared" ref="E124:E127" si="11">+E123+C124-D124</f>
        <v>728.62038699999869</v>
      </c>
    </row>
    <row r="125" spans="1:5">
      <c r="E125" s="109">
        <f t="shared" si="11"/>
        <v>728.62038699999869</v>
      </c>
    </row>
    <row r="126" spans="1:5">
      <c r="E126" s="109">
        <f t="shared" si="11"/>
        <v>728.62038699999869</v>
      </c>
    </row>
    <row r="127" spans="1:5">
      <c r="E127" s="109">
        <f t="shared" si="11"/>
        <v>728.62038699999869</v>
      </c>
    </row>
  </sheetData>
  <phoneticPr fontId="6" type="noConversion"/>
  <conditionalFormatting sqref="E1:E1048576">
    <cfRule type="cellIs" dxfId="70" priority="1" operator="lessThan">
      <formula>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DAB92-10CC-438C-9DA6-A6A99EA72129}">
  <sheetPr codeName="Sheet7"/>
  <dimension ref="A1:R165"/>
  <sheetViews>
    <sheetView zoomScaleNormal="100" workbookViewId="0">
      <pane ySplit="2" topLeftCell="A133" activePane="bottomLeft" state="frozen"/>
      <selection pane="bottomLeft" activeCell="C163" sqref="C163"/>
    </sheetView>
  </sheetViews>
  <sheetFormatPr defaultRowHeight="16.5"/>
  <cols>
    <col min="1" max="1" width="10.5" style="4" customWidth="1"/>
    <col min="2" max="2" width="26.5" customWidth="1"/>
    <col min="3" max="3" width="10.625" customWidth="1"/>
    <col min="4" max="4" width="11.75" customWidth="1"/>
    <col min="5" max="5" width="13.875" style="3" customWidth="1"/>
    <col min="6" max="6" width="15" bestFit="1" customWidth="1"/>
    <col min="7" max="7" width="11.125" bestFit="1" customWidth="1"/>
    <col min="8" max="8" width="12.875" bestFit="1" customWidth="1"/>
    <col min="9" max="9" width="11.25" style="2" customWidth="1"/>
    <col min="10" max="10" width="17.375" style="9" bestFit="1" customWidth="1"/>
    <col min="11" max="11" width="13.375" style="9" customWidth="1"/>
    <col min="12" max="12" width="11.25" style="2" customWidth="1"/>
    <col min="13" max="13" width="11.5" bestFit="1" customWidth="1"/>
    <col min="16" max="16" width="12.125" customWidth="1"/>
  </cols>
  <sheetData>
    <row r="1" spans="1:7" ht="14.1" customHeight="1">
      <c r="A1" s="10"/>
      <c r="B1" s="10"/>
      <c r="C1" s="10"/>
      <c r="D1" s="10"/>
      <c r="E1" s="10"/>
      <c r="G1" s="452" t="s">
        <v>1968</v>
      </c>
    </row>
    <row r="2" spans="1:7">
      <c r="A2" s="4" t="s">
        <v>0</v>
      </c>
      <c r="B2" t="s">
        <v>1</v>
      </c>
      <c r="C2" t="s">
        <v>2</v>
      </c>
      <c r="D2" t="s">
        <v>3</v>
      </c>
      <c r="E2" s="3" t="s">
        <v>4</v>
      </c>
    </row>
    <row r="3" spans="1:7">
      <c r="E3" s="3">
        <v>289</v>
      </c>
    </row>
    <row r="4" spans="1:7">
      <c r="A4" s="110">
        <v>46028</v>
      </c>
      <c r="B4" t="s">
        <v>565</v>
      </c>
      <c r="C4">
        <v>6.8</v>
      </c>
      <c r="E4" s="113">
        <f t="shared" ref="E4:E9" si="0">E3+C4-D4</f>
        <v>295.8</v>
      </c>
    </row>
    <row r="5" spans="1:7">
      <c r="A5" s="110">
        <v>46029</v>
      </c>
      <c r="B5" s="111" t="s">
        <v>305</v>
      </c>
      <c r="C5" s="112">
        <v>5324</v>
      </c>
      <c r="D5" s="112"/>
      <c r="E5" s="113">
        <f t="shared" si="0"/>
        <v>5619.8</v>
      </c>
      <c r="F5" s="114">
        <v>53245589.039999999</v>
      </c>
    </row>
    <row r="6" spans="1:7">
      <c r="A6" s="110">
        <v>46029</v>
      </c>
      <c r="B6" s="115" t="s">
        <v>306</v>
      </c>
      <c r="C6" s="112"/>
      <c r="D6" s="116">
        <f>1000*(100.48+0.120247)/100</f>
        <v>1006.00247</v>
      </c>
      <c r="E6" s="113">
        <f t="shared" si="0"/>
        <v>4613.7975299999998</v>
      </c>
      <c r="F6" t="s">
        <v>340</v>
      </c>
    </row>
    <row r="7" spans="1:7">
      <c r="A7"/>
      <c r="E7" s="113">
        <f t="shared" si="0"/>
        <v>4613.7975299999998</v>
      </c>
    </row>
    <row r="8" spans="1:7">
      <c r="A8" s="110">
        <v>46030</v>
      </c>
      <c r="B8" s="112" t="s">
        <v>148</v>
      </c>
      <c r="C8" s="112"/>
      <c r="D8" s="112">
        <v>1006</v>
      </c>
      <c r="E8" s="113">
        <f t="shared" si="0"/>
        <v>3607.7975299999998</v>
      </c>
      <c r="F8" t="s">
        <v>474</v>
      </c>
    </row>
    <row r="9" spans="1:7">
      <c r="A9" s="110">
        <v>46030</v>
      </c>
      <c r="B9" s="112" t="s">
        <v>122</v>
      </c>
      <c r="C9" s="112"/>
      <c r="D9" s="116">
        <f>2500*(1+0.0030137)</f>
        <v>2507.5342499999997</v>
      </c>
      <c r="E9" s="113">
        <f t="shared" si="0"/>
        <v>1100.2632800000001</v>
      </c>
      <c r="F9" t="s">
        <v>475</v>
      </c>
    </row>
    <row r="10" spans="1:7">
      <c r="A10" s="110"/>
      <c r="B10" s="162"/>
      <c r="C10" s="112"/>
      <c r="D10" s="112"/>
      <c r="E10" s="113">
        <v>1104</v>
      </c>
    </row>
    <row r="11" spans="1:7">
      <c r="A11" s="110">
        <v>46036</v>
      </c>
      <c r="B11" s="115" t="s">
        <v>608</v>
      </c>
      <c r="C11" s="112"/>
      <c r="D11" s="112">
        <v>95.53</v>
      </c>
      <c r="E11" s="113">
        <v>1005</v>
      </c>
      <c r="F11" t="s">
        <v>617</v>
      </c>
    </row>
    <row r="12" spans="1:7">
      <c r="A12" s="110">
        <v>46037</v>
      </c>
      <c r="B12" s="115" t="s">
        <v>613</v>
      </c>
      <c r="C12" s="112">
        <v>3.4</v>
      </c>
      <c r="D12" s="112"/>
      <c r="E12" s="113">
        <f t="shared" ref="E12:E27" si="1">E11+C12-D12</f>
        <v>1008.4</v>
      </c>
    </row>
    <row r="13" spans="1:7">
      <c r="A13" s="110">
        <v>46038</v>
      </c>
      <c r="B13" s="115" t="s">
        <v>613</v>
      </c>
      <c r="C13" s="112">
        <v>3.5</v>
      </c>
      <c r="D13" s="112"/>
      <c r="E13" s="113">
        <f t="shared" si="1"/>
        <v>1011.9</v>
      </c>
    </row>
    <row r="14" spans="1:7">
      <c r="A14" s="110">
        <v>46038</v>
      </c>
      <c r="B14" s="115" t="s">
        <v>603</v>
      </c>
      <c r="C14" s="112">
        <v>400</v>
      </c>
      <c r="D14" s="112"/>
      <c r="E14" s="113">
        <f t="shared" si="1"/>
        <v>1411.9</v>
      </c>
      <c r="F14" s="112"/>
    </row>
    <row r="15" spans="1:7">
      <c r="A15" s="110">
        <v>46038</v>
      </c>
      <c r="B15" s="115" t="s">
        <v>645</v>
      </c>
      <c r="C15" s="112">
        <v>150</v>
      </c>
      <c r="D15" s="112"/>
      <c r="E15" s="113">
        <f t="shared" si="1"/>
        <v>1561.9</v>
      </c>
      <c r="F15" s="112"/>
    </row>
    <row r="16" spans="1:7">
      <c r="A16" s="110"/>
      <c r="B16" s="115"/>
      <c r="C16" s="112"/>
      <c r="D16" s="112"/>
      <c r="E16" s="113">
        <f t="shared" si="1"/>
        <v>1561.9</v>
      </c>
      <c r="F16" s="112"/>
    </row>
    <row r="17" spans="1:12">
      <c r="A17" s="110">
        <v>46041</v>
      </c>
      <c r="B17" s="115" t="s">
        <v>307</v>
      </c>
      <c r="C17" s="112"/>
      <c r="D17" s="112">
        <v>800</v>
      </c>
      <c r="E17" s="113">
        <f t="shared" si="1"/>
        <v>761.90000000000009</v>
      </c>
      <c r="F17" s="115" t="s">
        <v>818</v>
      </c>
    </row>
    <row r="18" spans="1:12">
      <c r="A18" s="117"/>
      <c r="E18" s="113">
        <f t="shared" si="1"/>
        <v>761.90000000000009</v>
      </c>
    </row>
    <row r="19" spans="1:12">
      <c r="A19" s="110">
        <v>46041</v>
      </c>
      <c r="B19" s="115" t="s">
        <v>610</v>
      </c>
      <c r="C19" s="112"/>
      <c r="D19" s="112">
        <v>360</v>
      </c>
      <c r="E19" s="113">
        <f t="shared" si="1"/>
        <v>401.90000000000009</v>
      </c>
      <c r="F19" t="s">
        <v>618</v>
      </c>
    </row>
    <row r="20" spans="1:12" s="172" customFormat="1">
      <c r="A20" s="110">
        <v>46041</v>
      </c>
      <c r="B20" s="115" t="s">
        <v>613</v>
      </c>
      <c r="C20" s="112">
        <v>155</v>
      </c>
      <c r="D20" s="112"/>
      <c r="E20" s="113">
        <f t="shared" si="1"/>
        <v>556.90000000000009</v>
      </c>
      <c r="G20" s="172" t="s">
        <v>609</v>
      </c>
      <c r="I20" s="173"/>
      <c r="J20" s="174"/>
      <c r="K20" s="174"/>
      <c r="L20" s="173"/>
    </row>
    <row r="21" spans="1:12">
      <c r="A21" s="110">
        <v>46042</v>
      </c>
      <c r="B21" s="115" t="s">
        <v>308</v>
      </c>
      <c r="C21" s="112"/>
      <c r="D21" s="112">
        <v>350</v>
      </c>
      <c r="E21" s="113">
        <f t="shared" si="1"/>
        <v>206.90000000000009</v>
      </c>
      <c r="F21" t="s">
        <v>334</v>
      </c>
    </row>
    <row r="22" spans="1:12">
      <c r="A22" s="110">
        <v>46042</v>
      </c>
      <c r="B22" s="115" t="s">
        <v>565</v>
      </c>
      <c r="C22" s="112">
        <v>24.7</v>
      </c>
      <c r="D22" s="112"/>
      <c r="E22" s="113">
        <f t="shared" si="1"/>
        <v>231.60000000000008</v>
      </c>
    </row>
    <row r="23" spans="1:12">
      <c r="A23" s="110">
        <v>46044</v>
      </c>
      <c r="B23" s="115" t="s">
        <v>901</v>
      </c>
      <c r="C23" s="112">
        <v>122</v>
      </c>
      <c r="D23" s="112"/>
      <c r="E23" s="113">
        <f t="shared" si="1"/>
        <v>353.60000000000008</v>
      </c>
    </row>
    <row r="24" spans="1:12">
      <c r="A24" s="110">
        <v>46044</v>
      </c>
      <c r="B24" s="112" t="str">
        <f>B6</f>
        <v>25君惠融ABN001优先B</v>
      </c>
      <c r="C24" s="213">
        <f>D6</f>
        <v>1006.00247</v>
      </c>
      <c r="D24" s="112"/>
      <c r="E24" s="113">
        <f t="shared" si="1"/>
        <v>1359.60247</v>
      </c>
      <c r="F24" s="217" t="s">
        <v>907</v>
      </c>
    </row>
    <row r="25" spans="1:12">
      <c r="A25" s="110">
        <v>46044</v>
      </c>
      <c r="B25" s="115" t="s">
        <v>892</v>
      </c>
      <c r="C25" s="112"/>
      <c r="D25" s="112">
        <f>1000*1.003</f>
        <v>1002.9999999999999</v>
      </c>
      <c r="E25" s="113">
        <f t="shared" si="1"/>
        <v>356.60247000000015</v>
      </c>
      <c r="F25" s="217" t="s">
        <v>903</v>
      </c>
      <c r="G25" s="217"/>
    </row>
    <row r="26" spans="1:12">
      <c r="A26"/>
      <c r="E26" s="113">
        <f t="shared" si="1"/>
        <v>356.60247000000015</v>
      </c>
    </row>
    <row r="27" spans="1:12">
      <c r="A27" s="110">
        <v>46045</v>
      </c>
      <c r="B27" s="112" t="s">
        <v>603</v>
      </c>
      <c r="C27" s="112">
        <v>900</v>
      </c>
      <c r="D27" s="112"/>
      <c r="E27" s="113">
        <f t="shared" si="1"/>
        <v>1256.6024700000003</v>
      </c>
    </row>
    <row r="28" spans="1:12">
      <c r="A28" s="117"/>
      <c r="E28" s="113">
        <v>1263</v>
      </c>
    </row>
    <row r="29" spans="1:12">
      <c r="A29" s="110">
        <v>46048</v>
      </c>
      <c r="B29" s="222" t="s">
        <v>309</v>
      </c>
      <c r="C29" s="112"/>
      <c r="D29" s="112">
        <v>1000</v>
      </c>
      <c r="E29" s="113">
        <f>E28+C29-D29</f>
        <v>263</v>
      </c>
      <c r="F29" t="s">
        <v>911</v>
      </c>
    </row>
    <row r="30" spans="1:12">
      <c r="A30" s="110">
        <v>46048</v>
      </c>
      <c r="B30" s="112" t="s">
        <v>900</v>
      </c>
      <c r="C30" s="112">
        <v>113</v>
      </c>
      <c r="D30" s="112"/>
      <c r="E30" s="113">
        <f>E29+C30-D30</f>
        <v>376</v>
      </c>
    </row>
    <row r="31" spans="1:12">
      <c r="A31" s="156"/>
      <c r="B31" s="112"/>
      <c r="C31" s="112"/>
      <c r="D31" s="112"/>
      <c r="E31" s="113">
        <v>380</v>
      </c>
    </row>
    <row r="32" spans="1:12">
      <c r="A32" s="156"/>
      <c r="B32" s="112"/>
      <c r="C32" s="112"/>
      <c r="D32" s="112"/>
      <c r="E32" s="113">
        <v>386</v>
      </c>
    </row>
    <row r="33" spans="1:12">
      <c r="A33" s="156">
        <v>46062</v>
      </c>
      <c r="B33" s="112" t="s">
        <v>1009</v>
      </c>
      <c r="C33" s="112">
        <v>1551</v>
      </c>
      <c r="D33" s="112"/>
      <c r="E33" s="113">
        <v>1936</v>
      </c>
    </row>
    <row r="34" spans="1:12">
      <c r="A34" s="156">
        <v>46063</v>
      </c>
      <c r="B34" s="112" t="s">
        <v>1075</v>
      </c>
      <c r="C34" s="112"/>
      <c r="D34" s="112">
        <v>110.5</v>
      </c>
      <c r="E34" s="113">
        <f t="shared" ref="E34:E75" si="2">E33+C34-D34</f>
        <v>1825.5</v>
      </c>
    </row>
    <row r="35" spans="1:12">
      <c r="A35" s="156">
        <v>46063</v>
      </c>
      <c r="B35" s="112" t="s">
        <v>1019</v>
      </c>
      <c r="C35" s="112"/>
      <c r="D35" s="112">
        <v>1101</v>
      </c>
      <c r="E35" s="113">
        <f t="shared" si="2"/>
        <v>724.5</v>
      </c>
      <c r="F35" t="s">
        <v>1087</v>
      </c>
    </row>
    <row r="36" spans="1:12">
      <c r="A36" s="156">
        <v>46063</v>
      </c>
      <c r="B36" s="112" t="s">
        <v>124</v>
      </c>
      <c r="C36" s="112"/>
      <c r="D36" s="112">
        <f>410*1.033333</f>
        <v>423.66653000000002</v>
      </c>
      <c r="E36" s="113">
        <f t="shared" si="2"/>
        <v>300.83346999999998</v>
      </c>
      <c r="F36" t="s">
        <v>1077</v>
      </c>
    </row>
    <row r="37" spans="1:12">
      <c r="A37" s="156">
        <v>46064</v>
      </c>
      <c r="B37" s="112" t="s">
        <v>1258</v>
      </c>
      <c r="C37" s="112">
        <v>18</v>
      </c>
      <c r="D37" s="112"/>
      <c r="E37" s="113">
        <f t="shared" si="2"/>
        <v>318.83346999999998</v>
      </c>
    </row>
    <row r="38" spans="1:12">
      <c r="A38" s="156">
        <v>46065</v>
      </c>
      <c r="B38" s="112" t="s">
        <v>860</v>
      </c>
      <c r="C38" s="112"/>
      <c r="D38" s="112">
        <f>120*1.07274</f>
        <v>128.72880000000001</v>
      </c>
      <c r="E38" s="113">
        <f t="shared" si="2"/>
        <v>190.10466999999997</v>
      </c>
      <c r="F38" t="s">
        <v>1119</v>
      </c>
    </row>
    <row r="39" spans="1:12">
      <c r="A39" s="156">
        <v>46067</v>
      </c>
      <c r="B39" s="112" t="s">
        <v>1145</v>
      </c>
      <c r="C39" s="112">
        <v>3.18</v>
      </c>
      <c r="D39" s="112"/>
      <c r="E39" s="113">
        <f t="shared" si="2"/>
        <v>193.28466999999998</v>
      </c>
    </row>
    <row r="40" spans="1:12">
      <c r="A40" s="156">
        <v>46077</v>
      </c>
      <c r="B40" s="112" t="s">
        <v>1145</v>
      </c>
      <c r="C40" s="112">
        <v>112</v>
      </c>
      <c r="D40" s="112"/>
      <c r="E40" s="113">
        <f t="shared" si="2"/>
        <v>305.28467000000001</v>
      </c>
    </row>
    <row r="41" spans="1:12">
      <c r="A41" s="156">
        <v>46078</v>
      </c>
      <c r="B41" s="112" t="s">
        <v>1145</v>
      </c>
      <c r="C41" s="112">
        <v>26</v>
      </c>
      <c r="D41" s="112"/>
      <c r="E41" s="113">
        <f t="shared" si="2"/>
        <v>331.28467000000001</v>
      </c>
      <c r="K41" s="163"/>
    </row>
    <row r="42" spans="1:12">
      <c r="A42" s="156">
        <v>46079</v>
      </c>
      <c r="B42" s="112" t="s">
        <v>1145</v>
      </c>
      <c r="C42" s="112">
        <v>358</v>
      </c>
      <c r="D42" s="112"/>
      <c r="E42" s="113">
        <f t="shared" si="2"/>
        <v>689.28467000000001</v>
      </c>
      <c r="K42" s="163"/>
    </row>
    <row r="43" spans="1:12">
      <c r="A43" s="156">
        <v>46080</v>
      </c>
      <c r="B43" s="112" t="s">
        <v>1145</v>
      </c>
      <c r="C43" s="112">
        <v>20</v>
      </c>
      <c r="D43" s="112"/>
      <c r="E43" s="113">
        <f t="shared" si="2"/>
        <v>709.28467000000001</v>
      </c>
      <c r="K43" s="163"/>
    </row>
    <row r="44" spans="1:12">
      <c r="A44" s="156"/>
      <c r="B44" s="112"/>
      <c r="C44" s="112"/>
      <c r="D44" s="112"/>
      <c r="E44" s="113">
        <f t="shared" si="2"/>
        <v>709.28467000000001</v>
      </c>
      <c r="J44" s="9" t="s">
        <v>932</v>
      </c>
      <c r="K44" s="163">
        <f>XIRR(K45:K46,J45:J46)</f>
        <v>4.7860696911811829E-2</v>
      </c>
    </row>
    <row r="45" spans="1:12">
      <c r="A45" s="156">
        <v>46080</v>
      </c>
      <c r="B45" s="112" t="s">
        <v>1139</v>
      </c>
      <c r="C45" s="112">
        <v>400</v>
      </c>
      <c r="D45" s="112"/>
      <c r="E45" s="113">
        <f t="shared" si="2"/>
        <v>1109.28467</v>
      </c>
      <c r="J45" s="266">
        <v>45807</v>
      </c>
      <c r="K45" s="155">
        <v>-100</v>
      </c>
    </row>
    <row r="46" spans="1:12">
      <c r="A46" s="156">
        <v>46084</v>
      </c>
      <c r="B46" s="112" t="s">
        <v>1209</v>
      </c>
      <c r="C46" s="294"/>
      <c r="D46" s="295">
        <v>750</v>
      </c>
      <c r="E46" s="113">
        <f t="shared" si="2"/>
        <v>359.28467000000001</v>
      </c>
      <c r="F46" t="s">
        <v>1207</v>
      </c>
      <c r="J46" s="266">
        <v>46063</v>
      </c>
      <c r="K46" s="155">
        <v>103.33329999999999</v>
      </c>
      <c r="L46" s="155">
        <f>-K45*(1+4.9%*(J46-J45)/365)</f>
        <v>103.43671232876713</v>
      </c>
    </row>
    <row r="47" spans="1:12">
      <c r="A47" s="156">
        <v>46084</v>
      </c>
      <c r="B47" s="112" t="s">
        <v>1075</v>
      </c>
      <c r="C47" s="112"/>
      <c r="D47" s="112">
        <v>26</v>
      </c>
      <c r="E47" s="113">
        <f t="shared" si="2"/>
        <v>333.28467000000001</v>
      </c>
    </row>
    <row r="48" spans="1:12">
      <c r="A48" s="156">
        <v>46084</v>
      </c>
      <c r="B48" s="112" t="s">
        <v>1141</v>
      </c>
      <c r="C48" s="112"/>
      <c r="D48" s="112">
        <v>200</v>
      </c>
      <c r="E48" s="113">
        <f t="shared" si="2"/>
        <v>133.28467000000001</v>
      </c>
      <c r="F48" t="s">
        <v>1207</v>
      </c>
      <c r="J48" s="9" t="s">
        <v>1019</v>
      </c>
      <c r="K48" s="163">
        <f>XIRR(K49:K54,J49:J54)</f>
        <v>7.4647417664527899E-2</v>
      </c>
    </row>
    <row r="49" spans="1:12">
      <c r="A49" s="156">
        <v>46087</v>
      </c>
      <c r="B49" s="112" t="s">
        <v>860</v>
      </c>
      <c r="C49" s="112">
        <f>120*1.07625</f>
        <v>129.14999999999998</v>
      </c>
      <c r="D49" s="112"/>
      <c r="E49" s="113">
        <f t="shared" si="2"/>
        <v>262.43466999999998</v>
      </c>
      <c r="F49" s="119" t="s">
        <v>1309</v>
      </c>
      <c r="J49" s="266">
        <v>45653</v>
      </c>
      <c r="K49" s="155">
        <v>-100</v>
      </c>
    </row>
    <row r="50" spans="1:12">
      <c r="A50" s="156"/>
      <c r="B50" s="112"/>
      <c r="C50" s="112"/>
      <c r="D50" s="112"/>
      <c r="E50" s="113">
        <f t="shared" si="2"/>
        <v>262.43466999999998</v>
      </c>
      <c r="J50" s="266">
        <v>45737</v>
      </c>
      <c r="K50" s="155">
        <v>1.9561999999999999</v>
      </c>
      <c r="L50" s="538">
        <f>-K50/$K$49*365/(J50-J49)</f>
        <v>8.5001547619047615E-2</v>
      </c>
    </row>
    <row r="51" spans="1:12">
      <c r="A51" s="156">
        <v>46090</v>
      </c>
      <c r="B51" s="112" t="s">
        <v>613</v>
      </c>
      <c r="C51" s="112">
        <v>7</v>
      </c>
      <c r="D51" s="112"/>
      <c r="E51" s="113">
        <f t="shared" si="2"/>
        <v>269.43466999999998</v>
      </c>
      <c r="J51" s="266">
        <v>45821</v>
      </c>
      <c r="K51" s="155">
        <v>1.9561999999999999</v>
      </c>
      <c r="L51" s="538">
        <f>-K51/$K$49*365/(J51-J50)</f>
        <v>8.5001547619047615E-2</v>
      </c>
    </row>
    <row r="52" spans="1:12">
      <c r="A52" s="156"/>
      <c r="B52" s="112"/>
      <c r="C52" s="112"/>
      <c r="D52" s="112"/>
      <c r="E52" s="113">
        <f t="shared" si="2"/>
        <v>269.43466999999998</v>
      </c>
      <c r="J52" s="266">
        <v>45896</v>
      </c>
      <c r="K52" s="155">
        <v>1.7465999999999999</v>
      </c>
      <c r="L52" s="538">
        <f>-K52/$K$49*365/(J52-J51)</f>
        <v>8.5001199999999985E-2</v>
      </c>
    </row>
    <row r="53" spans="1:12">
      <c r="A53" s="156"/>
      <c r="B53" s="112"/>
      <c r="C53" s="112"/>
      <c r="D53" s="112"/>
      <c r="E53" s="113">
        <f t="shared" si="2"/>
        <v>269.43466999999998</v>
      </c>
      <c r="J53" s="266">
        <v>45996</v>
      </c>
      <c r="K53" s="155">
        <v>2.3288000000000002</v>
      </c>
      <c r="L53" s="538">
        <f>-K53/$K$49*365/(J53-J52)</f>
        <v>8.5001200000000013E-2</v>
      </c>
    </row>
    <row r="54" spans="1:12">
      <c r="A54" s="156"/>
      <c r="B54" s="112"/>
      <c r="C54" s="112"/>
      <c r="D54" s="112"/>
      <c r="E54" s="113">
        <f t="shared" si="2"/>
        <v>269.43466999999998</v>
      </c>
      <c r="J54" s="266">
        <v>46063</v>
      </c>
      <c r="K54" s="155">
        <v>100.12</v>
      </c>
      <c r="L54" s="2">
        <f>-K49*(1+8.5%*(J54-J49)/365)-SUM(K50:K53)</f>
        <v>101.56014520547947</v>
      </c>
    </row>
    <row r="55" spans="1:12">
      <c r="A55" s="156"/>
      <c r="B55" s="112"/>
      <c r="C55" s="112"/>
      <c r="D55" s="112"/>
      <c r="E55" s="113">
        <f t="shared" si="2"/>
        <v>269.43466999999998</v>
      </c>
      <c r="J55" s="266"/>
      <c r="K55" s="155"/>
    </row>
    <row r="56" spans="1:12">
      <c r="A56" s="156"/>
      <c r="B56" s="112"/>
      <c r="C56" s="112"/>
      <c r="D56" s="112"/>
      <c r="E56" s="113">
        <f t="shared" si="2"/>
        <v>269.43466999999998</v>
      </c>
      <c r="J56" s="266"/>
      <c r="K56" s="155"/>
    </row>
    <row r="57" spans="1:12">
      <c r="A57" s="156">
        <v>46091</v>
      </c>
      <c r="B57" s="112" t="s">
        <v>1075</v>
      </c>
      <c r="C57" s="112"/>
      <c r="D57" s="112">
        <f>511098/10000</f>
        <v>51.1098</v>
      </c>
      <c r="E57" s="113">
        <f t="shared" si="2"/>
        <v>218.32486999999998</v>
      </c>
    </row>
    <row r="58" spans="1:12">
      <c r="A58" s="156">
        <v>46094</v>
      </c>
      <c r="B58" s="112" t="s">
        <v>1389</v>
      </c>
      <c r="C58" s="213">
        <f>慧聚领航1号!D9</f>
        <v>225</v>
      </c>
      <c r="D58" s="112"/>
      <c r="E58" s="113">
        <f t="shared" si="2"/>
        <v>443.32486999999998</v>
      </c>
    </row>
    <row r="59" spans="1:12">
      <c r="A59" s="156">
        <v>46097</v>
      </c>
      <c r="B59" s="112" t="s">
        <v>635</v>
      </c>
      <c r="C59" s="112">
        <v>5.5</v>
      </c>
      <c r="D59" s="112"/>
      <c r="E59" s="113">
        <f t="shared" si="2"/>
        <v>448.82486999999998</v>
      </c>
    </row>
    <row r="60" spans="1:12">
      <c r="A60" s="156">
        <v>46098</v>
      </c>
      <c r="B60" s="112" t="s">
        <v>1294</v>
      </c>
      <c r="C60" s="112">
        <f>4000*(1.0029+0.0027397)</f>
        <v>4022.5587999999998</v>
      </c>
      <c r="D60" s="112"/>
      <c r="E60" s="113">
        <f t="shared" si="2"/>
        <v>4471.3836700000002</v>
      </c>
      <c r="F60" t="s">
        <v>1481</v>
      </c>
    </row>
    <row r="61" spans="1:12">
      <c r="A61" s="156">
        <v>46098</v>
      </c>
      <c r="B61" s="112" t="s">
        <v>1295</v>
      </c>
      <c r="C61" s="112"/>
      <c r="D61" s="112">
        <v>1600</v>
      </c>
      <c r="E61" s="113">
        <f t="shared" si="2"/>
        <v>2871.3836700000002</v>
      </c>
      <c r="F61" t="s">
        <v>1482</v>
      </c>
    </row>
    <row r="62" spans="1:12">
      <c r="A62" s="156">
        <v>46098</v>
      </c>
      <c r="B62" s="112" t="s">
        <v>1320</v>
      </c>
      <c r="C62" s="112"/>
      <c r="D62" s="112">
        <v>2701</v>
      </c>
      <c r="E62" s="113">
        <f t="shared" si="2"/>
        <v>170.38367000000017</v>
      </c>
      <c r="F62" t="s">
        <v>1483</v>
      </c>
    </row>
    <row r="63" spans="1:12">
      <c r="A63" s="156">
        <v>46098</v>
      </c>
      <c r="B63" s="112" t="s">
        <v>1075</v>
      </c>
      <c r="C63" s="112"/>
      <c r="D63" s="112">
        <v>26.79</v>
      </c>
      <c r="E63" s="113">
        <f t="shared" si="2"/>
        <v>143.59367000000017</v>
      </c>
    </row>
    <row r="64" spans="1:12">
      <c r="E64" s="113">
        <f t="shared" si="2"/>
        <v>143.59367000000017</v>
      </c>
    </row>
    <row r="65" spans="1:6">
      <c r="A65" s="156">
        <v>46100</v>
      </c>
      <c r="B65" s="112" t="s">
        <v>635</v>
      </c>
      <c r="C65" s="112">
        <v>6</v>
      </c>
      <c r="D65" s="112"/>
      <c r="E65" s="113">
        <f t="shared" si="2"/>
        <v>149.59367000000017</v>
      </c>
    </row>
    <row r="66" spans="1:6">
      <c r="A66" s="156">
        <v>46101</v>
      </c>
      <c r="B66" s="112" t="s">
        <v>1561</v>
      </c>
      <c r="C66" s="112">
        <v>400</v>
      </c>
      <c r="D66" s="112"/>
      <c r="E66" s="113">
        <f t="shared" si="2"/>
        <v>549.5936700000002</v>
      </c>
    </row>
    <row r="67" spans="1:6">
      <c r="A67" s="156">
        <v>46104</v>
      </c>
      <c r="B67" s="112" t="s">
        <v>635</v>
      </c>
      <c r="C67" s="112">
        <v>151</v>
      </c>
      <c r="D67" s="112"/>
      <c r="E67" s="113">
        <f t="shared" si="2"/>
        <v>700.5936700000002</v>
      </c>
    </row>
    <row r="68" spans="1:6">
      <c r="A68" s="156">
        <v>46105</v>
      </c>
      <c r="B68" s="112" t="s">
        <v>1075</v>
      </c>
      <c r="C68" s="112"/>
      <c r="D68" s="112">
        <v>34</v>
      </c>
      <c r="E68" s="113">
        <f t="shared" si="2"/>
        <v>666.5936700000002</v>
      </c>
    </row>
    <row r="69" spans="1:6">
      <c r="A69" s="156"/>
      <c r="B69" s="112"/>
      <c r="C69" s="112"/>
      <c r="D69" s="112"/>
      <c r="E69" s="113">
        <f t="shared" si="2"/>
        <v>666.5936700000002</v>
      </c>
    </row>
    <row r="70" spans="1:6">
      <c r="E70" s="113">
        <f t="shared" si="2"/>
        <v>666.5936700000002</v>
      </c>
    </row>
    <row r="71" spans="1:6">
      <c r="A71" s="156">
        <v>46107</v>
      </c>
      <c r="B71" s="112" t="s">
        <v>613</v>
      </c>
      <c r="C71" s="112">
        <v>110.6</v>
      </c>
      <c r="D71" s="112"/>
      <c r="E71" s="113">
        <f t="shared" si="2"/>
        <v>777.19367000000022</v>
      </c>
    </row>
    <row r="72" spans="1:6">
      <c r="A72" s="156">
        <v>46107</v>
      </c>
      <c r="B72" s="112" t="s">
        <v>1146</v>
      </c>
      <c r="C72" s="112">
        <v>756.5</v>
      </c>
      <c r="D72" s="112"/>
      <c r="E72" s="113">
        <f t="shared" si="2"/>
        <v>1533.6936700000001</v>
      </c>
    </row>
    <row r="73" spans="1:6">
      <c r="A73" s="4">
        <v>46108</v>
      </c>
      <c r="B73" s="112" t="s">
        <v>613</v>
      </c>
      <c r="C73">
        <v>69</v>
      </c>
      <c r="E73" s="113">
        <f t="shared" si="2"/>
        <v>1602.6936700000001</v>
      </c>
    </row>
    <row r="74" spans="1:6">
      <c r="A74" s="156">
        <v>46112</v>
      </c>
      <c r="B74" s="112" t="s">
        <v>1076</v>
      </c>
      <c r="C74" s="112"/>
      <c r="D74" s="112">
        <v>720</v>
      </c>
      <c r="E74" s="113">
        <f t="shared" si="2"/>
        <v>882.69367000000011</v>
      </c>
    </row>
    <row r="75" spans="1:6">
      <c r="A75" s="156">
        <v>46112</v>
      </c>
      <c r="B75" s="112" t="s">
        <v>1209</v>
      </c>
      <c r="C75" s="112"/>
      <c r="D75" s="112">
        <v>650</v>
      </c>
      <c r="E75" s="113">
        <f t="shared" si="2"/>
        <v>232.69367000000011</v>
      </c>
    </row>
    <row r="76" spans="1:6">
      <c r="A76" s="156"/>
      <c r="B76" s="112"/>
      <c r="C76" s="112"/>
      <c r="D76" s="112"/>
      <c r="E76" s="407">
        <v>230</v>
      </c>
    </row>
    <row r="77" spans="1:6">
      <c r="A77" s="156">
        <v>46115</v>
      </c>
      <c r="B77" s="112" t="s">
        <v>1728</v>
      </c>
      <c r="C77" s="112">
        <v>3000</v>
      </c>
      <c r="D77" s="112"/>
      <c r="E77" s="113">
        <v>3235</v>
      </c>
    </row>
    <row r="78" spans="1:6">
      <c r="A78" s="156">
        <v>46120</v>
      </c>
      <c r="B78" s="112" t="s">
        <v>1789</v>
      </c>
      <c r="C78" s="112"/>
      <c r="D78" s="213">
        <f>元康盛景28号!N151</f>
        <v>733.19389999999999</v>
      </c>
      <c r="E78" s="113">
        <f t="shared" ref="E78:E122" si="3">E77+C78-D78</f>
        <v>2501.8060999999998</v>
      </c>
      <c r="F78" t="s">
        <v>1786</v>
      </c>
    </row>
    <row r="79" spans="1:6">
      <c r="A79" s="156">
        <v>46120</v>
      </c>
      <c r="B79" s="112" t="s">
        <v>1790</v>
      </c>
      <c r="C79" s="112"/>
      <c r="D79" s="213">
        <f>元康盛景28号!N152</f>
        <v>1029.72525</v>
      </c>
      <c r="E79" s="113">
        <f t="shared" si="3"/>
        <v>1472.0808499999998</v>
      </c>
      <c r="F79" t="s">
        <v>1787</v>
      </c>
    </row>
    <row r="80" spans="1:6">
      <c r="A80" s="156"/>
      <c r="B80" s="112"/>
      <c r="C80" s="112"/>
      <c r="D80" s="213"/>
      <c r="E80" s="113">
        <f t="shared" si="3"/>
        <v>1472.0808499999998</v>
      </c>
    </row>
    <row r="81" spans="1:8">
      <c r="A81" s="156">
        <v>46120</v>
      </c>
      <c r="B81" s="112" t="s">
        <v>1075</v>
      </c>
      <c r="C81" s="112"/>
      <c r="D81" s="112">
        <v>146.80000000000001</v>
      </c>
      <c r="E81" s="113">
        <f t="shared" si="3"/>
        <v>1325.2808499999999</v>
      </c>
    </row>
    <row r="82" spans="1:8">
      <c r="A82" s="156">
        <v>46120</v>
      </c>
      <c r="B82" s="112" t="s">
        <v>1320</v>
      </c>
      <c r="C82" s="112"/>
      <c r="D82" s="112">
        <v>1299.4000000000001</v>
      </c>
      <c r="E82" s="113">
        <f t="shared" si="3"/>
        <v>25.880849999999782</v>
      </c>
    </row>
    <row r="83" spans="1:8">
      <c r="A83" s="156">
        <v>46122</v>
      </c>
      <c r="B83" s="112" t="s">
        <v>623</v>
      </c>
      <c r="C83" s="112">
        <v>1000</v>
      </c>
      <c r="D83" s="112"/>
      <c r="E83" s="113">
        <f t="shared" si="3"/>
        <v>1025.8808499999998</v>
      </c>
      <c r="G83" s="169" t="s">
        <v>1802</v>
      </c>
      <c r="H83" s="163">
        <f>XIRR(H84:H86,G84:G86)</f>
        <v>4.4961324334144598E-2</v>
      </c>
    </row>
    <row r="84" spans="1:8">
      <c r="A84" s="156">
        <v>46122</v>
      </c>
      <c r="B84" s="112" t="s">
        <v>1389</v>
      </c>
      <c r="C84" s="112">
        <v>2250</v>
      </c>
      <c r="D84" s="112"/>
      <c r="E84" s="113">
        <f t="shared" si="3"/>
        <v>3275.8808499999996</v>
      </c>
      <c r="G84" s="1">
        <v>46009</v>
      </c>
      <c r="H84" s="155">
        <v>-101.1998</v>
      </c>
    </row>
    <row r="85" spans="1:8">
      <c r="A85" s="156">
        <v>46122</v>
      </c>
      <c r="B85" s="112" t="s">
        <v>1802</v>
      </c>
      <c r="C85" s="112"/>
      <c r="D85" s="411">
        <f>1500*H86/100</f>
        <v>1527.405</v>
      </c>
      <c r="E85" s="113">
        <f t="shared" si="3"/>
        <v>1748.4758499999996</v>
      </c>
      <c r="F85" t="s">
        <v>1809</v>
      </c>
      <c r="G85" s="1">
        <v>46079</v>
      </c>
      <c r="H85">
        <v>0.75619999999999998</v>
      </c>
    </row>
    <row r="86" spans="1:8">
      <c r="A86" s="156"/>
      <c r="B86" s="112" t="s">
        <v>1766</v>
      </c>
      <c r="C86" s="112"/>
      <c r="D86" s="112">
        <v>2.5</v>
      </c>
      <c r="E86" s="113">
        <f t="shared" si="3"/>
        <v>1745.9758499999996</v>
      </c>
      <c r="G86" s="1">
        <v>46122</v>
      </c>
      <c r="H86">
        <v>101.827</v>
      </c>
    </row>
    <row r="87" spans="1:8">
      <c r="A87" s="156">
        <v>46126</v>
      </c>
      <c r="B87" s="112" t="s">
        <v>1114</v>
      </c>
      <c r="C87" s="112">
        <v>900</v>
      </c>
      <c r="D87" s="112"/>
      <c r="E87" s="113">
        <f t="shared" si="3"/>
        <v>2645.9758499999998</v>
      </c>
      <c r="F87" t="s">
        <v>1867</v>
      </c>
    </row>
    <row r="88" spans="1:8">
      <c r="A88" s="156">
        <v>46126</v>
      </c>
      <c r="B88" s="112" t="s">
        <v>1813</v>
      </c>
      <c r="C88" s="112"/>
      <c r="D88" s="116">
        <v>1800</v>
      </c>
      <c r="E88" s="113">
        <f t="shared" si="3"/>
        <v>845.97584999999981</v>
      </c>
      <c r="H88" s="259"/>
    </row>
    <row r="89" spans="1:8">
      <c r="A89" s="156"/>
      <c r="B89" s="112"/>
      <c r="C89" s="112"/>
      <c r="D89" s="112"/>
      <c r="E89" s="113">
        <f t="shared" si="3"/>
        <v>845.97584999999981</v>
      </c>
    </row>
    <row r="90" spans="1:8">
      <c r="A90" s="156">
        <v>46126</v>
      </c>
      <c r="B90" s="112" t="s">
        <v>2123</v>
      </c>
      <c r="C90" s="112"/>
      <c r="D90" s="112">
        <v>1.05</v>
      </c>
      <c r="E90" s="113">
        <f t="shared" si="3"/>
        <v>844.92584999999985</v>
      </c>
    </row>
    <row r="91" spans="1:8">
      <c r="A91" s="156">
        <v>46126</v>
      </c>
      <c r="B91" s="112" t="s">
        <v>1075</v>
      </c>
      <c r="C91" s="112"/>
      <c r="D91" s="116">
        <f>135*1.2245</f>
        <v>165.30749999999998</v>
      </c>
      <c r="E91" s="113">
        <f t="shared" si="3"/>
        <v>679.61834999999985</v>
      </c>
      <c r="H91" s="259">
        <v>25464.76</v>
      </c>
    </row>
    <row r="92" spans="1:8">
      <c r="A92" s="156">
        <v>46127</v>
      </c>
      <c r="B92" s="112" t="s">
        <v>1830</v>
      </c>
      <c r="C92" s="112"/>
      <c r="D92" s="116">
        <f>500*101.2%</f>
        <v>506</v>
      </c>
      <c r="E92" s="113">
        <f t="shared" si="3"/>
        <v>173.61834999999985</v>
      </c>
      <c r="F92" s="399" t="s">
        <v>1872</v>
      </c>
    </row>
    <row r="93" spans="1:8">
      <c r="A93" s="156">
        <v>46128</v>
      </c>
      <c r="B93" s="112" t="s">
        <v>1740</v>
      </c>
      <c r="C93" s="112">
        <v>733</v>
      </c>
      <c r="D93" s="112"/>
      <c r="E93" s="113">
        <f t="shared" si="3"/>
        <v>906.61834999999985</v>
      </c>
      <c r="F93" s="399" t="s">
        <v>1890</v>
      </c>
      <c r="G93" t="s">
        <v>1888</v>
      </c>
    </row>
    <row r="94" spans="1:8">
      <c r="A94" s="156">
        <v>46127</v>
      </c>
      <c r="B94" s="112" t="s">
        <v>2120</v>
      </c>
      <c r="C94" s="411">
        <v>3.4</v>
      </c>
      <c r="D94" s="112"/>
      <c r="E94" s="113">
        <f t="shared" si="3"/>
        <v>910.01834999999983</v>
      </c>
      <c r="F94" s="399"/>
    </row>
    <row r="95" spans="1:8">
      <c r="A95" s="156">
        <v>46128</v>
      </c>
      <c r="B95" s="112" t="s">
        <v>2121</v>
      </c>
      <c r="C95" s="112">
        <v>2.99</v>
      </c>
      <c r="D95" s="112"/>
      <c r="E95" s="113">
        <f t="shared" si="3"/>
        <v>913.00834999999984</v>
      </c>
      <c r="F95" s="399"/>
    </row>
    <row r="96" spans="1:8">
      <c r="A96" s="156">
        <v>46129</v>
      </c>
      <c r="B96" s="112" t="s">
        <v>2122</v>
      </c>
      <c r="C96" s="112">
        <v>3.29</v>
      </c>
      <c r="D96" s="112"/>
      <c r="E96" s="113">
        <f t="shared" si="3"/>
        <v>916.2983499999998</v>
      </c>
      <c r="F96" s="399"/>
    </row>
    <row r="97" spans="1:13">
      <c r="A97" s="156">
        <v>46133</v>
      </c>
      <c r="B97" s="112" t="s">
        <v>1858</v>
      </c>
      <c r="C97" s="112">
        <v>730</v>
      </c>
      <c r="D97" s="112"/>
      <c r="E97" s="113">
        <f t="shared" si="3"/>
        <v>1646.2983499999998</v>
      </c>
      <c r="F97" s="399" t="s">
        <v>816</v>
      </c>
    </row>
    <row r="98" spans="1:13">
      <c r="A98" s="156">
        <v>46133</v>
      </c>
      <c r="B98" s="112" t="s">
        <v>1075</v>
      </c>
      <c r="C98" s="112"/>
      <c r="D98" s="411">
        <f>179*1.2263</f>
        <v>219.5077</v>
      </c>
      <c r="E98" s="113">
        <f t="shared" si="3"/>
        <v>1426.7906499999999</v>
      </c>
    </row>
    <row r="99" spans="1:13">
      <c r="A99" s="156">
        <v>46133</v>
      </c>
      <c r="B99" s="454" t="s">
        <v>2139</v>
      </c>
      <c r="C99" s="112">
        <f>5.92+3.7</f>
        <v>9.620000000000001</v>
      </c>
      <c r="D99" s="112"/>
      <c r="E99" s="113">
        <f t="shared" si="3"/>
        <v>1436.4106499999998</v>
      </c>
    </row>
    <row r="100" spans="1:13">
      <c r="A100" s="156">
        <v>46134</v>
      </c>
      <c r="B100" s="112" t="s">
        <v>1986</v>
      </c>
      <c r="C100" s="112">
        <v>169</v>
      </c>
      <c r="D100" s="112"/>
      <c r="E100" s="113">
        <f t="shared" si="3"/>
        <v>1605.4106499999998</v>
      </c>
    </row>
    <row r="101" spans="1:13">
      <c r="A101" s="156">
        <v>46134</v>
      </c>
      <c r="B101" s="112" t="s">
        <v>1804</v>
      </c>
      <c r="C101" s="112"/>
      <c r="D101" s="112">
        <v>841</v>
      </c>
      <c r="E101" s="113">
        <f t="shared" si="3"/>
        <v>764.41064999999981</v>
      </c>
    </row>
    <row r="102" spans="1:13">
      <c r="A102" s="156">
        <v>46134</v>
      </c>
      <c r="B102" s="112" t="s">
        <v>1833</v>
      </c>
      <c r="C102" s="112"/>
      <c r="D102" s="112">
        <v>521</v>
      </c>
      <c r="E102" s="113">
        <f t="shared" si="3"/>
        <v>243.41064999999981</v>
      </c>
      <c r="F102" s="399" t="s">
        <v>816</v>
      </c>
      <c r="G102">
        <f>520/1.226</f>
        <v>424.14355628058729</v>
      </c>
      <c r="I102" s="2">
        <v>100.5728</v>
      </c>
      <c r="J102" s="9">
        <f>(O116-I102)*I116/100</f>
        <v>-23.975280000000108</v>
      </c>
      <c r="L102" s="9"/>
    </row>
    <row r="103" spans="1:13">
      <c r="A103" s="156">
        <v>46134</v>
      </c>
      <c r="B103" s="112" t="s">
        <v>2138</v>
      </c>
      <c r="C103" s="112">
        <v>2.97</v>
      </c>
      <c r="D103" s="112"/>
      <c r="E103" s="113">
        <f t="shared" si="3"/>
        <v>246.3806499999998</v>
      </c>
      <c r="F103" s="399"/>
      <c r="J103" s="2"/>
      <c r="L103" s="9"/>
      <c r="M103" s="2" t="s">
        <v>2046</v>
      </c>
    </row>
    <row r="104" spans="1:13">
      <c r="A104" s="156">
        <v>46135</v>
      </c>
      <c r="B104" s="112" t="s">
        <v>53</v>
      </c>
      <c r="C104" s="112"/>
      <c r="D104" s="112">
        <v>101.66</v>
      </c>
      <c r="E104" s="113">
        <f t="shared" si="3"/>
        <v>144.72064999999981</v>
      </c>
      <c r="F104" s="399" t="s">
        <v>2087</v>
      </c>
      <c r="H104" s="2">
        <v>1550</v>
      </c>
      <c r="J104" s="2" t="s">
        <v>2046</v>
      </c>
      <c r="L104" s="163">
        <f>XIRR(L105:L110,K105:K110)</f>
        <v>6.2346008419990537E-2</v>
      </c>
      <c r="M104" s="163">
        <f>XIRR(M108:M110,K108:K110)</f>
        <v>6.9718405604362488E-2</v>
      </c>
    </row>
    <row r="105" spans="1:13">
      <c r="A105" s="156">
        <v>46136</v>
      </c>
      <c r="B105" s="112" t="s">
        <v>1982</v>
      </c>
      <c r="C105" s="112">
        <v>1997</v>
      </c>
      <c r="D105" s="112"/>
      <c r="E105" s="113">
        <f t="shared" si="3"/>
        <v>2141.7206499999998</v>
      </c>
      <c r="F105" s="399" t="s">
        <v>2083</v>
      </c>
      <c r="H105" t="s">
        <v>1982</v>
      </c>
      <c r="I105" s="163">
        <f>XIRR(I106:I110,H106:H110)</f>
        <v>6.1694034934043879E-2</v>
      </c>
      <c r="J105" s="163">
        <f>XIRR(J107:J110,H107:H110)</f>
        <v>8.2953527569770855E-2</v>
      </c>
      <c r="K105" s="266">
        <v>45867</v>
      </c>
      <c r="L105" s="155">
        <v>-101.0712</v>
      </c>
      <c r="M105" s="2"/>
    </row>
    <row r="106" spans="1:13">
      <c r="A106" s="156">
        <v>46136</v>
      </c>
      <c r="B106" s="112" t="s">
        <v>1683</v>
      </c>
      <c r="C106" s="112">
        <v>5000</v>
      </c>
      <c r="D106" s="112"/>
      <c r="E106" s="113">
        <f t="shared" si="3"/>
        <v>7141.7206499999993</v>
      </c>
      <c r="H106" s="1">
        <v>45903</v>
      </c>
      <c r="I106" s="2">
        <v>-101.078</v>
      </c>
      <c r="J106" s="2"/>
      <c r="K106" s="266">
        <v>45896.000497685185</v>
      </c>
      <c r="L106" s="155">
        <v>1.7465753466666667</v>
      </c>
      <c r="M106" s="2"/>
    </row>
    <row r="107" spans="1:13">
      <c r="A107" s="156">
        <v>46136</v>
      </c>
      <c r="B107" s="110" t="s">
        <v>1190</v>
      </c>
      <c r="C107" s="112">
        <v>800</v>
      </c>
      <c r="D107" s="112"/>
      <c r="E107" s="113">
        <f t="shared" si="3"/>
        <v>7941.7206499999993</v>
      </c>
      <c r="H107" s="1">
        <v>45960</v>
      </c>
      <c r="J107" s="2">
        <v>-101.078</v>
      </c>
      <c r="K107" s="266">
        <v>45996.000497685185</v>
      </c>
      <c r="L107" s="155">
        <v>2.3287671200000002</v>
      </c>
      <c r="M107" s="2"/>
    </row>
    <row r="108" spans="1:13">
      <c r="A108" s="156">
        <v>46136</v>
      </c>
      <c r="B108" s="112" t="s">
        <v>2169</v>
      </c>
      <c r="C108" s="112">
        <v>263</v>
      </c>
      <c r="D108" s="112"/>
      <c r="E108" s="113">
        <f t="shared" si="3"/>
        <v>8204.7206499999993</v>
      </c>
      <c r="H108" s="1">
        <v>45996.000497685185</v>
      </c>
      <c r="I108" s="2">
        <v>2.3287671200000002</v>
      </c>
      <c r="J108" s="2">
        <f>+I108</f>
        <v>2.3287671200000002</v>
      </c>
      <c r="K108" s="266">
        <v>46063</v>
      </c>
      <c r="L108" s="9"/>
      <c r="M108" s="2">
        <v>-100.12</v>
      </c>
    </row>
    <row r="109" spans="1:13">
      <c r="A109" s="286"/>
      <c r="B109" s="274"/>
      <c r="C109" s="274"/>
      <c r="D109" s="274"/>
      <c r="E109" s="113">
        <f t="shared" si="3"/>
        <v>8204.7206499999993</v>
      </c>
      <c r="H109" s="1">
        <v>46108.000497685185</v>
      </c>
      <c r="I109" s="2">
        <v>2.6082191733333331</v>
      </c>
      <c r="J109" s="2">
        <f>+I109</f>
        <v>2.6082191733333331</v>
      </c>
      <c r="K109" s="266">
        <v>46108.000497685185</v>
      </c>
      <c r="L109" s="155">
        <v>2.6082191733333331</v>
      </c>
      <c r="M109" s="2">
        <f>+L109</f>
        <v>2.6082191733333331</v>
      </c>
    </row>
    <row r="110" spans="1:13">
      <c r="A110" s="156">
        <v>46139</v>
      </c>
      <c r="B110" s="253" t="s">
        <v>635</v>
      </c>
      <c r="C110" s="253">
        <v>223</v>
      </c>
      <c r="D110" s="112"/>
      <c r="E110" s="113">
        <f t="shared" si="3"/>
        <v>8427.7206499999993</v>
      </c>
      <c r="H110" s="1">
        <v>46136</v>
      </c>
      <c r="I110" s="282">
        <f>-I106*(1+6%*(H110-H106)/365)-I108-I109</f>
        <v>100.01243956968037</v>
      </c>
      <c r="J110" s="282">
        <f>+I110</f>
        <v>100.01243956968037</v>
      </c>
      <c r="K110" s="266">
        <v>46136</v>
      </c>
      <c r="L110" s="282">
        <f>-L105*(1+6%*(K110-K105)/365)-SUM(L106:L109)</f>
        <v>98.856923751780812</v>
      </c>
      <c r="M110" s="282">
        <f>+L110</f>
        <v>98.856923751780812</v>
      </c>
    </row>
    <row r="111" spans="1:13">
      <c r="A111" s="252">
        <v>46139</v>
      </c>
      <c r="B111" s="253" t="s">
        <v>1830</v>
      </c>
      <c r="C111" s="253">
        <f>1400*101.4216%</f>
        <v>1419.9023999999999</v>
      </c>
      <c r="D111" s="112"/>
      <c r="E111" s="113">
        <f t="shared" si="3"/>
        <v>9847.6230499999983</v>
      </c>
      <c r="F111" s="399" t="s">
        <v>2192</v>
      </c>
      <c r="K111" s="266"/>
    </row>
    <row r="112" spans="1:13">
      <c r="A112" s="156">
        <v>46139</v>
      </c>
      <c r="B112" s="112" t="s">
        <v>1956</v>
      </c>
      <c r="C112" s="112"/>
      <c r="D112" s="112">
        <f>1100*1.005</f>
        <v>1105.4999999999998</v>
      </c>
      <c r="E112" s="113">
        <f t="shared" si="3"/>
        <v>8742.1230499999983</v>
      </c>
      <c r="F112" s="399" t="s">
        <v>2195</v>
      </c>
      <c r="H112" t="s">
        <v>1982</v>
      </c>
      <c r="I112" s="2">
        <v>100.5728</v>
      </c>
    </row>
    <row r="113" spans="1:15">
      <c r="A113" s="156"/>
      <c r="B113" s="112"/>
      <c r="C113" s="112"/>
      <c r="D113" s="112"/>
      <c r="E113" s="113">
        <f t="shared" si="3"/>
        <v>8742.1230499999983</v>
      </c>
      <c r="H113" s="2" t="s">
        <v>2043</v>
      </c>
      <c r="I113" s="9" t="s">
        <v>2044</v>
      </c>
      <c r="J113" s="9" t="s">
        <v>1693</v>
      </c>
      <c r="K113" s="2" t="s">
        <v>2045</v>
      </c>
      <c r="L113" s="2" t="s">
        <v>530</v>
      </c>
      <c r="M113" t="s">
        <v>978</v>
      </c>
      <c r="N113" t="s">
        <v>875</v>
      </c>
      <c r="O113" t="s">
        <v>978</v>
      </c>
    </row>
    <row r="114" spans="1:15">
      <c r="A114" s="156"/>
      <c r="B114" s="112"/>
      <c r="C114" s="112"/>
      <c r="D114" s="112"/>
      <c r="E114" s="113">
        <f t="shared" si="3"/>
        <v>8742.1230499999983</v>
      </c>
      <c r="H114" s="266">
        <v>45867</v>
      </c>
      <c r="I114" s="348">
        <v>1100</v>
      </c>
      <c r="J114" s="282">
        <v>101.0712</v>
      </c>
      <c r="K114" s="2">
        <f>SUM(L106:L109)</f>
        <v>6.6835616400000006</v>
      </c>
      <c r="L114" s="279">
        <v>46136</v>
      </c>
      <c r="M114" s="421">
        <f>+J114*(1+6%*(L114-H114)/365)-K114</f>
        <v>98.856923751780812</v>
      </c>
      <c r="N114">
        <f>+M114*I114/100</f>
        <v>1087.4261612695889</v>
      </c>
    </row>
    <row r="115" spans="1:15">
      <c r="A115" s="156"/>
      <c r="B115" s="112"/>
      <c r="C115" s="112"/>
      <c r="D115" s="112"/>
      <c r="E115" s="113">
        <f t="shared" si="3"/>
        <v>8742.1230499999983</v>
      </c>
      <c r="H115" s="1">
        <v>45903</v>
      </c>
      <c r="I115" s="348">
        <v>910</v>
      </c>
      <c r="J115" s="282">
        <v>101.078</v>
      </c>
      <c r="K115" s="2">
        <f>SUM(I108:I109)</f>
        <v>4.9369862933333337</v>
      </c>
      <c r="L115" s="279">
        <v>46136</v>
      </c>
      <c r="M115" s="421">
        <f>+J115*(1+6%*(L115-H115)/365)-K115</f>
        <v>100.01243956968037</v>
      </c>
      <c r="N115">
        <f>+M115*I115/100</f>
        <v>910.11320008409132</v>
      </c>
    </row>
    <row r="116" spans="1:15">
      <c r="A116" s="156">
        <v>46140</v>
      </c>
      <c r="B116" s="112" t="s">
        <v>1076</v>
      </c>
      <c r="C116" s="112"/>
      <c r="D116" s="112">
        <v>6800</v>
      </c>
      <c r="E116" s="113">
        <f t="shared" si="3"/>
        <v>1942.1230499999983</v>
      </c>
      <c r="F116" s="399" t="s">
        <v>816</v>
      </c>
      <c r="H116" s="2"/>
      <c r="I116" s="348">
        <f>SUM(I114:I115)</f>
        <v>2010</v>
      </c>
      <c r="K116" s="2"/>
      <c r="N116">
        <f>SUM(N114:N115)</f>
        <v>1997.5393613536803</v>
      </c>
      <c r="O116">
        <f>ROUND(+N116/I116*100,3)</f>
        <v>99.38</v>
      </c>
    </row>
    <row r="117" spans="1:15">
      <c r="A117" s="156">
        <v>46140</v>
      </c>
      <c r="B117" s="112" t="s">
        <v>1833</v>
      </c>
      <c r="C117" s="112"/>
      <c r="D117" s="112">
        <v>1100</v>
      </c>
      <c r="E117" s="113">
        <f t="shared" si="3"/>
        <v>842.12304999999833</v>
      </c>
      <c r="F117" s="399" t="s">
        <v>816</v>
      </c>
    </row>
    <row r="118" spans="1:15">
      <c r="A118" s="156">
        <v>46140</v>
      </c>
      <c r="B118" s="112" t="s">
        <v>1141</v>
      </c>
      <c r="C118" s="112"/>
      <c r="D118" s="112">
        <v>800</v>
      </c>
      <c r="E118" s="113">
        <f t="shared" si="3"/>
        <v>42.123049999998329</v>
      </c>
      <c r="F118" s="399" t="s">
        <v>816</v>
      </c>
    </row>
    <row r="119" spans="1:15">
      <c r="A119" s="156"/>
      <c r="B119" s="112"/>
      <c r="C119" s="112"/>
      <c r="D119" s="112"/>
      <c r="E119" s="113">
        <f t="shared" si="3"/>
        <v>42.123049999998329</v>
      </c>
    </row>
    <row r="120" spans="1:15">
      <c r="A120" s="156">
        <v>46140</v>
      </c>
      <c r="B120" s="253" t="s">
        <v>1831</v>
      </c>
      <c r="C120" s="485">
        <v>272.84460000000001</v>
      </c>
      <c r="D120" s="112"/>
      <c r="E120" s="113">
        <f t="shared" si="3"/>
        <v>314.96764999999834</v>
      </c>
      <c r="F120" s="399" t="s">
        <v>2224</v>
      </c>
    </row>
    <row r="121" spans="1:15">
      <c r="A121" s="156">
        <v>46140</v>
      </c>
      <c r="B121" s="253" t="s">
        <v>1832</v>
      </c>
      <c r="C121" s="485">
        <v>271.60000000000002</v>
      </c>
      <c r="D121" s="112"/>
      <c r="E121" s="113">
        <f t="shared" si="3"/>
        <v>586.56764999999837</v>
      </c>
      <c r="F121" s="399" t="s">
        <v>2225</v>
      </c>
    </row>
    <row r="122" spans="1:15">
      <c r="A122" s="252">
        <v>46140</v>
      </c>
      <c r="B122" s="253" t="s">
        <v>1830</v>
      </c>
      <c r="C122" s="485">
        <v>131.87486000000001</v>
      </c>
      <c r="D122" s="485"/>
      <c r="E122" s="369">
        <f t="shared" si="3"/>
        <v>718.44250999999838</v>
      </c>
      <c r="F122" s="399" t="s">
        <v>2226</v>
      </c>
      <c r="K122" s="9" t="s">
        <v>527</v>
      </c>
      <c r="L122" s="2" t="s">
        <v>528</v>
      </c>
      <c r="N122" t="s">
        <v>2063</v>
      </c>
    </row>
    <row r="123" spans="1:15">
      <c r="A123" s="252"/>
      <c r="B123" s="253"/>
      <c r="C123" s="253"/>
      <c r="D123" s="253"/>
      <c r="E123" s="407">
        <v>726</v>
      </c>
      <c r="G123" s="117">
        <v>46135</v>
      </c>
      <c r="H123" t="s">
        <v>1556</v>
      </c>
      <c r="I123" s="223">
        <v>100</v>
      </c>
      <c r="J123" s="464">
        <v>4.2000000000000003E-2</v>
      </c>
      <c r="K123" s="223">
        <f>L123-4.2*(G123-N123)/365</f>
        <v>101.33780821917807</v>
      </c>
      <c r="L123" s="9">
        <v>101.66</v>
      </c>
      <c r="M123" s="2">
        <f>+L123*I123/100</f>
        <v>101.66</v>
      </c>
      <c r="N123" s="117">
        <v>46107</v>
      </c>
    </row>
    <row r="124" spans="1:15">
      <c r="A124" s="252">
        <v>46141</v>
      </c>
      <c r="B124" s="253" t="s">
        <v>1217</v>
      </c>
      <c r="C124" s="253"/>
      <c r="D124" s="253">
        <f>550*100.363%</f>
        <v>551.99649999999997</v>
      </c>
      <c r="E124" s="369">
        <f t="shared" ref="E124:E165" si="4">E123+C124-D124</f>
        <v>174.00350000000003</v>
      </c>
      <c r="F124" s="399" t="s">
        <v>2258</v>
      </c>
      <c r="G124" s="117"/>
      <c r="I124" s="223"/>
      <c r="J124" s="464"/>
      <c r="K124" s="223"/>
      <c r="L124" s="9"/>
      <c r="M124" s="2"/>
      <c r="N124" s="117"/>
    </row>
    <row r="125" spans="1:15">
      <c r="A125" s="156">
        <v>46142</v>
      </c>
      <c r="B125" s="253" t="s">
        <v>2287</v>
      </c>
      <c r="C125" s="485">
        <v>18.32</v>
      </c>
      <c r="D125" s="112"/>
      <c r="E125" s="113">
        <f t="shared" si="4"/>
        <v>192.32350000000002</v>
      </c>
      <c r="I125" s="223">
        <f>SUM(I123:I124)</f>
        <v>100</v>
      </c>
      <c r="J125" s="465"/>
      <c r="K125" s="465"/>
      <c r="L125" s="9"/>
      <c r="M125" s="2">
        <f>SUM(M123:M124)</f>
        <v>101.66</v>
      </c>
    </row>
    <row r="126" spans="1:15">
      <c r="A126" s="156"/>
      <c r="B126" s="112"/>
      <c r="C126" s="112"/>
      <c r="D126" s="112"/>
      <c r="E126" s="113">
        <f t="shared" si="4"/>
        <v>192.32350000000002</v>
      </c>
    </row>
    <row r="127" spans="1:15">
      <c r="A127" s="156"/>
      <c r="B127" s="112"/>
      <c r="C127" s="112"/>
      <c r="D127" s="112"/>
      <c r="E127" s="113">
        <f t="shared" si="4"/>
        <v>192.32350000000002</v>
      </c>
    </row>
    <row r="128" spans="1:15">
      <c r="A128" s="156"/>
      <c r="B128" s="112"/>
      <c r="C128" s="112"/>
      <c r="D128" s="112"/>
      <c r="E128" s="113">
        <f t="shared" si="4"/>
        <v>192.32350000000002</v>
      </c>
    </row>
    <row r="129" spans="1:10">
      <c r="A129" s="156">
        <v>46149</v>
      </c>
      <c r="B129" s="112" t="s">
        <v>1075</v>
      </c>
      <c r="C129" s="112"/>
      <c r="D129" s="112">
        <v>135</v>
      </c>
      <c r="E129" s="113">
        <f t="shared" si="4"/>
        <v>57.323500000000024</v>
      </c>
    </row>
    <row r="130" spans="1:10">
      <c r="A130" s="156">
        <v>46150</v>
      </c>
      <c r="B130" s="112" t="s">
        <v>928</v>
      </c>
      <c r="C130" s="112">
        <v>800</v>
      </c>
      <c r="D130" s="112"/>
      <c r="E130" s="113">
        <f t="shared" si="4"/>
        <v>857.32349999999997</v>
      </c>
    </row>
    <row r="131" spans="1:10">
      <c r="A131" s="156">
        <v>46150</v>
      </c>
      <c r="B131" s="112" t="s">
        <v>1190</v>
      </c>
      <c r="C131" s="112">
        <v>1600</v>
      </c>
      <c r="D131" s="112"/>
      <c r="E131" s="113">
        <f t="shared" si="4"/>
        <v>2457.3235</v>
      </c>
      <c r="H131" t="s">
        <v>1830</v>
      </c>
      <c r="I131" s="163">
        <f>XIRR(I132:I134,H132:H134)</f>
        <v>5.6470635533332814E-2</v>
      </c>
    </row>
    <row r="132" spans="1:10">
      <c r="A132" s="156">
        <v>46150</v>
      </c>
      <c r="B132" s="112" t="s">
        <v>1108</v>
      </c>
      <c r="C132" s="112">
        <v>3500</v>
      </c>
      <c r="D132" s="112"/>
      <c r="E132" s="113">
        <f t="shared" si="4"/>
        <v>5957.3235000000004</v>
      </c>
      <c r="H132" s="117">
        <v>46127</v>
      </c>
      <c r="I132" s="2">
        <v>-101.2</v>
      </c>
    </row>
    <row r="133" spans="1:10">
      <c r="A133" s="156"/>
      <c r="B133" s="112"/>
      <c r="C133" s="112"/>
      <c r="D133" s="112"/>
      <c r="E133" s="113">
        <f t="shared" si="4"/>
        <v>5957.3235000000004</v>
      </c>
      <c r="H133" s="117">
        <v>46149</v>
      </c>
      <c r="I133" s="2">
        <v>0.46579999999999999</v>
      </c>
    </row>
    <row r="134" spans="1:10">
      <c r="A134" s="156"/>
      <c r="B134" s="112"/>
      <c r="C134" s="112"/>
      <c r="D134" s="112"/>
      <c r="E134" s="113">
        <f t="shared" si="4"/>
        <v>5957.3235000000004</v>
      </c>
      <c r="H134" s="117">
        <v>46153</v>
      </c>
      <c r="I134" s="2">
        <v>101.1307</v>
      </c>
      <c r="J134" s="155">
        <f>-I132*(1+5.5%*(H134-H132)/365)-I133</f>
        <v>101.13068219178081</v>
      </c>
    </row>
    <row r="135" spans="1:10">
      <c r="A135" s="156">
        <v>46153</v>
      </c>
      <c r="B135" s="112" t="s">
        <v>1830</v>
      </c>
      <c r="C135" s="112">
        <f>485*101.1307%</f>
        <v>490.48389499999996</v>
      </c>
      <c r="D135" s="112"/>
      <c r="E135" s="113">
        <f t="shared" si="4"/>
        <v>6447.8073950000007</v>
      </c>
      <c r="F135" s="399" t="s">
        <v>2358</v>
      </c>
    </row>
    <row r="136" spans="1:10">
      <c r="A136" s="156">
        <v>46153</v>
      </c>
      <c r="B136" s="112" t="s">
        <v>2348</v>
      </c>
      <c r="C136" s="112"/>
      <c r="D136" s="116">
        <f>1740*103.178%</f>
        <v>1795.2971999999997</v>
      </c>
      <c r="E136" s="113">
        <f t="shared" si="4"/>
        <v>4652.5101950000007</v>
      </c>
      <c r="F136" s="399" t="s">
        <v>2369</v>
      </c>
    </row>
    <row r="137" spans="1:10">
      <c r="A137" s="156">
        <v>46153</v>
      </c>
      <c r="B137" s="112" t="s">
        <v>2349</v>
      </c>
      <c r="C137" s="112"/>
      <c r="D137" s="116">
        <f>1150*104.549%</f>
        <v>1202.3135</v>
      </c>
      <c r="E137" s="113">
        <f t="shared" si="4"/>
        <v>3450.1966950000005</v>
      </c>
      <c r="F137" s="399" t="s">
        <v>2370</v>
      </c>
    </row>
    <row r="138" spans="1:10">
      <c r="A138" s="156">
        <v>46153</v>
      </c>
      <c r="B138" s="112" t="s">
        <v>2350</v>
      </c>
      <c r="C138" s="112"/>
      <c r="D138" s="116">
        <f>1050*103.462%</f>
        <v>1086.3510000000001</v>
      </c>
      <c r="E138" s="113">
        <f t="shared" si="4"/>
        <v>2363.8456950000004</v>
      </c>
      <c r="F138" s="399" t="s">
        <v>2371</v>
      </c>
    </row>
    <row r="139" spans="1:10">
      <c r="A139" s="156">
        <v>46154</v>
      </c>
      <c r="B139" s="112" t="s">
        <v>2355</v>
      </c>
      <c r="C139" s="112">
        <v>800</v>
      </c>
      <c r="D139" s="112"/>
      <c r="E139" s="113">
        <f t="shared" si="4"/>
        <v>3163.8456950000004</v>
      </c>
      <c r="H139" s="1"/>
    </row>
    <row r="140" spans="1:10">
      <c r="A140" s="156">
        <v>46154</v>
      </c>
      <c r="B140" s="112" t="s">
        <v>2356</v>
      </c>
      <c r="C140" s="112"/>
      <c r="D140" s="112">
        <f>3000*99.825%</f>
        <v>2994.7500000000005</v>
      </c>
      <c r="E140" s="113">
        <v>175</v>
      </c>
      <c r="F140" s="399" t="s">
        <v>2418</v>
      </c>
      <c r="H140" s="117"/>
      <c r="I140" s="155"/>
    </row>
    <row r="141" spans="1:10">
      <c r="A141" s="156">
        <v>46156</v>
      </c>
      <c r="B141" s="112" t="s">
        <v>1075</v>
      </c>
      <c r="C141" s="112"/>
      <c r="D141" s="112">
        <v>120.491</v>
      </c>
      <c r="E141" s="113">
        <f t="shared" si="4"/>
        <v>54.509</v>
      </c>
    </row>
    <row r="142" spans="1:10">
      <c r="A142" s="156">
        <v>46157</v>
      </c>
      <c r="B142" s="112" t="s">
        <v>1108</v>
      </c>
      <c r="C142" s="112">
        <v>450</v>
      </c>
      <c r="D142" s="112"/>
      <c r="E142" s="113">
        <f t="shared" si="4"/>
        <v>504.50900000000001</v>
      </c>
    </row>
    <row r="143" spans="1:10">
      <c r="A143" s="156">
        <v>46161</v>
      </c>
      <c r="B143" s="112" t="s">
        <v>2356</v>
      </c>
      <c r="C143" s="116">
        <f>2970*100.3397%</f>
        <v>2980.0890899999995</v>
      </c>
      <c r="D143" s="112"/>
      <c r="E143" s="113">
        <f t="shared" si="4"/>
        <v>3484.5980899999995</v>
      </c>
      <c r="F143" s="399" t="s">
        <v>2539</v>
      </c>
    </row>
    <row r="144" spans="1:10">
      <c r="A144" s="156">
        <v>46161</v>
      </c>
      <c r="B144" s="112" t="s">
        <v>2442</v>
      </c>
      <c r="C144" s="112">
        <f>1000*100.2%</f>
        <v>1002</v>
      </c>
      <c r="D144" s="112"/>
      <c r="E144" s="113">
        <f t="shared" si="4"/>
        <v>4486.5980899999995</v>
      </c>
      <c r="F144" s="562" t="s">
        <v>2565</v>
      </c>
    </row>
    <row r="145" spans="1:18">
      <c r="A145" s="156">
        <v>46161</v>
      </c>
      <c r="B145" s="112" t="s">
        <v>1075</v>
      </c>
      <c r="C145" s="112"/>
      <c r="D145" s="112">
        <f>21.5*1.23</f>
        <v>26.445</v>
      </c>
      <c r="E145" s="113">
        <f t="shared" si="4"/>
        <v>4460.1530899999998</v>
      </c>
      <c r="H145" t="s">
        <v>1019</v>
      </c>
      <c r="I145" s="163">
        <f>XIRR(I146:I159,H146:H159)</f>
        <v>8.7740501761436468E-2</v>
      </c>
      <c r="J145" s="163">
        <f>XIRR(J152:J159,H152:H159)</f>
        <v>6.4989295601844799E-2</v>
      </c>
      <c r="R145" s="163"/>
    </row>
    <row r="146" spans="1:18">
      <c r="A146" s="156">
        <v>46162</v>
      </c>
      <c r="B146" s="112" t="s">
        <v>2452</v>
      </c>
      <c r="C146" s="112"/>
      <c r="D146">
        <v>1500</v>
      </c>
      <c r="E146" s="113">
        <f t="shared" si="4"/>
        <v>2960.1530899999998</v>
      </c>
      <c r="F146" t="s">
        <v>2472</v>
      </c>
      <c r="H146" s="1">
        <v>45653</v>
      </c>
      <c r="I146" s="2">
        <v>-100</v>
      </c>
    </row>
    <row r="147" spans="1:18">
      <c r="E147" s="109">
        <f t="shared" si="4"/>
        <v>2960.1530899999998</v>
      </c>
      <c r="H147" s="1">
        <v>45737</v>
      </c>
      <c r="I147" s="2">
        <v>1.9561640000000002</v>
      </c>
      <c r="J147" s="155"/>
    </row>
    <row r="148" spans="1:18">
      <c r="A148" s="4">
        <v>46162</v>
      </c>
      <c r="B148" t="s">
        <v>1556</v>
      </c>
      <c r="D148">
        <f>300*101.56%</f>
        <v>304.68</v>
      </c>
      <c r="E148" s="109">
        <f t="shared" si="4"/>
        <v>2655.47309</v>
      </c>
      <c r="F148" s="399" t="s">
        <v>2502</v>
      </c>
      <c r="H148" s="1">
        <v>45821</v>
      </c>
      <c r="I148" s="2">
        <v>1.9561643866666665</v>
      </c>
      <c r="J148" s="155"/>
    </row>
    <row r="149" spans="1:18">
      <c r="E149" s="109">
        <f t="shared" si="4"/>
        <v>2655.47309</v>
      </c>
      <c r="H149" s="1">
        <v>45896</v>
      </c>
      <c r="I149" s="2">
        <v>1.7465753466666667</v>
      </c>
      <c r="J149" s="155"/>
      <c r="K149" s="4" t="s">
        <v>2420</v>
      </c>
      <c r="Q149" s="409"/>
    </row>
    <row r="150" spans="1:18">
      <c r="E150" s="109">
        <f t="shared" si="4"/>
        <v>2655.47309</v>
      </c>
      <c r="H150" s="1">
        <v>45996</v>
      </c>
      <c r="I150" s="2">
        <v>2.3287671200000002</v>
      </c>
      <c r="J150" s="155"/>
      <c r="K150" s="535">
        <v>101.01049999999999</v>
      </c>
      <c r="Q150" s="165"/>
    </row>
    <row r="151" spans="1:18">
      <c r="B151" t="s">
        <v>2426</v>
      </c>
      <c r="D151">
        <v>2000</v>
      </c>
      <c r="E151" s="109">
        <f t="shared" si="4"/>
        <v>655.47308999999996</v>
      </c>
      <c r="H151" s="1">
        <v>46108</v>
      </c>
      <c r="I151" s="2">
        <v>2.6082191733333331</v>
      </c>
      <c r="J151" s="155"/>
      <c r="K151" s="9" t="s">
        <v>2421</v>
      </c>
    </row>
    <row r="152" spans="1:18">
      <c r="E152" s="109">
        <f t="shared" si="4"/>
        <v>655.47308999999996</v>
      </c>
      <c r="H152" s="1">
        <v>46155</v>
      </c>
      <c r="J152" s="441">
        <v>-104.39</v>
      </c>
      <c r="K152" s="536">
        <f>100*(1+8.5%*(H152-H146)/365)-SUM(I147:I151)</f>
        <v>101.09452093223744</v>
      </c>
    </row>
    <row r="153" spans="1:18">
      <c r="B153" t="s">
        <v>2441</v>
      </c>
      <c r="C153">
        <v>2000</v>
      </c>
      <c r="E153" s="109">
        <f t="shared" si="4"/>
        <v>2655.47309</v>
      </c>
      <c r="H153" s="1">
        <v>46199</v>
      </c>
      <c r="I153" s="2">
        <f>8.5*(H153-H151)/365</f>
        <v>2.1191780821917807</v>
      </c>
      <c r="J153" s="9">
        <f t="shared" ref="J153:J159" si="5">+I153</f>
        <v>2.1191780821917807</v>
      </c>
    </row>
    <row r="154" spans="1:18">
      <c r="E154" s="109">
        <f t="shared" si="4"/>
        <v>2655.47309</v>
      </c>
      <c r="H154" s="1">
        <v>46293</v>
      </c>
      <c r="I154" s="2">
        <f>8.5*(H154-H153)/365</f>
        <v>2.1890410958904107</v>
      </c>
      <c r="J154" s="9">
        <f t="shared" si="5"/>
        <v>2.1890410958904107</v>
      </c>
      <c r="K154" s="2"/>
    </row>
    <row r="155" spans="1:18">
      <c r="E155" s="109">
        <f t="shared" si="4"/>
        <v>2655.47309</v>
      </c>
      <c r="H155" s="1">
        <v>46384</v>
      </c>
      <c r="I155" s="2">
        <f>8.5*(H155-H154)/365</f>
        <v>2.1191780821917807</v>
      </c>
      <c r="J155" s="9">
        <f t="shared" si="5"/>
        <v>2.1191780821917807</v>
      </c>
    </row>
    <row r="156" spans="1:18">
      <c r="A156" s="4">
        <v>46170</v>
      </c>
      <c r="B156" s="537" t="s">
        <v>1816</v>
      </c>
      <c r="C156">
        <v>430</v>
      </c>
      <c r="E156" s="109">
        <f t="shared" si="4"/>
        <v>3085.47309</v>
      </c>
      <c r="H156" s="1">
        <f>+EDATE(H155,3)</f>
        <v>46474</v>
      </c>
      <c r="I156" s="2">
        <f>8.5*(H156-H155)/365</f>
        <v>2.095890410958904</v>
      </c>
      <c r="J156" s="9">
        <f t="shared" si="5"/>
        <v>2.095890410958904</v>
      </c>
    </row>
    <row r="157" spans="1:18">
      <c r="A157" s="4">
        <v>46170</v>
      </c>
      <c r="B157" t="s">
        <v>2440</v>
      </c>
      <c r="D157">
        <v>3500</v>
      </c>
      <c r="E157" s="109">
        <f t="shared" si="4"/>
        <v>-414.52691000000004</v>
      </c>
      <c r="H157" s="1">
        <v>46566</v>
      </c>
      <c r="I157" s="2">
        <f>8.5*(H157-H156)/365</f>
        <v>2.1424657534246574</v>
      </c>
      <c r="J157" s="9">
        <f t="shared" si="5"/>
        <v>2.1424657534246574</v>
      </c>
    </row>
    <row r="158" spans="1:18">
      <c r="E158" s="109">
        <f t="shared" si="4"/>
        <v>-414.52691000000004</v>
      </c>
      <c r="H158" s="1">
        <v>46657</v>
      </c>
      <c r="I158" s="2">
        <f>8.5*(H158-H157)/365</f>
        <v>2.1191780821917807</v>
      </c>
      <c r="J158" s="9">
        <f t="shared" si="5"/>
        <v>2.1191780821917807</v>
      </c>
    </row>
    <row r="159" spans="1:18">
      <c r="A159" s="4">
        <v>46182</v>
      </c>
      <c r="B159" t="s">
        <v>2496</v>
      </c>
      <c r="D159">
        <v>800</v>
      </c>
      <c r="E159" s="109">
        <f t="shared" si="4"/>
        <v>-1214.52691</v>
      </c>
      <c r="H159" s="1">
        <v>46748</v>
      </c>
      <c r="I159" s="2">
        <f>8.5*(H159-H158)/365+100</f>
        <v>102.11917808219178</v>
      </c>
      <c r="J159" s="9">
        <f t="shared" si="5"/>
        <v>102.11917808219178</v>
      </c>
    </row>
    <row r="160" spans="1:18">
      <c r="E160" s="109">
        <f t="shared" si="4"/>
        <v>-1214.52691</v>
      </c>
    </row>
    <row r="161" spans="1:5">
      <c r="A161" s="4">
        <v>46185</v>
      </c>
      <c r="B161" t="s">
        <v>2254</v>
      </c>
      <c r="C161">
        <v>1660</v>
      </c>
      <c r="E161" s="109">
        <f t="shared" si="4"/>
        <v>445.47308999999996</v>
      </c>
    </row>
    <row r="162" spans="1:5">
      <c r="A162" s="4">
        <v>46189</v>
      </c>
      <c r="B162" t="s">
        <v>1873</v>
      </c>
      <c r="D162">
        <f>2058.7*1.24</f>
        <v>2552.7879999999996</v>
      </c>
      <c r="E162" s="109">
        <f t="shared" si="4"/>
        <v>-2107.3149099999996</v>
      </c>
    </row>
    <row r="163" spans="1:5">
      <c r="E163" s="109">
        <f t="shared" si="4"/>
        <v>-2107.3149099999996</v>
      </c>
    </row>
    <row r="164" spans="1:5">
      <c r="E164" s="109">
        <f t="shared" si="4"/>
        <v>-2107.3149099999996</v>
      </c>
    </row>
    <row r="165" spans="1:5">
      <c r="E165" s="109">
        <f t="shared" si="4"/>
        <v>-2107.3149099999996</v>
      </c>
    </row>
  </sheetData>
  <phoneticPr fontId="6" type="noConversion"/>
  <conditionalFormatting sqref="B156">
    <cfRule type="duplicateValues" dxfId="69" priority="2"/>
  </conditionalFormatting>
  <conditionalFormatting sqref="E1:E1048576">
    <cfRule type="cellIs" dxfId="68" priority="1" operator="lessThan">
      <formula>0</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0B17-668A-4542-9244-F688C3DBC3F8}">
  <dimension ref="C3:J14"/>
  <sheetViews>
    <sheetView workbookViewId="0">
      <selection activeCell="G37" sqref="G37"/>
    </sheetView>
  </sheetViews>
  <sheetFormatPr defaultRowHeight="16.5"/>
  <cols>
    <col min="4" max="4" width="9" bestFit="1" customWidth="1"/>
  </cols>
  <sheetData>
    <row r="3" spans="3:10">
      <c r="D3" s="117">
        <v>46097</v>
      </c>
      <c r="E3" t="s">
        <v>1588</v>
      </c>
      <c r="F3" t="s">
        <v>2055</v>
      </c>
      <c r="I3" t="s">
        <v>2049</v>
      </c>
    </row>
    <row r="4" spans="3:10">
      <c r="C4" t="s">
        <v>531</v>
      </c>
      <c r="D4" s="109">
        <v>1000</v>
      </c>
      <c r="E4">
        <v>6000</v>
      </c>
      <c r="F4" s="347">
        <f t="shared" ref="F4:F9" si="0">SUM(D4:E4)</f>
        <v>7000</v>
      </c>
      <c r="I4" s="163">
        <f>SUMPRODUCT(I5:I9,F5:F9)/F4</f>
        <v>4.3214285714285712E-2</v>
      </c>
    </row>
    <row r="5" spans="3:10">
      <c r="C5" s="117" t="s">
        <v>919</v>
      </c>
      <c r="D5">
        <v>500</v>
      </c>
      <c r="E5" s="122">
        <v>4000</v>
      </c>
      <c r="F5" s="347">
        <f t="shared" si="0"/>
        <v>4500</v>
      </c>
      <c r="I5" s="163">
        <v>3.5000000000000003E-2</v>
      </c>
    </row>
    <row r="6" spans="3:10">
      <c r="C6" t="s">
        <v>621</v>
      </c>
      <c r="D6">
        <v>500</v>
      </c>
      <c r="E6" s="122"/>
      <c r="F6" s="347">
        <f t="shared" si="0"/>
        <v>500</v>
      </c>
      <c r="I6" s="150">
        <v>0.05</v>
      </c>
    </row>
    <row r="7" spans="3:10">
      <c r="C7" t="s">
        <v>604</v>
      </c>
      <c r="E7" s="122"/>
      <c r="F7" s="347">
        <f t="shared" si="0"/>
        <v>0</v>
      </c>
      <c r="I7" s="163">
        <v>5.5E-2</v>
      </c>
    </row>
    <row r="8" spans="3:10">
      <c r="C8" t="s">
        <v>2047</v>
      </c>
      <c r="E8" s="122">
        <v>2000</v>
      </c>
      <c r="F8" s="347">
        <f t="shared" si="0"/>
        <v>2000</v>
      </c>
      <c r="I8" s="163">
        <v>0.06</v>
      </c>
    </row>
    <row r="9" spans="3:10">
      <c r="C9" t="s">
        <v>2048</v>
      </c>
      <c r="F9" s="347">
        <f t="shared" si="0"/>
        <v>0</v>
      </c>
    </row>
    <row r="14" spans="3:10">
      <c r="J14" t="s">
        <v>849</v>
      </c>
    </row>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A108-8AE9-4EBA-82CC-8AC0845E3F0E}">
  <dimension ref="A1:N17"/>
  <sheetViews>
    <sheetView workbookViewId="0">
      <selection activeCell="E1" sqref="E1:E1048576"/>
    </sheetView>
  </sheetViews>
  <sheetFormatPr defaultRowHeight="16.5"/>
  <cols>
    <col min="1" max="1" width="10" style="4" bestFit="1" customWidth="1"/>
    <col min="2" max="2" width="16" customWidth="1"/>
    <col min="3" max="4" width="7.75" customWidth="1"/>
    <col min="5" max="5" width="8.75" style="109" bestFit="1" customWidth="1"/>
  </cols>
  <sheetData>
    <row r="1" spans="1:14">
      <c r="A1" s="10"/>
      <c r="B1" s="10"/>
      <c r="C1" s="10"/>
      <c r="D1" s="10"/>
      <c r="E1" s="10"/>
    </row>
    <row r="2" spans="1:14">
      <c r="A2" s="4" t="s">
        <v>0</v>
      </c>
      <c r="B2" t="s">
        <v>1</v>
      </c>
      <c r="C2" t="s">
        <v>2</v>
      </c>
      <c r="D2" t="s">
        <v>3</v>
      </c>
      <c r="E2" s="109" t="s">
        <v>4</v>
      </c>
    </row>
    <row r="3" spans="1:14">
      <c r="A3" s="156">
        <v>46049</v>
      </c>
      <c r="B3" s="112" t="s">
        <v>946</v>
      </c>
      <c r="C3" s="112">
        <v>1920</v>
      </c>
      <c r="D3" s="112"/>
      <c r="E3" s="113">
        <v>1920</v>
      </c>
    </row>
    <row r="4" spans="1:14">
      <c r="A4" s="156">
        <v>46050</v>
      </c>
      <c r="B4" s="112" t="s">
        <v>947</v>
      </c>
      <c r="C4" s="112"/>
      <c r="D4" s="112">
        <v>1920</v>
      </c>
      <c r="E4" s="113">
        <f t="shared" ref="E4:E17" si="0">+E3+C4-D4</f>
        <v>0</v>
      </c>
    </row>
    <row r="5" spans="1:14">
      <c r="A5" s="156"/>
      <c r="B5" s="268"/>
      <c r="C5" s="269"/>
      <c r="D5" s="269"/>
      <c r="E5" s="113">
        <f t="shared" si="0"/>
        <v>0</v>
      </c>
      <c r="K5" t="s">
        <v>1356</v>
      </c>
      <c r="L5" t="s">
        <v>1378</v>
      </c>
    </row>
    <row r="6" spans="1:14">
      <c r="A6" s="156"/>
      <c r="B6" s="268"/>
      <c r="C6" s="269"/>
      <c r="D6" s="269"/>
      <c r="E6" s="113">
        <f t="shared" si="0"/>
        <v>0</v>
      </c>
      <c r="K6" t="s">
        <v>1358</v>
      </c>
      <c r="L6" t="s">
        <v>1378</v>
      </c>
    </row>
    <row r="7" spans="1:14">
      <c r="A7" s="156"/>
      <c r="B7" s="268"/>
      <c r="C7" s="269"/>
      <c r="D7" s="300"/>
      <c r="E7" s="113">
        <f t="shared" si="0"/>
        <v>0</v>
      </c>
      <c r="K7" t="s">
        <v>1360</v>
      </c>
      <c r="L7" t="s">
        <v>1379</v>
      </c>
    </row>
    <row r="8" spans="1:14">
      <c r="A8" s="156">
        <v>46079</v>
      </c>
      <c r="B8" s="112" t="s">
        <v>974</v>
      </c>
      <c r="C8" s="269">
        <v>1920</v>
      </c>
      <c r="D8" s="300"/>
      <c r="E8" s="113">
        <f t="shared" si="0"/>
        <v>1920</v>
      </c>
      <c r="K8" t="s">
        <v>1382</v>
      </c>
      <c r="L8" t="s">
        <v>1383</v>
      </c>
    </row>
    <row r="9" spans="1:14">
      <c r="A9" s="156">
        <v>46080</v>
      </c>
      <c r="B9" s="112" t="s">
        <v>604</v>
      </c>
      <c r="C9" s="269"/>
      <c r="D9" s="300">
        <v>400</v>
      </c>
      <c r="E9" s="113">
        <f t="shared" si="0"/>
        <v>1520</v>
      </c>
      <c r="F9" t="s">
        <v>1142</v>
      </c>
      <c r="H9" s="165">
        <f>D9/1920</f>
        <v>0.20833333333333334</v>
      </c>
      <c r="K9" t="s">
        <v>1362</v>
      </c>
      <c r="L9" t="s">
        <v>1384</v>
      </c>
    </row>
    <row r="10" spans="1:14">
      <c r="A10" s="156">
        <v>46080</v>
      </c>
      <c r="B10" s="112" t="s">
        <v>621</v>
      </c>
      <c r="C10" s="300"/>
      <c r="D10" s="300">
        <v>400</v>
      </c>
      <c r="E10" s="113">
        <f t="shared" si="0"/>
        <v>1120</v>
      </c>
      <c r="H10" s="165">
        <f t="shared" ref="H10:H13" si="1">D10/1920</f>
        <v>0.20833333333333334</v>
      </c>
      <c r="K10" t="s">
        <v>1380</v>
      </c>
      <c r="L10" t="s">
        <v>1381</v>
      </c>
    </row>
    <row r="11" spans="1:14">
      <c r="A11" s="156">
        <v>46080</v>
      </c>
      <c r="B11" s="112" t="s">
        <v>620</v>
      </c>
      <c r="C11" s="112"/>
      <c r="D11" s="112">
        <v>400</v>
      </c>
      <c r="E11" s="113">
        <f t="shared" si="0"/>
        <v>720</v>
      </c>
      <c r="H11" s="165">
        <f t="shared" si="1"/>
        <v>0.20833333333333334</v>
      </c>
      <c r="K11" t="s">
        <v>1365</v>
      </c>
      <c r="L11" s="146">
        <v>1.0999999999999999E-2</v>
      </c>
      <c r="M11" t="s">
        <v>1367</v>
      </c>
    </row>
    <row r="12" spans="1:14">
      <c r="A12" s="156">
        <v>46080</v>
      </c>
      <c r="B12" s="112" t="s">
        <v>929</v>
      </c>
      <c r="C12" s="112"/>
      <c r="D12" s="112">
        <v>380</v>
      </c>
      <c r="E12" s="113">
        <v>342</v>
      </c>
      <c r="H12" s="165">
        <f t="shared" si="1"/>
        <v>0.19791666666666666</v>
      </c>
      <c r="L12" s="150">
        <v>6.0000000000000001E-3</v>
      </c>
      <c r="M12" t="s">
        <v>1368</v>
      </c>
    </row>
    <row r="13" spans="1:14">
      <c r="A13" s="156">
        <v>46090</v>
      </c>
      <c r="B13" s="112" t="s">
        <v>819</v>
      </c>
      <c r="C13" s="112"/>
      <c r="D13" s="300">
        <v>340</v>
      </c>
      <c r="E13" s="113">
        <f t="shared" si="0"/>
        <v>2</v>
      </c>
      <c r="H13" s="165">
        <f t="shared" si="1"/>
        <v>0.17708333333333334</v>
      </c>
      <c r="K13" t="s">
        <v>1366</v>
      </c>
      <c r="L13" s="146" t="s">
        <v>1385</v>
      </c>
      <c r="M13" t="s">
        <v>1367</v>
      </c>
    </row>
    <row r="14" spans="1:14">
      <c r="E14" s="109">
        <f t="shared" si="0"/>
        <v>2</v>
      </c>
      <c r="L14" s="146" t="s">
        <v>1386</v>
      </c>
      <c r="M14" t="s">
        <v>1368</v>
      </c>
      <c r="N14" t="s">
        <v>1387</v>
      </c>
    </row>
    <row r="15" spans="1:14">
      <c r="E15" s="109">
        <f t="shared" si="0"/>
        <v>2</v>
      </c>
      <c r="F15" t="s">
        <v>324</v>
      </c>
    </row>
    <row r="16" spans="1:14">
      <c r="E16" s="109">
        <f t="shared" si="0"/>
        <v>2</v>
      </c>
    </row>
    <row r="17" spans="5:5">
      <c r="E17" s="109">
        <f t="shared" si="0"/>
        <v>2</v>
      </c>
    </row>
  </sheetData>
  <phoneticPr fontId="6" type="noConversion"/>
  <conditionalFormatting sqref="E1:E1048576">
    <cfRule type="cellIs" dxfId="67" priority="1" operator="less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D87F5-AFCB-4B74-A1F9-62B635B2A95F}">
  <dimension ref="A1:W44"/>
  <sheetViews>
    <sheetView topLeftCell="A13" workbookViewId="0">
      <selection activeCell="L38" sqref="L38"/>
    </sheetView>
  </sheetViews>
  <sheetFormatPr defaultRowHeight="16.5"/>
  <cols>
    <col min="1" max="1" width="10" style="4" bestFit="1" customWidth="1"/>
    <col min="2" max="2" width="16" customWidth="1"/>
    <col min="3" max="4" width="7.75" customWidth="1"/>
    <col min="5" max="5" width="8.75" style="109" bestFit="1" customWidth="1"/>
    <col min="9" max="9" width="17.25" customWidth="1"/>
    <col min="11" max="11" width="12.875" bestFit="1" customWidth="1"/>
    <col min="19" max="19" width="9.75" bestFit="1" customWidth="1"/>
  </cols>
  <sheetData>
    <row r="1" spans="1:23">
      <c r="A1" s="10"/>
      <c r="B1" s="10"/>
      <c r="C1" s="10"/>
      <c r="D1" s="10"/>
      <c r="E1" s="10"/>
    </row>
    <row r="2" spans="1:23">
      <c r="A2" s="4" t="s">
        <v>0</v>
      </c>
      <c r="B2" t="s">
        <v>1</v>
      </c>
      <c r="C2" t="s">
        <v>2</v>
      </c>
      <c r="D2" t="s">
        <v>3</v>
      </c>
      <c r="E2" s="109" t="s">
        <v>4</v>
      </c>
    </row>
    <row r="3" spans="1:23">
      <c r="A3" s="156">
        <v>46087</v>
      </c>
      <c r="B3" s="112"/>
      <c r="C3" s="112"/>
      <c r="D3" s="112"/>
      <c r="E3" s="113">
        <v>1500</v>
      </c>
    </row>
    <row r="4" spans="1:23">
      <c r="A4" s="156"/>
      <c r="B4" s="112"/>
      <c r="C4" s="112"/>
      <c r="D4" s="112"/>
      <c r="E4" s="113">
        <f t="shared" ref="E4" si="0">+E3+C4-D4</f>
        <v>1500</v>
      </c>
      <c r="I4" t="s">
        <v>1356</v>
      </c>
      <c r="J4" t="s">
        <v>1357</v>
      </c>
    </row>
    <row r="5" spans="1:23">
      <c r="A5" s="156">
        <v>46092</v>
      </c>
      <c r="B5" s="268" t="s">
        <v>1284</v>
      </c>
      <c r="C5" s="112"/>
      <c r="D5" s="269">
        <f>$E$4*F5</f>
        <v>300</v>
      </c>
      <c r="E5" s="113">
        <f t="shared" ref="E5:E11" si="1">+E4+C5-D5</f>
        <v>1200</v>
      </c>
      <c r="F5" s="146">
        <v>0.2</v>
      </c>
      <c r="I5" t="s">
        <v>1358</v>
      </c>
      <c r="J5" t="s">
        <v>1359</v>
      </c>
    </row>
    <row r="6" spans="1:23">
      <c r="A6" s="156">
        <v>46091</v>
      </c>
      <c r="B6" s="268" t="s">
        <v>620</v>
      </c>
      <c r="C6" s="112"/>
      <c r="D6" s="269">
        <f>$E$4*F6</f>
        <v>300</v>
      </c>
      <c r="E6" s="113">
        <f t="shared" si="1"/>
        <v>900</v>
      </c>
      <c r="F6" s="146">
        <v>0.2</v>
      </c>
      <c r="I6" t="s">
        <v>1360</v>
      </c>
      <c r="J6" t="s">
        <v>1361</v>
      </c>
    </row>
    <row r="7" spans="1:23">
      <c r="A7" s="156">
        <v>46091</v>
      </c>
      <c r="B7" s="268" t="s">
        <v>945</v>
      </c>
      <c r="C7" s="112"/>
      <c r="D7" s="269">
        <f>$E$4*F7</f>
        <v>375</v>
      </c>
      <c r="E7" s="113">
        <f t="shared" si="1"/>
        <v>525</v>
      </c>
      <c r="F7" s="146">
        <v>0.25</v>
      </c>
      <c r="I7" t="s">
        <v>1362</v>
      </c>
      <c r="J7" t="s">
        <v>1363</v>
      </c>
    </row>
    <row r="8" spans="1:23">
      <c r="A8" s="211"/>
      <c r="B8" s="268"/>
      <c r="C8" s="112"/>
      <c r="D8" s="327"/>
      <c r="E8" s="328">
        <f t="shared" si="1"/>
        <v>525</v>
      </c>
      <c r="F8" s="146">
        <v>0.2</v>
      </c>
      <c r="G8" t="s">
        <v>1436</v>
      </c>
      <c r="J8" t="s">
        <v>1364</v>
      </c>
    </row>
    <row r="9" spans="1:23">
      <c r="A9" s="211">
        <v>46094</v>
      </c>
      <c r="B9" s="268" t="s">
        <v>604</v>
      </c>
      <c r="C9" s="112"/>
      <c r="D9" s="327">
        <f>$E$4*F9</f>
        <v>225</v>
      </c>
      <c r="E9" s="328">
        <f t="shared" si="1"/>
        <v>300</v>
      </c>
      <c r="F9" s="146">
        <v>0.15</v>
      </c>
      <c r="G9" t="s">
        <v>1436</v>
      </c>
      <c r="H9" s="165"/>
      <c r="I9" t="s">
        <v>1365</v>
      </c>
      <c r="J9" s="146">
        <v>0.01</v>
      </c>
    </row>
    <row r="10" spans="1:23">
      <c r="A10" s="211">
        <v>46094</v>
      </c>
      <c r="B10" s="329" t="s">
        <v>930</v>
      </c>
      <c r="C10" s="112"/>
      <c r="D10" s="330">
        <v>300</v>
      </c>
      <c r="E10" s="328">
        <f t="shared" si="1"/>
        <v>0</v>
      </c>
      <c r="G10" t="s">
        <v>1436</v>
      </c>
      <c r="H10" s="165"/>
      <c r="I10" t="s">
        <v>1366</v>
      </c>
      <c r="J10" s="146" t="s">
        <v>1370</v>
      </c>
      <c r="K10" t="s">
        <v>1367</v>
      </c>
    </row>
    <row r="11" spans="1:23">
      <c r="A11" s="156">
        <v>46114</v>
      </c>
      <c r="B11" s="302" t="s">
        <v>1713</v>
      </c>
      <c r="C11" s="112">
        <v>107.36596</v>
      </c>
      <c r="D11" s="112"/>
      <c r="E11" s="113">
        <f t="shared" si="1"/>
        <v>107.36596</v>
      </c>
      <c r="F11" t="s">
        <v>1714</v>
      </c>
      <c r="H11" s="165"/>
      <c r="J11" s="146">
        <v>0</v>
      </c>
      <c r="K11" t="s">
        <v>1368</v>
      </c>
      <c r="L11" t="s">
        <v>1369</v>
      </c>
    </row>
    <row r="12" spans="1:23">
      <c r="A12" s="156"/>
      <c r="B12" s="268"/>
      <c r="C12" s="112"/>
      <c r="D12" s="112"/>
      <c r="E12" s="113">
        <v>108</v>
      </c>
      <c r="H12" s="165"/>
    </row>
    <row r="13" spans="1:23">
      <c r="A13" s="156">
        <v>46120</v>
      </c>
      <c r="B13" s="268" t="s">
        <v>1708</v>
      </c>
      <c r="C13" s="112">
        <v>9600</v>
      </c>
      <c r="D13" s="300"/>
      <c r="E13" s="113">
        <f t="shared" ref="E13:E20" si="2">+E12+C13-D13</f>
        <v>9708</v>
      </c>
      <c r="H13" s="165"/>
      <c r="M13" t="s">
        <v>1862</v>
      </c>
      <c r="N13" t="s">
        <v>1863</v>
      </c>
      <c r="T13" t="s">
        <v>1588</v>
      </c>
    </row>
    <row r="14" spans="1:23">
      <c r="A14" s="156"/>
      <c r="B14" s="112"/>
      <c r="C14" s="112"/>
      <c r="D14" s="112"/>
      <c r="E14" s="113">
        <f t="shared" si="2"/>
        <v>9708</v>
      </c>
      <c r="G14" t="s">
        <v>324</v>
      </c>
      <c r="M14">
        <f>SUM(M15:M28)</f>
        <v>1500</v>
      </c>
      <c r="N14">
        <v>9720</v>
      </c>
      <c r="O14">
        <f>SUM(M14:N14)</f>
        <v>11220</v>
      </c>
      <c r="Q14" t="s">
        <v>1731</v>
      </c>
      <c r="R14" t="s">
        <v>293</v>
      </c>
      <c r="T14">
        <v>11500</v>
      </c>
      <c r="V14" t="s">
        <v>1731</v>
      </c>
      <c r="W14" t="s">
        <v>293</v>
      </c>
    </row>
    <row r="15" spans="1:23">
      <c r="A15" s="156">
        <v>46120</v>
      </c>
      <c r="B15" s="112" t="s">
        <v>819</v>
      </c>
      <c r="C15" s="112"/>
      <c r="D15" s="112">
        <v>850</v>
      </c>
      <c r="E15" s="113">
        <f t="shared" si="2"/>
        <v>8858</v>
      </c>
      <c r="G15" t="s">
        <v>1547</v>
      </c>
      <c r="I15" s="309" t="s">
        <v>1371</v>
      </c>
      <c r="J15" s="310">
        <v>0.5</v>
      </c>
      <c r="K15" t="s">
        <v>1754</v>
      </c>
      <c r="L15" t="s">
        <v>621</v>
      </c>
      <c r="M15">
        <v>300</v>
      </c>
      <c r="N15">
        <v>0</v>
      </c>
      <c r="O15">
        <f>M15+N15</f>
        <v>300</v>
      </c>
      <c r="P15" s="146">
        <f t="shared" ref="P15:P25" si="3">O15/$O$14</f>
        <v>2.6737967914438502E-2</v>
      </c>
      <c r="Q15" s="375">
        <v>0.01</v>
      </c>
      <c r="R15" s="146">
        <v>0.06</v>
      </c>
      <c r="T15">
        <f>O15+S15</f>
        <v>300</v>
      </c>
      <c r="U15" s="151">
        <f>T15/$T$14</f>
        <v>2.6086956521739129E-2</v>
      </c>
      <c r="V15" s="375">
        <v>0.01</v>
      </c>
      <c r="W15" s="146">
        <v>0.06</v>
      </c>
    </row>
    <row r="16" spans="1:23">
      <c r="A16" s="156">
        <v>46120</v>
      </c>
      <c r="B16" s="112" t="s">
        <v>930</v>
      </c>
      <c r="C16" s="112"/>
      <c r="D16" s="112">
        <f>N20</f>
        <v>2364</v>
      </c>
      <c r="E16" s="113">
        <f t="shared" si="2"/>
        <v>6494</v>
      </c>
      <c r="G16" t="s">
        <v>1547</v>
      </c>
      <c r="I16" s="309" t="s">
        <v>1372</v>
      </c>
      <c r="J16" s="310">
        <v>0.15</v>
      </c>
      <c r="K16" t="s">
        <v>1754</v>
      </c>
      <c r="L16" t="s">
        <v>620</v>
      </c>
      <c r="M16">
        <v>300</v>
      </c>
      <c r="O16">
        <f t="shared" ref="O16" si="4">M16+N16</f>
        <v>300</v>
      </c>
      <c r="P16" s="146">
        <f t="shared" si="3"/>
        <v>2.6737967914438502E-2</v>
      </c>
      <c r="Q16" s="375">
        <v>0.01</v>
      </c>
      <c r="R16" s="146">
        <v>0.06</v>
      </c>
      <c r="S16">
        <f>-200</f>
        <v>-200</v>
      </c>
      <c r="T16">
        <f t="shared" ref="T16:T26" si="5">O16+S16</f>
        <v>100</v>
      </c>
      <c r="U16" s="151">
        <f t="shared" ref="U16:U26" si="6">T16/$T$14</f>
        <v>8.6956521739130436E-3</v>
      </c>
      <c r="V16" s="375">
        <v>0.01</v>
      </c>
      <c r="W16" s="146">
        <v>0.06</v>
      </c>
    </row>
    <row r="17" spans="1:23">
      <c r="A17" s="156">
        <v>46120</v>
      </c>
      <c r="B17" s="112" t="s">
        <v>945</v>
      </c>
      <c r="C17" s="112"/>
      <c r="D17" s="112">
        <v>1400</v>
      </c>
      <c r="E17" s="113">
        <f t="shared" si="2"/>
        <v>5094</v>
      </c>
      <c r="G17" t="s">
        <v>1547</v>
      </c>
      <c r="I17" s="309" t="s">
        <v>1373</v>
      </c>
      <c r="J17" s="310">
        <v>0</v>
      </c>
      <c r="K17" t="s">
        <v>1754</v>
      </c>
      <c r="L17" t="s">
        <v>819</v>
      </c>
      <c r="N17">
        <v>850</v>
      </c>
      <c r="O17">
        <f t="shared" ref="O17:O25" si="7">M17+N17</f>
        <v>850</v>
      </c>
      <c r="P17" s="146">
        <f t="shared" si="3"/>
        <v>7.575757575757576E-2</v>
      </c>
      <c r="Q17" s="375">
        <v>0.01</v>
      </c>
      <c r="R17" s="146">
        <v>0.06</v>
      </c>
      <c r="T17">
        <f t="shared" si="5"/>
        <v>850</v>
      </c>
      <c r="U17" s="151">
        <f t="shared" si="6"/>
        <v>7.3913043478260873E-2</v>
      </c>
      <c r="V17" s="375">
        <v>0.01</v>
      </c>
      <c r="W17" s="146">
        <v>0.06</v>
      </c>
    </row>
    <row r="18" spans="1:23">
      <c r="A18" s="156"/>
      <c r="B18" s="112"/>
      <c r="C18" s="112"/>
      <c r="D18" s="112"/>
      <c r="E18" s="113">
        <f t="shared" si="2"/>
        <v>5094</v>
      </c>
      <c r="G18" t="s">
        <v>1547</v>
      </c>
      <c r="I18" s="309" t="s">
        <v>1374</v>
      </c>
      <c r="J18" s="310">
        <v>0.1</v>
      </c>
      <c r="K18" t="s">
        <v>1756</v>
      </c>
      <c r="L18" t="s">
        <v>945</v>
      </c>
      <c r="M18">
        <v>275</v>
      </c>
      <c r="N18">
        <v>1400</v>
      </c>
      <c r="O18">
        <f t="shared" si="7"/>
        <v>1675</v>
      </c>
      <c r="P18" s="146">
        <f t="shared" si="3"/>
        <v>0.14928698752228164</v>
      </c>
      <c r="Q18" s="375">
        <v>0.22</v>
      </c>
      <c r="R18" s="146">
        <v>0.3</v>
      </c>
      <c r="T18">
        <f>O18+S18</f>
        <v>1675</v>
      </c>
      <c r="U18" s="151">
        <f t="shared" si="6"/>
        <v>0.14565217391304347</v>
      </c>
      <c r="V18" s="375">
        <v>0.22</v>
      </c>
      <c r="W18" s="146">
        <v>0.3</v>
      </c>
    </row>
    <row r="19" spans="1:23">
      <c r="A19" s="156">
        <v>46121</v>
      </c>
      <c r="B19" s="112" t="s">
        <v>1753</v>
      </c>
      <c r="C19" s="112"/>
      <c r="D19" s="112">
        <v>2200</v>
      </c>
      <c r="E19" s="113">
        <f t="shared" si="2"/>
        <v>2894</v>
      </c>
      <c r="I19" s="309" t="s">
        <v>1375</v>
      </c>
      <c r="J19" s="310">
        <v>0.2</v>
      </c>
      <c r="K19" t="s">
        <v>1754</v>
      </c>
      <c r="L19" t="s">
        <v>604</v>
      </c>
      <c r="M19">
        <v>225</v>
      </c>
      <c r="N19">
        <v>2250</v>
      </c>
      <c r="O19">
        <f t="shared" si="7"/>
        <v>2475</v>
      </c>
      <c r="P19" s="146">
        <f t="shared" si="3"/>
        <v>0.22058823529411764</v>
      </c>
      <c r="Q19" s="375">
        <v>0.01</v>
      </c>
      <c r="R19" s="150">
        <v>5.5E-2</v>
      </c>
      <c r="T19">
        <f t="shared" si="5"/>
        <v>2475</v>
      </c>
      <c r="U19" s="151">
        <f t="shared" si="6"/>
        <v>0.21521739130434783</v>
      </c>
      <c r="V19" s="375">
        <v>0.01</v>
      </c>
      <c r="W19" s="150">
        <v>5.5E-2</v>
      </c>
    </row>
    <row r="20" spans="1:23">
      <c r="A20" s="156">
        <v>46122</v>
      </c>
      <c r="B20" s="112" t="s">
        <v>604</v>
      </c>
      <c r="C20" s="112"/>
      <c r="D20" s="112">
        <v>2250</v>
      </c>
      <c r="E20" s="113">
        <f t="shared" si="2"/>
        <v>644</v>
      </c>
      <c r="I20" s="309" t="s">
        <v>1376</v>
      </c>
      <c r="J20" s="310">
        <v>0.05</v>
      </c>
      <c r="K20" t="s">
        <v>1754</v>
      </c>
      <c r="L20" t="s">
        <v>930</v>
      </c>
      <c r="M20">
        <v>300</v>
      </c>
      <c r="N20">
        <v>2364</v>
      </c>
      <c r="O20">
        <f t="shared" si="7"/>
        <v>2664</v>
      </c>
      <c r="P20" s="146">
        <f t="shared" si="3"/>
        <v>0.2374331550802139</v>
      </c>
      <c r="Q20" s="375">
        <v>0.01</v>
      </c>
      <c r="R20" s="146">
        <v>0.1</v>
      </c>
      <c r="T20">
        <f t="shared" si="5"/>
        <v>2664</v>
      </c>
      <c r="U20" s="151">
        <f t="shared" si="6"/>
        <v>0.23165217391304349</v>
      </c>
      <c r="V20" s="375">
        <v>0.01</v>
      </c>
      <c r="W20" s="146">
        <v>0.1</v>
      </c>
    </row>
    <row r="21" spans="1:23">
      <c r="A21" s="156">
        <v>46122</v>
      </c>
      <c r="B21" s="112" t="s">
        <v>1819</v>
      </c>
      <c r="C21" s="112"/>
      <c r="D21" s="112">
        <v>100</v>
      </c>
      <c r="E21" s="113">
        <f t="shared" ref="E21:E32" si="8">+E20+C21-D21</f>
        <v>544</v>
      </c>
      <c r="I21" s="376"/>
      <c r="J21" s="377"/>
      <c r="K21" t="s">
        <v>1756</v>
      </c>
      <c r="L21" t="s">
        <v>1677</v>
      </c>
      <c r="P21" s="146">
        <f t="shared" si="3"/>
        <v>0</v>
      </c>
      <c r="Q21" s="375">
        <f>25*3.5%</f>
        <v>0.87500000000000011</v>
      </c>
      <c r="R21" s="146">
        <v>2</v>
      </c>
      <c r="S21">
        <v>0</v>
      </c>
      <c r="T21">
        <f t="shared" si="5"/>
        <v>0</v>
      </c>
      <c r="U21" s="151">
        <f t="shared" si="6"/>
        <v>0</v>
      </c>
      <c r="V21" s="375">
        <f>25*3.5%</f>
        <v>0.87500000000000011</v>
      </c>
      <c r="W21" s="146">
        <v>2</v>
      </c>
    </row>
    <row r="22" spans="1:23">
      <c r="A22" s="156">
        <v>46122</v>
      </c>
      <c r="B22" s="112" t="s">
        <v>531</v>
      </c>
      <c r="C22" s="112">
        <v>120</v>
      </c>
      <c r="D22" s="112"/>
      <c r="E22" s="113">
        <f t="shared" si="8"/>
        <v>664</v>
      </c>
      <c r="F22" t="s">
        <v>1739</v>
      </c>
      <c r="K22" t="s">
        <v>1754</v>
      </c>
      <c r="L22" t="s">
        <v>1753</v>
      </c>
      <c r="N22">
        <v>2200</v>
      </c>
      <c r="O22">
        <f t="shared" si="7"/>
        <v>2200</v>
      </c>
      <c r="P22" s="146">
        <f t="shared" si="3"/>
        <v>0.19607843137254902</v>
      </c>
      <c r="Q22" s="375">
        <v>0</v>
      </c>
      <c r="R22" s="146">
        <v>0.6</v>
      </c>
      <c r="S22">
        <f>-2200+1000</f>
        <v>-1200</v>
      </c>
      <c r="T22">
        <v>0</v>
      </c>
      <c r="U22" s="151">
        <f t="shared" si="6"/>
        <v>0</v>
      </c>
      <c r="V22" s="375"/>
      <c r="W22" s="146"/>
    </row>
    <row r="23" spans="1:23">
      <c r="A23" s="156">
        <v>46122</v>
      </c>
      <c r="B23" s="112" t="s">
        <v>1265</v>
      </c>
      <c r="C23" s="112"/>
      <c r="D23" s="112">
        <v>30</v>
      </c>
      <c r="E23" s="113">
        <f t="shared" si="8"/>
        <v>634</v>
      </c>
      <c r="K23" t="s">
        <v>1754</v>
      </c>
      <c r="L23" t="s">
        <v>1827</v>
      </c>
      <c r="N23">
        <v>600</v>
      </c>
      <c r="O23">
        <f t="shared" si="7"/>
        <v>600</v>
      </c>
      <c r="P23" s="146">
        <f t="shared" si="3"/>
        <v>5.3475935828877004E-2</v>
      </c>
      <c r="Q23" s="146">
        <v>0.01</v>
      </c>
      <c r="R23" s="150">
        <v>7.2999999999999995E-2</v>
      </c>
      <c r="T23">
        <f t="shared" si="5"/>
        <v>600</v>
      </c>
      <c r="U23" s="151">
        <f t="shared" si="6"/>
        <v>5.2173913043478258E-2</v>
      </c>
      <c r="V23" s="146">
        <v>0.01</v>
      </c>
      <c r="W23" s="150">
        <v>7.2999999999999995E-2</v>
      </c>
    </row>
    <row r="24" spans="1:23">
      <c r="A24" s="156">
        <v>46126</v>
      </c>
      <c r="B24" s="112" t="s">
        <v>1827</v>
      </c>
      <c r="C24" s="112"/>
      <c r="D24" s="112">
        <v>600</v>
      </c>
      <c r="E24" s="113">
        <f t="shared" si="8"/>
        <v>34</v>
      </c>
      <c r="K24" t="s">
        <v>1754</v>
      </c>
      <c r="L24" t="s">
        <v>1265</v>
      </c>
      <c r="N24">
        <v>30</v>
      </c>
      <c r="O24">
        <f t="shared" si="7"/>
        <v>30</v>
      </c>
      <c r="P24" s="146">
        <f t="shared" si="3"/>
        <v>2.6737967914438501E-3</v>
      </c>
      <c r="Q24" s="375">
        <v>0.01</v>
      </c>
      <c r="R24" s="146">
        <v>0.1</v>
      </c>
      <c r="S24">
        <v>600</v>
      </c>
      <c r="T24">
        <f t="shared" si="5"/>
        <v>630</v>
      </c>
      <c r="U24" s="151">
        <f t="shared" si="6"/>
        <v>5.4782608695652171E-2</v>
      </c>
      <c r="V24" s="375">
        <v>0.01</v>
      </c>
      <c r="W24" s="146">
        <v>0.1</v>
      </c>
    </row>
    <row r="25" spans="1:23">
      <c r="A25" s="156"/>
      <c r="B25" s="112"/>
      <c r="C25" s="112"/>
      <c r="D25" s="112"/>
      <c r="E25" s="113">
        <f t="shared" si="8"/>
        <v>34</v>
      </c>
      <c r="K25" t="s">
        <v>1756</v>
      </c>
      <c r="L25" t="s">
        <v>1861</v>
      </c>
      <c r="N25">
        <v>100</v>
      </c>
      <c r="O25">
        <f t="shared" si="7"/>
        <v>100</v>
      </c>
      <c r="P25" s="146">
        <f t="shared" si="3"/>
        <v>8.9126559714795012E-3</v>
      </c>
      <c r="Q25" s="375">
        <v>0.05</v>
      </c>
      <c r="R25" s="146">
        <v>0.1</v>
      </c>
      <c r="T25">
        <f t="shared" si="5"/>
        <v>100</v>
      </c>
      <c r="U25" s="151">
        <f>T25/$T$14</f>
        <v>8.6956521739130436E-3</v>
      </c>
      <c r="V25" s="375">
        <v>0.05</v>
      </c>
      <c r="W25" s="146">
        <v>0.1</v>
      </c>
    </row>
    <row r="26" spans="1:23">
      <c r="A26" s="156">
        <v>46132</v>
      </c>
      <c r="B26" s="112" t="s">
        <v>1753</v>
      </c>
      <c r="C26" s="112">
        <v>2824.88</v>
      </c>
      <c r="D26" s="112"/>
      <c r="E26" s="113">
        <f t="shared" si="8"/>
        <v>2858.88</v>
      </c>
      <c r="L26" t="s">
        <v>1944</v>
      </c>
      <c r="S26">
        <v>370</v>
      </c>
      <c r="T26">
        <f t="shared" si="5"/>
        <v>370</v>
      </c>
      <c r="U26" s="151">
        <f t="shared" si="6"/>
        <v>3.2173913043478261E-2</v>
      </c>
      <c r="V26" s="375">
        <v>0.05</v>
      </c>
      <c r="W26" s="146">
        <v>0.1</v>
      </c>
    </row>
    <row r="27" spans="1:23">
      <c r="A27" s="156">
        <v>46133</v>
      </c>
      <c r="B27" s="112" t="s">
        <v>1265</v>
      </c>
      <c r="C27" s="112"/>
      <c r="D27" s="112">
        <v>600</v>
      </c>
      <c r="E27" s="113">
        <f t="shared" si="8"/>
        <v>2258.88</v>
      </c>
      <c r="F27" s="399" t="s">
        <v>816</v>
      </c>
      <c r="L27" t="s">
        <v>2282</v>
      </c>
      <c r="S27">
        <v>1000</v>
      </c>
      <c r="T27">
        <f>O27+S27</f>
        <v>1000</v>
      </c>
      <c r="U27" s="151">
        <f>T27/$T$14</f>
        <v>8.6956521739130432E-2</v>
      </c>
      <c r="V27" s="146">
        <v>0.25</v>
      </c>
      <c r="W27" s="146">
        <v>0.3</v>
      </c>
    </row>
    <row r="28" spans="1:23">
      <c r="A28" s="156">
        <v>46136</v>
      </c>
      <c r="B28" s="112" t="s">
        <v>820</v>
      </c>
      <c r="C28" s="112">
        <v>200</v>
      </c>
      <c r="D28" s="112"/>
      <c r="E28" s="113">
        <f t="shared" si="8"/>
        <v>2458.88</v>
      </c>
      <c r="F28" s="399" t="s">
        <v>816</v>
      </c>
      <c r="L28" t="s">
        <v>1678</v>
      </c>
      <c r="M28">
        <v>100</v>
      </c>
      <c r="N28" s="347">
        <f>E12+N14-SUM(N15:N25)</f>
        <v>34</v>
      </c>
      <c r="O28" s="347">
        <f>N28</f>
        <v>34</v>
      </c>
      <c r="P28" s="146">
        <f>O28/$O$14</f>
        <v>3.0303030303030303E-3</v>
      </c>
      <c r="Q28" s="146">
        <v>0</v>
      </c>
      <c r="R28" s="146">
        <v>0</v>
      </c>
      <c r="T28">
        <v>1147</v>
      </c>
      <c r="U28" s="375">
        <f>T28/$T$14</f>
        <v>9.9739130434782608E-2</v>
      </c>
      <c r="V28" s="146">
        <v>0</v>
      </c>
      <c r="W28" s="146">
        <v>0</v>
      </c>
    </row>
    <row r="29" spans="1:23">
      <c r="A29" s="156">
        <v>46136</v>
      </c>
      <c r="B29" s="112" t="s">
        <v>2148</v>
      </c>
      <c r="C29" s="112"/>
      <c r="D29" s="112">
        <v>1000</v>
      </c>
      <c r="E29" s="113">
        <f t="shared" si="8"/>
        <v>1458.88</v>
      </c>
      <c r="Q29" s="163">
        <f>SUMPRODUCT(Q15:Q28,P15:P28)</f>
        <v>3.9722816399286986E-2</v>
      </c>
      <c r="R29" s="163">
        <f>SUMPRODUCT(R15:R28,P15:P28)</f>
        <v>0.21112522281639928</v>
      </c>
      <c r="V29" s="163">
        <f>SUMPRODUCT(V15:V28,U15:U28)</f>
        <v>6.245130434782608E-2</v>
      </c>
      <c r="W29" s="163">
        <f>SUMPRODUCT(W15:W28,U15:U28)</f>
        <v>0.12468043478260869</v>
      </c>
    </row>
    <row r="30" spans="1:23">
      <c r="A30" s="156"/>
      <c r="B30" s="112"/>
      <c r="C30" s="112"/>
      <c r="D30" s="112"/>
      <c r="E30" s="113">
        <f t="shared" si="8"/>
        <v>1458.88</v>
      </c>
      <c r="O30" t="s">
        <v>1754</v>
      </c>
      <c r="P30" s="151">
        <f>SUMIFS($O$15:$O$25,$K$15:$K$25,O30)/SUM($O$15:$O$25)</f>
        <v>0.84143291048776125</v>
      </c>
      <c r="T30" t="s">
        <v>1754</v>
      </c>
      <c r="U30" s="146">
        <f>(U15+U16+U17+U19+U20+U23+U24+U22)/SUM($U$15:$U$27)</f>
        <v>0.70782237086584932</v>
      </c>
    </row>
    <row r="31" spans="1:23">
      <c r="A31" s="156">
        <v>46149</v>
      </c>
      <c r="B31" s="112" t="s">
        <v>2338</v>
      </c>
      <c r="C31" s="112"/>
      <c r="D31" s="112">
        <v>370</v>
      </c>
      <c r="E31" s="113">
        <f t="shared" si="8"/>
        <v>1088.8800000000001</v>
      </c>
      <c r="F31" s="399" t="s">
        <v>816</v>
      </c>
      <c r="O31" t="s">
        <v>1755</v>
      </c>
      <c r="P31" s="151">
        <f>SUMIFS($O$15:$O$25,$K$15:$K$25,O31)/SUM($O$15:$O$25)</f>
        <v>0</v>
      </c>
      <c r="T31" t="s">
        <v>1755</v>
      </c>
      <c r="U31" s="375">
        <f>(U26+U27)/SUM(U15:U27)</f>
        <v>0.1272761055369751</v>
      </c>
    </row>
    <row r="32" spans="1:23">
      <c r="A32" s="156">
        <v>46150</v>
      </c>
      <c r="B32" s="112" t="s">
        <v>2307</v>
      </c>
      <c r="C32" s="112"/>
      <c r="D32" s="112">
        <v>1000</v>
      </c>
      <c r="E32" s="113">
        <f t="shared" si="8"/>
        <v>88.880000000000109</v>
      </c>
      <c r="F32" s="399" t="s">
        <v>816</v>
      </c>
      <c r="O32" t="s">
        <v>1756</v>
      </c>
      <c r="P32" s="151">
        <f>SUMIFS($O$15:$O$25,$K$15:$K$25,O32)/SUM($O$15:$O$25)</f>
        <v>0.15856708951223869</v>
      </c>
      <c r="T32" t="s">
        <v>1756</v>
      </c>
      <c r="U32" s="146">
        <f>(U18+U21+U25)/SUM(U15:U27)</f>
        <v>0.16490152359717578</v>
      </c>
    </row>
    <row r="33" spans="1:5">
      <c r="A33" s="156">
        <v>46150</v>
      </c>
      <c r="B33" s="112" t="s">
        <v>2211</v>
      </c>
      <c r="C33" s="112">
        <f>10*105.8</f>
        <v>1058</v>
      </c>
      <c r="D33" s="112"/>
      <c r="E33" s="113">
        <f>+E32+C33-D33</f>
        <v>1146.8800000000001</v>
      </c>
    </row>
    <row r="34" spans="1:5">
      <c r="E34" s="109">
        <f>+E33+C34-D34</f>
        <v>1146.8800000000001</v>
      </c>
    </row>
    <row r="35" spans="1:5">
      <c r="B35" s="112" t="s">
        <v>2566</v>
      </c>
      <c r="D35">
        <v>1000</v>
      </c>
      <c r="E35" s="109">
        <f>+E34+C35-D35</f>
        <v>146.88000000000011</v>
      </c>
    </row>
    <row r="36" spans="1:5">
      <c r="E36" s="109">
        <f t="shared" ref="E36:E39" si="9">+E35+C36-D36</f>
        <v>146.88000000000011</v>
      </c>
    </row>
    <row r="37" spans="1:5">
      <c r="E37" s="109">
        <f t="shared" si="9"/>
        <v>146.88000000000011</v>
      </c>
    </row>
    <row r="38" spans="1:5">
      <c r="E38" s="109">
        <f t="shared" si="9"/>
        <v>146.88000000000011</v>
      </c>
    </row>
    <row r="39" spans="1:5">
      <c r="E39" s="109">
        <f t="shared" si="9"/>
        <v>146.88000000000011</v>
      </c>
    </row>
    <row r="40" spans="1:5">
      <c r="E40" s="109">
        <f>+E39+C40-D40</f>
        <v>146.88000000000011</v>
      </c>
    </row>
    <row r="41" spans="1:5">
      <c r="E41" s="109">
        <f>+E40+C41-D41</f>
        <v>146.88000000000011</v>
      </c>
    </row>
    <row r="42" spans="1:5">
      <c r="E42" s="109">
        <f>+E41+C42-D42</f>
        <v>146.88000000000011</v>
      </c>
    </row>
    <row r="43" spans="1:5">
      <c r="E43" s="109">
        <f>+E42+C43-D43</f>
        <v>146.88000000000011</v>
      </c>
    </row>
    <row r="44" spans="1:5">
      <c r="E44" s="109">
        <f>+E43+C44-D44</f>
        <v>146.88000000000011</v>
      </c>
    </row>
  </sheetData>
  <phoneticPr fontId="6" type="noConversion"/>
  <conditionalFormatting sqref="E1:E1048576">
    <cfRule type="cellIs" dxfId="66" priority="1" operator="less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66554-AEBF-4944-B16D-E76F9CBBD393}">
  <sheetPr codeName="Sheet5"/>
  <dimension ref="A1:AH104"/>
  <sheetViews>
    <sheetView workbookViewId="0">
      <pane ySplit="2" topLeftCell="A73" activePane="bottomLeft" state="frozen"/>
      <selection activeCell="J14" sqref="J14"/>
      <selection pane="bottomLeft" activeCell="E1" sqref="E1:E1048576"/>
    </sheetView>
  </sheetViews>
  <sheetFormatPr defaultRowHeight="16.5"/>
  <cols>
    <col min="1" max="1" width="11.125" style="4" bestFit="1" customWidth="1"/>
    <col min="2" max="2" width="9.5" customWidth="1"/>
    <col min="3" max="3" width="9.625" customWidth="1"/>
    <col min="4" max="4" width="9.25" customWidth="1"/>
    <col min="5" max="5" width="8.75" style="3" bestFit="1" customWidth="1"/>
    <col min="6" max="6" width="8.75" style="3" customWidth="1"/>
    <col min="9" max="9" width="12.5" bestFit="1" customWidth="1"/>
    <col min="10" max="10" width="11.375" style="2" customWidth="1"/>
    <col min="11" max="11" width="12.5" style="9" bestFit="1" customWidth="1"/>
    <col min="12" max="12" width="12.375" style="9" customWidth="1"/>
    <col min="13" max="13" width="9.25" style="2" bestFit="1" customWidth="1"/>
    <col min="14" max="14" width="10" customWidth="1"/>
    <col min="17" max="18" width="0" hidden="1" customWidth="1"/>
    <col min="19" max="19" width="11" hidden="1" customWidth="1"/>
    <col min="20" max="20" width="11.125" bestFit="1" customWidth="1"/>
    <col min="23" max="23" width="11.125" bestFit="1" customWidth="1"/>
    <col min="25" max="25" width="11.125" bestFit="1" customWidth="1"/>
    <col min="26" max="26" width="9.625" bestFit="1" customWidth="1"/>
    <col min="27" max="27" width="11.125" bestFit="1" customWidth="1"/>
    <col min="28" max="28" width="9.625" bestFit="1" customWidth="1"/>
    <col min="29" max="29" width="15" bestFit="1" customWidth="1"/>
    <col min="30" max="30" width="9.75" bestFit="1" customWidth="1"/>
    <col min="31" max="31" width="30.875" customWidth="1"/>
  </cols>
  <sheetData>
    <row r="1" spans="1:31" ht="14.1" customHeight="1">
      <c r="A1" s="10"/>
      <c r="B1" s="10"/>
      <c r="C1" s="10"/>
      <c r="D1" s="10"/>
      <c r="E1" s="10"/>
      <c r="F1" s="10"/>
    </row>
    <row r="2" spans="1:31">
      <c r="A2" s="4" t="s">
        <v>0</v>
      </c>
      <c r="B2" t="s">
        <v>1</v>
      </c>
      <c r="C2" t="s">
        <v>2</v>
      </c>
      <c r="D2" t="s">
        <v>3</v>
      </c>
      <c r="E2" s="3" t="s">
        <v>4</v>
      </c>
    </row>
    <row r="3" spans="1:31">
      <c r="A3" s="156">
        <v>46023</v>
      </c>
      <c r="B3" s="112"/>
      <c r="C3" s="112"/>
      <c r="D3" s="112"/>
      <c r="E3" s="157">
        <v>192</v>
      </c>
    </row>
    <row r="4" spans="1:31">
      <c r="A4" s="156"/>
      <c r="B4" s="112"/>
      <c r="C4" s="112"/>
      <c r="D4" s="112"/>
      <c r="E4" s="157">
        <f t="shared" ref="E4:E18" si="0">+E3+C4-D4</f>
        <v>192</v>
      </c>
    </row>
    <row r="5" spans="1:31">
      <c r="A5" s="156"/>
      <c r="B5" s="112"/>
      <c r="C5" s="112"/>
      <c r="D5" s="112"/>
      <c r="E5" s="157">
        <f t="shared" si="0"/>
        <v>192</v>
      </c>
    </row>
    <row r="6" spans="1:31">
      <c r="A6" s="156"/>
      <c r="B6" s="112"/>
      <c r="C6" s="112"/>
      <c r="D6" s="112"/>
      <c r="E6" s="157">
        <f t="shared" si="0"/>
        <v>192</v>
      </c>
    </row>
    <row r="7" spans="1:31">
      <c r="A7" s="156"/>
      <c r="B7" s="112"/>
      <c r="C7" s="112"/>
      <c r="D7" s="112"/>
      <c r="E7" s="157">
        <f t="shared" si="0"/>
        <v>192</v>
      </c>
      <c r="H7" s="9" t="s">
        <v>524</v>
      </c>
      <c r="I7" s="9"/>
      <c r="J7" s="9"/>
      <c r="K7" s="2"/>
      <c r="L7"/>
      <c r="M7"/>
      <c r="T7" s="117">
        <v>46036</v>
      </c>
      <c r="AA7" s="164"/>
    </row>
    <row r="8" spans="1:31">
      <c r="A8" s="156">
        <v>46030</v>
      </c>
      <c r="B8" s="112" t="s">
        <v>613</v>
      </c>
      <c r="C8" s="112">
        <v>7.56</v>
      </c>
      <c r="D8" s="112"/>
      <c r="E8" s="157">
        <f t="shared" si="0"/>
        <v>199.56</v>
      </c>
      <c r="H8" t="s">
        <v>17</v>
      </c>
      <c r="I8" s="9" t="s">
        <v>525</v>
      </c>
      <c r="J8" s="9" t="s">
        <v>543</v>
      </c>
      <c r="K8" s="2" t="s">
        <v>526</v>
      </c>
      <c r="L8" t="s">
        <v>527</v>
      </c>
      <c r="M8" t="s">
        <v>528</v>
      </c>
      <c r="N8" t="s">
        <v>529</v>
      </c>
      <c r="O8" t="s">
        <v>530</v>
      </c>
      <c r="P8" t="s">
        <v>532</v>
      </c>
      <c r="Q8" t="s">
        <v>533</v>
      </c>
      <c r="R8" t="s">
        <v>534</v>
      </c>
      <c r="S8" t="s">
        <v>535</v>
      </c>
      <c r="T8" t="s">
        <v>555</v>
      </c>
      <c r="U8" t="s">
        <v>536</v>
      </c>
      <c r="V8" t="s">
        <v>537</v>
      </c>
      <c r="W8" t="s">
        <v>538</v>
      </c>
      <c r="X8" t="s">
        <v>539</v>
      </c>
      <c r="Y8" t="s">
        <v>540</v>
      </c>
      <c r="Z8" t="s">
        <v>541</v>
      </c>
      <c r="AA8" t="s">
        <v>166</v>
      </c>
      <c r="AB8" t="s">
        <v>542</v>
      </c>
      <c r="AC8" t="s">
        <v>639</v>
      </c>
      <c r="AD8" t="s">
        <v>640</v>
      </c>
      <c r="AE8" t="s">
        <v>641</v>
      </c>
    </row>
    <row r="9" spans="1:31">
      <c r="A9" s="156">
        <v>46034</v>
      </c>
      <c r="B9" s="112" t="s">
        <v>613</v>
      </c>
      <c r="C9" s="112">
        <v>5.15</v>
      </c>
      <c r="D9" s="112"/>
      <c r="E9" s="157">
        <f t="shared" si="0"/>
        <v>204.71</v>
      </c>
      <c r="H9" s="2" t="s">
        <v>868</v>
      </c>
      <c r="I9" t="s">
        <v>573</v>
      </c>
      <c r="J9" s="163">
        <v>3.2000000000000001E-2</v>
      </c>
      <c r="K9" s="2">
        <v>600</v>
      </c>
      <c r="L9" s="2">
        <v>100.003</v>
      </c>
      <c r="M9" s="2">
        <f>L9+X9</f>
        <v>100.40628767123287</v>
      </c>
      <c r="N9" s="2">
        <f t="shared" ref="N9:N14" si="1">+M9*K9/100</f>
        <v>602.43772602739728</v>
      </c>
      <c r="O9" s="117">
        <v>46041</v>
      </c>
      <c r="P9" s="150">
        <v>3.2000000000000001E-2</v>
      </c>
      <c r="Q9" t="s">
        <v>564</v>
      </c>
      <c r="R9" t="s">
        <v>494</v>
      </c>
      <c r="S9">
        <v>3.0000000000000001E-3</v>
      </c>
      <c r="T9">
        <v>100.07899999999999</v>
      </c>
      <c r="U9" s="150">
        <v>3.1967000000000002E-2</v>
      </c>
      <c r="V9" t="s">
        <v>579</v>
      </c>
      <c r="W9" s="1">
        <v>45996</v>
      </c>
      <c r="X9" s="155">
        <f>+J9*(O9-W9+1)/365*100</f>
        <v>0.40328767123287668</v>
      </c>
      <c r="Y9" s="1">
        <v>45996</v>
      </c>
      <c r="AA9" s="1">
        <v>46890</v>
      </c>
      <c r="AB9">
        <v>100</v>
      </c>
      <c r="AC9" t="s">
        <v>643</v>
      </c>
      <c r="AD9" t="s">
        <v>638</v>
      </c>
      <c r="AE9" t="s">
        <v>856</v>
      </c>
    </row>
    <row r="10" spans="1:31">
      <c r="A10" s="156"/>
      <c r="B10" s="112"/>
      <c r="C10" s="112"/>
      <c r="D10" s="112"/>
      <c r="E10" s="157">
        <v>215</v>
      </c>
      <c r="G10" t="s">
        <v>561</v>
      </c>
      <c r="H10" s="2" t="s">
        <v>574</v>
      </c>
      <c r="I10" t="s">
        <v>575</v>
      </c>
      <c r="J10" s="163">
        <v>0.03</v>
      </c>
      <c r="K10" s="2">
        <v>1500</v>
      </c>
      <c r="L10" s="2">
        <v>100</v>
      </c>
      <c r="M10" s="2">
        <f>L10+X10</f>
        <v>100.2958904109589</v>
      </c>
      <c r="N10" s="2">
        <f t="shared" si="1"/>
        <v>1504.4383561643835</v>
      </c>
      <c r="O10" s="117">
        <v>46038</v>
      </c>
      <c r="P10" s="150">
        <v>0.03</v>
      </c>
      <c r="Q10" t="s">
        <v>562</v>
      </c>
      <c r="R10" t="s">
        <v>593</v>
      </c>
      <c r="T10">
        <v>99.991</v>
      </c>
      <c r="U10" s="150">
        <v>3.04E-2</v>
      </c>
      <c r="V10" t="s">
        <v>561</v>
      </c>
      <c r="W10" s="1">
        <v>46003</v>
      </c>
      <c r="X10" s="155">
        <f>+J10*(O10-W10+1)/365*100</f>
        <v>0.29589041095890417</v>
      </c>
      <c r="Y10" s="1">
        <v>46003</v>
      </c>
      <c r="AA10" s="1">
        <v>46549</v>
      </c>
      <c r="AB10">
        <v>100</v>
      </c>
      <c r="AC10" t="s">
        <v>644</v>
      </c>
      <c r="AD10" t="s">
        <v>638</v>
      </c>
      <c r="AE10" t="s">
        <v>797</v>
      </c>
    </row>
    <row r="11" spans="1:31">
      <c r="A11" s="156">
        <v>46036</v>
      </c>
      <c r="B11" s="112" t="s">
        <v>583</v>
      </c>
      <c r="C11" s="112"/>
      <c r="D11" s="112">
        <v>100</v>
      </c>
      <c r="E11" s="157">
        <f t="shared" si="0"/>
        <v>115</v>
      </c>
      <c r="F11" s="3" t="s">
        <v>626</v>
      </c>
      <c r="G11" s="191" t="s">
        <v>586</v>
      </c>
      <c r="H11" s="192" t="s">
        <v>560</v>
      </c>
      <c r="I11" s="191"/>
      <c r="J11" s="193">
        <v>3.3000000000000002E-2</v>
      </c>
      <c r="K11" s="192">
        <v>1500</v>
      </c>
      <c r="L11" s="192">
        <v>100</v>
      </c>
      <c r="M11" s="192"/>
      <c r="N11" s="192">
        <f t="shared" si="1"/>
        <v>0</v>
      </c>
      <c r="O11" s="194">
        <v>46038</v>
      </c>
      <c r="P11" s="191"/>
      <c r="Q11" s="191" t="s">
        <v>479</v>
      </c>
      <c r="R11" s="195" t="s">
        <v>593</v>
      </c>
      <c r="X11" s="155"/>
      <c r="AE11" t="str">
        <f>H11&amp;"["&amp;I11&amp;"]，"&amp;K11&amp;"w，"&amp;L11&amp;"，"&amp;TEXT(O11,"m月d日")&amp;"，"&amp;AC11&amp;" to "&amp;AD11</f>
        <v xml:space="preserve">分期乐1号3期[]，1500w，100，1月16日， to </v>
      </c>
    </row>
    <row r="12" spans="1:31">
      <c r="A12" s="156"/>
      <c r="B12" s="112"/>
      <c r="C12" s="112"/>
      <c r="D12" s="112"/>
      <c r="E12" s="157">
        <f t="shared" si="0"/>
        <v>115</v>
      </c>
      <c r="G12" t="s">
        <v>561</v>
      </c>
      <c r="H12" s="2" t="s">
        <v>12</v>
      </c>
      <c r="I12" s="9" t="s">
        <v>576</v>
      </c>
      <c r="J12" s="163">
        <v>3.3000000000000002E-2</v>
      </c>
      <c r="K12" s="2">
        <v>600</v>
      </c>
      <c r="L12" s="2">
        <v>100.01</v>
      </c>
      <c r="M12" s="2">
        <f>L12+X12+S12</f>
        <v>100.06520547945206</v>
      </c>
      <c r="N12" s="2">
        <f t="shared" si="1"/>
        <v>600.39123287671237</v>
      </c>
      <c r="O12" s="117">
        <v>46038</v>
      </c>
      <c r="P12" s="150">
        <v>3.3000000000000002E-2</v>
      </c>
      <c r="Q12" t="s">
        <v>563</v>
      </c>
      <c r="R12" t="s">
        <v>594</v>
      </c>
      <c r="S12">
        <v>0.01</v>
      </c>
      <c r="T12">
        <v>100.1481</v>
      </c>
      <c r="U12" s="150">
        <v>2.9642000000000002E-2</v>
      </c>
      <c r="V12" t="s">
        <v>561</v>
      </c>
      <c r="W12" s="1">
        <v>46034</v>
      </c>
      <c r="X12" s="155">
        <f>+J12*(O12-W12+1)/365*100</f>
        <v>4.5205479452054796E-2</v>
      </c>
      <c r="Y12" s="1">
        <v>45757</v>
      </c>
      <c r="AA12" s="1">
        <v>46213</v>
      </c>
      <c r="AB12">
        <v>100</v>
      </c>
      <c r="AC12" t="s">
        <v>642</v>
      </c>
      <c r="AD12" t="s">
        <v>638</v>
      </c>
      <c r="AE12" t="str">
        <f>H12&amp;"["&amp;I12&amp;"]，"&amp;K12&amp;"w，"&amp;L12&amp;"，"&amp;TEXT(O12,"m月d日")&amp;"，"&amp;AC12&amp;" to "&amp;AD12</f>
        <v>25乐信1C[264610.SH]，600w，100.01，1月16日，芜湖扬讯 Z11825 to 苏信Z2501</v>
      </c>
    </row>
    <row r="13" spans="1:31">
      <c r="A13" s="156">
        <v>46037</v>
      </c>
      <c r="B13" s="112" t="s">
        <v>531</v>
      </c>
      <c r="C13" s="112">
        <v>8245</v>
      </c>
      <c r="D13" s="112"/>
      <c r="E13" s="157">
        <f t="shared" si="0"/>
        <v>8360</v>
      </c>
      <c r="H13" s="2" t="s">
        <v>13</v>
      </c>
      <c r="I13" s="9" t="s">
        <v>577</v>
      </c>
      <c r="J13" s="163">
        <v>3.5999999999999997E-2</v>
      </c>
      <c r="K13" s="2">
        <v>1000</v>
      </c>
      <c r="L13" s="2">
        <v>99.51</v>
      </c>
      <c r="M13" s="2">
        <f t="shared" ref="M13:M14" si="2">L13+X13+S13</f>
        <v>100.11178082191782</v>
      </c>
      <c r="N13" s="2">
        <f t="shared" si="1"/>
        <v>1001.1178082191781</v>
      </c>
      <c r="O13" s="117">
        <v>46038</v>
      </c>
      <c r="P13" s="150">
        <v>3.9E-2</v>
      </c>
      <c r="Q13" t="s">
        <v>563</v>
      </c>
      <c r="R13" t="s">
        <v>594</v>
      </c>
      <c r="S13">
        <v>0.01</v>
      </c>
      <c r="T13">
        <v>98.897300000000001</v>
      </c>
      <c r="U13" s="150">
        <v>4.2446999999999999E-2</v>
      </c>
      <c r="V13" t="s">
        <v>580</v>
      </c>
      <c r="W13" s="1">
        <v>45979</v>
      </c>
      <c r="X13" s="155">
        <f>+J13*(O13-W13+1)/365*100</f>
        <v>0.59178082191780812</v>
      </c>
      <c r="Y13" s="1">
        <v>45979</v>
      </c>
      <c r="AA13" s="1">
        <v>47072</v>
      </c>
      <c r="AB13">
        <v>100</v>
      </c>
      <c r="AC13" t="s">
        <v>642</v>
      </c>
      <c r="AD13" t="s">
        <v>638</v>
      </c>
      <c r="AE13" t="str">
        <f t="shared" ref="AE13:AE14" si="3">H13&amp;"["&amp;I13&amp;"]，"&amp;K13&amp;"w，"&amp;L13&amp;"，"&amp;TEXT(O13,"m月d日")&amp;"，"&amp;AC13&amp;" to "&amp;AD13</f>
        <v>炽诚3A3[266980.SH]，1000w，99.51，1月16日，芜湖扬讯 Z11825 to 苏信Z2501</v>
      </c>
    </row>
    <row r="14" spans="1:31">
      <c r="A14" s="156">
        <v>46037</v>
      </c>
      <c r="B14" s="112" t="s">
        <v>619</v>
      </c>
      <c r="C14" s="112">
        <v>1006</v>
      </c>
      <c r="D14" s="112"/>
      <c r="E14" s="157">
        <f t="shared" si="0"/>
        <v>9366</v>
      </c>
      <c r="F14" s="170" t="s">
        <v>627</v>
      </c>
      <c r="H14" s="2" t="s">
        <v>14</v>
      </c>
      <c r="I14" s="9" t="s">
        <v>578</v>
      </c>
      <c r="J14" s="163">
        <v>4.1000000000000002E-2</v>
      </c>
      <c r="K14" s="2">
        <v>1000</v>
      </c>
      <c r="L14" s="2">
        <v>100.01</v>
      </c>
      <c r="M14" s="2">
        <f t="shared" si="2"/>
        <v>100.04246575342466</v>
      </c>
      <c r="N14" s="2">
        <f t="shared" si="1"/>
        <v>1000.4246575342466</v>
      </c>
      <c r="O14" s="117">
        <v>46038</v>
      </c>
      <c r="P14" s="150">
        <v>4.1000000000000002E-2</v>
      </c>
      <c r="Q14" t="s">
        <v>563</v>
      </c>
      <c r="R14" t="s">
        <v>594</v>
      </c>
      <c r="S14">
        <v>0.01</v>
      </c>
      <c r="T14">
        <v>99.710599999999999</v>
      </c>
      <c r="U14" s="150">
        <v>4.1619999999999997E-2</v>
      </c>
      <c r="V14" t="s">
        <v>580</v>
      </c>
      <c r="W14" s="1">
        <v>46037</v>
      </c>
      <c r="X14" s="155">
        <f>+J14*(O14-W14+1)/365*100</f>
        <v>2.2465753424657536E-2</v>
      </c>
      <c r="Y14" s="1">
        <v>45891</v>
      </c>
      <c r="AA14" s="1">
        <v>46980</v>
      </c>
      <c r="AB14">
        <v>100</v>
      </c>
      <c r="AC14" t="s">
        <v>642</v>
      </c>
      <c r="AD14" t="s">
        <v>638</v>
      </c>
      <c r="AE14" t="str">
        <f t="shared" si="3"/>
        <v>DY03优3[266192.SH]，1000w，100.01，1月16日，芜湖扬讯 Z11825 to 苏信Z2501</v>
      </c>
    </row>
    <row r="15" spans="1:31">
      <c r="A15" s="156">
        <v>46038</v>
      </c>
      <c r="B15" s="112"/>
      <c r="C15" s="112"/>
      <c r="D15" s="112">
        <v>4106</v>
      </c>
      <c r="E15" s="157">
        <f>+E14+C15-D15</f>
        <v>5260</v>
      </c>
      <c r="F15" s="3" t="s">
        <v>816</v>
      </c>
      <c r="H15" s="2"/>
      <c r="I15" s="9"/>
      <c r="K15" s="2"/>
      <c r="L15" s="2"/>
      <c r="N15" s="2"/>
    </row>
    <row r="16" spans="1:31">
      <c r="A16" s="156">
        <v>46041</v>
      </c>
      <c r="B16" s="112"/>
      <c r="C16" s="112"/>
      <c r="D16" s="112">
        <v>602</v>
      </c>
      <c r="E16" s="157">
        <f t="shared" si="0"/>
        <v>4658</v>
      </c>
      <c r="M16" s="2" t="s">
        <v>813</v>
      </c>
      <c r="N16" s="165">
        <f>SUM(N9:N15)</f>
        <v>4708.8097808219181</v>
      </c>
      <c r="O16" t="s">
        <v>814</v>
      </c>
      <c r="P16" s="163">
        <f>SUMPRODUCT(P9:P14,N9:N14)/N16</f>
        <v>3.4888874626300151E-2</v>
      </c>
    </row>
    <row r="17" spans="1:31">
      <c r="A17" s="156"/>
      <c r="B17" s="112"/>
      <c r="C17" s="112"/>
      <c r="D17" s="112"/>
      <c r="E17" s="157">
        <v>4662</v>
      </c>
      <c r="N17" s="165"/>
      <c r="P17" s="163"/>
    </row>
    <row r="18" spans="1:31">
      <c r="A18" s="156">
        <v>46045</v>
      </c>
      <c r="B18" s="112" t="s">
        <v>613</v>
      </c>
      <c r="C18" s="112">
        <v>354</v>
      </c>
      <c r="D18" s="112"/>
      <c r="E18" s="157">
        <f t="shared" si="0"/>
        <v>5016</v>
      </c>
      <c r="N18" s="165"/>
      <c r="P18" s="163"/>
    </row>
    <row r="19" spans="1:31">
      <c r="A19" s="156">
        <v>46048</v>
      </c>
      <c r="B19" s="112" t="s">
        <v>613</v>
      </c>
      <c r="C19" s="112">
        <v>654</v>
      </c>
      <c r="D19" s="112"/>
      <c r="E19" s="157">
        <f>+E18+C19-D19</f>
        <v>5670</v>
      </c>
      <c r="N19" s="165"/>
      <c r="P19" s="163"/>
    </row>
    <row r="20" spans="1:31">
      <c r="A20" s="156">
        <v>46049</v>
      </c>
      <c r="B20" s="112" t="s">
        <v>613</v>
      </c>
      <c r="C20" s="112">
        <v>517</v>
      </c>
      <c r="D20" s="112"/>
      <c r="E20" s="157">
        <f>+E19+C20-D20</f>
        <v>6187</v>
      </c>
      <c r="N20" s="165"/>
      <c r="P20" s="163"/>
    </row>
    <row r="21" spans="1:31">
      <c r="A21" s="156">
        <v>46050</v>
      </c>
      <c r="B21" s="112" t="s">
        <v>613</v>
      </c>
      <c r="C21" s="112">
        <v>176</v>
      </c>
      <c r="D21" s="112"/>
      <c r="E21" s="157">
        <f>+E20+C21-D21</f>
        <v>6363</v>
      </c>
      <c r="H21" s="2"/>
      <c r="AC21" t="s">
        <v>5</v>
      </c>
      <c r="AD21" t="s">
        <v>642</v>
      </c>
      <c r="AE21" t="str">
        <f>H12&amp;"["&amp;I12&amp;"]，"&amp;K12&amp;"w，"&amp;L12-0.01&amp;"，"&amp;TEXT(O12,"m月d日")&amp;"，"&amp;AC21&amp;" to "&amp;AD21</f>
        <v>25乐信1C[264610.SH]，600w，100，1月16日，元康盛景26号 to 芜湖扬讯 Z11825</v>
      </c>
    </row>
    <row r="22" spans="1:31">
      <c r="A22" s="156"/>
      <c r="B22" s="112"/>
      <c r="C22" s="112"/>
      <c r="D22" s="112"/>
      <c r="E22" s="157">
        <f>+E21+C22-D22</f>
        <v>6363</v>
      </c>
      <c r="J22" s="167"/>
      <c r="K22" s="2"/>
      <c r="S22" s="165"/>
      <c r="AC22" t="s">
        <v>5</v>
      </c>
      <c r="AD22" t="s">
        <v>642</v>
      </c>
      <c r="AE22" t="str">
        <f>H13&amp;"["&amp;I13&amp;"]，"&amp;K13&amp;"w，"&amp;L13-0.01&amp;"，"&amp;TEXT(O13,"m月d日")&amp;"，"&amp;AC22&amp;" to "&amp;AD22</f>
        <v>炽诚3A3[266980.SH]，1000w，99.5，1月16日，元康盛景26号 to 芜湖扬讯 Z11825</v>
      </c>
    </row>
    <row r="23" spans="1:31">
      <c r="A23" s="156">
        <v>46051</v>
      </c>
      <c r="B23" s="112"/>
      <c r="C23" s="112"/>
      <c r="D23" s="112"/>
      <c r="E23" s="157">
        <v>6367</v>
      </c>
      <c r="H23" s="166"/>
      <c r="J23" s="167"/>
      <c r="K23" s="2"/>
      <c r="S23" s="165"/>
      <c r="AC23" t="s">
        <v>5</v>
      </c>
      <c r="AD23" t="s">
        <v>642</v>
      </c>
      <c r="AE23" t="str">
        <f>H14&amp;"["&amp;I14&amp;"]，"&amp;K14&amp;"w，"&amp;L14-0.01&amp;"，"&amp;TEXT(O14,"m月d日")&amp;"，"&amp;AC23&amp;" to "&amp;AD23</f>
        <v>DY03优3[266192.SH]，1000w，100，1月16日，元康盛景26号 to 芜湖扬讯 Z11825</v>
      </c>
    </row>
    <row r="24" spans="1:31">
      <c r="A24" s="156">
        <v>46066</v>
      </c>
      <c r="B24" s="112" t="s">
        <v>613</v>
      </c>
      <c r="C24" s="112">
        <v>213</v>
      </c>
      <c r="D24" s="112"/>
      <c r="E24" s="157">
        <f>+E23+C24-D24</f>
        <v>6580</v>
      </c>
      <c r="H24" s="2"/>
      <c r="I24" s="2"/>
      <c r="J24"/>
      <c r="K24"/>
      <c r="L24"/>
      <c r="M24"/>
      <c r="S24" s="165"/>
    </row>
    <row r="25" spans="1:31">
      <c r="A25" s="156">
        <v>46077</v>
      </c>
      <c r="B25" s="112" t="s">
        <v>1160</v>
      </c>
      <c r="C25" s="112">
        <v>2081</v>
      </c>
      <c r="D25" s="112"/>
      <c r="E25" s="157">
        <f>+E24+C25-D25</f>
        <v>8661</v>
      </c>
      <c r="H25" s="2"/>
      <c r="I25" s="2"/>
      <c r="J25"/>
      <c r="K25"/>
      <c r="L25"/>
      <c r="M25"/>
      <c r="S25" s="165"/>
    </row>
    <row r="26" spans="1:31">
      <c r="A26" s="156"/>
      <c r="B26" s="112"/>
      <c r="C26" s="112"/>
      <c r="D26" s="112"/>
      <c r="E26" s="157">
        <f>+E25+C26-D26</f>
        <v>8661</v>
      </c>
      <c r="H26" s="2"/>
      <c r="I26" s="2"/>
      <c r="J26"/>
      <c r="K26"/>
      <c r="L26"/>
      <c r="M26"/>
      <c r="S26" s="165"/>
    </row>
    <row r="27" spans="1:31">
      <c r="A27" s="156"/>
      <c r="B27" s="112"/>
      <c r="C27" s="112"/>
      <c r="D27" s="112"/>
      <c r="E27" s="157">
        <f>+E26+C27-D27</f>
        <v>8661</v>
      </c>
      <c r="H27" s="2"/>
      <c r="I27" s="2"/>
      <c r="J27"/>
      <c r="K27"/>
      <c r="L27"/>
      <c r="M27"/>
      <c r="S27" s="165"/>
    </row>
    <row r="28" spans="1:31">
      <c r="A28" s="156">
        <v>46077</v>
      </c>
      <c r="B28" s="112" t="s">
        <v>531</v>
      </c>
      <c r="C28" s="112">
        <v>2614</v>
      </c>
      <c r="D28" s="112"/>
      <c r="E28" s="157">
        <f t="shared" ref="E28:E32" si="4">+E27+C28-D28</f>
        <v>11275</v>
      </c>
      <c r="S28" s="165"/>
    </row>
    <row r="29" spans="1:31">
      <c r="A29" s="156">
        <v>46079</v>
      </c>
      <c r="B29" s="284" t="s">
        <v>636</v>
      </c>
      <c r="C29" s="112"/>
      <c r="D29" s="112">
        <v>4533</v>
      </c>
      <c r="E29" s="157">
        <f t="shared" si="4"/>
        <v>6742</v>
      </c>
      <c r="H29" s="223" t="s">
        <v>1156</v>
      </c>
      <c r="J29" s="2" t="s">
        <v>1408</v>
      </c>
    </row>
    <row r="30" spans="1:31">
      <c r="A30" s="156">
        <v>46079</v>
      </c>
      <c r="B30" s="285" t="s">
        <v>1163</v>
      </c>
      <c r="C30" s="112"/>
      <c r="D30" s="112">
        <v>1900</v>
      </c>
      <c r="E30" s="157">
        <f t="shared" si="4"/>
        <v>4842</v>
      </c>
      <c r="F30" s="3">
        <v>6500</v>
      </c>
      <c r="I30">
        <v>1</v>
      </c>
      <c r="J30" s="2" t="s">
        <v>1407</v>
      </c>
      <c r="K30" s="2">
        <v>3000</v>
      </c>
    </row>
    <row r="31" spans="1:31">
      <c r="A31" s="156">
        <v>46080</v>
      </c>
      <c r="B31" s="112" t="s">
        <v>613</v>
      </c>
      <c r="C31" s="112">
        <v>291</v>
      </c>
      <c r="D31" s="112"/>
      <c r="E31" s="157">
        <f t="shared" si="4"/>
        <v>5133</v>
      </c>
      <c r="I31">
        <v>2</v>
      </c>
      <c r="J31" s="2" t="s">
        <v>1406</v>
      </c>
      <c r="K31" s="2">
        <v>4000</v>
      </c>
      <c r="L31" s="2"/>
    </row>
    <row r="32" spans="1:31">
      <c r="A32" s="156">
        <v>46083</v>
      </c>
      <c r="B32" s="112" t="s">
        <v>613</v>
      </c>
      <c r="C32" s="112">
        <v>909</v>
      </c>
      <c r="D32" s="112"/>
      <c r="E32" s="157">
        <f t="shared" si="4"/>
        <v>6042</v>
      </c>
      <c r="I32">
        <v>3</v>
      </c>
      <c r="J32" s="2" t="s">
        <v>1115</v>
      </c>
      <c r="K32" s="2">
        <v>3200</v>
      </c>
      <c r="L32" s="2" t="s">
        <v>1410</v>
      </c>
    </row>
    <row r="33" spans="1:31">
      <c r="A33" s="156"/>
      <c r="B33" s="112"/>
      <c r="C33" s="112"/>
      <c r="D33" s="112"/>
      <c r="E33" s="157">
        <v>5968</v>
      </c>
      <c r="I33">
        <v>4</v>
      </c>
      <c r="J33" s="2" t="s">
        <v>611</v>
      </c>
      <c r="K33" s="2">
        <v>2500</v>
      </c>
      <c r="L33" s="2" t="s">
        <v>563</v>
      </c>
    </row>
    <row r="34" spans="1:31">
      <c r="A34" s="156">
        <v>46085</v>
      </c>
      <c r="B34" s="112" t="s">
        <v>1292</v>
      </c>
      <c r="C34" s="112"/>
      <c r="D34" s="112">
        <v>500</v>
      </c>
      <c r="E34" s="157">
        <f t="shared" ref="E34" si="5">+E33+C34-D34</f>
        <v>5468</v>
      </c>
      <c r="F34" s="3" t="s">
        <v>1347</v>
      </c>
      <c r="K34" s="2"/>
    </row>
    <row r="35" spans="1:31">
      <c r="A35" s="156">
        <v>46086</v>
      </c>
      <c r="B35" s="112" t="s">
        <v>613</v>
      </c>
      <c r="C35" s="112">
        <v>220</v>
      </c>
      <c r="D35" s="112"/>
      <c r="E35" s="157">
        <f t="shared" ref="E35:E45" si="6">+E34+C35-D35</f>
        <v>5688</v>
      </c>
      <c r="K35" s="2"/>
    </row>
    <row r="36" spans="1:31">
      <c r="A36" s="156">
        <v>46090</v>
      </c>
      <c r="B36" s="112" t="s">
        <v>1317</v>
      </c>
      <c r="C36" s="112"/>
      <c r="D36" s="112">
        <v>2000</v>
      </c>
      <c r="E36" s="157">
        <f t="shared" si="6"/>
        <v>3688</v>
      </c>
      <c r="F36" s="3" t="s">
        <v>1346</v>
      </c>
      <c r="H36" s="169" t="s">
        <v>1506</v>
      </c>
      <c r="K36" s="2"/>
      <c r="T36" s="117">
        <v>46094</v>
      </c>
    </row>
    <row r="37" spans="1:31">
      <c r="E37" s="3">
        <f t="shared" si="6"/>
        <v>3688</v>
      </c>
      <c r="H37" t="s">
        <v>17</v>
      </c>
      <c r="I37" s="9" t="s">
        <v>525</v>
      </c>
      <c r="J37" s="9" t="s">
        <v>543</v>
      </c>
      <c r="K37" s="2" t="s">
        <v>526</v>
      </c>
      <c r="L37" t="s">
        <v>527</v>
      </c>
      <c r="M37" t="s">
        <v>528</v>
      </c>
      <c r="N37" t="s">
        <v>529</v>
      </c>
      <c r="O37" t="s">
        <v>530</v>
      </c>
      <c r="P37" t="s">
        <v>532</v>
      </c>
      <c r="Q37" t="s">
        <v>533</v>
      </c>
      <c r="R37" t="s">
        <v>534</v>
      </c>
      <c r="S37" t="s">
        <v>535</v>
      </c>
      <c r="T37" t="s">
        <v>555</v>
      </c>
      <c r="U37" t="s">
        <v>536</v>
      </c>
      <c r="V37" t="s">
        <v>537</v>
      </c>
      <c r="W37" t="s">
        <v>538</v>
      </c>
      <c r="X37" t="s">
        <v>539</v>
      </c>
      <c r="Y37" t="s">
        <v>540</v>
      </c>
      <c r="Z37" t="s">
        <v>541</v>
      </c>
      <c r="AA37" t="s">
        <v>166</v>
      </c>
      <c r="AB37" t="s">
        <v>542</v>
      </c>
      <c r="AC37" t="s">
        <v>639</v>
      </c>
      <c r="AD37" t="s">
        <v>640</v>
      </c>
      <c r="AE37" t="s">
        <v>641</v>
      </c>
    </row>
    <row r="38" spans="1:31">
      <c r="A38" s="156">
        <v>46097</v>
      </c>
      <c r="B38" s="112" t="s">
        <v>613</v>
      </c>
      <c r="C38" s="112">
        <v>1094</v>
      </c>
      <c r="D38" s="112"/>
      <c r="E38" s="157">
        <f t="shared" si="6"/>
        <v>4782</v>
      </c>
      <c r="H38" s="2" t="s">
        <v>1488</v>
      </c>
      <c r="I38" t="s">
        <v>1490</v>
      </c>
      <c r="J38" s="163">
        <v>4.2999999999999997E-2</v>
      </c>
      <c r="K38" s="2">
        <v>2518</v>
      </c>
      <c r="L38" s="2">
        <f>79.36-8.68</f>
        <v>70.680000000000007</v>
      </c>
      <c r="M38" s="2">
        <f>L38+X38</f>
        <v>70.703561643835627</v>
      </c>
      <c r="N38" s="2">
        <f>+M38*K38/100</f>
        <v>1780.3156821917812</v>
      </c>
      <c r="O38" s="117">
        <v>46098</v>
      </c>
      <c r="P38" s="150"/>
      <c r="Q38" t="s">
        <v>563</v>
      </c>
      <c r="R38" t="s">
        <v>593</v>
      </c>
      <c r="T38" s="201">
        <v>79.360600000000005</v>
      </c>
      <c r="U38" s="150">
        <v>3.7499999999999999E-2</v>
      </c>
      <c r="V38" t="s">
        <v>580</v>
      </c>
      <c r="W38" s="1">
        <v>46097</v>
      </c>
      <c r="X38" s="155">
        <f>+J38*(O38-W38+1)/365*100</f>
        <v>2.3561643835616437E-2</v>
      </c>
      <c r="Y38" s="1">
        <v>45596</v>
      </c>
      <c r="AA38" s="1">
        <v>46675</v>
      </c>
      <c r="AB38" s="2">
        <v>70.55</v>
      </c>
      <c r="AC38" t="s">
        <v>1251</v>
      </c>
      <c r="AD38" t="s">
        <v>638</v>
      </c>
      <c r="AE38" t="str">
        <f>H38&amp;"["&amp;I38&amp;"]，"&amp;K38&amp;"w，"&amp;L38&amp;"，"&amp;TEXT(O38,"m月d日")&amp;"，"&amp;AC38&amp;" to "&amp;AD38</f>
        <v>星灿5A3[144780.SZ]，2518w，70.68，3月17日，元康26号 to 苏信Z2501</v>
      </c>
    </row>
    <row r="39" spans="1:31">
      <c r="A39" s="156">
        <v>46097</v>
      </c>
      <c r="B39" s="112" t="s">
        <v>531</v>
      </c>
      <c r="C39" s="112">
        <v>10006</v>
      </c>
      <c r="D39" s="112"/>
      <c r="E39" s="157">
        <f t="shared" si="6"/>
        <v>14788</v>
      </c>
      <c r="H39" s="2" t="s">
        <v>1489</v>
      </c>
      <c r="I39" s="9" t="s">
        <v>1491</v>
      </c>
      <c r="J39" s="163">
        <v>4.2999999999999997E-2</v>
      </c>
      <c r="K39" s="2">
        <v>3000</v>
      </c>
      <c r="L39" s="2">
        <f>86.15-10.28</f>
        <v>75.87</v>
      </c>
      <c r="M39" s="2">
        <f>L39+X39</f>
        <v>75.893561643835625</v>
      </c>
      <c r="N39" s="2">
        <f>+M39*K39/100</f>
        <v>2276.8068493150686</v>
      </c>
      <c r="O39" s="117">
        <v>46098</v>
      </c>
      <c r="P39" s="150"/>
      <c r="Q39" t="s">
        <v>563</v>
      </c>
      <c r="R39" t="s">
        <v>593</v>
      </c>
      <c r="T39" s="201">
        <v>86.149699999999996</v>
      </c>
      <c r="U39" s="150">
        <v>3.7565000000000001E-2</v>
      </c>
      <c r="V39" t="s">
        <v>580</v>
      </c>
      <c r="W39" s="1">
        <v>46097</v>
      </c>
      <c r="X39" s="155">
        <f>+J39*(O39-W39+1)/365*100</f>
        <v>2.3561643835616437E-2</v>
      </c>
      <c r="Y39" s="1">
        <v>45611</v>
      </c>
      <c r="AA39" s="1">
        <v>46703</v>
      </c>
      <c r="AB39" s="2">
        <v>75.72</v>
      </c>
      <c r="AC39" t="s">
        <v>1251</v>
      </c>
      <c r="AD39" t="s">
        <v>638</v>
      </c>
      <c r="AE39" t="str">
        <f>H39&amp;"["&amp;I39&amp;"]，"&amp;K39&amp;"w，"&amp;L39&amp;"，"&amp;TEXT(O39,"m月d日")&amp;"，"&amp;AC39&amp;" to "&amp;AD39</f>
        <v>熠然5A3[263739.SH]，3000w，75.87，3月17日，元康26号 to 苏信Z2501</v>
      </c>
    </row>
    <row r="40" spans="1:31">
      <c r="A40" s="156">
        <v>46098</v>
      </c>
      <c r="B40" s="112" t="s">
        <v>1115</v>
      </c>
      <c r="C40" s="112"/>
      <c r="D40" s="213">
        <f>N38</f>
        <v>1780.3156821917812</v>
      </c>
      <c r="E40" s="113">
        <f t="shared" si="6"/>
        <v>13007.684317808218</v>
      </c>
      <c r="F40" s="109"/>
      <c r="H40" s="2" t="s">
        <v>1489</v>
      </c>
      <c r="I40" s="9" t="s">
        <v>1491</v>
      </c>
      <c r="J40" s="163">
        <v>4.2999999999999997E-2</v>
      </c>
      <c r="K40" s="2">
        <v>1385</v>
      </c>
      <c r="L40" s="2">
        <f>86.15-10.28</f>
        <v>75.87</v>
      </c>
      <c r="M40" s="2">
        <f>L40+X40</f>
        <v>75.905342465753435</v>
      </c>
      <c r="N40" s="2">
        <f>+M40*K40/100</f>
        <v>1051.2889931506852</v>
      </c>
      <c r="O40" s="117">
        <v>46099</v>
      </c>
      <c r="P40" s="150"/>
      <c r="Q40" t="s">
        <v>553</v>
      </c>
      <c r="R40" t="s">
        <v>593</v>
      </c>
      <c r="T40" s="201">
        <v>86.149699999999996</v>
      </c>
      <c r="U40" s="150">
        <v>3.7565000000000001E-2</v>
      </c>
      <c r="V40" t="s">
        <v>580</v>
      </c>
      <c r="W40" s="1">
        <v>46097</v>
      </c>
      <c r="X40" s="155">
        <f>+J40*(O40-W40+1)/365*100</f>
        <v>3.5342465753424659E-2</v>
      </c>
      <c r="Y40" s="1">
        <v>45611</v>
      </c>
      <c r="AA40" s="1">
        <v>46703</v>
      </c>
      <c r="AB40" s="2">
        <v>75.72</v>
      </c>
      <c r="AC40" t="s">
        <v>1284</v>
      </c>
      <c r="AD40" t="s">
        <v>638</v>
      </c>
      <c r="AE40" t="str">
        <f>H40&amp;"["&amp;I40&amp;"]，"&amp;K40&amp;"w，"&amp;L40&amp;"，"&amp;TEXT(O40,"m月d日")&amp;"，"&amp;AC40&amp;" to "&amp;AD40</f>
        <v>熠然5A3[263739.SH]，1385w，75.87，3月18日，元康28号 to 苏信Z2501</v>
      </c>
    </row>
    <row r="41" spans="1:31">
      <c r="A41" s="156"/>
      <c r="B41" s="116" t="s">
        <v>611</v>
      </c>
      <c r="C41" s="116"/>
      <c r="D41" s="116">
        <f>N39</f>
        <v>2276.8068493150686</v>
      </c>
      <c r="E41" s="157">
        <f t="shared" si="6"/>
        <v>10730.877468493149</v>
      </c>
      <c r="G41" s="337" t="s">
        <v>324</v>
      </c>
      <c r="H41" s="2" t="s">
        <v>1486</v>
      </c>
      <c r="J41" s="163"/>
      <c r="K41" s="2">
        <v>3000</v>
      </c>
      <c r="L41" s="2">
        <v>100</v>
      </c>
      <c r="M41" s="2">
        <f>L41+X41</f>
        <v>100</v>
      </c>
      <c r="N41" s="2">
        <f>+M41*K41/100</f>
        <v>3000</v>
      </c>
      <c r="O41" s="117"/>
      <c r="P41" s="150"/>
      <c r="Q41" t="s">
        <v>479</v>
      </c>
      <c r="R41" t="s">
        <v>593</v>
      </c>
      <c r="U41" s="150"/>
      <c r="W41" s="1"/>
      <c r="X41" s="336">
        <f>+J41*(O41-W41+1)/365*100</f>
        <v>0</v>
      </c>
      <c r="Y41" s="1"/>
      <c r="AA41" s="1"/>
      <c r="AB41">
        <v>100</v>
      </c>
      <c r="AD41" t="s">
        <v>638</v>
      </c>
      <c r="AE41" t="str">
        <f>H41&amp;"["&amp;I41&amp;"]，"&amp;K41&amp;"w，"&amp;L41&amp;"，"&amp;TEXT(O41,"m月d日")&amp;"，"&amp;AC41&amp;" to "&amp;AD41</f>
        <v>蔚能夹层A3或优先B[]，3000w，100，1月0日， to 苏信Z2501</v>
      </c>
    </row>
    <row r="42" spans="1:31">
      <c r="A42" s="156">
        <v>46099</v>
      </c>
      <c r="B42" s="116" t="s">
        <v>611</v>
      </c>
      <c r="C42" s="112"/>
      <c r="D42" s="213">
        <f>N50+N51</f>
        <v>1051.288993150685</v>
      </c>
      <c r="E42" s="157">
        <f t="shared" si="6"/>
        <v>9679.5884753424634</v>
      </c>
      <c r="G42" s="337" t="s">
        <v>324</v>
      </c>
      <c r="H42" s="2" t="s">
        <v>1487</v>
      </c>
      <c r="J42" s="334"/>
      <c r="K42" s="2">
        <v>4000</v>
      </c>
      <c r="L42" s="2">
        <v>100</v>
      </c>
      <c r="M42" s="2">
        <f>L42+X42</f>
        <v>100</v>
      </c>
      <c r="N42" s="2">
        <f>+M42*K42/100</f>
        <v>4000</v>
      </c>
      <c r="O42" s="117"/>
      <c r="P42" s="150"/>
      <c r="Q42" t="s">
        <v>479</v>
      </c>
      <c r="R42" t="s">
        <v>593</v>
      </c>
      <c r="U42" s="150"/>
      <c r="W42" s="1"/>
      <c r="X42" s="155">
        <f>+J42*(O42-W42+1)/365*100</f>
        <v>0</v>
      </c>
      <c r="Y42" s="1"/>
      <c r="AA42" s="1"/>
      <c r="AB42">
        <v>100</v>
      </c>
      <c r="AD42" t="s">
        <v>638</v>
      </c>
      <c r="AE42" t="str">
        <f>H42&amp;"["&amp;I42&amp;"]，"&amp;K42&amp;"w，"&amp;L42&amp;"，"&amp;TEXT(O42,"m月d日")&amp;"，"&amp;AC42&amp;" to "&amp;AD42</f>
        <v>远东普惠2026-1ABS夹层[]，4000w，100，1月0日， to 苏信Z2501</v>
      </c>
    </row>
    <row r="43" spans="1:31">
      <c r="E43" s="3">
        <f t="shared" si="6"/>
        <v>9679.5884753424634</v>
      </c>
      <c r="F43" s="3" t="s">
        <v>621</v>
      </c>
      <c r="L43" s="2"/>
      <c r="T43" s="117">
        <v>46094</v>
      </c>
    </row>
    <row r="44" spans="1:31">
      <c r="E44" s="3">
        <f t="shared" si="6"/>
        <v>9679.5884753424634</v>
      </c>
      <c r="H44" t="s">
        <v>17</v>
      </c>
      <c r="I44" s="9" t="s">
        <v>525</v>
      </c>
      <c r="J44" s="9" t="s">
        <v>543</v>
      </c>
      <c r="K44" s="2" t="s">
        <v>526</v>
      </c>
      <c r="L44" t="s">
        <v>527</v>
      </c>
      <c r="M44" t="s">
        <v>528</v>
      </c>
      <c r="N44" t="s">
        <v>529</v>
      </c>
      <c r="O44" t="s">
        <v>530</v>
      </c>
      <c r="P44" t="s">
        <v>532</v>
      </c>
      <c r="Q44" t="s">
        <v>533</v>
      </c>
      <c r="R44" t="s">
        <v>534</v>
      </c>
      <c r="S44" t="s">
        <v>535</v>
      </c>
      <c r="T44" t="s">
        <v>555</v>
      </c>
      <c r="U44" t="s">
        <v>536</v>
      </c>
      <c r="V44" t="s">
        <v>537</v>
      </c>
      <c r="W44" t="s">
        <v>538</v>
      </c>
      <c r="X44" t="s">
        <v>539</v>
      </c>
      <c r="Y44" t="s">
        <v>540</v>
      </c>
      <c r="Z44" t="s">
        <v>541</v>
      </c>
      <c r="AA44" t="s">
        <v>166</v>
      </c>
      <c r="AB44" t="s">
        <v>542</v>
      </c>
      <c r="AC44" t="s">
        <v>639</v>
      </c>
      <c r="AD44" t="s">
        <v>640</v>
      </c>
      <c r="AE44" t="s">
        <v>641</v>
      </c>
    </row>
    <row r="45" spans="1:31">
      <c r="A45" s="156">
        <v>46101</v>
      </c>
      <c r="B45" s="112" t="s">
        <v>613</v>
      </c>
      <c r="C45" s="112">
        <v>345</v>
      </c>
      <c r="D45" s="112"/>
      <c r="E45" s="157">
        <f t="shared" si="6"/>
        <v>10024.588475342463</v>
      </c>
      <c r="H45" s="2" t="s">
        <v>1488</v>
      </c>
      <c r="I45" t="s">
        <v>1490</v>
      </c>
      <c r="J45" s="163">
        <v>4.2999999999999997E-2</v>
      </c>
      <c r="K45" s="2">
        <v>1400</v>
      </c>
      <c r="L45" s="2">
        <f>79.36-8.68</f>
        <v>70.680000000000007</v>
      </c>
      <c r="M45" s="2">
        <f t="shared" ref="M45:M51" si="7">L45+X45</f>
        <v>70.703561643835627</v>
      </c>
      <c r="N45" s="2">
        <f t="shared" ref="N45:N51" si="8">+M45*K45/100</f>
        <v>989.84986301369872</v>
      </c>
      <c r="O45" s="117">
        <v>46098</v>
      </c>
      <c r="P45" s="150"/>
      <c r="Q45" t="s">
        <v>563</v>
      </c>
      <c r="R45" t="s">
        <v>1500</v>
      </c>
      <c r="T45" s="201">
        <v>79.360600000000005</v>
      </c>
      <c r="U45" s="150">
        <v>3.7499999999999999E-2</v>
      </c>
      <c r="V45" t="s">
        <v>580</v>
      </c>
      <c r="W45" s="1">
        <v>46097</v>
      </c>
      <c r="X45" s="155">
        <f t="shared" ref="X45:X51" si="9">+J45*(O45-W45+1)/365*100</f>
        <v>2.3561643835616437E-2</v>
      </c>
      <c r="Y45" s="1">
        <v>45596</v>
      </c>
      <c r="AA45" s="1">
        <v>46675</v>
      </c>
      <c r="AB45" s="2">
        <v>70.55</v>
      </c>
      <c r="AC45" t="s">
        <v>1500</v>
      </c>
      <c r="AD45" t="s">
        <v>638</v>
      </c>
      <c r="AE45" t="s">
        <v>1501</v>
      </c>
    </row>
    <row r="46" spans="1:31">
      <c r="A46" s="156"/>
      <c r="B46" s="112"/>
      <c r="C46" s="112"/>
      <c r="D46" s="112"/>
      <c r="E46" s="157">
        <f t="shared" ref="E46:E50" si="10">+E45+C46-D46</f>
        <v>10024.588475342463</v>
      </c>
      <c r="H46" s="2" t="s">
        <v>1488</v>
      </c>
      <c r="I46" t="s">
        <v>1490</v>
      </c>
      <c r="J46" s="163">
        <v>4.2999999999999997E-2</v>
      </c>
      <c r="K46" s="2">
        <f>+K38-K45</f>
        <v>1118</v>
      </c>
      <c r="L46" s="2">
        <f>79.36-8.68</f>
        <v>70.680000000000007</v>
      </c>
      <c r="M46" s="2">
        <f t="shared" si="7"/>
        <v>70.703561643835627</v>
      </c>
      <c r="N46" s="2">
        <f t="shared" si="8"/>
        <v>790.46581917808226</v>
      </c>
      <c r="O46" s="117">
        <v>46098</v>
      </c>
      <c r="P46" s="150"/>
      <c r="Q46" t="s">
        <v>563</v>
      </c>
      <c r="R46" t="s">
        <v>1500</v>
      </c>
      <c r="T46" s="201">
        <v>79.360600000000005</v>
      </c>
      <c r="U46" s="150">
        <v>3.7499999999999999E-2</v>
      </c>
      <c r="V46" t="s">
        <v>580</v>
      </c>
      <c r="W46" s="1">
        <v>46097</v>
      </c>
      <c r="X46" s="155">
        <f t="shared" si="9"/>
        <v>2.3561643835616437E-2</v>
      </c>
      <c r="Y46" s="1">
        <v>45596</v>
      </c>
      <c r="AA46" s="1">
        <v>46675</v>
      </c>
      <c r="AB46" s="2">
        <v>70.55</v>
      </c>
      <c r="AC46" t="s">
        <v>1500</v>
      </c>
      <c r="AD46" t="s">
        <v>638</v>
      </c>
      <c r="AE46" t="s">
        <v>1502</v>
      </c>
    </row>
    <row r="47" spans="1:31">
      <c r="A47" s="156">
        <v>46106</v>
      </c>
      <c r="B47" s="112" t="s">
        <v>613</v>
      </c>
      <c r="C47" s="112">
        <v>94</v>
      </c>
      <c r="D47" s="112"/>
      <c r="E47" s="157">
        <f t="shared" si="10"/>
        <v>10118.588475342463</v>
      </c>
      <c r="H47" s="2" t="s">
        <v>1489</v>
      </c>
      <c r="I47" s="9" t="s">
        <v>1491</v>
      </c>
      <c r="J47" s="163">
        <v>4.2999999999999997E-2</v>
      </c>
      <c r="K47" s="2">
        <v>1300</v>
      </c>
      <c r="L47" s="2">
        <f>86.15-10.28</f>
        <v>75.87</v>
      </c>
      <c r="M47" s="2">
        <f t="shared" si="7"/>
        <v>75.893561643835625</v>
      </c>
      <c r="N47" s="2">
        <f t="shared" si="8"/>
        <v>986.61630136986309</v>
      </c>
      <c r="O47" s="117">
        <v>46098</v>
      </c>
      <c r="P47" s="150"/>
      <c r="Q47" t="s">
        <v>563</v>
      </c>
      <c r="R47" t="s">
        <v>1500</v>
      </c>
      <c r="T47" s="201">
        <v>86.149699999999996</v>
      </c>
      <c r="U47" s="150">
        <v>3.7565000000000001E-2</v>
      </c>
      <c r="V47" t="s">
        <v>580</v>
      </c>
      <c r="W47" s="1">
        <v>46097</v>
      </c>
      <c r="X47" s="155">
        <f t="shared" si="9"/>
        <v>2.3561643835616437E-2</v>
      </c>
      <c r="Y47" s="1">
        <v>45611</v>
      </c>
      <c r="AA47" s="1">
        <v>46703</v>
      </c>
      <c r="AB47" s="2">
        <v>75.72</v>
      </c>
      <c r="AC47" t="s">
        <v>1500</v>
      </c>
      <c r="AD47" t="s">
        <v>638</v>
      </c>
      <c r="AE47" t="s">
        <v>1503</v>
      </c>
    </row>
    <row r="48" spans="1:31">
      <c r="E48" s="3">
        <f t="shared" si="10"/>
        <v>10118.588475342463</v>
      </c>
      <c r="F48" s="346"/>
      <c r="H48" s="2" t="s">
        <v>1489</v>
      </c>
      <c r="I48" s="9" t="s">
        <v>1491</v>
      </c>
      <c r="J48" s="163">
        <v>4.2999999999999997E-2</v>
      </c>
      <c r="K48" s="2">
        <v>1200</v>
      </c>
      <c r="L48" s="2">
        <f>86.15-10.28</f>
        <v>75.87</v>
      </c>
      <c r="M48" s="2">
        <f t="shared" si="7"/>
        <v>75.893561643835625</v>
      </c>
      <c r="N48" s="2">
        <f t="shared" si="8"/>
        <v>910.7227397260275</v>
      </c>
      <c r="O48" s="117">
        <v>46098</v>
      </c>
      <c r="P48" s="150"/>
      <c r="Q48" t="s">
        <v>563</v>
      </c>
      <c r="R48" t="s">
        <v>1500</v>
      </c>
      <c r="T48" s="201">
        <v>86.149699999999996</v>
      </c>
      <c r="U48" s="150">
        <v>3.7565000000000001E-2</v>
      </c>
      <c r="V48" t="s">
        <v>580</v>
      </c>
      <c r="W48" s="1">
        <v>46097</v>
      </c>
      <c r="X48" s="155">
        <f t="shared" si="9"/>
        <v>2.3561643835616437E-2</v>
      </c>
      <c r="Y48" s="1">
        <v>45611</v>
      </c>
      <c r="AA48" s="1">
        <v>46703</v>
      </c>
      <c r="AB48" s="2">
        <v>75.72</v>
      </c>
      <c r="AC48" t="s">
        <v>1500</v>
      </c>
      <c r="AD48" t="s">
        <v>638</v>
      </c>
      <c r="AE48" t="s">
        <v>1504</v>
      </c>
    </row>
    <row r="49" spans="1:34">
      <c r="E49" s="3">
        <f t="shared" si="10"/>
        <v>10118.588475342463</v>
      </c>
      <c r="H49" s="2" t="s">
        <v>1489</v>
      </c>
      <c r="I49" s="9" t="s">
        <v>1491</v>
      </c>
      <c r="J49" s="163">
        <v>4.2999999999999997E-2</v>
      </c>
      <c r="K49" s="2">
        <f>K39-K47-K48</f>
        <v>500</v>
      </c>
      <c r="L49" s="2">
        <f>86.15-10.28</f>
        <v>75.87</v>
      </c>
      <c r="M49" s="2">
        <f t="shared" si="7"/>
        <v>75.893561643835625</v>
      </c>
      <c r="N49" s="2">
        <f t="shared" si="8"/>
        <v>379.4678082191781</v>
      </c>
      <c r="O49" s="117">
        <v>46098</v>
      </c>
      <c r="P49" s="150"/>
      <c r="Q49" t="s">
        <v>563</v>
      </c>
      <c r="R49" t="s">
        <v>1500</v>
      </c>
      <c r="T49" s="201">
        <v>86.149699999999996</v>
      </c>
      <c r="U49" s="150">
        <v>3.7565000000000001E-2</v>
      </c>
      <c r="V49" t="s">
        <v>580</v>
      </c>
      <c r="W49" s="1">
        <v>46097</v>
      </c>
      <c r="X49" s="155">
        <f t="shared" si="9"/>
        <v>2.3561643835616437E-2</v>
      </c>
      <c r="Y49" s="1">
        <v>45611</v>
      </c>
      <c r="AA49" s="1">
        <v>46703</v>
      </c>
      <c r="AB49" s="2">
        <v>75.72</v>
      </c>
      <c r="AC49" t="s">
        <v>1500</v>
      </c>
      <c r="AD49" t="s">
        <v>638</v>
      </c>
      <c r="AE49" t="s">
        <v>1505</v>
      </c>
    </row>
    <row r="50" spans="1:34">
      <c r="A50" s="156">
        <v>46108</v>
      </c>
      <c r="B50" s="112" t="s">
        <v>613</v>
      </c>
      <c r="C50" s="112">
        <v>514</v>
      </c>
      <c r="D50" s="112"/>
      <c r="E50" s="157">
        <f t="shared" si="10"/>
        <v>10632.588475342463</v>
      </c>
      <c r="H50" s="2" t="s">
        <v>1489</v>
      </c>
      <c r="I50" s="9" t="s">
        <v>1491</v>
      </c>
      <c r="J50" s="163">
        <v>4.2999999999999997E-2</v>
      </c>
      <c r="K50" s="2">
        <v>700</v>
      </c>
      <c r="L50" s="2">
        <f>86.15-10.28</f>
        <v>75.87</v>
      </c>
      <c r="M50" s="2">
        <f t="shared" si="7"/>
        <v>75.905342465753435</v>
      </c>
      <c r="N50" s="2">
        <f t="shared" si="8"/>
        <v>531.33739726027397</v>
      </c>
      <c r="O50" s="117">
        <v>46099</v>
      </c>
      <c r="P50" s="150"/>
      <c r="Q50" t="s">
        <v>553</v>
      </c>
      <c r="R50" t="s">
        <v>593</v>
      </c>
      <c r="T50" s="201">
        <v>75.865499999999997</v>
      </c>
      <c r="U50" s="150">
        <v>3.7565000000000001E-2</v>
      </c>
      <c r="V50" t="s">
        <v>580</v>
      </c>
      <c r="W50" s="1">
        <v>46097</v>
      </c>
      <c r="X50" s="155">
        <f t="shared" si="9"/>
        <v>3.5342465753424659E-2</v>
      </c>
      <c r="Y50" s="1">
        <v>45611</v>
      </c>
      <c r="AA50" s="1">
        <v>46703</v>
      </c>
      <c r="AB50" s="2">
        <v>75.72</v>
      </c>
      <c r="AC50" t="s">
        <v>1500</v>
      </c>
      <c r="AD50" t="s">
        <v>638</v>
      </c>
      <c r="AE50" t="s">
        <v>1522</v>
      </c>
    </row>
    <row r="51" spans="1:34">
      <c r="A51" s="156"/>
      <c r="B51" s="112"/>
      <c r="C51" s="112"/>
      <c r="D51" s="112"/>
      <c r="E51" s="157">
        <f t="shared" ref="E51:E74" si="11">+E50+C51-D51</f>
        <v>10632.588475342463</v>
      </c>
      <c r="H51" s="2" t="s">
        <v>1489</v>
      </c>
      <c r="I51" s="9" t="s">
        <v>1491</v>
      </c>
      <c r="J51" s="163">
        <v>4.2999999999999997E-2</v>
      </c>
      <c r="K51" s="2">
        <f>+K40-K50</f>
        <v>685</v>
      </c>
      <c r="L51" s="2">
        <f>86.15-10.28</f>
        <v>75.87</v>
      </c>
      <c r="M51" s="2">
        <f t="shared" si="7"/>
        <v>75.905342465753435</v>
      </c>
      <c r="N51" s="2">
        <f t="shared" si="8"/>
        <v>519.951595890411</v>
      </c>
      <c r="O51" s="117">
        <v>46099</v>
      </c>
      <c r="P51" s="150"/>
      <c r="Q51" t="s">
        <v>479</v>
      </c>
      <c r="R51" t="s">
        <v>593</v>
      </c>
      <c r="T51" s="201">
        <v>75.865499999999997</v>
      </c>
      <c r="U51" s="150">
        <v>3.7565000000000001E-2</v>
      </c>
      <c r="V51" t="s">
        <v>580</v>
      </c>
      <c r="W51" s="1">
        <v>46097</v>
      </c>
      <c r="X51" s="155">
        <f t="shared" si="9"/>
        <v>3.5342465753424659E-2</v>
      </c>
      <c r="Y51" s="1">
        <v>45611</v>
      </c>
      <c r="AA51" s="1">
        <v>46703</v>
      </c>
      <c r="AB51" s="2">
        <v>75.72</v>
      </c>
      <c r="AC51" t="s">
        <v>1500</v>
      </c>
      <c r="AD51" t="s">
        <v>638</v>
      </c>
      <c r="AE51" t="s">
        <v>1523</v>
      </c>
    </row>
    <row r="52" spans="1:34">
      <c r="A52" s="156">
        <v>46108</v>
      </c>
      <c r="B52" s="116" t="s">
        <v>1594</v>
      </c>
      <c r="C52" s="112"/>
      <c r="D52" s="112">
        <v>1006</v>
      </c>
      <c r="E52" s="157">
        <f t="shared" si="11"/>
        <v>9626.5884753424634</v>
      </c>
      <c r="F52" s="3" t="s">
        <v>1670</v>
      </c>
      <c r="P52" s="150"/>
      <c r="Q52" t="s">
        <v>479</v>
      </c>
      <c r="R52" t="s">
        <v>593</v>
      </c>
      <c r="T52" s="117">
        <v>46106</v>
      </c>
      <c r="U52" s="150"/>
      <c r="W52" s="1"/>
      <c r="X52" s="155">
        <f>+J72*(O71-W52+1)/365*100</f>
        <v>0</v>
      </c>
      <c r="Y52" s="1"/>
      <c r="AA52" s="1"/>
      <c r="AB52">
        <v>100</v>
      </c>
    </row>
    <row r="53" spans="1:34">
      <c r="A53" s="156">
        <v>46108</v>
      </c>
      <c r="B53" s="116" t="s">
        <v>1595</v>
      </c>
      <c r="C53" s="112"/>
      <c r="D53" s="112">
        <v>1500</v>
      </c>
      <c r="E53" s="407">
        <v>8170</v>
      </c>
      <c r="F53" s="3" t="s">
        <v>1669</v>
      </c>
      <c r="H53" t="s">
        <v>17</v>
      </c>
      <c r="I53" s="9" t="s">
        <v>525</v>
      </c>
      <c r="J53" s="9" t="s">
        <v>543</v>
      </c>
      <c r="K53" s="2" t="s">
        <v>526</v>
      </c>
      <c r="L53" t="s">
        <v>527</v>
      </c>
      <c r="M53" t="s">
        <v>528</v>
      </c>
      <c r="N53" t="s">
        <v>529</v>
      </c>
      <c r="O53" t="s">
        <v>530</v>
      </c>
      <c r="P53" t="s">
        <v>532</v>
      </c>
      <c r="Q53" t="s">
        <v>533</v>
      </c>
      <c r="R53" t="s">
        <v>534</v>
      </c>
      <c r="S53" t="s">
        <v>535</v>
      </c>
      <c r="T53" t="s">
        <v>555</v>
      </c>
      <c r="U53" t="s">
        <v>536</v>
      </c>
      <c r="V53" t="s">
        <v>537</v>
      </c>
      <c r="W53" t="s">
        <v>538</v>
      </c>
      <c r="X53" t="s">
        <v>539</v>
      </c>
      <c r="Y53" t="s">
        <v>540</v>
      </c>
      <c r="Z53" t="s">
        <v>541</v>
      </c>
      <c r="AA53" t="s">
        <v>166</v>
      </c>
      <c r="AB53" t="s">
        <v>542</v>
      </c>
      <c r="AC53" t="s">
        <v>639</v>
      </c>
      <c r="AD53" t="s">
        <v>640</v>
      </c>
      <c r="AE53" t="s">
        <v>641</v>
      </c>
      <c r="AF53" t="s">
        <v>1572</v>
      </c>
      <c r="AG53" t="s">
        <v>1573</v>
      </c>
      <c r="AH53" t="s">
        <v>1574</v>
      </c>
    </row>
    <row r="54" spans="1:34">
      <c r="A54" s="156">
        <v>46111</v>
      </c>
      <c r="B54" s="112" t="s">
        <v>613</v>
      </c>
      <c r="C54" s="112">
        <v>182</v>
      </c>
      <c r="D54" s="112"/>
      <c r="E54" s="157">
        <f t="shared" si="11"/>
        <v>8352</v>
      </c>
      <c r="H54" s="2" t="s">
        <v>1594</v>
      </c>
      <c r="I54" t="s">
        <v>1655</v>
      </c>
      <c r="J54" s="163">
        <v>3.3000000000000002E-2</v>
      </c>
      <c r="K54" s="2">
        <v>1000</v>
      </c>
      <c r="L54" s="282">
        <f>AH54</f>
        <v>100.55500000000001</v>
      </c>
      <c r="M54" s="2">
        <f>L54+X54</f>
        <v>100.57308219178083</v>
      </c>
      <c r="N54" s="2">
        <f>+M54*K54/100</f>
        <v>1005.7308219178082</v>
      </c>
      <c r="O54" s="117">
        <v>46108</v>
      </c>
      <c r="P54" s="150"/>
      <c r="Q54" t="s">
        <v>563</v>
      </c>
      <c r="R54" t="s">
        <v>1500</v>
      </c>
      <c r="T54" s="201">
        <v>100.54819999999999</v>
      </c>
      <c r="U54" s="150">
        <v>2.9399999999999999E-2</v>
      </c>
      <c r="V54" t="s">
        <v>580</v>
      </c>
      <c r="W54" s="1">
        <v>46107</v>
      </c>
      <c r="X54" s="155">
        <f>+J54*(O54-W54+1)/365*100</f>
        <v>1.8082191780821918E-2</v>
      </c>
      <c r="Y54" s="1">
        <v>45909</v>
      </c>
      <c r="AA54" s="1">
        <v>46686</v>
      </c>
      <c r="AB54" s="2">
        <v>100</v>
      </c>
      <c r="AC54" t="s">
        <v>1653</v>
      </c>
      <c r="AD54" t="s">
        <v>1654</v>
      </c>
      <c r="AE54" t="str">
        <f>H54&amp;"["&amp;I54&amp;"]，"&amp;K54&amp;"w，"&amp;L54&amp;"，"&amp;TEXT(O54,"m月d日")&amp;"，"&amp;AC54&amp;" to "&amp;AD54</f>
        <v>诚惠3B[266186.SH]，1000w，100.555，3月27日，天风证券 唐德婷qt 2885078648 to 苏信Z2501 徐健 qt455768073</v>
      </c>
      <c r="AF54">
        <v>100.54</v>
      </c>
      <c r="AG54">
        <f>+AF54+0.005</f>
        <v>100.545</v>
      </c>
      <c r="AH54" s="345">
        <f>+AG54+0.01</f>
        <v>100.55500000000001</v>
      </c>
    </row>
    <row r="55" spans="1:34">
      <c r="A55" s="156"/>
      <c r="B55" s="112"/>
      <c r="C55" s="112"/>
      <c r="D55" s="112"/>
      <c r="E55" s="157">
        <f t="shared" si="11"/>
        <v>8352</v>
      </c>
      <c r="H55" s="2" t="s">
        <v>1595</v>
      </c>
      <c r="I55" t="s">
        <v>1656</v>
      </c>
      <c r="J55" s="163">
        <v>3.3000000000000002E-2</v>
      </c>
      <c r="K55" s="2">
        <v>1500</v>
      </c>
      <c r="L55" s="282">
        <f>AH55</f>
        <v>100.217</v>
      </c>
      <c r="M55" s="2">
        <f>L55+X55</f>
        <v>100.60576712328766</v>
      </c>
      <c r="N55" s="2">
        <f>+M55*K55/100</f>
        <v>1509.0865068493149</v>
      </c>
      <c r="O55" s="117">
        <v>46108</v>
      </c>
      <c r="P55" s="150"/>
      <c r="Q55" t="s">
        <v>563</v>
      </c>
      <c r="R55" t="s">
        <v>1500</v>
      </c>
      <c r="T55" s="201">
        <v>100.2092</v>
      </c>
      <c r="U55" s="150">
        <v>3.2599999999999997E-2</v>
      </c>
      <c r="V55" t="s">
        <v>579</v>
      </c>
      <c r="W55" s="1">
        <v>46066</v>
      </c>
      <c r="X55" s="155">
        <f>+J55*(O55-W55+1)/365*100</f>
        <v>0.38876712328767121</v>
      </c>
      <c r="Y55" s="1">
        <v>46066</v>
      </c>
      <c r="AA55" s="1">
        <v>47154</v>
      </c>
      <c r="AB55" s="2">
        <v>100</v>
      </c>
      <c r="AC55" t="s">
        <v>1653</v>
      </c>
      <c r="AD55" t="s">
        <v>1654</v>
      </c>
      <c r="AE55" t="str">
        <f>H55&amp;"["&amp;I55&amp;"]，"&amp;K55&amp;"w，"&amp;L55&amp;"，"&amp;TEXT(O55,"m月d日")&amp;"，"&amp;AC55&amp;" to "&amp;AD55</f>
        <v>小鹏5B[500446.SZ]，1500w，100.217，3月27日，天风证券 唐德婷qt 2885078648 to 苏信Z2501 徐健 qt455768073</v>
      </c>
      <c r="AF55">
        <v>100.202</v>
      </c>
      <c r="AG55">
        <f>+AF55+0.005</f>
        <v>100.20699999999999</v>
      </c>
      <c r="AH55" s="345">
        <f>+AG55+0.01</f>
        <v>100.217</v>
      </c>
    </row>
    <row r="56" spans="1:34">
      <c r="A56" s="156">
        <v>46112</v>
      </c>
      <c r="B56" s="112" t="s">
        <v>1302</v>
      </c>
      <c r="C56" s="112"/>
      <c r="D56" s="112">
        <v>1002</v>
      </c>
      <c r="E56" s="157">
        <f t="shared" si="11"/>
        <v>7350</v>
      </c>
      <c r="L56" s="2"/>
    </row>
    <row r="57" spans="1:34">
      <c r="A57" s="156"/>
      <c r="B57" s="112"/>
      <c r="C57" s="112"/>
      <c r="D57" s="112"/>
      <c r="E57" s="157">
        <f t="shared" si="11"/>
        <v>7350</v>
      </c>
    </row>
    <row r="58" spans="1:34">
      <c r="A58" s="156"/>
      <c r="B58" s="112"/>
      <c r="C58" s="112"/>
      <c r="D58" s="112"/>
      <c r="E58" s="113">
        <f>+E57+C58-D58</f>
        <v>7350</v>
      </c>
      <c r="F58" s="201" t="s">
        <v>1709</v>
      </c>
      <c r="T58" s="282"/>
      <c r="U58" s="282"/>
    </row>
    <row r="59" spans="1:34">
      <c r="A59" s="156"/>
      <c r="B59" s="112"/>
      <c r="C59" s="112"/>
      <c r="D59" s="112"/>
      <c r="E59" s="113">
        <f>+E58+C59-D59</f>
        <v>7350</v>
      </c>
      <c r="F59" s="201"/>
      <c r="T59" s="282"/>
      <c r="U59" s="282"/>
    </row>
    <row r="60" spans="1:34">
      <c r="A60" s="156"/>
      <c r="B60" s="112"/>
      <c r="C60" s="112"/>
      <c r="D60" s="112"/>
      <c r="E60" s="407">
        <v>7369</v>
      </c>
      <c r="F60" s="201"/>
      <c r="T60" s="282"/>
      <c r="U60" s="282"/>
    </row>
    <row r="61" spans="1:34">
      <c r="A61" s="156">
        <v>46127</v>
      </c>
      <c r="B61" s="112" t="s">
        <v>613</v>
      </c>
      <c r="C61" s="112">
        <v>1727</v>
      </c>
      <c r="D61" s="112"/>
      <c r="E61" s="113">
        <f t="shared" ref="E61:E69" si="12">+E60+C61-D61</f>
        <v>9096</v>
      </c>
      <c r="F61" s="201"/>
      <c r="H61" s="169" t="s">
        <v>1879</v>
      </c>
      <c r="T61" s="117">
        <v>46125</v>
      </c>
      <c r="U61" s="282"/>
    </row>
    <row r="62" spans="1:34">
      <c r="A62" s="156">
        <v>46128</v>
      </c>
      <c r="B62" s="112" t="s">
        <v>531</v>
      </c>
      <c r="C62" s="112">
        <v>2691</v>
      </c>
      <c r="D62" s="112"/>
      <c r="E62" s="113">
        <f t="shared" ref="E62:E68" si="13">+E61+C62-D62</f>
        <v>11787</v>
      </c>
      <c r="F62" s="201"/>
      <c r="H62" t="s">
        <v>17</v>
      </c>
      <c r="I62" s="9" t="s">
        <v>525</v>
      </c>
      <c r="J62" s="9" t="s">
        <v>543</v>
      </c>
      <c r="K62" s="2" t="s">
        <v>526</v>
      </c>
      <c r="L62" t="s">
        <v>527</v>
      </c>
      <c r="M62" t="s">
        <v>528</v>
      </c>
      <c r="N62" t="s">
        <v>529</v>
      </c>
      <c r="O62" t="s">
        <v>530</v>
      </c>
      <c r="P62" t="s">
        <v>532</v>
      </c>
      <c r="Q62" t="s">
        <v>533</v>
      </c>
      <c r="R62" t="s">
        <v>534</v>
      </c>
      <c r="S62" t="s">
        <v>535</v>
      </c>
      <c r="T62" t="s">
        <v>555</v>
      </c>
      <c r="U62" t="s">
        <v>536</v>
      </c>
      <c r="V62" t="s">
        <v>537</v>
      </c>
      <c r="W62" t="s">
        <v>538</v>
      </c>
      <c r="X62" t="s">
        <v>539</v>
      </c>
      <c r="Y62" t="s">
        <v>540</v>
      </c>
      <c r="Z62" t="s">
        <v>541</v>
      </c>
      <c r="AA62" t="s">
        <v>166</v>
      </c>
      <c r="AB62" t="s">
        <v>542</v>
      </c>
      <c r="AC62" t="s">
        <v>639</v>
      </c>
      <c r="AD62" t="s">
        <v>640</v>
      </c>
      <c r="AE62" t="s">
        <v>641</v>
      </c>
    </row>
    <row r="63" spans="1:34">
      <c r="A63" s="156">
        <v>46128</v>
      </c>
      <c r="B63" s="112"/>
      <c r="C63" s="112"/>
      <c r="D63" s="112"/>
      <c r="E63" s="113">
        <f t="shared" si="13"/>
        <v>11787</v>
      </c>
      <c r="F63" s="201"/>
      <c r="H63" s="2" t="s">
        <v>87</v>
      </c>
      <c r="I63" t="s">
        <v>1878</v>
      </c>
      <c r="J63" s="163">
        <v>4.3999999999999997E-2</v>
      </c>
      <c r="K63" s="2">
        <v>300</v>
      </c>
      <c r="L63" s="2">
        <v>101.42</v>
      </c>
      <c r="M63" s="2">
        <f>L63+X63</f>
        <v>101.68520547945205</v>
      </c>
      <c r="N63" s="2">
        <f>+M63*K63/100</f>
        <v>305.05561643835614</v>
      </c>
      <c r="O63" s="117">
        <v>46128</v>
      </c>
      <c r="P63" s="150">
        <v>2.8000000000000001E-2</v>
      </c>
      <c r="Q63" t="s">
        <v>563</v>
      </c>
      <c r="R63" t="s">
        <v>1500</v>
      </c>
      <c r="T63" s="201">
        <v>101.42</v>
      </c>
      <c r="U63" s="150">
        <v>2.8000000000000001E-2</v>
      </c>
      <c r="V63" t="s">
        <v>579</v>
      </c>
      <c r="W63" s="1">
        <v>46107</v>
      </c>
      <c r="X63" s="155">
        <f>AB63*J63*(O63-W63+1)/365</f>
        <v>0.26520547945205475</v>
      </c>
      <c r="Y63" s="1">
        <v>45624</v>
      </c>
      <c r="Z63" s="1"/>
      <c r="AA63" s="1">
        <v>46503</v>
      </c>
      <c r="AB63" s="2">
        <v>100</v>
      </c>
      <c r="AC63" t="s">
        <v>1881</v>
      </c>
      <c r="AD63" t="s">
        <v>638</v>
      </c>
      <c r="AE63" t="str">
        <f>H63&amp;"["&amp;I63&amp;"]，"&amp;K63&amp;"w，"&amp;L63&amp;"，"&amp;TEXT(O63,"m月d日")&amp;"，"&amp;AC63&amp;" to "&amp;AD63</f>
        <v>诚惠1B[263867.SH]，300w，101.42，4月16日，【】 to 苏信Z2501</v>
      </c>
    </row>
    <row r="64" spans="1:34">
      <c r="A64" s="156">
        <v>46128</v>
      </c>
      <c r="B64" s="112" t="s">
        <v>1854</v>
      </c>
      <c r="C64" s="112"/>
      <c r="D64" s="112">
        <v>305</v>
      </c>
      <c r="E64" s="113">
        <f t="shared" si="13"/>
        <v>11482</v>
      </c>
      <c r="F64" s="400" t="s">
        <v>1885</v>
      </c>
      <c r="H64" s="2"/>
      <c r="T64" s="282"/>
      <c r="U64" s="282"/>
    </row>
    <row r="65" spans="1:31">
      <c r="A65" s="156"/>
      <c r="B65" s="112"/>
      <c r="C65" s="112"/>
      <c r="D65" s="112"/>
      <c r="E65" s="113">
        <f t="shared" si="13"/>
        <v>11482</v>
      </c>
      <c r="F65" s="109"/>
      <c r="T65" s="282"/>
      <c r="U65" s="282"/>
    </row>
    <row r="66" spans="1:31">
      <c r="A66" s="156"/>
      <c r="B66" s="112"/>
      <c r="C66" s="112"/>
      <c r="D66" s="112"/>
      <c r="E66" s="113">
        <f t="shared" si="13"/>
        <v>11482</v>
      </c>
      <c r="F66" s="201"/>
      <c r="H66" s="169" t="s">
        <v>1914</v>
      </c>
      <c r="T66" s="117">
        <v>46126</v>
      </c>
      <c r="U66" s="282"/>
    </row>
    <row r="67" spans="1:31">
      <c r="A67" s="156"/>
      <c r="B67" s="112"/>
      <c r="C67" s="112"/>
      <c r="D67" s="112"/>
      <c r="E67" s="113">
        <f t="shared" si="13"/>
        <v>11482</v>
      </c>
      <c r="H67" t="s">
        <v>17</v>
      </c>
      <c r="I67" s="9" t="s">
        <v>525</v>
      </c>
      <c r="J67" s="9" t="s">
        <v>543</v>
      </c>
      <c r="K67" s="2" t="s">
        <v>526</v>
      </c>
      <c r="L67" t="s">
        <v>527</v>
      </c>
      <c r="M67" t="s">
        <v>528</v>
      </c>
      <c r="N67" t="s">
        <v>529</v>
      </c>
      <c r="O67" t="s">
        <v>530</v>
      </c>
      <c r="P67" t="s">
        <v>532</v>
      </c>
      <c r="Q67" t="s">
        <v>533</v>
      </c>
      <c r="R67" t="s">
        <v>534</v>
      </c>
      <c r="S67" t="s">
        <v>535</v>
      </c>
      <c r="T67" t="s">
        <v>555</v>
      </c>
      <c r="U67" t="s">
        <v>536</v>
      </c>
      <c r="V67" t="s">
        <v>537</v>
      </c>
      <c r="W67" t="s">
        <v>538</v>
      </c>
      <c r="X67" t="s">
        <v>539</v>
      </c>
      <c r="Y67" t="s">
        <v>540</v>
      </c>
      <c r="Z67" t="s">
        <v>541</v>
      </c>
      <c r="AA67" t="s">
        <v>166</v>
      </c>
      <c r="AB67" t="s">
        <v>542</v>
      </c>
      <c r="AC67" t="s">
        <v>639</v>
      </c>
      <c r="AD67" t="s">
        <v>640</v>
      </c>
      <c r="AE67" t="s">
        <v>641</v>
      </c>
    </row>
    <row r="68" spans="1:31">
      <c r="A68" s="156">
        <v>46133</v>
      </c>
      <c r="B68" s="112" t="s">
        <v>1687</v>
      </c>
      <c r="C68" s="112"/>
      <c r="D68" s="112">
        <v>700</v>
      </c>
      <c r="E68" s="113">
        <f t="shared" si="13"/>
        <v>10782</v>
      </c>
      <c r="F68" s="399" t="s">
        <v>816</v>
      </c>
      <c r="G68" s="201" t="s">
        <v>1915</v>
      </c>
      <c r="H68" s="2" t="s">
        <v>89</v>
      </c>
      <c r="I68" t="s">
        <v>1866</v>
      </c>
      <c r="J68" s="163">
        <v>4.2999999999999997E-2</v>
      </c>
      <c r="K68" s="2">
        <v>400</v>
      </c>
      <c r="L68" s="2">
        <f>+T68-7.84+0.005</f>
        <v>87.584599999999995</v>
      </c>
      <c r="M68" s="2">
        <f>L68+X68</f>
        <v>87.656617342465751</v>
      </c>
      <c r="N68" s="2">
        <f>+M68*K68/100</f>
        <v>350.62646936986295</v>
      </c>
      <c r="O68" s="117">
        <v>46133</v>
      </c>
      <c r="P68" s="150">
        <f>+U68</f>
        <v>3.7600000000000001E-2</v>
      </c>
      <c r="Q68" t="s">
        <v>563</v>
      </c>
      <c r="R68" t="s">
        <v>1500</v>
      </c>
      <c r="T68" s="201">
        <v>95.419600000000003</v>
      </c>
      <c r="U68" s="150">
        <v>3.7600000000000001E-2</v>
      </c>
      <c r="V68" t="s">
        <v>580</v>
      </c>
      <c r="W68" s="1">
        <v>46127</v>
      </c>
      <c r="X68" s="155">
        <f>AB68*J68*(O68-W68+1)/365</f>
        <v>7.201734246575342E-2</v>
      </c>
      <c r="Y68" s="1">
        <v>45678</v>
      </c>
      <c r="Z68" s="1">
        <v>46097</v>
      </c>
      <c r="AA68" s="1">
        <v>46736</v>
      </c>
      <c r="AB68" s="2">
        <v>87.33</v>
      </c>
      <c r="AC68" t="s">
        <v>1881</v>
      </c>
      <c r="AD68" t="s">
        <v>638</v>
      </c>
      <c r="AE68" t="str">
        <f>H68&amp;"["&amp;I68&amp;"]，"&amp;K68&amp;"w，"&amp;L68&amp;"，"&amp;TEXT(O68,"m月d日")&amp;"，"&amp;AC68&amp;" to "&amp;AD68</f>
        <v>朗煜1A3[264213.SH]，400w，87.5846，4月21日，【】 to 苏信Z2501</v>
      </c>
    </row>
    <row r="69" spans="1:31">
      <c r="A69" s="156"/>
      <c r="B69" s="116"/>
      <c r="C69" s="116"/>
      <c r="D69" s="455"/>
      <c r="E69" s="113">
        <f t="shared" si="12"/>
        <v>10782</v>
      </c>
    </row>
    <row r="70" spans="1:31">
      <c r="A70" s="156">
        <v>46134</v>
      </c>
      <c r="B70" s="116" t="s">
        <v>1989</v>
      </c>
      <c r="C70" s="116"/>
      <c r="D70" s="116">
        <v>500</v>
      </c>
      <c r="E70" s="157">
        <f t="shared" si="11"/>
        <v>10282</v>
      </c>
      <c r="F70" s="462" t="s">
        <v>2023</v>
      </c>
    </row>
    <row r="71" spans="1:31">
      <c r="A71" s="156">
        <v>46134</v>
      </c>
      <c r="B71" s="116" t="s">
        <v>613</v>
      </c>
      <c r="C71" s="116">
        <v>456</v>
      </c>
      <c r="D71" s="455"/>
      <c r="E71" s="157">
        <f>+E70+C71-D71</f>
        <v>10738</v>
      </c>
      <c r="O71" s="117"/>
    </row>
    <row r="72" spans="1:31">
      <c r="A72" s="156">
        <v>46136</v>
      </c>
      <c r="B72" s="116" t="s">
        <v>81</v>
      </c>
      <c r="C72" s="123">
        <v>2076.52</v>
      </c>
      <c r="D72" s="116"/>
      <c r="E72" s="157">
        <v>12823</v>
      </c>
      <c r="G72" s="337"/>
      <c r="H72" s="2"/>
      <c r="J72" s="334"/>
      <c r="K72" s="2"/>
      <c r="L72" s="2"/>
      <c r="N72" s="2"/>
    </row>
    <row r="73" spans="1:31">
      <c r="A73" s="156"/>
      <c r="B73" s="112"/>
      <c r="C73" s="480"/>
      <c r="D73" s="112"/>
      <c r="E73" s="157">
        <f t="shared" si="11"/>
        <v>12823</v>
      </c>
      <c r="N73" s="186"/>
    </row>
    <row r="74" spans="1:31">
      <c r="A74" s="156">
        <v>46139</v>
      </c>
      <c r="B74" s="112" t="s">
        <v>552</v>
      </c>
      <c r="C74" s="480">
        <f>2300*52.5188%</f>
        <v>1207.9323999999999</v>
      </c>
      <c r="D74" s="112"/>
      <c r="E74" s="157">
        <f t="shared" si="11"/>
        <v>14030.9324</v>
      </c>
      <c r="F74" s="479" t="s">
        <v>2209</v>
      </c>
    </row>
    <row r="75" spans="1:31">
      <c r="A75" s="156">
        <v>46140</v>
      </c>
      <c r="B75" s="116" t="s">
        <v>613</v>
      </c>
      <c r="C75" s="480">
        <v>1683</v>
      </c>
      <c r="D75" s="112"/>
      <c r="E75" s="157">
        <f t="shared" ref="E75:E81" si="14">+E74+C75-D75</f>
        <v>15713.9324</v>
      </c>
    </row>
    <row r="76" spans="1:31">
      <c r="A76" s="156">
        <v>46139</v>
      </c>
      <c r="B76" s="112" t="s">
        <v>2126</v>
      </c>
      <c r="C76" s="112"/>
      <c r="D76" s="112">
        <v>1000</v>
      </c>
      <c r="E76" s="157">
        <f t="shared" si="14"/>
        <v>14713.9324</v>
      </c>
      <c r="F76" s="399" t="s">
        <v>816</v>
      </c>
    </row>
    <row r="77" spans="1:31">
      <c r="A77" s="156"/>
      <c r="B77" s="116"/>
      <c r="C77" s="116"/>
      <c r="D77" s="455"/>
      <c r="E77" s="157">
        <f t="shared" si="14"/>
        <v>14713.9324</v>
      </c>
    </row>
    <row r="78" spans="1:31">
      <c r="A78" s="156">
        <v>46141</v>
      </c>
      <c r="B78" s="116" t="s">
        <v>2012</v>
      </c>
      <c r="C78" s="112"/>
      <c r="D78" s="112">
        <v>800</v>
      </c>
      <c r="E78" s="157">
        <f t="shared" si="14"/>
        <v>13913.9324</v>
      </c>
      <c r="F78" s="462" t="s">
        <v>2266</v>
      </c>
    </row>
    <row r="79" spans="1:31">
      <c r="A79" s="156"/>
      <c r="B79" s="112"/>
      <c r="C79" s="112"/>
      <c r="D79" s="112"/>
      <c r="E79" s="157">
        <f t="shared" si="14"/>
        <v>13913.9324</v>
      </c>
      <c r="G79" s="337"/>
      <c r="H79" s="2"/>
      <c r="J79" s="163"/>
      <c r="K79" s="2"/>
      <c r="L79" s="2"/>
      <c r="N79" s="2"/>
    </row>
    <row r="80" spans="1:31">
      <c r="A80" s="110">
        <v>46141</v>
      </c>
      <c r="B80" s="112" t="s">
        <v>1326</v>
      </c>
      <c r="C80" s="112"/>
      <c r="D80" s="112">
        <v>3500</v>
      </c>
      <c r="E80" s="157">
        <f t="shared" si="14"/>
        <v>10413.9324</v>
      </c>
      <c r="F80" s="399" t="s">
        <v>816</v>
      </c>
    </row>
    <row r="81" spans="1:12">
      <c r="A81" s="156">
        <v>46141</v>
      </c>
      <c r="B81" s="112" t="s">
        <v>2357</v>
      </c>
      <c r="C81" s="112">
        <v>7.63</v>
      </c>
      <c r="D81" s="112"/>
      <c r="E81" s="157">
        <f t="shared" si="14"/>
        <v>10421.562399999999</v>
      </c>
    </row>
    <row r="82" spans="1:12">
      <c r="A82" s="156"/>
      <c r="B82" s="112"/>
      <c r="C82" s="112"/>
      <c r="D82" s="112"/>
      <c r="E82" s="157">
        <f t="shared" ref="E82:E93" si="15">+E81+C82-D82</f>
        <v>10421.562399999999</v>
      </c>
    </row>
    <row r="83" spans="1:12">
      <c r="A83" s="156">
        <v>46153</v>
      </c>
      <c r="B83" s="112" t="s">
        <v>613</v>
      </c>
      <c r="C83" s="112">
        <v>16</v>
      </c>
      <c r="D83" s="112"/>
      <c r="E83" s="157">
        <f t="shared" si="15"/>
        <v>10437.562399999999</v>
      </c>
    </row>
    <row r="84" spans="1:12">
      <c r="A84" s="156">
        <v>46154</v>
      </c>
      <c r="B84" s="112" t="s">
        <v>2130</v>
      </c>
      <c r="C84" s="112"/>
      <c r="D84" s="112">
        <v>1500</v>
      </c>
      <c r="E84" s="157">
        <f t="shared" si="15"/>
        <v>8937.5623999999989</v>
      </c>
      <c r="F84" s="400" t="s">
        <v>2425</v>
      </c>
    </row>
    <row r="85" spans="1:12">
      <c r="A85" s="156"/>
      <c r="B85" s="112"/>
      <c r="C85" s="112"/>
      <c r="D85" s="112"/>
      <c r="E85" s="157">
        <f t="shared" si="15"/>
        <v>8937.5623999999989</v>
      </c>
    </row>
    <row r="86" spans="1:12">
      <c r="A86" s="156">
        <v>46157</v>
      </c>
      <c r="B86" s="112" t="s">
        <v>2454</v>
      </c>
      <c r="C86" s="112">
        <v>1562</v>
      </c>
      <c r="D86" s="112"/>
      <c r="E86" s="157">
        <f t="shared" si="15"/>
        <v>10499.562399999999</v>
      </c>
    </row>
    <row r="87" spans="1:12">
      <c r="A87" s="156">
        <v>46157</v>
      </c>
      <c r="B87" s="112" t="s">
        <v>571</v>
      </c>
      <c r="C87" s="112"/>
      <c r="D87" s="112">
        <f>12330*1.027-5350</f>
        <v>7312.909999999998</v>
      </c>
      <c r="E87" s="157">
        <f t="shared" si="15"/>
        <v>3186.6524000000009</v>
      </c>
    </row>
    <row r="88" spans="1:12">
      <c r="A88" s="156"/>
      <c r="B88" s="112"/>
      <c r="C88" s="112"/>
      <c r="D88" s="112"/>
      <c r="E88" s="157">
        <f t="shared" si="15"/>
        <v>3186.6524000000009</v>
      </c>
    </row>
    <row r="89" spans="1:12">
      <c r="A89" s="156">
        <v>46160</v>
      </c>
      <c r="B89" s="112" t="s">
        <v>2517</v>
      </c>
      <c r="C89" s="112"/>
      <c r="D89" s="112">
        <v>1000</v>
      </c>
      <c r="E89" s="157">
        <f t="shared" si="15"/>
        <v>2186.6524000000009</v>
      </c>
      <c r="F89" s="462" t="s">
        <v>2536</v>
      </c>
    </row>
    <row r="90" spans="1:12">
      <c r="E90" s="3">
        <f t="shared" si="15"/>
        <v>2186.6524000000009</v>
      </c>
    </row>
    <row r="91" spans="1:12">
      <c r="B91" s="325"/>
      <c r="C91" s="325"/>
      <c r="D91" s="325"/>
      <c r="E91" s="3">
        <f t="shared" si="15"/>
        <v>2186.6524000000009</v>
      </c>
      <c r="G91" t="s">
        <v>2303</v>
      </c>
    </row>
    <row r="92" spans="1:12">
      <c r="E92" s="3">
        <f t="shared" si="15"/>
        <v>2186.6524000000009</v>
      </c>
    </row>
    <row r="93" spans="1:12">
      <c r="E93" s="3">
        <f t="shared" si="15"/>
        <v>2186.6524000000009</v>
      </c>
    </row>
    <row r="94" spans="1:12">
      <c r="E94" s="3">
        <f t="shared" ref="E94:E97" si="16">+E93+C94-D94</f>
        <v>2186.6524000000009</v>
      </c>
      <c r="F94" t="s">
        <v>1206</v>
      </c>
      <c r="G94" s="3">
        <f>+(81529-6850)*0.1</f>
        <v>7467.9000000000005</v>
      </c>
    </row>
    <row r="95" spans="1:12">
      <c r="B95" t="s">
        <v>2292</v>
      </c>
      <c r="C95">
        <v>1000</v>
      </c>
      <c r="E95" s="3">
        <f t="shared" si="16"/>
        <v>3186.6524000000009</v>
      </c>
      <c r="I95" s="9" t="s">
        <v>1494</v>
      </c>
      <c r="J95" s="9" t="s">
        <v>2286</v>
      </c>
      <c r="K95" s="2">
        <v>2000</v>
      </c>
      <c r="L95" s="150">
        <v>3.1E-2</v>
      </c>
    </row>
    <row r="96" spans="1:12">
      <c r="E96" s="3">
        <f t="shared" si="16"/>
        <v>3186.6524000000009</v>
      </c>
      <c r="I96" s="9" t="s">
        <v>1494</v>
      </c>
      <c r="J96" s="9" t="s">
        <v>2259</v>
      </c>
      <c r="K96" s="2">
        <v>2000</v>
      </c>
      <c r="L96" s="150">
        <v>0.03</v>
      </c>
    </row>
    <row r="97" spans="2:12">
      <c r="B97" s="325"/>
      <c r="C97" s="325"/>
      <c r="D97" s="201"/>
      <c r="E97" s="3">
        <f t="shared" si="16"/>
        <v>3186.6524000000009</v>
      </c>
      <c r="I97" s="9" t="s">
        <v>1494</v>
      </c>
      <c r="J97" s="9" t="s">
        <v>2260</v>
      </c>
      <c r="K97" s="2">
        <v>2000</v>
      </c>
      <c r="L97" s="150">
        <v>3.2000000000000001E-2</v>
      </c>
    </row>
    <row r="98" spans="2:12">
      <c r="B98" s="201"/>
      <c r="C98" s="201"/>
      <c r="D98" s="201"/>
      <c r="E98" s="3">
        <f t="shared" ref="E98:E104" si="17">+E97+C98-D98</f>
        <v>3186.6524000000009</v>
      </c>
    </row>
    <row r="99" spans="2:12">
      <c r="B99" s="201"/>
      <c r="C99" s="201"/>
      <c r="D99" s="201"/>
      <c r="E99" s="3">
        <f t="shared" si="17"/>
        <v>3186.6524000000009</v>
      </c>
      <c r="K99" s="248">
        <f>SUM(K95:K97)</f>
        <v>6000</v>
      </c>
      <c r="L99" s="215">
        <f>SUMPRODUCT(L95:L97,K95:K97)/K99</f>
        <v>3.1E-2</v>
      </c>
    </row>
    <row r="100" spans="2:12">
      <c r="E100" s="3">
        <f t="shared" si="17"/>
        <v>3186.6524000000009</v>
      </c>
    </row>
    <row r="101" spans="2:12">
      <c r="B101" t="s">
        <v>2354</v>
      </c>
      <c r="D101">
        <v>3000</v>
      </c>
      <c r="E101" s="3">
        <f t="shared" si="17"/>
        <v>186.65240000000085</v>
      </c>
    </row>
    <row r="102" spans="2:12">
      <c r="E102" s="3">
        <f t="shared" si="17"/>
        <v>186.65240000000085</v>
      </c>
    </row>
    <row r="103" spans="2:12">
      <c r="E103" s="3">
        <f t="shared" si="17"/>
        <v>186.65240000000085</v>
      </c>
    </row>
    <row r="104" spans="2:12">
      <c r="E104" s="3">
        <f t="shared" si="17"/>
        <v>186.65240000000085</v>
      </c>
    </row>
  </sheetData>
  <phoneticPr fontId="6" type="noConversion"/>
  <conditionalFormatting sqref="E1:E1048576">
    <cfRule type="cellIs" dxfId="65" priority="1" operator="less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B3DE0-E022-43FE-9CCE-DE122CA847B4}">
  <sheetPr codeName="Sheet6"/>
  <dimension ref="A1:AK127"/>
  <sheetViews>
    <sheetView workbookViewId="0">
      <pane ySplit="2" topLeftCell="A84" activePane="bottomLeft" state="frozen"/>
      <selection pane="bottomLeft" activeCell="E1" sqref="E1:E1048576"/>
    </sheetView>
  </sheetViews>
  <sheetFormatPr defaultRowHeight="16.5"/>
  <cols>
    <col min="1" max="1" width="10" style="4" bestFit="1" customWidth="1"/>
    <col min="2" max="2" width="9.5" customWidth="1"/>
    <col min="3" max="3" width="7.75" customWidth="1"/>
    <col min="4" max="4" width="9.25" customWidth="1"/>
    <col min="5" max="5" width="8.75" style="3" bestFit="1" customWidth="1"/>
    <col min="8" max="8" width="11.125" bestFit="1" customWidth="1"/>
    <col min="9" max="9" width="10.25" style="2" bestFit="1" customWidth="1"/>
    <col min="10" max="10" width="9.875" style="9" bestFit="1" customWidth="1"/>
    <col min="11" max="11" width="10.875" style="9" customWidth="1"/>
    <col min="12" max="12" width="12.375" style="9" customWidth="1"/>
    <col min="13" max="13" width="10.25" style="2" bestFit="1" customWidth="1"/>
    <col min="14" max="14" width="11.25" customWidth="1"/>
    <col min="15" max="15" width="11.125" bestFit="1" customWidth="1"/>
    <col min="16" max="16" width="10.25" bestFit="1" customWidth="1"/>
    <col min="17" max="17" width="10" bestFit="1" customWidth="1"/>
    <col min="18" max="18" width="10.375" customWidth="1"/>
    <col min="19" max="19" width="10.125" customWidth="1"/>
    <col min="20" max="20" width="8.625" customWidth="1"/>
    <col min="21" max="21" width="10.25" customWidth="1"/>
    <col min="23" max="23" width="11.125" bestFit="1" customWidth="1"/>
    <col min="25" max="25" width="10.125" customWidth="1"/>
    <col min="26" max="26" width="11.25" bestFit="1" customWidth="1"/>
    <col min="27" max="27" width="11.5" customWidth="1"/>
    <col min="28" max="30" width="11.125" bestFit="1" customWidth="1"/>
  </cols>
  <sheetData>
    <row r="1" spans="1:33" ht="14.1" customHeight="1">
      <c r="A1" s="125"/>
      <c r="B1" s="10"/>
      <c r="C1" s="10"/>
      <c r="D1" s="10"/>
      <c r="E1" s="10"/>
    </row>
    <row r="2" spans="1:33">
      <c r="A2" s="4" t="s">
        <v>0</v>
      </c>
      <c r="B2" t="s">
        <v>1</v>
      </c>
      <c r="C2" t="s">
        <v>2</v>
      </c>
      <c r="D2" t="s">
        <v>3</v>
      </c>
      <c r="E2" s="3" t="s">
        <v>4</v>
      </c>
    </row>
    <row r="3" spans="1:33">
      <c r="A3" s="4">
        <v>46023</v>
      </c>
      <c r="E3" s="3">
        <v>202</v>
      </c>
    </row>
    <row r="4" spans="1:33">
      <c r="A4" s="211">
        <v>46031</v>
      </c>
      <c r="B4" s="112" t="s">
        <v>339</v>
      </c>
      <c r="C4" s="112"/>
      <c r="D4" s="112">
        <f>100*1.08648</f>
        <v>108.648</v>
      </c>
      <c r="E4" s="113">
        <f t="shared" ref="E4:E8" si="0">E3+C4-D4</f>
        <v>93.352000000000004</v>
      </c>
      <c r="F4" t="s">
        <v>473</v>
      </c>
    </row>
    <row r="5" spans="1:33">
      <c r="A5" s="211"/>
      <c r="B5" s="112"/>
      <c r="C5" s="112"/>
      <c r="D5" s="112"/>
      <c r="E5" s="113">
        <f t="shared" si="0"/>
        <v>93.352000000000004</v>
      </c>
    </row>
    <row r="6" spans="1:33">
      <c r="A6" s="211"/>
      <c r="B6" s="112"/>
      <c r="C6" s="112"/>
      <c r="D6" s="112"/>
      <c r="E6" s="113">
        <v>94</v>
      </c>
    </row>
    <row r="7" spans="1:33">
      <c r="A7" s="211"/>
      <c r="B7" s="126"/>
      <c r="C7" s="112"/>
      <c r="D7" s="112"/>
      <c r="E7" s="113">
        <f t="shared" si="0"/>
        <v>94</v>
      </c>
      <c r="F7" t="s">
        <v>324</v>
      </c>
      <c r="J7" s="9" t="s">
        <v>524</v>
      </c>
    </row>
    <row r="8" spans="1:33">
      <c r="A8" s="211"/>
      <c r="B8" s="112"/>
      <c r="C8" s="112"/>
      <c r="D8" s="112"/>
      <c r="E8" s="113">
        <f t="shared" si="0"/>
        <v>94</v>
      </c>
      <c r="F8" t="s">
        <v>324</v>
      </c>
      <c r="J8" t="s">
        <v>17</v>
      </c>
      <c r="K8" s="9" t="s">
        <v>525</v>
      </c>
      <c r="L8" s="9" t="s">
        <v>543</v>
      </c>
      <c r="M8" s="2" t="s">
        <v>526</v>
      </c>
      <c r="N8" t="s">
        <v>527</v>
      </c>
      <c r="O8" t="s">
        <v>528</v>
      </c>
      <c r="P8" t="s">
        <v>529</v>
      </c>
      <c r="Q8" t="s">
        <v>530</v>
      </c>
      <c r="R8" t="s">
        <v>532</v>
      </c>
      <c r="S8" t="s">
        <v>533</v>
      </c>
      <c r="T8" t="s">
        <v>534</v>
      </c>
      <c r="U8" t="s">
        <v>535</v>
      </c>
      <c r="V8" t="s">
        <v>595</v>
      </c>
      <c r="W8" t="s">
        <v>596</v>
      </c>
      <c r="X8" t="s">
        <v>536</v>
      </c>
      <c r="Y8" t="s">
        <v>537</v>
      </c>
      <c r="Z8" t="s">
        <v>538</v>
      </c>
      <c r="AA8" t="s">
        <v>539</v>
      </c>
      <c r="AB8" t="s">
        <v>540</v>
      </c>
      <c r="AC8" t="s">
        <v>541</v>
      </c>
      <c r="AD8" t="s">
        <v>166</v>
      </c>
      <c r="AE8" t="s">
        <v>542</v>
      </c>
    </row>
    <row r="9" spans="1:33">
      <c r="A9" s="211"/>
      <c r="B9" s="112"/>
      <c r="C9" s="112"/>
      <c r="D9" s="112"/>
      <c r="E9" s="113">
        <f>E8+C9-D9</f>
        <v>94</v>
      </c>
      <c r="J9" s="200" t="s">
        <v>842</v>
      </c>
      <c r="K9" s="9" t="s">
        <v>844</v>
      </c>
      <c r="L9" s="163">
        <v>7.0000000000000007E-2</v>
      </c>
      <c r="M9" s="2">
        <v>500</v>
      </c>
      <c r="O9">
        <f>ROUND(V9*(1+6.5%/365*(Q9-W9)),3)+U9</f>
        <v>103.616</v>
      </c>
      <c r="P9" s="165">
        <f>O9*M9/100</f>
        <v>518.08000000000004</v>
      </c>
      <c r="Q9" s="117">
        <v>46041</v>
      </c>
      <c r="R9" s="163">
        <v>7.0000000000000007E-2</v>
      </c>
      <c r="S9" t="s">
        <v>553</v>
      </c>
      <c r="T9" t="s">
        <v>594</v>
      </c>
      <c r="U9">
        <v>0.01</v>
      </c>
      <c r="V9">
        <v>103.5134</v>
      </c>
      <c r="W9" s="117">
        <v>46036</v>
      </c>
      <c r="X9" s="146">
        <v>7.0000000000000007E-2</v>
      </c>
    </row>
    <row r="10" spans="1:33">
      <c r="A10" s="156"/>
      <c r="B10" s="112"/>
      <c r="C10" s="112"/>
      <c r="D10" s="112"/>
      <c r="E10" s="113">
        <f>E9+C10-D10</f>
        <v>94</v>
      </c>
      <c r="J10" s="9" t="s">
        <v>547</v>
      </c>
      <c r="K10" s="152" t="s">
        <v>829</v>
      </c>
      <c r="L10" s="151">
        <v>6.5000000000000002E-2</v>
      </c>
      <c r="M10" s="2">
        <v>300</v>
      </c>
      <c r="O10">
        <f>ROUND(V10*(1+6.5%/365*(Q10-W10)),3)+U10</f>
        <v>102.68900000000001</v>
      </c>
      <c r="P10" s="165">
        <f>O10*M10/100</f>
        <v>308.06700000000001</v>
      </c>
      <c r="Q10" s="117">
        <v>46041</v>
      </c>
      <c r="R10" s="163">
        <v>6.6400000000000001E-2</v>
      </c>
      <c r="S10" t="s">
        <v>553</v>
      </c>
      <c r="T10" t="s">
        <v>594</v>
      </c>
      <c r="U10">
        <v>0.01</v>
      </c>
      <c r="V10">
        <v>102.5881</v>
      </c>
      <c r="W10" s="117">
        <v>46036</v>
      </c>
      <c r="X10" s="150">
        <v>6.6500000000000004E-2</v>
      </c>
      <c r="Z10" s="117" t="s">
        <v>597</v>
      </c>
      <c r="AB10" s="1">
        <v>45888</v>
      </c>
      <c r="AC10" s="1">
        <v>46468</v>
      </c>
      <c r="AD10" s="1">
        <v>46590</v>
      </c>
      <c r="AE10">
        <v>100</v>
      </c>
      <c r="AF10" t="s">
        <v>556</v>
      </c>
      <c r="AG10" s="165"/>
    </row>
    <row r="11" spans="1:33">
      <c r="A11" s="156"/>
      <c r="B11" s="112"/>
      <c r="C11" s="112"/>
      <c r="D11" s="112"/>
      <c r="E11" s="157">
        <f t="shared" ref="E11:E14" si="1">+E10+C11-D11</f>
        <v>94</v>
      </c>
      <c r="J11" s="9" t="s">
        <v>548</v>
      </c>
      <c r="K11" s="9" t="s">
        <v>830</v>
      </c>
      <c r="L11" s="151">
        <v>4.7E-2</v>
      </c>
      <c r="M11" s="2">
        <v>1000</v>
      </c>
      <c r="N11">
        <v>38.56</v>
      </c>
      <c r="O11">
        <f>N11+U11+AA11</f>
        <v>38.594787671232879</v>
      </c>
      <c r="P11" s="165">
        <f t="shared" ref="P11:P16" si="2">O11*M11/100</f>
        <v>385.94787671232882</v>
      </c>
      <c r="Q11" s="117">
        <v>46041</v>
      </c>
      <c r="R11" s="163">
        <v>4.3999999999999997E-2</v>
      </c>
      <c r="S11" t="s">
        <v>553</v>
      </c>
      <c r="T11" t="s">
        <v>594</v>
      </c>
      <c r="U11">
        <v>0.01</v>
      </c>
      <c r="V11">
        <v>38.561999999999998</v>
      </c>
      <c r="W11" s="117">
        <v>46037</v>
      </c>
      <c r="X11" s="150">
        <v>3.8730000000000001E-2</v>
      </c>
      <c r="Y11" t="s">
        <v>580</v>
      </c>
      <c r="Z11" s="117">
        <v>46037</v>
      </c>
      <c r="AA11" s="155">
        <f>AE11*L11/365*(Q11-Z11+1)</f>
        <v>2.4787671232876715E-2</v>
      </c>
      <c r="AB11" s="1">
        <v>45439</v>
      </c>
      <c r="AC11" s="1">
        <v>45915</v>
      </c>
      <c r="AD11" s="1">
        <v>46310</v>
      </c>
      <c r="AE11">
        <v>38.5</v>
      </c>
      <c r="AF11" t="s">
        <v>557</v>
      </c>
      <c r="AG11" s="165">
        <f>(V11-N11)*M11*100</f>
        <v>199.99999999953388</v>
      </c>
    </row>
    <row r="12" spans="1:33">
      <c r="A12" s="156"/>
      <c r="B12" s="112"/>
      <c r="C12" s="112"/>
      <c r="D12" s="112"/>
      <c r="E12" s="157">
        <f t="shared" si="1"/>
        <v>94</v>
      </c>
      <c r="J12" s="9" t="s">
        <v>549</v>
      </c>
      <c r="K12" s="9" t="s">
        <v>828</v>
      </c>
      <c r="L12" s="151">
        <v>4.2999999999999997E-2</v>
      </c>
      <c r="M12" s="2">
        <v>2310</v>
      </c>
      <c r="N12">
        <v>80.650000000000006</v>
      </c>
      <c r="O12">
        <f>N12+U12+AA12</f>
        <v>80.70744726027398</v>
      </c>
      <c r="P12" s="165">
        <f t="shared" si="2"/>
        <v>1864.3420317123289</v>
      </c>
      <c r="Q12" s="117">
        <v>46041</v>
      </c>
      <c r="R12" s="163">
        <v>4.1000000000000002E-2</v>
      </c>
      <c r="S12" t="s">
        <v>553</v>
      </c>
      <c r="T12" t="s">
        <v>594</v>
      </c>
      <c r="U12">
        <v>0.01</v>
      </c>
      <c r="V12">
        <v>80.710300000000004</v>
      </c>
      <c r="W12" s="117">
        <v>46037</v>
      </c>
      <c r="X12" s="150">
        <v>3.95E-2</v>
      </c>
      <c r="Y12" t="s">
        <v>580</v>
      </c>
      <c r="Z12" s="117">
        <v>46037</v>
      </c>
      <c r="AA12" s="155">
        <f>AE12*L12/365*(Q12-Z12+1)</f>
        <v>4.7447260273972593E-2</v>
      </c>
      <c r="AB12" s="1">
        <v>45562</v>
      </c>
      <c r="AC12" s="1">
        <v>45976</v>
      </c>
      <c r="AD12" s="1">
        <v>46492</v>
      </c>
      <c r="AE12">
        <v>80.55</v>
      </c>
      <c r="AF12" t="s">
        <v>557</v>
      </c>
      <c r="AG12" s="165">
        <f>(V12-N12)*M12*100</f>
        <v>13929.299999999543</v>
      </c>
    </row>
    <row r="13" spans="1:33">
      <c r="A13" s="156">
        <v>46037</v>
      </c>
      <c r="B13" s="112" t="s">
        <v>619</v>
      </c>
      <c r="C13" s="112">
        <v>251</v>
      </c>
      <c r="D13" s="112"/>
      <c r="E13" s="157">
        <f t="shared" si="1"/>
        <v>345</v>
      </c>
      <c r="J13" s="9" t="s">
        <v>550</v>
      </c>
      <c r="K13" s="9" t="s">
        <v>831</v>
      </c>
      <c r="L13" s="151">
        <v>6.5000000000000002E-2</v>
      </c>
      <c r="M13" s="2">
        <v>1100</v>
      </c>
      <c r="O13">
        <v>103.41800000000001</v>
      </c>
      <c r="P13" s="165">
        <f t="shared" si="2"/>
        <v>1137.598</v>
      </c>
      <c r="Q13" s="117">
        <v>46045</v>
      </c>
      <c r="R13" s="163">
        <v>0.06</v>
      </c>
      <c r="S13" t="s">
        <v>499</v>
      </c>
      <c r="Z13" t="s">
        <v>597</v>
      </c>
      <c r="AB13" s="1">
        <v>45882</v>
      </c>
      <c r="AC13" s="1">
        <v>46976</v>
      </c>
      <c r="AD13" s="1">
        <v>46976</v>
      </c>
      <c r="AF13" t="s">
        <v>558</v>
      </c>
      <c r="AG13" s="165"/>
    </row>
    <row r="14" spans="1:33">
      <c r="A14" s="156">
        <v>46038</v>
      </c>
      <c r="B14" s="112" t="s">
        <v>531</v>
      </c>
      <c r="C14" s="112">
        <v>9089</v>
      </c>
      <c r="D14" s="112"/>
      <c r="E14" s="157">
        <f t="shared" si="1"/>
        <v>9434</v>
      </c>
      <c r="J14" s="9" t="s">
        <v>551</v>
      </c>
      <c r="K14" s="9" t="s">
        <v>832</v>
      </c>
      <c r="L14" s="151">
        <v>6.5000000000000002E-2</v>
      </c>
      <c r="M14" s="2">
        <v>1260</v>
      </c>
      <c r="O14">
        <v>102.825</v>
      </c>
      <c r="P14" s="165">
        <f t="shared" si="2"/>
        <v>1295.595</v>
      </c>
      <c r="Q14" s="117">
        <v>46045</v>
      </c>
      <c r="R14" s="163">
        <v>0.06</v>
      </c>
      <c r="S14" t="s">
        <v>499</v>
      </c>
      <c r="Z14" s="117" t="s">
        <v>597</v>
      </c>
      <c r="AB14" s="1">
        <v>45918</v>
      </c>
      <c r="AC14" s="1">
        <v>47014</v>
      </c>
      <c r="AD14" s="1">
        <v>47014</v>
      </c>
      <c r="AF14" t="s">
        <v>558</v>
      </c>
      <c r="AG14" s="165"/>
    </row>
    <row r="15" spans="1:33">
      <c r="A15" s="156">
        <v>46041</v>
      </c>
      <c r="B15" s="212" t="s">
        <v>842</v>
      </c>
      <c r="C15" s="112"/>
      <c r="D15" s="213">
        <f>P9</f>
        <v>518.08000000000004</v>
      </c>
      <c r="E15" s="157">
        <f t="shared" ref="E15:E22" si="3">+E14+C15-D15</f>
        <v>8915.92</v>
      </c>
      <c r="F15" s="206" t="s">
        <v>845</v>
      </c>
      <c r="H15" s="206" t="s">
        <v>846</v>
      </c>
      <c r="I15" s="2" t="s">
        <v>598</v>
      </c>
      <c r="J15" s="9" t="s">
        <v>545</v>
      </c>
      <c r="K15" s="9" t="s">
        <v>546</v>
      </c>
      <c r="L15" s="151">
        <v>5.5E-2</v>
      </c>
      <c r="M15" s="2">
        <v>2860</v>
      </c>
      <c r="O15">
        <v>100.48099999999999</v>
      </c>
      <c r="P15" s="165">
        <f t="shared" si="2"/>
        <v>2873.7565999999997</v>
      </c>
      <c r="Q15" s="117">
        <v>46045</v>
      </c>
      <c r="R15" s="163">
        <v>5.5E-2</v>
      </c>
      <c r="S15" t="s">
        <v>429</v>
      </c>
      <c r="Z15" s="117" t="s">
        <v>597</v>
      </c>
      <c r="AB15" s="1">
        <v>46006</v>
      </c>
      <c r="AC15" s="1">
        <v>46188</v>
      </c>
      <c r="AD15" s="1">
        <v>46188</v>
      </c>
      <c r="AF15" t="s">
        <v>559</v>
      </c>
      <c r="AG15" s="165"/>
    </row>
    <row r="16" spans="1:33">
      <c r="A16" s="156">
        <v>46041</v>
      </c>
      <c r="B16" s="214" t="s">
        <v>547</v>
      </c>
      <c r="C16" s="112"/>
      <c r="D16" s="213">
        <f>P10</f>
        <v>308.06700000000001</v>
      </c>
      <c r="E16" s="157">
        <f t="shared" si="3"/>
        <v>8607.8529999999992</v>
      </c>
      <c r="F16" s="206" t="s">
        <v>834</v>
      </c>
      <c r="H16" s="206" t="s">
        <v>838</v>
      </c>
      <c r="J16" s="9" t="s">
        <v>552</v>
      </c>
      <c r="K16" s="9" t="s">
        <v>833</v>
      </c>
      <c r="L16" s="151">
        <v>4.2999999999999997E-2</v>
      </c>
      <c r="M16" s="2">
        <v>1172</v>
      </c>
      <c r="N16">
        <v>94.9</v>
      </c>
      <c r="O16" s="208">
        <f>N16+U16+AA16</f>
        <v>94.95583520547946</v>
      </c>
      <c r="P16" s="165">
        <f t="shared" si="2"/>
        <v>1112.8823886082193</v>
      </c>
      <c r="Q16" s="117">
        <v>46041</v>
      </c>
      <c r="R16" s="163">
        <v>0.04</v>
      </c>
      <c r="S16" t="s">
        <v>554</v>
      </c>
      <c r="T16" t="s">
        <v>594</v>
      </c>
      <c r="U16">
        <v>0</v>
      </c>
      <c r="V16">
        <v>94.953400000000002</v>
      </c>
      <c r="W16" s="117">
        <v>46037</v>
      </c>
      <c r="X16" s="150">
        <v>3.9312E-2</v>
      </c>
      <c r="Y16" t="s">
        <v>580</v>
      </c>
      <c r="Z16" s="117">
        <v>46037</v>
      </c>
      <c r="AA16" s="155">
        <f>AE16*L16/365*(Q16-Z16+1)</f>
        <v>5.5835205479452053E-2</v>
      </c>
      <c r="AB16" s="1">
        <v>45559</v>
      </c>
      <c r="AC16" s="153">
        <v>46037</v>
      </c>
      <c r="AD16" s="154">
        <v>46492</v>
      </c>
      <c r="AE16">
        <v>94.79</v>
      </c>
      <c r="AF16" t="s">
        <v>557</v>
      </c>
      <c r="AG16" s="165">
        <f>(V16-N16)*M16*100</f>
        <v>6258.4799999995712</v>
      </c>
    </row>
    <row r="17" spans="1:32">
      <c r="A17" s="156">
        <v>46041</v>
      </c>
      <c r="B17" s="214" t="s">
        <v>548</v>
      </c>
      <c r="C17" s="112"/>
      <c r="D17" s="213">
        <f>P11</f>
        <v>385.94787671232882</v>
      </c>
      <c r="E17" s="157">
        <f t="shared" si="3"/>
        <v>8221.90512328767</v>
      </c>
      <c r="F17" s="206" t="s">
        <v>835</v>
      </c>
      <c r="H17" s="206" t="s">
        <v>839</v>
      </c>
      <c r="O17" t="s">
        <v>813</v>
      </c>
      <c r="P17" s="165">
        <f>SUM(P9:P16)</f>
        <v>9496.2688970328763</v>
      </c>
      <c r="Q17" t="s">
        <v>814</v>
      </c>
      <c r="R17" s="163">
        <f>SUMPRODUCT(R9:R16,P9:P16)/P17</f>
        <v>5.2515832547212066E-2</v>
      </c>
    </row>
    <row r="18" spans="1:32">
      <c r="A18" s="156">
        <v>46041</v>
      </c>
      <c r="B18" s="214" t="s">
        <v>549</v>
      </c>
      <c r="C18" s="112"/>
      <c r="D18" s="213">
        <f>P12</f>
        <v>1864.3420317123289</v>
      </c>
      <c r="E18" s="157">
        <f t="shared" si="3"/>
        <v>6357.5630915753409</v>
      </c>
      <c r="F18" s="206" t="s">
        <v>840</v>
      </c>
      <c r="H18" s="206" t="s">
        <v>841</v>
      </c>
    </row>
    <row r="19" spans="1:32">
      <c r="A19" s="156"/>
      <c r="B19" s="214" t="s">
        <v>552</v>
      </c>
      <c r="C19" s="112"/>
      <c r="D19" s="213">
        <f>P16</f>
        <v>1112.8823886082193</v>
      </c>
      <c r="E19" s="157">
        <f t="shared" si="3"/>
        <v>5244.6807029671218</v>
      </c>
      <c r="F19" s="206" t="s">
        <v>852</v>
      </c>
      <c r="H19" s="206" t="s">
        <v>851</v>
      </c>
    </row>
    <row r="20" spans="1:32">
      <c r="A20" s="156">
        <v>46042</v>
      </c>
      <c r="B20" s="126" t="s">
        <v>322</v>
      </c>
      <c r="C20" s="112">
        <v>982</v>
      </c>
      <c r="D20" s="112"/>
      <c r="E20" s="157">
        <f t="shared" si="3"/>
        <v>6226.6807029671218</v>
      </c>
      <c r="F20" s="207" t="s">
        <v>827</v>
      </c>
    </row>
    <row r="21" spans="1:32">
      <c r="A21" s="156"/>
      <c r="B21" s="112"/>
      <c r="C21" s="112"/>
      <c r="D21" s="112"/>
      <c r="E21" s="157">
        <f t="shared" si="3"/>
        <v>6226.6807029671218</v>
      </c>
    </row>
    <row r="22" spans="1:32">
      <c r="A22" s="156">
        <v>46045</v>
      </c>
      <c r="B22" s="214" t="s">
        <v>550</v>
      </c>
      <c r="C22" s="112"/>
      <c r="D22" s="213">
        <f>P13</f>
        <v>1137.598</v>
      </c>
      <c r="E22" s="157">
        <f t="shared" si="3"/>
        <v>5089.0827029671218</v>
      </c>
      <c r="F22" s="9" t="s">
        <v>836</v>
      </c>
    </row>
    <row r="23" spans="1:32">
      <c r="A23" s="156">
        <v>46045</v>
      </c>
      <c r="B23" s="214" t="s">
        <v>551</v>
      </c>
      <c r="C23" s="112"/>
      <c r="D23" s="213">
        <f>P14</f>
        <v>1295.595</v>
      </c>
      <c r="E23" s="157">
        <f>+E22+C23-D23</f>
        <v>3793.4877029671215</v>
      </c>
      <c r="F23" s="9" t="s">
        <v>837</v>
      </c>
    </row>
    <row r="24" spans="1:32">
      <c r="A24" s="156"/>
      <c r="B24" s="275"/>
      <c r="C24" s="112"/>
      <c r="D24" s="213"/>
      <c r="E24" s="157">
        <f t="shared" ref="E24:E63" si="4">+E23+C24-D24</f>
        <v>3793.4877029671215</v>
      </c>
      <c r="F24" s="9" t="s">
        <v>848</v>
      </c>
    </row>
    <row r="25" spans="1:32">
      <c r="A25" s="156"/>
      <c r="B25" s="112"/>
      <c r="C25" s="112"/>
      <c r="D25" s="112"/>
      <c r="E25" s="157">
        <v>3830</v>
      </c>
    </row>
    <row r="26" spans="1:32">
      <c r="A26" s="156">
        <v>46055</v>
      </c>
      <c r="B26" s="112" t="s">
        <v>323</v>
      </c>
      <c r="C26" s="112"/>
      <c r="D26" s="112">
        <v>900</v>
      </c>
      <c r="E26" s="157">
        <f t="shared" si="4"/>
        <v>2930</v>
      </c>
    </row>
    <row r="27" spans="1:32">
      <c r="A27" s="156">
        <v>46077</v>
      </c>
      <c r="B27" s="112" t="s">
        <v>1160</v>
      </c>
      <c r="C27" s="112">
        <v>885</v>
      </c>
      <c r="D27" s="112"/>
      <c r="E27" s="157">
        <f t="shared" si="4"/>
        <v>3815</v>
      </c>
      <c r="J27" t="s">
        <v>17</v>
      </c>
      <c r="K27" s="9" t="s">
        <v>525</v>
      </c>
      <c r="L27" s="9" t="s">
        <v>543</v>
      </c>
      <c r="M27" s="2" t="s">
        <v>526</v>
      </c>
      <c r="N27" t="s">
        <v>527</v>
      </c>
      <c r="O27" t="s">
        <v>528</v>
      </c>
      <c r="P27" t="s">
        <v>529</v>
      </c>
      <c r="Q27" t="s">
        <v>530</v>
      </c>
      <c r="R27" t="s">
        <v>532</v>
      </c>
      <c r="T27" t="s">
        <v>534</v>
      </c>
      <c r="U27" t="s">
        <v>535</v>
      </c>
      <c r="V27" t="s">
        <v>595</v>
      </c>
      <c r="W27" t="s">
        <v>596</v>
      </c>
      <c r="X27" t="s">
        <v>536</v>
      </c>
      <c r="Y27" t="s">
        <v>537</v>
      </c>
      <c r="Z27" t="s">
        <v>538</v>
      </c>
      <c r="AA27" t="s">
        <v>539</v>
      </c>
      <c r="AB27" t="s">
        <v>540</v>
      </c>
      <c r="AC27" t="s">
        <v>541</v>
      </c>
      <c r="AD27" t="s">
        <v>166</v>
      </c>
      <c r="AE27" t="s">
        <v>542</v>
      </c>
    </row>
    <row r="28" spans="1:32">
      <c r="A28" s="156"/>
      <c r="B28" s="275"/>
      <c r="C28" s="112"/>
      <c r="D28" s="213"/>
      <c r="E28" s="157">
        <f t="shared" si="4"/>
        <v>3815</v>
      </c>
      <c r="H28" t="s">
        <v>849</v>
      </c>
      <c r="J28" t="s">
        <v>552</v>
      </c>
      <c r="K28" s="9" t="s">
        <v>1229</v>
      </c>
      <c r="L28" s="151">
        <v>4.2999999999999997E-2</v>
      </c>
      <c r="M28">
        <v>1100</v>
      </c>
      <c r="N28">
        <v>69.39</v>
      </c>
      <c r="O28" s="165">
        <f>N28+U28+AA28</f>
        <v>69.457157013698634</v>
      </c>
      <c r="P28" s="2">
        <f>M28*O28/100</f>
        <v>764.02872715068497</v>
      </c>
      <c r="Q28" s="117">
        <v>46083</v>
      </c>
      <c r="R28" s="150">
        <v>3.8850000000000003E-2</v>
      </c>
      <c r="T28" t="s">
        <v>594</v>
      </c>
      <c r="U28">
        <v>0.01</v>
      </c>
      <c r="V28">
        <v>69.397800000000004</v>
      </c>
      <c r="W28" s="117">
        <v>46080</v>
      </c>
      <c r="X28" s="150">
        <v>3.8800000000000001E-2</v>
      </c>
      <c r="Y28" t="s">
        <v>580</v>
      </c>
      <c r="Z28" s="1">
        <v>46077</v>
      </c>
      <c r="AA28" s="155">
        <f>AE28*L28/365*(Q28-Z28+1)</f>
        <v>5.7157013698630139E-2</v>
      </c>
      <c r="AB28" s="1">
        <v>45559</v>
      </c>
      <c r="AC28" s="283">
        <v>46037</v>
      </c>
      <c r="AD28" s="283">
        <v>46492</v>
      </c>
      <c r="AE28">
        <v>69.31</v>
      </c>
      <c r="AF28" t="s">
        <v>554</v>
      </c>
    </row>
    <row r="29" spans="1:32">
      <c r="A29" s="156"/>
      <c r="B29" s="112"/>
      <c r="C29" s="112"/>
      <c r="D29" s="112"/>
      <c r="E29" s="157">
        <f t="shared" si="4"/>
        <v>3815</v>
      </c>
      <c r="J29" t="s">
        <v>589</v>
      </c>
      <c r="K29" s="9" t="s">
        <v>1230</v>
      </c>
      <c r="L29" s="151">
        <v>8.5000000000000006E-2</v>
      </c>
      <c r="M29">
        <v>665</v>
      </c>
      <c r="N29">
        <v>111.89</v>
      </c>
      <c r="O29" s="282">
        <f>N29+U29</f>
        <v>111.9</v>
      </c>
      <c r="P29" s="2">
        <f t="shared" ref="P29:P35" si="5">M29*O29/100</f>
        <v>744.13499999999999</v>
      </c>
      <c r="Q29" s="117">
        <v>46083</v>
      </c>
      <c r="R29" s="150">
        <v>5.8999999999999997E-2</v>
      </c>
      <c r="T29" t="s">
        <v>594</v>
      </c>
      <c r="U29">
        <v>0.01</v>
      </c>
      <c r="V29" s="276">
        <v>111.24630000000001</v>
      </c>
      <c r="W29" s="117">
        <v>46079</v>
      </c>
      <c r="X29" s="151">
        <v>8.5000000000000006E-2</v>
      </c>
      <c r="Y29" t="s">
        <v>593</v>
      </c>
      <c r="Z29" s="1">
        <v>45959</v>
      </c>
      <c r="AA29">
        <v>0</v>
      </c>
      <c r="AB29" s="1">
        <v>45068</v>
      </c>
      <c r="AC29" s="283">
        <v>46164</v>
      </c>
      <c r="AD29" s="283">
        <v>46164</v>
      </c>
      <c r="AE29">
        <v>100</v>
      </c>
      <c r="AF29" t="s">
        <v>554</v>
      </c>
    </row>
    <row r="30" spans="1:32">
      <c r="A30" s="156">
        <v>46080</v>
      </c>
      <c r="B30" s="112" t="s">
        <v>613</v>
      </c>
      <c r="C30" s="112">
        <v>338</v>
      </c>
      <c r="D30" s="112"/>
      <c r="E30" s="157">
        <f t="shared" si="4"/>
        <v>4153</v>
      </c>
      <c r="J30" t="s">
        <v>1003</v>
      </c>
      <c r="K30" s="9" t="s">
        <v>1231</v>
      </c>
      <c r="L30" s="151">
        <v>5.8999999999999997E-2</v>
      </c>
      <c r="M30">
        <v>2000</v>
      </c>
      <c r="N30">
        <v>108.81399999999999</v>
      </c>
      <c r="O30" s="282">
        <f t="shared" ref="O30:O34" si="6">N30+U30</f>
        <v>108.824</v>
      </c>
      <c r="P30" s="2">
        <f t="shared" si="5"/>
        <v>2176.48</v>
      </c>
      <c r="Q30" s="117">
        <v>46083</v>
      </c>
      <c r="R30" s="151">
        <v>5.8999999999999997E-2</v>
      </c>
      <c r="T30" t="s">
        <v>594</v>
      </c>
      <c r="U30">
        <v>0.01</v>
      </c>
      <c r="V30" s="276">
        <v>108.7534</v>
      </c>
      <c r="W30" s="117">
        <v>46079</v>
      </c>
      <c r="X30" s="151">
        <v>5.8999999999999997E-2</v>
      </c>
      <c r="Y30" t="s">
        <v>593</v>
      </c>
      <c r="Z30" t="s">
        <v>1235</v>
      </c>
      <c r="AA30">
        <v>0</v>
      </c>
      <c r="AB30" s="1">
        <v>45532</v>
      </c>
      <c r="AC30" s="283">
        <v>46138</v>
      </c>
      <c r="AD30" s="283">
        <v>46138</v>
      </c>
      <c r="AE30">
        <v>100</v>
      </c>
      <c r="AF30" t="s">
        <v>554</v>
      </c>
    </row>
    <row r="31" spans="1:32">
      <c r="A31" s="156">
        <v>46080</v>
      </c>
      <c r="B31" s="112" t="s">
        <v>1073</v>
      </c>
      <c r="C31" s="112">
        <v>6197</v>
      </c>
      <c r="D31" s="112"/>
      <c r="E31" s="157">
        <f t="shared" si="4"/>
        <v>10350</v>
      </c>
      <c r="J31" t="s">
        <v>860</v>
      </c>
      <c r="K31" s="9" t="s">
        <v>916</v>
      </c>
      <c r="L31" s="151">
        <v>5.8999999999999997E-2</v>
      </c>
      <c r="M31" s="2">
        <v>2100</v>
      </c>
      <c r="N31">
        <v>107.565</v>
      </c>
      <c r="O31" s="282">
        <f t="shared" si="6"/>
        <v>107.565</v>
      </c>
      <c r="P31" s="2">
        <f t="shared" si="5"/>
        <v>2258.8649999999998</v>
      </c>
      <c r="Q31" s="117">
        <v>46083</v>
      </c>
      <c r="R31" s="151">
        <v>5.8999999999999997E-2</v>
      </c>
      <c r="V31" s="276">
        <v>107.60809999999999</v>
      </c>
      <c r="W31" s="117">
        <v>46079</v>
      </c>
      <c r="X31" s="151">
        <v>5.8999999999999997E-2</v>
      </c>
      <c r="Y31" t="s">
        <v>593</v>
      </c>
      <c r="Z31" t="s">
        <v>1235</v>
      </c>
      <c r="AA31">
        <v>0</v>
      </c>
      <c r="AB31" s="1">
        <v>45615</v>
      </c>
      <c r="AC31" s="283">
        <v>46168</v>
      </c>
      <c r="AD31" s="283">
        <v>46168</v>
      </c>
      <c r="AE31">
        <v>100</v>
      </c>
      <c r="AF31" t="s">
        <v>1234</v>
      </c>
    </row>
    <row r="32" spans="1:32">
      <c r="A32" s="156">
        <v>46083</v>
      </c>
      <c r="B32" s="112" t="s">
        <v>552</v>
      </c>
      <c r="C32" s="112"/>
      <c r="D32" s="213">
        <f>P28</f>
        <v>764.02872715068497</v>
      </c>
      <c r="E32" s="157">
        <f t="shared" si="4"/>
        <v>9585.9712728493141</v>
      </c>
      <c r="F32" t="s">
        <v>1226</v>
      </c>
      <c r="G32" t="s">
        <v>849</v>
      </c>
      <c r="J32" s="199" t="s">
        <v>545</v>
      </c>
      <c r="K32" s="9" t="s">
        <v>546</v>
      </c>
      <c r="L32" s="151">
        <v>5.5E-2</v>
      </c>
      <c r="M32" s="2">
        <v>2860</v>
      </c>
      <c r="N32">
        <v>100.962</v>
      </c>
      <c r="O32" s="282">
        <f>N32</f>
        <v>100.962</v>
      </c>
      <c r="P32" s="2">
        <f t="shared" si="5"/>
        <v>2887.5131999999999</v>
      </c>
      <c r="Q32" s="117">
        <v>46084</v>
      </c>
      <c r="R32" s="151">
        <v>6.3273862004280076E-2</v>
      </c>
      <c r="V32" s="276" t="s">
        <v>1237</v>
      </c>
      <c r="W32" s="117"/>
      <c r="X32" s="151"/>
      <c r="Y32" t="s">
        <v>593</v>
      </c>
      <c r="Z32" t="s">
        <v>1235</v>
      </c>
      <c r="AA32">
        <v>0</v>
      </c>
      <c r="AB32" s="1">
        <v>46006</v>
      </c>
      <c r="AC32" s="283">
        <v>46188</v>
      </c>
      <c r="AD32" s="283">
        <v>46188</v>
      </c>
      <c r="AE32">
        <v>100</v>
      </c>
      <c r="AF32" t="s">
        <v>429</v>
      </c>
    </row>
    <row r="33" spans="1:37">
      <c r="A33" s="156">
        <v>46083</v>
      </c>
      <c r="B33" s="112" t="s">
        <v>589</v>
      </c>
      <c r="C33" s="112"/>
      <c r="D33" s="213">
        <f>P29</f>
        <v>744.13499999999999</v>
      </c>
      <c r="E33" s="157">
        <f t="shared" si="4"/>
        <v>8841.8362728493139</v>
      </c>
      <c r="F33" t="s">
        <v>1227</v>
      </c>
      <c r="G33" t="s">
        <v>849</v>
      </c>
      <c r="J33" s="296" t="s">
        <v>859</v>
      </c>
      <c r="K33" s="9" t="s">
        <v>1240</v>
      </c>
      <c r="L33" s="151">
        <v>5.8999999999999997E-2</v>
      </c>
      <c r="M33" s="2">
        <v>300</v>
      </c>
      <c r="N33" s="119">
        <v>109.42</v>
      </c>
      <c r="O33" s="282">
        <f t="shared" si="6"/>
        <v>109.43</v>
      </c>
      <c r="P33" s="2">
        <f t="shared" si="5"/>
        <v>328.29</v>
      </c>
      <c r="Q33" s="117">
        <v>46083</v>
      </c>
      <c r="R33" s="151">
        <v>5.8999999999999997E-2</v>
      </c>
      <c r="T33" t="s">
        <v>594</v>
      </c>
      <c r="U33">
        <v>0.01</v>
      </c>
      <c r="V33" s="276">
        <v>109.35899999999999</v>
      </c>
      <c r="W33" s="117">
        <v>46079</v>
      </c>
      <c r="X33" s="151">
        <v>5.8999999999999997E-2</v>
      </c>
      <c r="Y33" t="s">
        <v>593</v>
      </c>
      <c r="Z33" t="s">
        <v>1235</v>
      </c>
      <c r="AA33">
        <v>0</v>
      </c>
      <c r="AB33" s="1">
        <v>45496</v>
      </c>
      <c r="AC33" s="283">
        <v>46092</v>
      </c>
      <c r="AD33" s="283">
        <v>46092</v>
      </c>
      <c r="AE33">
        <v>100</v>
      </c>
      <c r="AF33" t="s">
        <v>554</v>
      </c>
    </row>
    <row r="34" spans="1:37">
      <c r="A34" s="156">
        <v>46083</v>
      </c>
      <c r="B34" s="112" t="s">
        <v>1003</v>
      </c>
      <c r="C34" s="112"/>
      <c r="D34" s="213">
        <f>P30</f>
        <v>2176.48</v>
      </c>
      <c r="E34" s="157">
        <f t="shared" si="4"/>
        <v>6665.3562728493143</v>
      </c>
      <c r="F34" t="s">
        <v>1257</v>
      </c>
      <c r="G34" t="s">
        <v>849</v>
      </c>
      <c r="J34" s="296" t="s">
        <v>1245</v>
      </c>
      <c r="K34" s="9" t="s">
        <v>1246</v>
      </c>
      <c r="L34" s="151">
        <v>0.08</v>
      </c>
      <c r="M34" s="2">
        <v>400</v>
      </c>
      <c r="N34" s="290">
        <v>63.993000000000002</v>
      </c>
      <c r="O34" s="282">
        <f t="shared" si="6"/>
        <v>64.003</v>
      </c>
      <c r="P34" s="2">
        <f t="shared" si="5"/>
        <v>256.012</v>
      </c>
      <c r="Q34" s="117">
        <v>46083</v>
      </c>
      <c r="R34" s="151">
        <v>0.08</v>
      </c>
      <c r="T34" t="s">
        <v>594</v>
      </c>
      <c r="U34">
        <v>0.01</v>
      </c>
      <c r="V34" s="276">
        <v>63.993000000000002</v>
      </c>
      <c r="W34" s="117">
        <v>46077</v>
      </c>
      <c r="X34" s="151">
        <v>0.08</v>
      </c>
      <c r="Y34" t="s">
        <v>593</v>
      </c>
      <c r="Z34" t="s">
        <v>1235</v>
      </c>
      <c r="AA34">
        <v>0</v>
      </c>
      <c r="AB34" s="1">
        <v>45443</v>
      </c>
      <c r="AC34" s="283">
        <v>46013</v>
      </c>
      <c r="AD34" s="283">
        <v>46409</v>
      </c>
      <c r="AE34">
        <v>56.52</v>
      </c>
      <c r="AF34" t="s">
        <v>1247</v>
      </c>
    </row>
    <row r="35" spans="1:37">
      <c r="A35" s="156">
        <v>46083</v>
      </c>
      <c r="B35" s="112" t="s">
        <v>860</v>
      </c>
      <c r="C35" s="112"/>
      <c r="D35" s="213">
        <f>P31</f>
        <v>2258.8649999999998</v>
      </c>
      <c r="E35" s="157">
        <f t="shared" si="4"/>
        <v>4406.4912728493146</v>
      </c>
      <c r="F35" t="s">
        <v>1232</v>
      </c>
      <c r="G35" t="s">
        <v>849</v>
      </c>
      <c r="J35" s="297" t="s">
        <v>549</v>
      </c>
      <c r="K35" s="9" t="s">
        <v>828</v>
      </c>
      <c r="L35" s="151">
        <v>4.2999999999999997E-2</v>
      </c>
      <c r="M35" s="2">
        <v>450</v>
      </c>
      <c r="N35" s="290">
        <v>72.803200000000004</v>
      </c>
      <c r="O35" s="165">
        <f>N35+U35+AA35</f>
        <v>72.873136109589055</v>
      </c>
      <c r="P35" s="2">
        <f t="shared" si="5"/>
        <v>327.92911249315074</v>
      </c>
      <c r="Q35" s="117">
        <v>46083</v>
      </c>
      <c r="R35" s="151">
        <v>3.9E-2</v>
      </c>
      <c r="T35" t="s">
        <v>594</v>
      </c>
      <c r="U35">
        <v>0.01</v>
      </c>
      <c r="V35" s="276">
        <v>72.812700000000007</v>
      </c>
      <c r="W35" s="117">
        <v>46080</v>
      </c>
      <c r="X35" s="151">
        <v>3.9E-2</v>
      </c>
      <c r="Y35" t="s">
        <v>593</v>
      </c>
      <c r="Z35" s="1">
        <v>46077</v>
      </c>
      <c r="AA35" s="155">
        <f>AE35*L35/365*(Q35-Z35+1)</f>
        <v>5.9936109589041102E-2</v>
      </c>
      <c r="AB35" s="1"/>
      <c r="AC35" s="283"/>
      <c r="AD35" s="283"/>
      <c r="AE35">
        <v>72.680000000000007</v>
      </c>
      <c r="AF35" t="s">
        <v>563</v>
      </c>
    </row>
    <row r="36" spans="1:37">
      <c r="A36" s="156">
        <v>46083</v>
      </c>
      <c r="B36" s="112" t="s">
        <v>859</v>
      </c>
      <c r="C36" s="112"/>
      <c r="D36" s="213">
        <f>P33</f>
        <v>328.29</v>
      </c>
      <c r="E36" s="157">
        <f t="shared" si="4"/>
        <v>4078.2012728493146</v>
      </c>
      <c r="F36" t="s">
        <v>1241</v>
      </c>
      <c r="G36" t="s">
        <v>849</v>
      </c>
      <c r="P36" s="165">
        <f>SUM(P28:P35)</f>
        <v>9743.2530396438378</v>
      </c>
      <c r="Q36" t="s">
        <v>1236</v>
      </c>
      <c r="R36" s="163">
        <f>SUMPRODUCT(R28:R35,P28:P35)/SUM(P28:P35)</f>
        <v>5.8565168211030354E-2</v>
      </c>
    </row>
    <row r="37" spans="1:37">
      <c r="A37" s="156">
        <v>46083</v>
      </c>
      <c r="B37" s="275" t="s">
        <v>1244</v>
      </c>
      <c r="C37" s="112"/>
      <c r="D37" s="213">
        <f>P34</f>
        <v>256.012</v>
      </c>
      <c r="E37" s="157">
        <f t="shared" si="4"/>
        <v>3822.1892728493144</v>
      </c>
      <c r="F37" t="s">
        <v>1256</v>
      </c>
      <c r="G37" t="s">
        <v>849</v>
      </c>
    </row>
    <row r="38" spans="1:37">
      <c r="A38" s="156">
        <v>46083</v>
      </c>
      <c r="B38" s="112" t="s">
        <v>549</v>
      </c>
      <c r="C38" s="112"/>
      <c r="D38" s="213">
        <f>P35</f>
        <v>327.92911249315074</v>
      </c>
      <c r="E38" s="3">
        <f t="shared" si="4"/>
        <v>3494.2601603561639</v>
      </c>
      <c r="F38" t="s">
        <v>1255</v>
      </c>
      <c r="G38" t="s">
        <v>849</v>
      </c>
      <c r="H38" s="1" t="s">
        <v>589</v>
      </c>
      <c r="I38" s="163">
        <f>XIRR(I39:I40,H39:H40)</f>
        <v>6.1090406775474546E-2</v>
      </c>
      <c r="J38"/>
      <c r="K38"/>
      <c r="L38"/>
      <c r="M38" t="s">
        <v>545</v>
      </c>
      <c r="N38" s="163">
        <f>XIRR(N39:N40,M39:M40)</f>
        <v>4.5820257067680364E-2</v>
      </c>
      <c r="R38" t="s">
        <v>860</v>
      </c>
      <c r="S38" s="163">
        <f>XIRR(S39:S40,R39:R40)</f>
        <v>5.8523878455162048E-2</v>
      </c>
    </row>
    <row r="39" spans="1:37">
      <c r="A39" s="156">
        <v>46084</v>
      </c>
      <c r="B39" s="275" t="s">
        <v>545</v>
      </c>
      <c r="C39" s="112"/>
      <c r="D39" s="213">
        <f>P32</f>
        <v>2887.5131999999999</v>
      </c>
      <c r="E39" s="3">
        <f t="shared" si="4"/>
        <v>606.74696035616398</v>
      </c>
      <c r="F39" t="s">
        <v>1238</v>
      </c>
      <c r="G39" t="s">
        <v>849</v>
      </c>
      <c r="H39" s="1">
        <v>46038</v>
      </c>
      <c r="I39">
        <v>-111.075</v>
      </c>
      <c r="J39"/>
      <c r="K39"/>
      <c r="L39"/>
      <c r="M39" s="1">
        <v>46006</v>
      </c>
      <c r="N39">
        <v>-100</v>
      </c>
      <c r="R39" s="1">
        <v>45615</v>
      </c>
      <c r="S39">
        <v>-100</v>
      </c>
    </row>
    <row r="40" spans="1:37">
      <c r="A40" s="156"/>
      <c r="B40" s="112"/>
      <c r="C40" s="112"/>
      <c r="D40" s="112"/>
      <c r="E40" s="157">
        <f t="shared" si="4"/>
        <v>606.74696035616398</v>
      </c>
      <c r="H40" s="1">
        <v>46083</v>
      </c>
      <c r="I40">
        <v>111.89</v>
      </c>
      <c r="J40">
        <f>-I39*(1+K40*(H40-H39)/365)</f>
        <v>111.89665068493152</v>
      </c>
      <c r="K40" s="163">
        <v>0.06</v>
      </c>
      <c r="L40"/>
      <c r="M40" s="1">
        <v>46084</v>
      </c>
      <c r="N40">
        <v>100.962</v>
      </c>
      <c r="O40">
        <f>-N39*(1+P40*(M40-M39)/365)</f>
        <v>100.96164383561643</v>
      </c>
      <c r="P40" s="163">
        <v>4.4999999999999998E-2</v>
      </c>
      <c r="R40" s="1">
        <v>46083</v>
      </c>
      <c r="S40">
        <v>107.565</v>
      </c>
      <c r="T40">
        <f>-S39*(1+U40*(R40-R39)/365)</f>
        <v>107.56493150684932</v>
      </c>
      <c r="U40" s="163">
        <v>5.8999999999999997E-2</v>
      </c>
    </row>
    <row r="41" spans="1:37">
      <c r="A41" s="156">
        <v>46092</v>
      </c>
      <c r="B41" s="112" t="s">
        <v>613</v>
      </c>
      <c r="C41" s="112">
        <v>124.5</v>
      </c>
      <c r="D41" s="112"/>
      <c r="E41" s="339">
        <v>654</v>
      </c>
      <c r="F41" t="s">
        <v>637</v>
      </c>
      <c r="K41"/>
      <c r="L41"/>
      <c r="M41"/>
    </row>
    <row r="42" spans="1:37">
      <c r="A42" s="156">
        <v>46094</v>
      </c>
      <c r="B42" s="112" t="s">
        <v>1455</v>
      </c>
      <c r="C42" s="112"/>
      <c r="D42" s="112">
        <f>600*105.481%</f>
        <v>632.88599999999997</v>
      </c>
      <c r="E42" s="157">
        <f t="shared" si="4"/>
        <v>21.114000000000033</v>
      </c>
      <c r="F42" t="s">
        <v>1464</v>
      </c>
      <c r="G42" t="s">
        <v>849</v>
      </c>
      <c r="H42" t="s">
        <v>1179</v>
      </c>
      <c r="I42" s="163">
        <f>XIRR(I43:I44,H43:H44)</f>
        <v>5.7550624012947096E-2</v>
      </c>
      <c r="J42"/>
      <c r="K42"/>
      <c r="L42"/>
      <c r="M42" t="s">
        <v>859</v>
      </c>
      <c r="N42" s="163">
        <f>XIRR(N43:N44,M43:M44)</f>
        <v>5.7573500275611894E-2</v>
      </c>
      <c r="R42" s="9" t="s">
        <v>791</v>
      </c>
      <c r="S42" s="163">
        <f>XIRR(S43:S44,R43:R44)</f>
        <v>5.8250322937965407E-2</v>
      </c>
      <c r="U42" t="s">
        <v>860</v>
      </c>
      <c r="V42" s="163">
        <f>XIRR(V43:V44,U43:U44)</f>
        <v>5.8491322398185719E-2</v>
      </c>
    </row>
    <row r="43" spans="1:37">
      <c r="A43" s="156">
        <v>46097</v>
      </c>
      <c r="B43" s="112" t="s">
        <v>613</v>
      </c>
      <c r="C43" s="112">
        <v>594</v>
      </c>
      <c r="D43" s="112"/>
      <c r="E43" s="157">
        <f t="shared" si="4"/>
        <v>615.11400000000003</v>
      </c>
      <c r="H43" s="1">
        <v>45532</v>
      </c>
      <c r="I43">
        <v>-100</v>
      </c>
      <c r="J43"/>
      <c r="K43"/>
      <c r="L43"/>
      <c r="M43" s="1">
        <v>45496</v>
      </c>
      <c r="N43">
        <v>-100</v>
      </c>
      <c r="R43" s="266">
        <v>45562</v>
      </c>
      <c r="S43" s="282">
        <v>-100</v>
      </c>
      <c r="U43" s="1">
        <v>45615</v>
      </c>
      <c r="V43" s="282">
        <v>-100</v>
      </c>
    </row>
    <row r="44" spans="1:37">
      <c r="A44" s="156">
        <v>46097</v>
      </c>
      <c r="B44" s="112" t="s">
        <v>1455</v>
      </c>
      <c r="C44" s="112"/>
      <c r="D44" s="112">
        <f>534*105.54%</f>
        <v>563.58360000000005</v>
      </c>
      <c r="E44" s="157">
        <f t="shared" si="4"/>
        <v>51.530399999999986</v>
      </c>
      <c r="F44" t="s">
        <v>1465</v>
      </c>
      <c r="G44" t="s">
        <v>849</v>
      </c>
      <c r="H44" s="1">
        <v>46083</v>
      </c>
      <c r="I44">
        <v>108.81399999999999</v>
      </c>
      <c r="J44">
        <f>-I43*(1+K44*(H44-H43)/365)</f>
        <v>108.816</v>
      </c>
      <c r="K44" s="163">
        <v>5.8400000000000001E-2</v>
      </c>
      <c r="L44"/>
      <c r="M44" s="1">
        <v>46083</v>
      </c>
      <c r="N44">
        <v>109.42</v>
      </c>
      <c r="O44">
        <f>-N43*(1+P44*(M44-M43)/365)</f>
        <v>109.42416438356165</v>
      </c>
      <c r="P44" s="163">
        <v>5.8599999999999999E-2</v>
      </c>
      <c r="R44" s="266">
        <v>46090</v>
      </c>
      <c r="S44" s="282">
        <f>-S43*(1+5.9%*(R44-R43)/365)</f>
        <v>108.53479452054795</v>
      </c>
      <c r="U44" s="117">
        <v>46090</v>
      </c>
      <c r="V44" s="282">
        <f>-V43*(1+5.9%*(U44-U43)/365)</f>
        <v>107.67808219178083</v>
      </c>
    </row>
    <row r="45" spans="1:37">
      <c r="A45" s="156"/>
      <c r="B45" s="112"/>
      <c r="C45" s="112"/>
      <c r="D45" s="112"/>
      <c r="E45" s="157">
        <f t="shared" si="4"/>
        <v>51.530399999999986</v>
      </c>
      <c r="K45"/>
      <c r="L45"/>
      <c r="M45"/>
    </row>
    <row r="46" spans="1:37">
      <c r="A46" s="156"/>
      <c r="B46" s="112"/>
      <c r="C46" s="112"/>
      <c r="D46" s="112"/>
      <c r="E46" s="157">
        <f t="shared" si="4"/>
        <v>51.530399999999986</v>
      </c>
      <c r="AI46" s="117">
        <v>46100</v>
      </c>
    </row>
    <row r="47" spans="1:37">
      <c r="E47" s="3">
        <f t="shared" si="4"/>
        <v>51.530399999999986</v>
      </c>
      <c r="J47" t="s">
        <v>17</v>
      </c>
      <c r="K47" s="9" t="s">
        <v>525</v>
      </c>
      <c r="L47" s="9" t="s">
        <v>543</v>
      </c>
      <c r="M47" s="2" t="s">
        <v>526</v>
      </c>
      <c r="N47" t="s">
        <v>527</v>
      </c>
      <c r="O47" t="s">
        <v>528</v>
      </c>
      <c r="P47" t="s">
        <v>529</v>
      </c>
      <c r="Q47" t="s">
        <v>530</v>
      </c>
      <c r="R47" t="s">
        <v>532</v>
      </c>
      <c r="S47" t="s">
        <v>595</v>
      </c>
      <c r="T47" t="s">
        <v>596</v>
      </c>
      <c r="U47" t="s">
        <v>536</v>
      </c>
      <c r="V47" t="s">
        <v>537</v>
      </c>
      <c r="W47" t="s">
        <v>538</v>
      </c>
      <c r="X47" t="s">
        <v>539</v>
      </c>
      <c r="Y47" t="s">
        <v>540</v>
      </c>
      <c r="Z47" t="s">
        <v>541</v>
      </c>
      <c r="AA47" t="s">
        <v>166</v>
      </c>
      <c r="AB47" t="s">
        <v>542</v>
      </c>
      <c r="AD47" t="s">
        <v>534</v>
      </c>
      <c r="AF47" t="s">
        <v>1572</v>
      </c>
      <c r="AG47" t="s">
        <v>1573</v>
      </c>
      <c r="AH47" t="s">
        <v>1574</v>
      </c>
      <c r="AI47" t="s">
        <v>1576</v>
      </c>
    </row>
    <row r="48" spans="1:37">
      <c r="A48" s="156">
        <v>46101</v>
      </c>
      <c r="B48" s="112" t="s">
        <v>531</v>
      </c>
      <c r="C48" s="112">
        <v>11650</v>
      </c>
      <c r="D48" s="112"/>
      <c r="E48" s="157">
        <f t="shared" si="4"/>
        <v>11701.5304</v>
      </c>
      <c r="J48" t="s">
        <v>1569</v>
      </c>
      <c r="K48" s="9" t="s">
        <v>1229</v>
      </c>
      <c r="L48" s="151">
        <v>4.2999999999999997E-2</v>
      </c>
      <c r="M48">
        <v>3200</v>
      </c>
      <c r="N48" s="345">
        <f>AH48</f>
        <v>61.430000000000007</v>
      </c>
      <c r="O48" s="165">
        <f>N48+AE48+X48</f>
        <v>61.495016000000007</v>
      </c>
      <c r="P48" s="2">
        <f>M48*O48/100</f>
        <v>1967.8405120000002</v>
      </c>
      <c r="Q48" s="117">
        <v>46105</v>
      </c>
      <c r="R48" s="150">
        <f>U48</f>
        <v>3.7134E-2</v>
      </c>
      <c r="S48">
        <v>61.4208</v>
      </c>
      <c r="T48" s="117">
        <v>46101</v>
      </c>
      <c r="U48" s="150">
        <v>3.7134E-2</v>
      </c>
      <c r="V48" t="s">
        <v>580</v>
      </c>
      <c r="W48" s="1">
        <v>46097</v>
      </c>
      <c r="X48" s="155">
        <f>AB48*L48/365*(Q48-W48+1)</f>
        <v>6.501599999999999E-2</v>
      </c>
      <c r="Y48" s="1">
        <v>45559</v>
      </c>
      <c r="Z48" s="283">
        <v>46037</v>
      </c>
      <c r="AA48" s="283">
        <v>46461</v>
      </c>
      <c r="AB48">
        <v>61.32</v>
      </c>
      <c r="AD48" t="s">
        <v>1570</v>
      </c>
      <c r="AF48">
        <v>61.42</v>
      </c>
      <c r="AG48">
        <f>+AF48+0.005</f>
        <v>61.425000000000004</v>
      </c>
      <c r="AH48" s="345">
        <f>+AG48+0.005</f>
        <v>61.430000000000007</v>
      </c>
      <c r="AI48">
        <v>61.71</v>
      </c>
      <c r="AJ48">
        <f>+(AI48-AF48)*M48*100</f>
        <v>92799.999999999724</v>
      </c>
      <c r="AK48" t="str">
        <f>J48&amp;"["&amp;K48&amp;"]，"&amp;M48&amp;"w，"&amp;N48&amp;"，"&amp;TEXT(Q48,"m月d日")&amp;"，"&amp;AD51&amp;" to 苏信2502"</f>
        <v>熠安02A3[144651.SZ]，3200w，61.43，3月24日， to 苏信2502</v>
      </c>
    </row>
    <row r="49" spans="1:37">
      <c r="A49" s="156">
        <v>46104</v>
      </c>
      <c r="B49" s="112" t="s">
        <v>565</v>
      </c>
      <c r="C49" s="112">
        <v>683</v>
      </c>
      <c r="D49" s="112"/>
      <c r="E49" s="157">
        <f>+E48+C49-D49</f>
        <v>12384.5304</v>
      </c>
      <c r="J49" t="s">
        <v>1250</v>
      </c>
      <c r="K49" s="9" t="s">
        <v>1571</v>
      </c>
      <c r="L49" s="151">
        <v>6.8000000000000005E-2</v>
      </c>
      <c r="M49">
        <v>2000</v>
      </c>
      <c r="N49">
        <f>AH49</f>
        <v>101.10999999999999</v>
      </c>
      <c r="O49" s="165">
        <f>N49+AE49+X49</f>
        <v>101.10999999999999</v>
      </c>
      <c r="P49" s="2">
        <f t="shared" ref="P49" si="7">M49*O49/100</f>
        <v>2022.1999999999998</v>
      </c>
      <c r="Q49" s="117">
        <v>46105</v>
      </c>
      <c r="R49" s="150">
        <v>6.6500000000000004E-2</v>
      </c>
      <c r="S49" s="276">
        <v>100.6643</v>
      </c>
      <c r="T49" s="117">
        <v>46101</v>
      </c>
      <c r="U49" s="151">
        <v>6.8000000000000005E-2</v>
      </c>
      <c r="V49" t="s">
        <v>593</v>
      </c>
      <c r="W49" s="1">
        <v>46066</v>
      </c>
      <c r="X49">
        <v>0</v>
      </c>
      <c r="Y49" s="1">
        <v>46066</v>
      </c>
      <c r="Z49" s="283">
        <v>47154</v>
      </c>
      <c r="AA49" s="283">
        <v>47519</v>
      </c>
      <c r="AB49">
        <v>100</v>
      </c>
      <c r="AD49" t="s">
        <v>1570</v>
      </c>
      <c r="AF49">
        <v>101.1</v>
      </c>
      <c r="AG49">
        <f>+AF49+0.005</f>
        <v>101.10499999999999</v>
      </c>
      <c r="AH49" s="345">
        <f>+AG49+0.005</f>
        <v>101.10999999999999</v>
      </c>
      <c r="AJ49">
        <f>+(S49-AF49)*M49*100</f>
        <v>-87139.999999999418</v>
      </c>
      <c r="AK49" t="str">
        <f>J49&amp;"["&amp;K49&amp;"]，"&amp;M49&amp;"w，"&amp;N49&amp;"，"&amp;TEXT(Q49,"m月d日")&amp;"，"&amp;AD52&amp;" to 苏信2502"</f>
        <v>小鹏5次[500447.SZ]，2000w，101.11，3月24日， to 苏信2502</v>
      </c>
    </row>
    <row r="50" spans="1:37">
      <c r="E50" s="3">
        <f>+E49+C50-D50</f>
        <v>12384.5304</v>
      </c>
      <c r="J50"/>
      <c r="L50" s="151"/>
      <c r="M50"/>
      <c r="O50" s="282"/>
      <c r="P50" s="2">
        <f>SUM(P48:P49)</f>
        <v>3990.040512</v>
      </c>
      <c r="Q50" s="117"/>
      <c r="R50" s="151"/>
      <c r="V50" s="276"/>
      <c r="W50" s="117"/>
      <c r="X50" s="151"/>
      <c r="AB50" s="1"/>
      <c r="AC50" s="283"/>
      <c r="AD50" s="283"/>
      <c r="AJ50">
        <f>SUM(AJ48:AJ49)</f>
        <v>5660.0000000003056</v>
      </c>
    </row>
    <row r="51" spans="1:37">
      <c r="A51" s="156">
        <v>46105</v>
      </c>
      <c r="B51" s="320" t="s">
        <v>316</v>
      </c>
      <c r="C51" s="116"/>
      <c r="D51" s="116">
        <f>+P48</f>
        <v>1967.8405120000002</v>
      </c>
      <c r="E51" s="157">
        <f>+E50+C51-D51</f>
        <v>10416.689887999999</v>
      </c>
      <c r="F51" t="s">
        <v>1578</v>
      </c>
      <c r="G51" s="292"/>
      <c r="H51" s="2"/>
      <c r="I51" s="9"/>
    </row>
    <row r="52" spans="1:37">
      <c r="A52" s="156">
        <v>46105</v>
      </c>
      <c r="B52" s="320" t="s">
        <v>1499</v>
      </c>
      <c r="C52" s="116"/>
      <c r="D52" s="116">
        <f>+P49</f>
        <v>2022.1999999999998</v>
      </c>
      <c r="E52" s="157">
        <f>+E51+C52-D52</f>
        <v>8394.4898880000001</v>
      </c>
      <c r="F52" t="s">
        <v>1577</v>
      </c>
      <c r="G52" s="291"/>
      <c r="H52" s="2"/>
      <c r="I52" s="9"/>
    </row>
    <row r="53" spans="1:37">
      <c r="A53" s="156"/>
      <c r="B53" s="112"/>
      <c r="C53" s="112"/>
      <c r="D53" s="112"/>
      <c r="E53" s="157">
        <f>+E52+C53-D53</f>
        <v>8394.4898880000001</v>
      </c>
      <c r="H53" s="2"/>
      <c r="I53" s="9"/>
      <c r="O53" t="s">
        <v>915</v>
      </c>
      <c r="P53" s="163">
        <f>XIRR(P54:P57,O54:O57)</f>
        <v>6.625208556652068E-2</v>
      </c>
      <c r="R53" t="s">
        <v>588</v>
      </c>
      <c r="S53" s="163">
        <f>XIRR(S54:S57,R54:R57)</f>
        <v>6.6248729825019823E-2</v>
      </c>
    </row>
    <row r="54" spans="1:37">
      <c r="A54" s="156">
        <v>46108</v>
      </c>
      <c r="B54" s="112" t="s">
        <v>565</v>
      </c>
      <c r="C54" s="112">
        <v>340</v>
      </c>
      <c r="D54" s="112"/>
      <c r="E54" s="157">
        <v>8737</v>
      </c>
      <c r="H54" s="2"/>
      <c r="I54" s="9"/>
      <c r="O54" s="1">
        <v>45832</v>
      </c>
      <c r="P54">
        <v>-100</v>
      </c>
      <c r="R54" s="1">
        <v>45923</v>
      </c>
      <c r="S54">
        <v>-100</v>
      </c>
    </row>
    <row r="55" spans="1:37">
      <c r="A55" s="156">
        <v>46111</v>
      </c>
      <c r="B55" s="112" t="s">
        <v>589</v>
      </c>
      <c r="C55" s="116"/>
      <c r="D55" s="116">
        <f>1755*1.12</f>
        <v>1965.6000000000001</v>
      </c>
      <c r="E55" s="157">
        <f>+E54+C55-D55</f>
        <v>6771.4</v>
      </c>
      <c r="F55" t="s">
        <v>1676</v>
      </c>
      <c r="O55" s="1">
        <v>45958.000497685185</v>
      </c>
      <c r="P55">
        <v>1.7260000000000002</v>
      </c>
      <c r="R55" s="117">
        <v>46080</v>
      </c>
      <c r="S55">
        <v>2.1505999999999998</v>
      </c>
    </row>
    <row r="56" spans="1:37">
      <c r="A56" s="156"/>
      <c r="B56" s="112"/>
      <c r="C56" s="116"/>
      <c r="D56" s="116"/>
      <c r="E56" s="157">
        <f t="shared" si="4"/>
        <v>6771.4</v>
      </c>
      <c r="O56" s="1">
        <v>46044.000497685185</v>
      </c>
      <c r="P56">
        <v>1.1780999999999999</v>
      </c>
      <c r="R56" s="117">
        <v>46132</v>
      </c>
      <c r="S56" s="201">
        <v>101.571</v>
      </c>
    </row>
    <row r="57" spans="1:37">
      <c r="A57" s="156"/>
      <c r="B57" s="112"/>
      <c r="C57" s="116"/>
      <c r="D57" s="116"/>
      <c r="E57" s="157">
        <f t="shared" si="4"/>
        <v>6771.4</v>
      </c>
      <c r="J57"/>
      <c r="O57" s="1">
        <v>46132</v>
      </c>
      <c r="P57" s="201">
        <v>102.438</v>
      </c>
      <c r="R57" s="117"/>
    </row>
    <row r="58" spans="1:37">
      <c r="A58" s="156"/>
      <c r="B58" s="112"/>
      <c r="C58" s="116"/>
      <c r="D58" s="116"/>
      <c r="E58" s="157">
        <v>6761</v>
      </c>
      <c r="I58" s="380"/>
      <c r="J58" t="s">
        <v>849</v>
      </c>
      <c r="L58" s="151"/>
      <c r="M58"/>
      <c r="N58" s="345"/>
      <c r="Q58" s="117"/>
      <c r="R58" s="117"/>
      <c r="T58" s="117"/>
      <c r="U58" s="150"/>
      <c r="W58" s="1"/>
      <c r="X58" s="155"/>
      <c r="Y58" s="1"/>
      <c r="Z58" s="1"/>
      <c r="AA58" s="1"/>
    </row>
    <row r="59" spans="1:37">
      <c r="A59" s="156">
        <v>46125</v>
      </c>
      <c r="B59" s="112" t="s">
        <v>1852</v>
      </c>
      <c r="C59" s="116">
        <v>942</v>
      </c>
      <c r="D59" s="116"/>
      <c r="E59" s="157">
        <f t="shared" si="4"/>
        <v>7703</v>
      </c>
      <c r="I59" s="380"/>
      <c r="J59"/>
      <c r="L59" s="151"/>
      <c r="M59"/>
      <c r="N59" s="345"/>
      <c r="Q59" s="117"/>
      <c r="R59" s="150"/>
      <c r="T59" s="117"/>
      <c r="U59" s="150"/>
      <c r="W59" s="1"/>
      <c r="X59" s="155"/>
      <c r="Y59" s="1"/>
      <c r="Z59" s="1"/>
      <c r="AA59" s="1"/>
    </row>
    <row r="60" spans="1:37">
      <c r="A60" s="156"/>
      <c r="B60" s="112" t="s">
        <v>1853</v>
      </c>
      <c r="C60" s="116">
        <v>192.4</v>
      </c>
      <c r="D60" s="116"/>
      <c r="E60" s="157">
        <f t="shared" si="4"/>
        <v>7895.4</v>
      </c>
      <c r="I60" s="380"/>
      <c r="J60" t="s">
        <v>849</v>
      </c>
      <c r="L60" s="151"/>
      <c r="M60"/>
      <c r="N60" s="345"/>
      <c r="Q60" s="117"/>
      <c r="R60" s="150"/>
      <c r="T60" s="117"/>
      <c r="U60" s="150"/>
      <c r="W60" s="1"/>
      <c r="X60" s="155"/>
      <c r="Y60" s="1"/>
      <c r="Z60" s="1"/>
      <c r="AA60" s="1"/>
    </row>
    <row r="61" spans="1:37">
      <c r="A61" s="156"/>
      <c r="B61" s="112"/>
      <c r="C61" s="116"/>
      <c r="D61" s="116"/>
      <c r="E61" s="157">
        <f t="shared" si="4"/>
        <v>7895.4</v>
      </c>
      <c r="I61" s="380"/>
      <c r="J61"/>
      <c r="L61" s="151"/>
      <c r="M61"/>
      <c r="N61" s="345"/>
      <c r="Q61" s="117"/>
      <c r="R61" s="150"/>
      <c r="U61" s="150"/>
      <c r="W61" s="1"/>
      <c r="X61" s="155"/>
      <c r="Y61" s="1"/>
      <c r="Z61" s="1"/>
      <c r="AA61" s="1"/>
    </row>
    <row r="62" spans="1:37">
      <c r="A62" s="156">
        <v>46127</v>
      </c>
      <c r="B62" s="112" t="s">
        <v>613</v>
      </c>
      <c r="C62" s="116">
        <v>885</v>
      </c>
      <c r="D62" s="116"/>
      <c r="E62" s="157">
        <f t="shared" si="4"/>
        <v>8780.4</v>
      </c>
      <c r="I62" s="380"/>
      <c r="J62"/>
      <c r="L62" s="151"/>
      <c r="M62"/>
      <c r="N62" s="345">
        <f>+T62*1.01</f>
        <v>112.03016019178081</v>
      </c>
      <c r="Q62" s="117"/>
      <c r="R62" s="150"/>
      <c r="T62">
        <f>+S64+8.5*4/365</f>
        <v>110.9209506849315</v>
      </c>
      <c r="U62" s="150"/>
      <c r="W62" s="1"/>
      <c r="X62" s="155"/>
      <c r="Y62" s="1"/>
      <c r="Z62" s="1"/>
      <c r="AA62" s="1"/>
    </row>
    <row r="63" spans="1:37">
      <c r="A63" s="156"/>
      <c r="B63" s="112"/>
      <c r="C63" s="116"/>
      <c r="D63" s="116"/>
      <c r="E63" s="157">
        <f t="shared" si="4"/>
        <v>8780.4</v>
      </c>
      <c r="J63" s="112" t="s">
        <v>17</v>
      </c>
      <c r="K63" s="214" t="s">
        <v>525</v>
      </c>
      <c r="L63" s="214" t="s">
        <v>543</v>
      </c>
      <c r="M63" s="116" t="s">
        <v>526</v>
      </c>
      <c r="N63" s="112" t="s">
        <v>527</v>
      </c>
      <c r="O63" s="112" t="s">
        <v>528</v>
      </c>
      <c r="P63" s="112" t="s">
        <v>529</v>
      </c>
      <c r="Q63" s="112" t="s">
        <v>530</v>
      </c>
      <c r="R63" s="112" t="s">
        <v>532</v>
      </c>
      <c r="S63" s="112" t="s">
        <v>595</v>
      </c>
      <c r="T63" s="112" t="s">
        <v>596</v>
      </c>
      <c r="U63" s="112" t="s">
        <v>536</v>
      </c>
      <c r="V63" s="112" t="s">
        <v>537</v>
      </c>
      <c r="W63" s="112" t="s">
        <v>538</v>
      </c>
      <c r="X63" s="112" t="s">
        <v>539</v>
      </c>
      <c r="Y63" s="112" t="s">
        <v>540</v>
      </c>
      <c r="Z63" s="112" t="s">
        <v>541</v>
      </c>
      <c r="AA63" s="112" t="s">
        <v>166</v>
      </c>
      <c r="AB63" t="s">
        <v>542</v>
      </c>
    </row>
    <row r="64" spans="1:37">
      <c r="A64" s="156">
        <v>46128</v>
      </c>
      <c r="B64" s="112" t="s">
        <v>1740</v>
      </c>
      <c r="C64" s="112"/>
      <c r="D64" s="112">
        <v>733</v>
      </c>
      <c r="E64" s="157">
        <f>+E63+C64-D64</f>
        <v>8047.4</v>
      </c>
      <c r="F64" s="399" t="s">
        <v>1889</v>
      </c>
      <c r="J64" s="112" t="s">
        <v>1789</v>
      </c>
      <c r="K64" s="214" t="s">
        <v>1779</v>
      </c>
      <c r="L64" s="442">
        <v>8.5000000000000006E-2</v>
      </c>
      <c r="M64" s="112">
        <v>655</v>
      </c>
      <c r="N64" s="443">
        <v>112.02</v>
      </c>
      <c r="O64" s="443">
        <f>+N64</f>
        <v>112.02</v>
      </c>
      <c r="P64" s="116">
        <f>M64*O64/100</f>
        <v>733.73099999999988</v>
      </c>
      <c r="Q64" s="110">
        <v>46128</v>
      </c>
      <c r="R64" s="189">
        <v>5.5E-2</v>
      </c>
      <c r="S64" s="112">
        <v>110.8278</v>
      </c>
      <c r="T64" s="110">
        <v>46125</v>
      </c>
      <c r="U64" s="189">
        <v>5.5E-2</v>
      </c>
      <c r="V64" s="112" t="s">
        <v>1880</v>
      </c>
      <c r="W64" s="211">
        <v>45982</v>
      </c>
      <c r="X64" s="444">
        <v>0</v>
      </c>
      <c r="Y64" s="211">
        <v>45187</v>
      </c>
      <c r="Z64" s="211">
        <v>46283</v>
      </c>
      <c r="AA64" s="211">
        <v>46283</v>
      </c>
      <c r="AB64">
        <v>100</v>
      </c>
      <c r="AC64" t="str">
        <f>J64&amp;"["&amp;K64&amp;"]，"&amp;M64&amp;"w，"&amp;N64&amp;"，"&amp;TEXT(Q64,"m月d日")&amp;"，"&amp;AE64&amp;" to "&amp;AF64</f>
        <v>铁建061C[260663.SH]，655w，112.02，4月16日，【】 to 苏信Z2502</v>
      </c>
      <c r="AE64" t="s">
        <v>1881</v>
      </c>
      <c r="AF64" t="s">
        <v>1609</v>
      </c>
    </row>
    <row r="65" spans="1:32">
      <c r="A65" s="156">
        <v>46129</v>
      </c>
      <c r="B65" s="112" t="s">
        <v>1716</v>
      </c>
      <c r="C65" s="112"/>
      <c r="D65" s="112">
        <v>2754</v>
      </c>
      <c r="E65" s="157">
        <f>+E64+C65-D65</f>
        <v>5293.4</v>
      </c>
      <c r="F65" s="399" t="s">
        <v>1935</v>
      </c>
      <c r="AF65" t="s">
        <v>1609</v>
      </c>
    </row>
    <row r="66" spans="1:32">
      <c r="A66" s="156"/>
      <c r="B66" s="112"/>
      <c r="C66" s="112"/>
      <c r="D66" s="112"/>
      <c r="E66" s="113">
        <f>+E65+C66-D66</f>
        <v>5293.4</v>
      </c>
      <c r="F66" s="347"/>
      <c r="J66" s="441"/>
      <c r="O66" s="423"/>
    </row>
    <row r="67" spans="1:32">
      <c r="A67" s="156">
        <v>46132</v>
      </c>
      <c r="B67" s="112" t="s">
        <v>531</v>
      </c>
      <c r="C67" s="112">
        <v>15445</v>
      </c>
      <c r="D67" s="112"/>
      <c r="E67" s="157">
        <f>+E66+C67-D67</f>
        <v>20738.400000000001</v>
      </c>
      <c r="F67" s="347"/>
      <c r="J67" s="441" t="s">
        <v>1896</v>
      </c>
      <c r="N67">
        <v>5.0000000000000001E-3</v>
      </c>
      <c r="O67" s="423">
        <f>N69-N67</f>
        <v>93.666000000000011</v>
      </c>
    </row>
    <row r="68" spans="1:32">
      <c r="A68" s="156">
        <v>46132</v>
      </c>
      <c r="B68" s="112" t="s">
        <v>1954</v>
      </c>
      <c r="C68" s="112"/>
      <c r="D68" s="455">
        <v>1751.6898000000001</v>
      </c>
      <c r="E68" s="157">
        <f t="shared" ref="E68:E78" si="8">+E67+C68-D68</f>
        <v>18986.710200000001</v>
      </c>
      <c r="F68" s="399" t="s">
        <v>1969</v>
      </c>
      <c r="H68" s="2"/>
      <c r="I68" s="9"/>
      <c r="J68" t="s">
        <v>17</v>
      </c>
      <c r="K68" s="9" t="s">
        <v>525</v>
      </c>
      <c r="L68" s="9" t="s">
        <v>543</v>
      </c>
      <c r="M68" s="2" t="s">
        <v>526</v>
      </c>
      <c r="N68" t="s">
        <v>527</v>
      </c>
      <c r="O68" t="s">
        <v>528</v>
      </c>
      <c r="P68" t="s">
        <v>529</v>
      </c>
      <c r="Q68" t="s">
        <v>530</v>
      </c>
      <c r="R68" t="s">
        <v>532</v>
      </c>
      <c r="S68" t="s">
        <v>595</v>
      </c>
      <c r="T68" t="s">
        <v>596</v>
      </c>
      <c r="U68" t="s">
        <v>536</v>
      </c>
      <c r="V68" t="s">
        <v>537</v>
      </c>
      <c r="W68" t="s">
        <v>538</v>
      </c>
      <c r="X68" t="s">
        <v>539</v>
      </c>
      <c r="Y68" t="s">
        <v>540</v>
      </c>
      <c r="Z68" t="s">
        <v>541</v>
      </c>
      <c r="AA68" t="s">
        <v>166</v>
      </c>
      <c r="AB68" t="s">
        <v>542</v>
      </c>
    </row>
    <row r="69" spans="1:32">
      <c r="A69" s="156">
        <v>46132</v>
      </c>
      <c r="B69" s="112" t="s">
        <v>1790</v>
      </c>
      <c r="C69" s="112"/>
      <c r="D69" s="112">
        <v>116.80664999999999</v>
      </c>
      <c r="E69" s="157">
        <f t="shared" si="8"/>
        <v>18869.903550000003</v>
      </c>
      <c r="F69" s="399" t="s">
        <v>1970</v>
      </c>
      <c r="H69" s="2"/>
      <c r="I69" s="446" t="s">
        <v>1913</v>
      </c>
      <c r="J69" s="112" t="s">
        <v>1716</v>
      </c>
      <c r="K69" s="214" t="s">
        <v>1717</v>
      </c>
      <c r="L69" s="450">
        <v>4.3999999999999997E-2</v>
      </c>
      <c r="M69" s="112">
        <v>2940</v>
      </c>
      <c r="N69" s="443">
        <f>ROUND(S69+0.005,3)</f>
        <v>93.671000000000006</v>
      </c>
      <c r="O69" s="451">
        <f>N69+X69</f>
        <v>93.704781150684937</v>
      </c>
      <c r="P69" s="116">
        <f t="shared" ref="P69:P76" si="9">M69*O69/100</f>
        <v>2754.9205658301375</v>
      </c>
      <c r="Q69" s="110">
        <v>46129</v>
      </c>
      <c r="R69" s="189">
        <f>+U69</f>
        <v>3.7499999999999999E-2</v>
      </c>
      <c r="S69" s="112">
        <v>93.665700000000001</v>
      </c>
      <c r="T69" s="110">
        <v>46127</v>
      </c>
      <c r="U69" s="189">
        <v>3.7499999999999999E-2</v>
      </c>
      <c r="V69" s="112" t="s">
        <v>580</v>
      </c>
      <c r="W69" s="211">
        <v>46127</v>
      </c>
      <c r="X69" s="444">
        <f>AB69*L69/365*(Q69-W69+1)</f>
        <v>3.3781150684931503E-2</v>
      </c>
      <c r="Y69" s="211">
        <v>45651</v>
      </c>
      <c r="Z69" s="211">
        <v>46127</v>
      </c>
      <c r="AA69" s="211">
        <v>46736</v>
      </c>
      <c r="AB69" s="112">
        <v>93.41</v>
      </c>
      <c r="AC69" s="112" t="str">
        <f>J69&amp;"["&amp;K69&amp;"]，"&amp;M69&amp;"w，"&amp;N69&amp;"，"&amp;TEXT(Q69,"m月d日")&amp;"，"&amp;AE65&amp;" to "&amp;AF65</f>
        <v>熠然04A3[146002.SZ]，2940w，93.671，4月17日， to 苏信Z2502</v>
      </c>
    </row>
    <row r="70" spans="1:32">
      <c r="A70" s="156">
        <v>46132</v>
      </c>
      <c r="B70" s="112" t="s">
        <v>1856</v>
      </c>
      <c r="C70" s="112"/>
      <c r="D70" s="112">
        <v>302.95499999999998</v>
      </c>
      <c r="E70" s="157">
        <f t="shared" si="8"/>
        <v>18566.948550000001</v>
      </c>
      <c r="F70" s="399" t="s">
        <v>1971</v>
      </c>
      <c r="H70" s="2"/>
      <c r="I70" s="446"/>
      <c r="J70" s="9" t="s">
        <v>1954</v>
      </c>
      <c r="L70" s="163"/>
      <c r="M70" s="348"/>
      <c r="N70" s="345"/>
      <c r="O70" s="421"/>
      <c r="P70" s="2">
        <v>1751.6898000000001</v>
      </c>
      <c r="Q70" s="117"/>
      <c r="R70" s="150"/>
      <c r="T70" s="117"/>
      <c r="W70" s="1"/>
      <c r="X70" s="155"/>
      <c r="Y70" s="1"/>
      <c r="AA70" s="1"/>
    </row>
    <row r="71" spans="1:32">
      <c r="A71" s="156">
        <v>46132</v>
      </c>
      <c r="B71" s="112" t="s">
        <v>842</v>
      </c>
      <c r="C71" s="112"/>
      <c r="D71" s="112">
        <v>312.83699999999999</v>
      </c>
      <c r="E71" s="157">
        <f t="shared" si="8"/>
        <v>18254.111550000001</v>
      </c>
      <c r="F71" s="399" t="s">
        <v>1972</v>
      </c>
      <c r="H71" s="2"/>
      <c r="I71" s="446"/>
      <c r="J71" s="9" t="s">
        <v>1790</v>
      </c>
      <c r="L71" s="163"/>
      <c r="M71" s="348"/>
      <c r="N71" s="345"/>
      <c r="O71" s="421"/>
      <c r="P71" s="2">
        <v>116.80664999999999</v>
      </c>
      <c r="Q71" s="117"/>
      <c r="R71" s="150"/>
      <c r="T71" s="117"/>
      <c r="W71" s="1"/>
      <c r="X71" s="155"/>
      <c r="Y71" s="1"/>
      <c r="AA71" s="1"/>
    </row>
    <row r="72" spans="1:32">
      <c r="A72" s="156">
        <v>46132</v>
      </c>
      <c r="B72" s="112" t="s">
        <v>1864</v>
      </c>
      <c r="C72" s="112"/>
      <c r="D72" s="112">
        <v>503.95499999999998</v>
      </c>
      <c r="E72" s="157">
        <f t="shared" si="8"/>
        <v>17750.15655</v>
      </c>
      <c r="F72" s="399" t="s">
        <v>1973</v>
      </c>
      <c r="H72" s="2"/>
      <c r="I72" s="9"/>
      <c r="J72" s="9" t="s">
        <v>1856</v>
      </c>
      <c r="K72" s="9" t="s">
        <v>1894</v>
      </c>
      <c r="L72" s="163">
        <v>0.06</v>
      </c>
      <c r="M72" s="348">
        <v>300</v>
      </c>
      <c r="N72" s="345">
        <f>100.98+0.006</f>
        <v>100.986</v>
      </c>
      <c r="O72" s="421">
        <f>N72+X72</f>
        <v>100.986</v>
      </c>
      <c r="P72" s="2">
        <f t="shared" si="9"/>
        <v>302.95800000000003</v>
      </c>
      <c r="Q72" s="117">
        <v>46132</v>
      </c>
      <c r="R72" s="150">
        <v>0.06</v>
      </c>
      <c r="S72">
        <v>100.7838</v>
      </c>
      <c r="T72" s="117">
        <v>46125</v>
      </c>
      <c r="V72" t="s">
        <v>1880</v>
      </c>
      <c r="W72" s="1">
        <v>46104</v>
      </c>
      <c r="X72" s="155">
        <v>0</v>
      </c>
      <c r="Y72" s="1">
        <v>45947</v>
      </c>
      <c r="AA72" s="1">
        <v>46958</v>
      </c>
      <c r="AB72">
        <v>100</v>
      </c>
      <c r="AC72" t="str">
        <f>J72&amp;"["&amp;K72&amp;"]，"&amp;M72&amp;"w，"&amp;N72&amp;"，"&amp;TEXT(Q72,"m月d日")&amp;"，"&amp;AE67&amp;" to "&amp;AF67</f>
        <v xml:space="preserve">启臻1次[266524.SH]，300w，100.986，4月20日， to </v>
      </c>
    </row>
    <row r="73" spans="1:32">
      <c r="A73" s="156"/>
      <c r="B73" s="112"/>
      <c r="C73" s="112"/>
      <c r="D73" s="112"/>
      <c r="E73" s="157">
        <f t="shared" si="8"/>
        <v>17750.15655</v>
      </c>
      <c r="H73" s="2"/>
      <c r="I73" s="9"/>
      <c r="J73" s="9" t="s">
        <v>842</v>
      </c>
      <c r="K73" s="9" t="s">
        <v>844</v>
      </c>
      <c r="L73" s="163">
        <v>7.0000000000000007E-2</v>
      </c>
      <c r="M73" s="348">
        <v>300</v>
      </c>
      <c r="N73">
        <f>104.274+0.006</f>
        <v>104.28</v>
      </c>
      <c r="O73" s="421">
        <f>N73+X73</f>
        <v>104.28</v>
      </c>
      <c r="P73" s="2">
        <f t="shared" si="9"/>
        <v>312.83999999999997</v>
      </c>
      <c r="Q73" s="117">
        <v>46132</v>
      </c>
      <c r="R73" s="150">
        <v>6.8000000000000005E-2</v>
      </c>
      <c r="S73">
        <v>103.9983</v>
      </c>
      <c r="T73" s="117">
        <v>46125</v>
      </c>
      <c r="V73" t="s">
        <v>1880</v>
      </c>
      <c r="W73" s="1">
        <v>46104</v>
      </c>
      <c r="X73" s="155">
        <v>0</v>
      </c>
      <c r="Y73" s="1">
        <v>45757</v>
      </c>
      <c r="AA73" s="1">
        <v>46743</v>
      </c>
      <c r="AB73">
        <v>100</v>
      </c>
      <c r="AC73" t="str">
        <f>J73&amp;"["&amp;K73&amp;"]，"&amp;M73&amp;"w，"&amp;N73&amp;"，"&amp;TEXT(Q73,"m月d日")&amp;"，"&amp;AE68&amp;" to "&amp;AF68</f>
        <v xml:space="preserve">启悦15次[146285.SZ]，300w，104.28，4月20日， to </v>
      </c>
    </row>
    <row r="74" spans="1:32">
      <c r="A74" s="156"/>
      <c r="B74" s="112"/>
      <c r="C74" s="112"/>
      <c r="D74" s="112"/>
      <c r="E74" s="157">
        <f t="shared" si="8"/>
        <v>17750.15655</v>
      </c>
      <c r="H74" s="2"/>
      <c r="I74" s="9"/>
      <c r="J74" s="9" t="s">
        <v>1864</v>
      </c>
      <c r="K74" s="9" t="s">
        <v>1895</v>
      </c>
      <c r="L74" s="163">
        <v>5.9799999999999999E-2</v>
      </c>
      <c r="M74" s="348">
        <v>500</v>
      </c>
      <c r="N74">
        <f>100.786+0.006</f>
        <v>100.792</v>
      </c>
      <c r="O74" s="421">
        <f>N74+X74</f>
        <v>100.792</v>
      </c>
      <c r="P74" s="2">
        <f t="shared" si="9"/>
        <v>503.96</v>
      </c>
      <c r="Q74" s="117">
        <v>46132</v>
      </c>
      <c r="R74" s="150">
        <v>0.06</v>
      </c>
      <c r="S74">
        <v>100.6862</v>
      </c>
      <c r="T74" s="117">
        <v>46125</v>
      </c>
      <c r="V74" t="s">
        <v>1880</v>
      </c>
      <c r="W74" s="1">
        <v>46084</v>
      </c>
      <c r="X74" s="155">
        <v>0</v>
      </c>
      <c r="Y74" s="1">
        <v>46084</v>
      </c>
      <c r="AA74" s="1">
        <v>47079</v>
      </c>
      <c r="AB74">
        <v>100</v>
      </c>
      <c r="AC74" t="str">
        <f>J74&amp;"["&amp;K74&amp;"]，"&amp;M74&amp;"w，"&amp;N74&amp;"，"&amp;TEXT(Q74,"m月d日")&amp;"，"&amp;AE69&amp;" to "&amp;AF69</f>
        <v xml:space="preserve">启恒1次[500486.SZ]，500w，100.792，4月20日， to </v>
      </c>
    </row>
    <row r="75" spans="1:32">
      <c r="A75" s="156"/>
      <c r="B75" s="112"/>
      <c r="C75" s="112"/>
      <c r="D75" s="112"/>
      <c r="E75" s="157">
        <f t="shared" si="8"/>
        <v>17750.15655</v>
      </c>
      <c r="H75" s="2"/>
      <c r="I75" s="9"/>
      <c r="J75" s="9" t="s">
        <v>915</v>
      </c>
      <c r="K75" s="9" t="s">
        <v>1949</v>
      </c>
      <c r="L75" s="163">
        <v>8.5000000000000006E-2</v>
      </c>
      <c r="M75" s="348">
        <f>1045+665</f>
        <v>1710</v>
      </c>
      <c r="N75">
        <v>102.438</v>
      </c>
      <c r="O75">
        <v>102.438</v>
      </c>
      <c r="P75" s="2">
        <f t="shared" si="9"/>
        <v>1751.6898000000001</v>
      </c>
      <c r="Q75" s="117">
        <v>46132</v>
      </c>
      <c r="R75" s="150">
        <v>5.5E-2</v>
      </c>
      <c r="S75">
        <v>102.3218</v>
      </c>
      <c r="T75" s="117">
        <v>46127</v>
      </c>
      <c r="V75" t="s">
        <v>1880</v>
      </c>
      <c r="W75" s="1">
        <v>46044</v>
      </c>
      <c r="X75" s="155">
        <v>0</v>
      </c>
      <c r="Y75" s="1">
        <v>45832</v>
      </c>
      <c r="AA75" s="1">
        <v>46562</v>
      </c>
      <c r="AB75">
        <v>100</v>
      </c>
    </row>
    <row r="76" spans="1:32">
      <c r="A76" s="156">
        <v>46133</v>
      </c>
      <c r="B76" s="112" t="s">
        <v>1210</v>
      </c>
      <c r="C76" s="112"/>
      <c r="D76" s="112">
        <v>1000</v>
      </c>
      <c r="E76" s="157">
        <f t="shared" si="8"/>
        <v>16750.15655</v>
      </c>
      <c r="F76" s="399" t="s">
        <v>816</v>
      </c>
      <c r="H76" s="2"/>
      <c r="I76" s="9"/>
      <c r="J76" s="9" t="s">
        <v>588</v>
      </c>
      <c r="K76" s="9" t="s">
        <v>1780</v>
      </c>
      <c r="L76" s="163">
        <v>8.5000000000000006E-2</v>
      </c>
      <c r="M76" s="348">
        <v>115</v>
      </c>
      <c r="N76">
        <v>101.571</v>
      </c>
      <c r="O76">
        <v>101.571</v>
      </c>
      <c r="P76" s="2">
        <f t="shared" si="9"/>
        <v>116.80664999999999</v>
      </c>
      <c r="Q76" s="117">
        <v>46132</v>
      </c>
      <c r="R76" s="150">
        <v>5.5E-2</v>
      </c>
      <c r="S76">
        <v>101.47920000000001</v>
      </c>
      <c r="T76" s="117">
        <v>46127</v>
      </c>
      <c r="V76" t="s">
        <v>1880</v>
      </c>
      <c r="W76" s="1">
        <v>46080</v>
      </c>
      <c r="X76" s="155">
        <v>0</v>
      </c>
      <c r="Y76" s="1">
        <v>45923</v>
      </c>
      <c r="AA76" s="1">
        <v>46653</v>
      </c>
      <c r="AB76">
        <v>100</v>
      </c>
    </row>
    <row r="77" spans="1:32">
      <c r="A77" s="156"/>
      <c r="B77" s="112"/>
      <c r="C77" s="116"/>
      <c r="D77" s="455"/>
      <c r="E77" s="157">
        <f t="shared" si="8"/>
        <v>16750.15655</v>
      </c>
      <c r="H77" s="2"/>
      <c r="I77" s="9"/>
      <c r="J77" s="9" t="s">
        <v>961</v>
      </c>
      <c r="P77">
        <v>2000</v>
      </c>
      <c r="Q77" s="184" t="s">
        <v>324</v>
      </c>
    </row>
    <row r="78" spans="1:32">
      <c r="A78" s="156">
        <v>46134</v>
      </c>
      <c r="B78" s="112" t="s">
        <v>613</v>
      </c>
      <c r="C78" s="112">
        <v>402</v>
      </c>
      <c r="D78" s="455"/>
      <c r="E78" s="157">
        <f t="shared" si="8"/>
        <v>17152.15655</v>
      </c>
      <c r="H78" s="2"/>
      <c r="I78" s="9"/>
      <c r="J78" s="9" t="s">
        <v>1409</v>
      </c>
      <c r="P78">
        <v>2000</v>
      </c>
      <c r="Q78" s="184" t="s">
        <v>324</v>
      </c>
    </row>
    <row r="79" spans="1:32">
      <c r="A79" s="156">
        <v>46134</v>
      </c>
      <c r="B79" s="112" t="s">
        <v>2019</v>
      </c>
      <c r="C79" s="112"/>
      <c r="D79" s="112">
        <f>915*105.163%+752*105.692%</f>
        <v>1757.04529</v>
      </c>
      <c r="E79" s="157">
        <f t="shared" ref="E79:E94" si="10">+E78+C79-D79</f>
        <v>15395.11126</v>
      </c>
      <c r="F79" s="399" t="s">
        <v>2066</v>
      </c>
      <c r="H79" s="2"/>
      <c r="I79" s="9"/>
      <c r="J79" s="9" t="s">
        <v>1897</v>
      </c>
      <c r="P79">
        <v>8000</v>
      </c>
      <c r="Q79" s="184" t="s">
        <v>324</v>
      </c>
    </row>
    <row r="80" spans="1:32">
      <c r="A80" s="156">
        <v>46134</v>
      </c>
      <c r="B80" s="112" t="s">
        <v>1455</v>
      </c>
      <c r="C80" s="112"/>
      <c r="D80" s="112">
        <f>80*105.789%</f>
        <v>84.631200000000007</v>
      </c>
      <c r="E80" s="157">
        <f t="shared" si="10"/>
        <v>15310.48006</v>
      </c>
      <c r="F80" s="399" t="s">
        <v>2077</v>
      </c>
      <c r="I80" s="9"/>
      <c r="J80" s="9" t="s">
        <v>1210</v>
      </c>
      <c r="P80">
        <v>1000</v>
      </c>
      <c r="Q80" s="184" t="s">
        <v>324</v>
      </c>
    </row>
    <row r="81" spans="1:29">
      <c r="A81" s="156"/>
      <c r="B81" s="112"/>
      <c r="C81" s="116"/>
      <c r="D81" s="455"/>
      <c r="E81" s="157">
        <f t="shared" si="10"/>
        <v>15310.48006</v>
      </c>
      <c r="J81" s="9" t="s">
        <v>1898</v>
      </c>
      <c r="P81">
        <v>580</v>
      </c>
      <c r="Q81" s="184" t="s">
        <v>324</v>
      </c>
    </row>
    <row r="82" spans="1:29">
      <c r="A82" s="156"/>
      <c r="B82" s="112"/>
      <c r="C82" s="116"/>
      <c r="D82" s="455"/>
      <c r="E82" s="157">
        <f t="shared" si="10"/>
        <v>15310.48006</v>
      </c>
      <c r="J82" s="9" t="s">
        <v>1217</v>
      </c>
      <c r="P82">
        <v>1500</v>
      </c>
      <c r="Q82" s="184" t="s">
        <v>324</v>
      </c>
    </row>
    <row r="83" spans="1:29">
      <c r="A83" s="156">
        <v>46139</v>
      </c>
      <c r="B83" s="112" t="s">
        <v>1569</v>
      </c>
      <c r="C83" s="112"/>
      <c r="D83" s="112">
        <f>2300*52.5268%</f>
        <v>1208.1164000000001</v>
      </c>
      <c r="E83" s="157">
        <f t="shared" si="10"/>
        <v>14102.363659999999</v>
      </c>
      <c r="F83" s="479" t="s">
        <v>2210</v>
      </c>
      <c r="H83" s="1"/>
      <c r="J83" s="9" t="s">
        <v>1569</v>
      </c>
      <c r="P83">
        <v>2700</v>
      </c>
      <c r="Q83" s="184" t="s">
        <v>324</v>
      </c>
    </row>
    <row r="84" spans="1:29">
      <c r="A84" s="252">
        <v>46139</v>
      </c>
      <c r="B84" s="253" t="s">
        <v>2215</v>
      </c>
      <c r="C84" s="253">
        <v>2855</v>
      </c>
      <c r="D84" s="253"/>
      <c r="E84" s="474">
        <f t="shared" si="10"/>
        <v>16957.363659999999</v>
      </c>
      <c r="H84" s="1"/>
    </row>
    <row r="85" spans="1:29">
      <c r="A85" s="252">
        <v>46140</v>
      </c>
      <c r="B85" s="253" t="s">
        <v>1996</v>
      </c>
      <c r="C85" s="253">
        <v>293</v>
      </c>
      <c r="D85" s="253"/>
      <c r="E85" s="369">
        <f t="shared" si="10"/>
        <v>17250.363659999999</v>
      </c>
      <c r="H85" s="1"/>
      <c r="P85" s="186">
        <f>SUM(P69:P84)</f>
        <v>25391.671465830139</v>
      </c>
    </row>
    <row r="86" spans="1:29">
      <c r="A86" s="252">
        <v>46140</v>
      </c>
      <c r="B86" s="253" t="s">
        <v>1997</v>
      </c>
      <c r="C86" s="253">
        <v>813.7</v>
      </c>
      <c r="D86" s="253"/>
      <c r="E86" s="369">
        <f t="shared" si="10"/>
        <v>18064.06366</v>
      </c>
      <c r="H86" s="1"/>
      <c r="I86"/>
    </row>
    <row r="87" spans="1:29">
      <c r="A87" s="156">
        <v>46141</v>
      </c>
      <c r="B87" s="112" t="s">
        <v>1409</v>
      </c>
      <c r="C87" s="116"/>
      <c r="D87" s="455">
        <v>2000</v>
      </c>
      <c r="E87" s="157">
        <f t="shared" si="10"/>
        <v>16064.06366</v>
      </c>
      <c r="F87" s="399" t="s">
        <v>816</v>
      </c>
      <c r="H87" s="1"/>
    </row>
    <row r="88" spans="1:29">
      <c r="A88" s="156">
        <v>46141</v>
      </c>
      <c r="B88" s="112" t="s">
        <v>1327</v>
      </c>
      <c r="C88" s="116"/>
      <c r="D88" s="455">
        <v>6900</v>
      </c>
      <c r="E88" s="157">
        <f t="shared" si="10"/>
        <v>9164.0636599999998</v>
      </c>
      <c r="F88" s="399" t="s">
        <v>816</v>
      </c>
      <c r="H88" s="1"/>
      <c r="I88" s="9"/>
    </row>
    <row r="89" spans="1:29">
      <c r="A89" s="156"/>
      <c r="B89" s="112"/>
      <c r="C89" s="113"/>
      <c r="D89" s="112"/>
      <c r="E89" s="157">
        <f t="shared" si="10"/>
        <v>9164.0636599999998</v>
      </c>
      <c r="H89" s="347"/>
    </row>
    <row r="90" spans="1:29">
      <c r="A90" s="156">
        <v>46141</v>
      </c>
      <c r="B90" s="482" t="s">
        <v>915</v>
      </c>
      <c r="C90" s="113"/>
      <c r="D90" s="488">
        <f>1000*101.379%</f>
        <v>1013.79</v>
      </c>
      <c r="E90" s="157">
        <f t="shared" si="10"/>
        <v>8150.2736599999998</v>
      </c>
      <c r="F90" s="399" t="s">
        <v>2246</v>
      </c>
      <c r="H90" s="1"/>
      <c r="K90" s="9" t="s">
        <v>1984</v>
      </c>
      <c r="L90" s="9" t="s">
        <v>1985</v>
      </c>
    </row>
    <row r="91" spans="1:29">
      <c r="A91" s="156">
        <v>46141</v>
      </c>
      <c r="B91" s="253" t="s">
        <v>589</v>
      </c>
      <c r="C91" s="112"/>
      <c r="D91" s="253">
        <f>230*112.95%</f>
        <v>259.78499999999997</v>
      </c>
      <c r="E91" s="157">
        <f t="shared" si="10"/>
        <v>7890.48866</v>
      </c>
      <c r="F91" s="399" t="s">
        <v>2247</v>
      </c>
      <c r="H91" s="1"/>
      <c r="R91" s="109"/>
      <c r="S91" s="9"/>
      <c r="T91" s="2"/>
      <c r="V91" s="163"/>
      <c r="AB91" t="s">
        <v>2017</v>
      </c>
      <c r="AC91" t="s">
        <v>2018</v>
      </c>
    </row>
    <row r="92" spans="1:29">
      <c r="A92" s="156"/>
      <c r="B92" s="112"/>
      <c r="C92" s="112"/>
      <c r="D92" s="112"/>
      <c r="E92" s="157">
        <f t="shared" si="10"/>
        <v>7890.48866</v>
      </c>
      <c r="H92" s="1"/>
      <c r="R92" s="109"/>
      <c r="S92" s="9"/>
      <c r="T92" s="2"/>
      <c r="V92" s="163"/>
      <c r="AA92">
        <f>38900+142500+201600</f>
        <v>383000</v>
      </c>
      <c r="AB92">
        <f>142500/AA92</f>
        <v>0.37206266318537862</v>
      </c>
      <c r="AC92">
        <f>+(38900+201600)/AA92</f>
        <v>0.62793733681462138</v>
      </c>
    </row>
    <row r="93" spans="1:29">
      <c r="A93" s="156">
        <v>46141</v>
      </c>
      <c r="B93" s="112" t="s">
        <v>2014</v>
      </c>
      <c r="C93" s="112"/>
      <c r="D93" s="112">
        <v>1000</v>
      </c>
      <c r="E93" s="157">
        <f t="shared" si="10"/>
        <v>6890.48866</v>
      </c>
      <c r="F93" s="399" t="s">
        <v>2267</v>
      </c>
      <c r="H93" s="1"/>
      <c r="L93" s="460"/>
      <c r="M93" s="163"/>
      <c r="R93" s="109"/>
      <c r="S93" s="9"/>
      <c r="T93" s="2"/>
      <c r="V93" s="163"/>
    </row>
    <row r="94" spans="1:29">
      <c r="A94" s="156"/>
      <c r="B94" s="112"/>
      <c r="C94" s="112"/>
      <c r="D94" s="112"/>
      <c r="E94" s="157">
        <f t="shared" si="10"/>
        <v>6890.48866</v>
      </c>
      <c r="H94" s="1"/>
      <c r="L94" s="460"/>
      <c r="M94" s="163"/>
      <c r="R94" s="9" t="s">
        <v>2009</v>
      </c>
      <c r="S94" s="348">
        <v>752</v>
      </c>
      <c r="T94" s="2"/>
      <c r="W94" s="163" t="s">
        <v>2011</v>
      </c>
      <c r="X94">
        <v>915</v>
      </c>
    </row>
    <row r="95" spans="1:29">
      <c r="A95" s="156"/>
      <c r="B95" s="112"/>
      <c r="C95" s="112"/>
      <c r="D95" s="112"/>
      <c r="E95" s="157">
        <f t="shared" ref="E95:E107" si="11">+E94+C95-D95</f>
        <v>6890.48866</v>
      </c>
      <c r="H95" s="1"/>
      <c r="R95" s="109" t="s">
        <v>2008</v>
      </c>
      <c r="S95" s="215">
        <f>XIRR(S96:S100,R96:R100)</f>
        <v>6.2884733080863967E-2</v>
      </c>
      <c r="T95" s="215">
        <f>XIRR(T97:T100,R97:R100)</f>
        <v>6.0246267914772028E-2</v>
      </c>
      <c r="W95" s="163" t="s">
        <v>2010</v>
      </c>
      <c r="X95" s="215">
        <f>XIRR(X96:X104,W96:W104)</f>
        <v>6.3017150759696952E-2</v>
      </c>
      <c r="Y95" s="215">
        <f>XIRR(Y98:Y104,W98:W104)</f>
        <v>6.0070547461509693E-2</v>
      </c>
    </row>
    <row r="96" spans="1:29">
      <c r="A96" s="156"/>
      <c r="B96" s="112"/>
      <c r="C96" s="112"/>
      <c r="D96" s="112"/>
      <c r="E96" s="157">
        <f t="shared" si="11"/>
        <v>6890.48866</v>
      </c>
      <c r="H96" s="1"/>
      <c r="I96" s="415"/>
      <c r="R96" s="266">
        <v>45834</v>
      </c>
      <c r="S96" s="2">
        <v>-100</v>
      </c>
      <c r="T96" s="2"/>
      <c r="W96" s="1">
        <v>45820</v>
      </c>
      <c r="X96">
        <v>-100</v>
      </c>
    </row>
    <row r="97" spans="1:27">
      <c r="A97" s="156">
        <v>46157</v>
      </c>
      <c r="B97" s="112" t="s">
        <v>2454</v>
      </c>
      <c r="C97" s="112">
        <v>1328</v>
      </c>
      <c r="D97" s="112"/>
      <c r="E97" s="157">
        <f t="shared" si="11"/>
        <v>8218.4886599999991</v>
      </c>
      <c r="H97" s="1"/>
      <c r="R97" s="266">
        <v>46134</v>
      </c>
      <c r="S97" s="9"/>
      <c r="T97" s="248">
        <v>-105.69</v>
      </c>
      <c r="V97" s="184" t="s">
        <v>2015</v>
      </c>
      <c r="W97" s="1">
        <v>46093</v>
      </c>
      <c r="X97" s="2">
        <f>3*(W97-W96)/365*AA97</f>
        <v>0.83484745520226056</v>
      </c>
      <c r="Z97">
        <f>3*(W97-W96)/365*AA97</f>
        <v>0.83484745520226056</v>
      </c>
      <c r="AA97" s="150">
        <f>+$AB$92</f>
        <v>0.37206266318537862</v>
      </c>
    </row>
    <row r="98" spans="1:27">
      <c r="E98" s="3">
        <f t="shared" si="11"/>
        <v>8218.4886599999991</v>
      </c>
      <c r="H98" s="1"/>
      <c r="R98" s="266">
        <v>46199</v>
      </c>
      <c r="S98" s="2">
        <f>-$S$96*3%*(R98-R96)/365</f>
        <v>3</v>
      </c>
      <c r="T98" s="2">
        <f>+S98</f>
        <v>3</v>
      </c>
      <c r="V98" s="184"/>
      <c r="W98" s="266">
        <v>46134</v>
      </c>
      <c r="X98" s="2"/>
      <c r="Y98" s="169">
        <v>-105.16</v>
      </c>
    </row>
    <row r="99" spans="1:27">
      <c r="E99" s="3">
        <f t="shared" si="11"/>
        <v>8218.4886599999991</v>
      </c>
      <c r="H99" s="117"/>
      <c r="R99" s="266">
        <v>46566</v>
      </c>
      <c r="S99" s="2">
        <f>-$S$96*3%*(R99-R98)/365</f>
        <v>3.0164383561643837</v>
      </c>
      <c r="T99" s="2">
        <f>+S99</f>
        <v>3.0164383561643837</v>
      </c>
      <c r="V99" s="184" t="s">
        <v>2016</v>
      </c>
      <c r="W99" s="1">
        <v>46185</v>
      </c>
      <c r="X99" s="2">
        <f>3*(W99-W96)/365*AA99</f>
        <v>1.8838120104438643</v>
      </c>
      <c r="Y99" s="165">
        <f t="shared" ref="Y99:Y104" si="12">+X99</f>
        <v>1.8838120104438643</v>
      </c>
      <c r="AA99" s="163">
        <f>+$AC$92</f>
        <v>0.62793733681462138</v>
      </c>
    </row>
    <row r="100" spans="1:27">
      <c r="E100" s="3">
        <f t="shared" si="11"/>
        <v>8218.4886599999991</v>
      </c>
      <c r="R100" s="266">
        <v>46930</v>
      </c>
      <c r="S100" s="2">
        <f>-$S$96*6.5%*(R100-R96)/365-S96-S98-S99</f>
        <v>113.50136986301369</v>
      </c>
      <c r="T100" s="2">
        <f>+S100</f>
        <v>113.50136986301369</v>
      </c>
      <c r="U100" s="165">
        <f>-T97*(1+6%*(R100-R97)/365)-T98-T99</f>
        <v>113.50302575342464</v>
      </c>
      <c r="V100" s="184" t="s">
        <v>2015</v>
      </c>
      <c r="W100" s="1">
        <v>46458</v>
      </c>
      <c r="X100" s="2">
        <f>3*(W100-W97)/365*AA100</f>
        <v>1.1161879895561357</v>
      </c>
      <c r="Y100" s="165">
        <f t="shared" si="12"/>
        <v>1.1161879895561357</v>
      </c>
      <c r="AA100" s="150">
        <f>+$AB$92</f>
        <v>0.37206266318537862</v>
      </c>
    </row>
    <row r="101" spans="1:27">
      <c r="E101" s="3">
        <f t="shared" si="11"/>
        <v>8218.4886599999991</v>
      </c>
      <c r="I101" s="415"/>
      <c r="R101" s="9"/>
      <c r="S101" s="9"/>
      <c r="T101" s="2"/>
      <c r="V101" s="184" t="s">
        <v>2016</v>
      </c>
      <c r="W101" s="1">
        <v>46549</v>
      </c>
      <c r="X101" s="2">
        <f>3*(W101-W99)/365*AA101</f>
        <v>1.8786508816481275</v>
      </c>
      <c r="Y101" s="165">
        <f t="shared" si="12"/>
        <v>1.8786508816481275</v>
      </c>
      <c r="AA101" s="163">
        <f>+$AC$92</f>
        <v>0.62793733681462138</v>
      </c>
    </row>
    <row r="102" spans="1:27">
      <c r="B102" s="367"/>
      <c r="C102" s="2"/>
      <c r="D102" s="419"/>
      <c r="E102" s="3">
        <f t="shared" si="11"/>
        <v>8218.4886599999991</v>
      </c>
      <c r="R102" s="9"/>
      <c r="S102" s="9"/>
      <c r="T102" s="2"/>
      <c r="V102" s="184" t="s">
        <v>2016</v>
      </c>
      <c r="W102" s="1">
        <v>46731</v>
      </c>
      <c r="X102" s="2">
        <f>3*(W102-W101)/365*AA102</f>
        <v>0.93932544082406377</v>
      </c>
      <c r="Y102" s="165">
        <f t="shared" si="12"/>
        <v>0.93932544082406377</v>
      </c>
      <c r="AA102" s="163">
        <f>+$AC$92</f>
        <v>0.62793733681462138</v>
      </c>
    </row>
    <row r="103" spans="1:27">
      <c r="E103" s="3">
        <f t="shared" si="11"/>
        <v>8218.4886599999991</v>
      </c>
      <c r="R103" s="9"/>
      <c r="S103" s="9"/>
      <c r="T103" s="2"/>
      <c r="V103" s="184" t="s">
        <v>2015</v>
      </c>
      <c r="W103" s="1">
        <v>46822</v>
      </c>
      <c r="X103" s="2">
        <f>3*(W103-W100)/365*AA103</f>
        <v>1.1131299402696808</v>
      </c>
      <c r="Y103" s="165">
        <f t="shared" si="12"/>
        <v>1.1131299402696808</v>
      </c>
      <c r="AA103" s="150">
        <f>+$AB$92</f>
        <v>0.37206266318537862</v>
      </c>
    </row>
    <row r="104" spans="1:27">
      <c r="A104" s="4">
        <v>46164</v>
      </c>
      <c r="B104" t="s">
        <v>2291</v>
      </c>
      <c r="C104">
        <f>5572-1328</f>
        <v>4244</v>
      </c>
      <c r="E104" s="3">
        <f t="shared" si="11"/>
        <v>12462.488659999999</v>
      </c>
      <c r="R104" s="9"/>
      <c r="S104" s="9"/>
      <c r="T104" s="2"/>
      <c r="V104" s="184" t="s">
        <v>2016</v>
      </c>
      <c r="W104" s="1">
        <v>46916</v>
      </c>
      <c r="X104" s="2">
        <f>-X96*(1+6.5%*(W104-W96)/365)-SUM(X97:X103)</f>
        <v>111.75185450123395</v>
      </c>
      <c r="Y104" s="165">
        <f t="shared" si="12"/>
        <v>111.75185450123395</v>
      </c>
      <c r="AA104" s="163">
        <f>+$AC$92</f>
        <v>0.62793733681462138</v>
      </c>
    </row>
    <row r="105" spans="1:27">
      <c r="A105" s="4">
        <v>46164</v>
      </c>
      <c r="B105" t="s">
        <v>571</v>
      </c>
      <c r="D105">
        <f>4240*1.027</f>
        <v>4354.4799999999996</v>
      </c>
      <c r="E105" s="3">
        <f t="shared" si="11"/>
        <v>8108.0086599999995</v>
      </c>
      <c r="R105" s="9"/>
      <c r="S105" s="9"/>
      <c r="T105" s="2"/>
    </row>
    <row r="106" spans="1:27">
      <c r="E106" s="3">
        <f t="shared" si="11"/>
        <v>8108.0086599999995</v>
      </c>
      <c r="R106" s="9"/>
      <c r="S106" s="9"/>
      <c r="T106" s="2"/>
    </row>
    <row r="107" spans="1:27">
      <c r="E107" s="3">
        <f t="shared" si="11"/>
        <v>8108.0086599999995</v>
      </c>
      <c r="R107" s="9"/>
      <c r="S107" s="9"/>
      <c r="T107" s="2"/>
      <c r="Y107" s="165">
        <f>-Y98*(1+6%*(W104-W98)/365)-SUM(Y99:Y103)</f>
        <v>111.74699565506633</v>
      </c>
    </row>
    <row r="108" spans="1:27">
      <c r="A108" s="4">
        <v>46168</v>
      </c>
      <c r="B108" t="s">
        <v>2497</v>
      </c>
      <c r="C108">
        <v>1450</v>
      </c>
      <c r="E108" s="3">
        <f t="shared" ref="E108:E118" si="13">+E107+C108-D108</f>
        <v>9558.0086599999995</v>
      </c>
    </row>
    <row r="109" spans="1:27">
      <c r="B109" s="9" t="s">
        <v>1538</v>
      </c>
      <c r="C109" s="348"/>
      <c r="D109" s="348">
        <v>800</v>
      </c>
      <c r="E109" s="3">
        <f t="shared" si="13"/>
        <v>8758.0086599999995</v>
      </c>
      <c r="I109" t="s">
        <v>2492</v>
      </c>
      <c r="J109" s="9" t="s">
        <v>2429</v>
      </c>
      <c r="K109" s="9" t="s">
        <v>1538</v>
      </c>
      <c r="L109" s="348">
        <v>800</v>
      </c>
      <c r="M109" s="150">
        <v>6.5000000000000002E-2</v>
      </c>
      <c r="N109" s="2" t="s">
        <v>2490</v>
      </c>
    </row>
    <row r="110" spans="1:27">
      <c r="B110" s="9" t="s">
        <v>2519</v>
      </c>
      <c r="C110" s="348"/>
      <c r="D110" s="348">
        <v>2000</v>
      </c>
      <c r="E110" s="3">
        <f t="shared" si="13"/>
        <v>6758.0086599999995</v>
      </c>
      <c r="J110" s="9" t="s">
        <v>2430</v>
      </c>
      <c r="K110" s="9" t="s">
        <v>2519</v>
      </c>
      <c r="L110" s="348">
        <v>2000</v>
      </c>
      <c r="M110" s="150">
        <v>4.4999999999999998E-2</v>
      </c>
    </row>
    <row r="111" spans="1:27">
      <c r="E111" s="3">
        <f t="shared" si="13"/>
        <v>6758.0086599999995</v>
      </c>
    </row>
    <row r="112" spans="1:27">
      <c r="B112" t="s">
        <v>2395</v>
      </c>
      <c r="D112">
        <v>4000</v>
      </c>
      <c r="E112" s="3">
        <f t="shared" si="13"/>
        <v>2758.0086599999995</v>
      </c>
      <c r="F112" t="s">
        <v>1206</v>
      </c>
      <c r="G112">
        <f>+(74695-4355)*10%</f>
        <v>7034</v>
      </c>
    </row>
    <row r="113" spans="5:14">
      <c r="E113" s="3">
        <f t="shared" si="13"/>
        <v>2758.0086599999995</v>
      </c>
    </row>
    <row r="114" spans="5:14">
      <c r="E114" s="3">
        <f t="shared" si="13"/>
        <v>2758.0086599999995</v>
      </c>
    </row>
    <row r="115" spans="5:14">
      <c r="E115" s="3">
        <f t="shared" si="13"/>
        <v>2758.0086599999995</v>
      </c>
    </row>
    <row r="116" spans="5:14">
      <c r="E116" s="3">
        <f t="shared" si="13"/>
        <v>2758.0086599999995</v>
      </c>
      <c r="M116" s="109"/>
      <c r="N116" s="150"/>
    </row>
    <row r="117" spans="5:14">
      <c r="E117" s="3">
        <f t="shared" si="13"/>
        <v>2758.0086599999995</v>
      </c>
      <c r="K117" s="348"/>
      <c r="M117" s="109"/>
      <c r="N117" s="150"/>
    </row>
    <row r="118" spans="5:14">
      <c r="E118" s="3">
        <f t="shared" si="13"/>
        <v>2758.0086599999995</v>
      </c>
      <c r="K118" s="348"/>
      <c r="M118" s="109"/>
      <c r="N118" s="150"/>
    </row>
    <row r="119" spans="5:14">
      <c r="K119" s="348"/>
      <c r="M119" s="109"/>
      <c r="N119" s="150"/>
    </row>
    <row r="120" spans="5:14">
      <c r="K120" s="348"/>
      <c r="M120" s="109"/>
      <c r="N120" s="146"/>
    </row>
    <row r="121" spans="5:14">
      <c r="K121" s="348"/>
      <c r="M121" s="109"/>
      <c r="N121" s="167"/>
    </row>
    <row r="122" spans="5:14">
      <c r="M122" s="109"/>
      <c r="N122" s="163"/>
    </row>
    <row r="124" spans="5:14">
      <c r="N124" s="150"/>
    </row>
    <row r="125" spans="5:14">
      <c r="N125" s="150"/>
    </row>
    <row r="126" spans="5:14">
      <c r="N126" s="150"/>
    </row>
    <row r="127" spans="5:14">
      <c r="N127" s="150"/>
    </row>
  </sheetData>
  <phoneticPr fontId="6" type="noConversion"/>
  <conditionalFormatting sqref="B15">
    <cfRule type="duplicateValues" dxfId="64" priority="99"/>
    <cfRule type="duplicateValues" dxfId="63" priority="100"/>
    <cfRule type="duplicateValues" dxfId="62" priority="101"/>
    <cfRule type="duplicateValues" dxfId="61" priority="102"/>
  </conditionalFormatting>
  <conditionalFormatting sqref="B51">
    <cfRule type="duplicateValues" dxfId="60" priority="73"/>
    <cfRule type="duplicateValues" dxfId="59" priority="74"/>
    <cfRule type="duplicateValues" dxfId="58" priority="75"/>
  </conditionalFormatting>
  <conditionalFormatting sqref="B52">
    <cfRule type="duplicateValues" dxfId="57" priority="76"/>
    <cfRule type="duplicateValues" dxfId="56" priority="77"/>
    <cfRule type="duplicateValues" dxfId="55" priority="78"/>
    <cfRule type="duplicateValues" dxfId="54" priority="79"/>
  </conditionalFormatting>
  <conditionalFormatting sqref="B81">
    <cfRule type="duplicateValues" dxfId="53" priority="29"/>
    <cfRule type="duplicateValues" dxfId="52" priority="30"/>
    <cfRule type="duplicateValues" dxfId="51" priority="31"/>
    <cfRule type="duplicateValues" dxfId="50" priority="32"/>
    <cfRule type="duplicateValues" dxfId="49" priority="33"/>
    <cfRule type="duplicateValues" dxfId="48" priority="34"/>
  </conditionalFormatting>
  <conditionalFormatting sqref="B82">
    <cfRule type="duplicateValues" dxfId="47" priority="23"/>
    <cfRule type="duplicateValues" dxfId="46" priority="24"/>
    <cfRule type="duplicateValues" dxfId="45" priority="25"/>
    <cfRule type="duplicateValues" dxfId="44" priority="26"/>
    <cfRule type="duplicateValues" dxfId="43" priority="27"/>
    <cfRule type="duplicateValues" dxfId="42" priority="28"/>
  </conditionalFormatting>
  <conditionalFormatting sqref="B87">
    <cfRule type="duplicateValues" dxfId="41" priority="8"/>
    <cfRule type="duplicateValues" dxfId="40" priority="9"/>
    <cfRule type="duplicateValues" dxfId="39" priority="10"/>
    <cfRule type="duplicateValues" dxfId="38" priority="11"/>
    <cfRule type="duplicateValues" dxfId="37" priority="12"/>
    <cfRule type="duplicateValues" dxfId="36" priority="13"/>
  </conditionalFormatting>
  <conditionalFormatting sqref="B88">
    <cfRule type="duplicateValues" dxfId="35" priority="2"/>
    <cfRule type="duplicateValues" dxfId="34" priority="3"/>
    <cfRule type="duplicateValues" dxfId="33" priority="4"/>
    <cfRule type="duplicateValues" dxfId="32" priority="5"/>
    <cfRule type="duplicateValues" dxfId="31" priority="6"/>
    <cfRule type="duplicateValues" dxfId="30" priority="7"/>
  </conditionalFormatting>
  <conditionalFormatting sqref="E1:E1048576">
    <cfRule type="cellIs" dxfId="29" priority="1" operator="lessThan">
      <formula>0</formula>
    </cfRule>
  </conditionalFormatting>
  <conditionalFormatting sqref="G51">
    <cfRule type="duplicateValues" dxfId="28" priority="108"/>
    <cfRule type="duplicateValues" dxfId="27" priority="109"/>
    <cfRule type="duplicateValues" dxfId="26" priority="110"/>
  </conditionalFormatting>
  <conditionalFormatting sqref="G52">
    <cfRule type="duplicateValues" dxfId="25" priority="91"/>
    <cfRule type="duplicateValues" dxfId="24" priority="92"/>
    <cfRule type="duplicateValues" dxfId="23" priority="93"/>
    <cfRule type="duplicateValues" dxfId="22" priority="94"/>
  </conditionalFormatting>
  <conditionalFormatting sqref="J9">
    <cfRule type="duplicateValues" dxfId="21" priority="103"/>
    <cfRule type="duplicateValues" dxfId="20" priority="104"/>
    <cfRule type="duplicateValues" dxfId="19" priority="105"/>
    <cfRule type="duplicateValues" dxfId="18" priority="106"/>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1B63-DA19-4081-A7FE-611B34FD5E0C}">
  <dimension ref="A1:T26"/>
  <sheetViews>
    <sheetView tabSelected="1" workbookViewId="0">
      <pane ySplit="2" topLeftCell="A3" activePane="bottomLeft" state="frozen"/>
      <selection pane="bottomLeft" activeCell="M35" sqref="M35"/>
    </sheetView>
  </sheetViews>
  <sheetFormatPr defaultRowHeight="16.5"/>
  <cols>
    <col min="1" max="1" width="10" style="4" bestFit="1" customWidth="1"/>
    <col min="2" max="2" width="9.5" customWidth="1"/>
    <col min="3" max="3" width="7.75" customWidth="1"/>
    <col min="4" max="4" width="9.25" customWidth="1"/>
    <col min="5" max="5" width="8.75" style="321" bestFit="1" customWidth="1"/>
    <col min="10" max="10" width="11.625" customWidth="1"/>
    <col min="11" max="11" width="12.875" customWidth="1"/>
    <col min="17" max="17" width="10.875" customWidth="1"/>
    <col min="20" max="20" width="12.125" customWidth="1"/>
  </cols>
  <sheetData>
    <row r="1" spans="1:20" ht="14.1" customHeight="1">
      <c r="A1" s="125"/>
      <c r="B1" s="10"/>
      <c r="C1" s="10"/>
      <c r="D1" s="10"/>
      <c r="E1" s="10"/>
    </row>
    <row r="2" spans="1:20">
      <c r="A2" s="4" t="s">
        <v>0</v>
      </c>
      <c r="B2" t="s">
        <v>1</v>
      </c>
      <c r="C2" t="s">
        <v>2</v>
      </c>
      <c r="D2" t="s">
        <v>3</v>
      </c>
      <c r="E2" s="321" t="s">
        <v>4</v>
      </c>
    </row>
    <row r="3" spans="1:20">
      <c r="A3" s="156">
        <v>46156</v>
      </c>
      <c r="B3" s="112" t="s">
        <v>531</v>
      </c>
      <c r="C3" s="112">
        <v>19982</v>
      </c>
      <c r="D3" s="112"/>
      <c r="E3" s="113">
        <v>19982</v>
      </c>
    </row>
    <row r="4" spans="1:20">
      <c r="A4" s="211">
        <v>46157</v>
      </c>
      <c r="B4" s="112" t="s">
        <v>2485</v>
      </c>
      <c r="C4" s="112"/>
      <c r="D4" s="112">
        <f>2000*101.2214%</f>
        <v>2024.4279999999999</v>
      </c>
      <c r="E4" s="113">
        <f t="shared" ref="E4:E26" si="0">E3+C4-D4</f>
        <v>17957.572</v>
      </c>
      <c r="F4" s="399" t="s">
        <v>2488</v>
      </c>
      <c r="J4" s="9" t="s">
        <v>0</v>
      </c>
      <c r="K4" s="9" t="s">
        <v>290</v>
      </c>
      <c r="L4" s="9" t="s">
        <v>529</v>
      </c>
      <c r="M4" s="2" t="s">
        <v>2003</v>
      </c>
    </row>
    <row r="5" spans="1:20">
      <c r="A5" s="211">
        <v>46157</v>
      </c>
      <c r="B5" s="214" t="s">
        <v>2428</v>
      </c>
      <c r="C5" s="112"/>
      <c r="D5" s="112">
        <f>1950*100.556%</f>
        <v>1960.8420000000001</v>
      </c>
      <c r="E5" s="113">
        <f t="shared" si="0"/>
        <v>15996.73</v>
      </c>
      <c r="F5" s="399" t="s">
        <v>2495</v>
      </c>
      <c r="J5" s="9" t="s">
        <v>2430</v>
      </c>
      <c r="K5" s="9" t="s">
        <v>2386</v>
      </c>
      <c r="L5" s="348">
        <v>2000</v>
      </c>
      <c r="M5" s="150">
        <v>5.6000000000000001E-2</v>
      </c>
      <c r="Q5" t="s">
        <v>588</v>
      </c>
      <c r="R5" s="163">
        <f>XIRR(R6:R15,Q6:Q15)</f>
        <v>6.5687832236289961E-2</v>
      </c>
      <c r="S5" s="163">
        <f>XIRR(S8:S15,Q8:Q15)</f>
        <v>5.4906311631202714E-2</v>
      </c>
      <c r="T5" s="4" t="s">
        <v>2491</v>
      </c>
    </row>
    <row r="6" spans="1:20">
      <c r="A6" s="211">
        <v>46157</v>
      </c>
      <c r="B6" s="214" t="s">
        <v>2437</v>
      </c>
      <c r="C6" s="112"/>
      <c r="D6" s="112">
        <f>3000*112.31%</f>
        <v>3369.3</v>
      </c>
      <c r="E6" s="113">
        <f t="shared" si="0"/>
        <v>12627.43</v>
      </c>
      <c r="F6" s="399" t="s">
        <v>2512</v>
      </c>
      <c r="J6" s="9" t="s">
        <v>2430</v>
      </c>
      <c r="K6" s="9" t="s">
        <v>2434</v>
      </c>
      <c r="L6" s="348">
        <v>1000</v>
      </c>
      <c r="M6" s="150">
        <v>0.08</v>
      </c>
      <c r="Q6" s="1">
        <v>45923</v>
      </c>
      <c r="R6">
        <v>-100</v>
      </c>
      <c r="T6">
        <v>101.985</v>
      </c>
    </row>
    <row r="7" spans="1:20">
      <c r="A7" s="1"/>
      <c r="E7" s="321">
        <f t="shared" si="0"/>
        <v>12627.43</v>
      </c>
      <c r="J7" s="9" t="s">
        <v>2438</v>
      </c>
      <c r="K7" s="9" t="s">
        <v>2433</v>
      </c>
      <c r="L7" s="348">
        <v>2000</v>
      </c>
      <c r="M7" s="150">
        <v>3.2000000000000001E-2</v>
      </c>
      <c r="Q7" s="1">
        <v>46080</v>
      </c>
      <c r="R7">
        <v>2.1505999999999998</v>
      </c>
      <c r="T7" s="9" t="s">
        <v>2421</v>
      </c>
    </row>
    <row r="8" spans="1:20">
      <c r="A8" s="1">
        <v>46162</v>
      </c>
      <c r="B8" t="s">
        <v>2556</v>
      </c>
      <c r="D8">
        <v>2000</v>
      </c>
      <c r="E8" s="321">
        <f t="shared" si="0"/>
        <v>10627.43</v>
      </c>
      <c r="J8" s="9" t="s">
        <v>2438</v>
      </c>
      <c r="K8" s="9" t="s">
        <v>2432</v>
      </c>
      <c r="L8" s="348">
        <v>2000</v>
      </c>
      <c r="M8" s="150">
        <v>5.1999999999999998E-2</v>
      </c>
      <c r="Q8" s="1">
        <v>46157</v>
      </c>
      <c r="S8" s="185">
        <v>-103.35</v>
      </c>
      <c r="T8" s="543">
        <f>ROUND(100*(1+6.5%*(Q8-Q6)/365)-R7,3)</f>
        <v>102.017</v>
      </c>
    </row>
    <row r="9" spans="1:20">
      <c r="A9" s="1">
        <v>46162</v>
      </c>
      <c r="B9" t="s">
        <v>486</v>
      </c>
      <c r="D9">
        <v>1000</v>
      </c>
      <c r="E9" s="321">
        <f t="shared" si="0"/>
        <v>9627.43</v>
      </c>
      <c r="J9" s="348" t="s">
        <v>2554</v>
      </c>
      <c r="K9" s="9" t="s">
        <v>2285</v>
      </c>
      <c r="L9" s="348">
        <v>2125</v>
      </c>
      <c r="M9" s="150">
        <v>4.5499999999999999E-2</v>
      </c>
      <c r="Q9" s="1">
        <v>46167</v>
      </c>
      <c r="R9" s="155">
        <f>5*(Q9-Q7)/365</f>
        <v>1.1917808219178083</v>
      </c>
      <c r="S9" s="155">
        <f t="shared" ref="S9:S15" si="1">+R9</f>
        <v>1.1917808219178083</v>
      </c>
    </row>
    <row r="10" spans="1:20">
      <c r="E10" s="321">
        <f t="shared" si="0"/>
        <v>9627.43</v>
      </c>
      <c r="J10" s="348" t="s">
        <v>2431</v>
      </c>
      <c r="K10" s="9" t="s">
        <v>2555</v>
      </c>
      <c r="L10" s="348">
        <v>1000</v>
      </c>
      <c r="M10" s="150">
        <v>4.7E-2</v>
      </c>
      <c r="Q10" s="1">
        <v>46254</v>
      </c>
      <c r="R10" s="155">
        <f>5*(Q10-Q9)/365</f>
        <v>1.1917808219178083</v>
      </c>
      <c r="S10" s="155">
        <f t="shared" si="1"/>
        <v>1.1917808219178083</v>
      </c>
    </row>
    <row r="11" spans="1:20">
      <c r="A11" s="4">
        <v>46163</v>
      </c>
      <c r="B11" s="9" t="s">
        <v>2569</v>
      </c>
      <c r="D11">
        <v>1000</v>
      </c>
      <c r="E11" s="109">
        <f t="shared" si="0"/>
        <v>8627.43</v>
      </c>
      <c r="J11" s="348" t="s">
        <v>2431</v>
      </c>
      <c r="K11" s="9" t="s">
        <v>2286</v>
      </c>
      <c r="L11" s="348">
        <v>2000</v>
      </c>
      <c r="M11" s="167">
        <v>3.1E-2</v>
      </c>
      <c r="Q11" s="1">
        <v>46345</v>
      </c>
      <c r="R11" s="155">
        <f>5*(Q11-Q10)/365</f>
        <v>1.2465753424657535</v>
      </c>
      <c r="S11" s="155">
        <f t="shared" si="1"/>
        <v>1.2465753424657535</v>
      </c>
    </row>
    <row r="12" spans="1:20">
      <c r="E12" s="109">
        <f t="shared" si="0"/>
        <v>8627.43</v>
      </c>
      <c r="J12" s="9" t="s">
        <v>2435</v>
      </c>
      <c r="K12" s="9" t="s">
        <v>2436</v>
      </c>
      <c r="L12" s="2">
        <v>1000</v>
      </c>
      <c r="M12" s="150">
        <v>5.2999999999999999E-2</v>
      </c>
      <c r="N12" t="s">
        <v>2526</v>
      </c>
      <c r="Q12" s="1">
        <v>46443</v>
      </c>
      <c r="R12" s="155">
        <f>5*(Q12-Q11)/365</f>
        <v>1.3424657534246576</v>
      </c>
      <c r="S12" s="155">
        <f t="shared" si="1"/>
        <v>1.3424657534246576</v>
      </c>
    </row>
    <row r="13" spans="1:20">
      <c r="A13" s="4">
        <v>46168</v>
      </c>
      <c r="B13" s="9" t="s">
        <v>2285</v>
      </c>
      <c r="D13">
        <v>2125</v>
      </c>
      <c r="E13" s="109">
        <f t="shared" si="0"/>
        <v>6502.43</v>
      </c>
      <c r="J13" s="544" t="s">
        <v>2429</v>
      </c>
      <c r="K13" s="544" t="s">
        <v>2427</v>
      </c>
      <c r="L13" s="414">
        <v>2000</v>
      </c>
      <c r="M13" s="545">
        <v>7.2999999999999995E-2</v>
      </c>
      <c r="Q13" s="1">
        <v>46527</v>
      </c>
      <c r="R13" s="155">
        <f>5*(Q13-Q12)/365</f>
        <v>1.1506849315068493</v>
      </c>
      <c r="S13" s="155">
        <f t="shared" si="1"/>
        <v>1.1506849315068493</v>
      </c>
    </row>
    <row r="14" spans="1:20">
      <c r="E14" s="109">
        <f t="shared" si="0"/>
        <v>6502.43</v>
      </c>
      <c r="J14" s="544" t="s">
        <v>2429</v>
      </c>
      <c r="K14" s="544" t="s">
        <v>2428</v>
      </c>
      <c r="L14" s="414">
        <v>1950</v>
      </c>
      <c r="M14" s="447">
        <v>6.5000000000000002E-2</v>
      </c>
      <c r="N14" s="2" t="s">
        <v>2490</v>
      </c>
      <c r="Q14" s="1">
        <v>46618</v>
      </c>
      <c r="R14" s="155">
        <f>5*(Q14-Q13)/365</f>
        <v>1.2465753424657535</v>
      </c>
      <c r="S14" s="155">
        <f t="shared" si="1"/>
        <v>1.2465753424657535</v>
      </c>
    </row>
    <row r="15" spans="1:20">
      <c r="E15" s="109">
        <f t="shared" si="0"/>
        <v>6502.43</v>
      </c>
      <c r="I15" t="s">
        <v>2489</v>
      </c>
      <c r="J15" s="546">
        <v>46157</v>
      </c>
      <c r="K15" s="544" t="s">
        <v>2437</v>
      </c>
      <c r="L15" s="414">
        <v>3000</v>
      </c>
      <c r="M15" s="547">
        <v>7.0000000000000007E-2</v>
      </c>
      <c r="N15" s="2" t="s">
        <v>2439</v>
      </c>
      <c r="Q15" s="1">
        <v>46653</v>
      </c>
      <c r="R15" s="155">
        <f>100*(1+6.5%*(Q15-Q6)/365)-SUM(R7:R14)</f>
        <v>103.47953698630135</v>
      </c>
      <c r="S15" s="155">
        <f t="shared" si="1"/>
        <v>103.47953698630135</v>
      </c>
    </row>
    <row r="16" spans="1:20">
      <c r="E16" s="109">
        <f t="shared" si="0"/>
        <v>6502.43</v>
      </c>
      <c r="J16" s="9"/>
      <c r="K16" s="9"/>
      <c r="L16" s="348"/>
      <c r="M16" s="150"/>
      <c r="N16" s="2"/>
    </row>
    <row r="17" spans="1:14">
      <c r="A17" s="4">
        <v>46181</v>
      </c>
      <c r="B17" t="s">
        <v>2505</v>
      </c>
      <c r="C17">
        <v>3372</v>
      </c>
      <c r="E17" s="109">
        <f t="shared" si="0"/>
        <v>9874.43</v>
      </c>
      <c r="J17" s="9" t="s">
        <v>2447</v>
      </c>
      <c r="K17" s="9" t="s">
        <v>2445</v>
      </c>
      <c r="L17" s="2">
        <v>750</v>
      </c>
      <c r="M17" s="150">
        <v>4.5499999999999999E-2</v>
      </c>
      <c r="N17" s="2"/>
    </row>
    <row r="18" spans="1:14">
      <c r="E18" s="109">
        <f t="shared" si="0"/>
        <v>9874.43</v>
      </c>
      <c r="J18" s="9" t="s">
        <v>2447</v>
      </c>
      <c r="K18" s="9" t="s">
        <v>2446</v>
      </c>
      <c r="L18" s="2">
        <v>1000</v>
      </c>
      <c r="M18" s="150">
        <v>3.1E-2</v>
      </c>
      <c r="N18" s="2"/>
    </row>
    <row r="19" spans="1:14">
      <c r="E19" s="109">
        <f t="shared" si="0"/>
        <v>9874.43</v>
      </c>
      <c r="J19" s="348"/>
      <c r="K19" s="9" t="s">
        <v>2518</v>
      </c>
      <c r="L19" s="348">
        <v>2000</v>
      </c>
      <c r="M19" s="167">
        <v>2.9000000000000001E-2</v>
      </c>
      <c r="N19" s="2"/>
    </row>
    <row r="20" spans="1:14">
      <c r="E20" s="109">
        <f t="shared" si="0"/>
        <v>9874.43</v>
      </c>
      <c r="J20" s="348"/>
      <c r="K20" s="9"/>
      <c r="L20" s="2"/>
    </row>
    <row r="21" spans="1:14">
      <c r="E21" s="109">
        <f t="shared" si="0"/>
        <v>9874.43</v>
      </c>
      <c r="J21" s="348"/>
      <c r="K21" s="9"/>
      <c r="L21" s="513">
        <f>SUM(L5:L18)</f>
        <v>21825</v>
      </c>
      <c r="M21" s="215">
        <f>SUMPRODUCT(M5:M19,L5:L19)/L21</f>
        <v>5.6108247422680411E-2</v>
      </c>
      <c r="N21" s="2"/>
    </row>
    <row r="22" spans="1:14">
      <c r="E22" s="109">
        <f t="shared" si="0"/>
        <v>9874.43</v>
      </c>
      <c r="J22" s="500" t="s">
        <v>2004</v>
      </c>
      <c r="K22" s="501" t="s">
        <v>1643</v>
      </c>
      <c r="L22" s="502">
        <v>2000</v>
      </c>
      <c r="M22" s="503">
        <v>0.03</v>
      </c>
      <c r="N22" t="s">
        <v>2288</v>
      </c>
    </row>
    <row r="23" spans="1:14">
      <c r="E23" s="109">
        <f t="shared" si="0"/>
        <v>9874.43</v>
      </c>
      <c r="J23" s="9"/>
      <c r="K23" s="9"/>
      <c r="L23" s="2"/>
    </row>
    <row r="24" spans="1:14">
      <c r="E24" s="109">
        <f t="shared" si="0"/>
        <v>9874.43</v>
      </c>
    </row>
    <row r="25" spans="1:14">
      <c r="E25" s="109">
        <f t="shared" si="0"/>
        <v>9874.43</v>
      </c>
    </row>
    <row r="26" spans="1:14">
      <c r="E26" s="109">
        <f t="shared" si="0"/>
        <v>9874.43</v>
      </c>
    </row>
  </sheetData>
  <phoneticPr fontId="6" type="noConversion"/>
  <conditionalFormatting sqref="E1:E1048576">
    <cfRule type="cellIs" dxfId="17" priority="1" operator="lessThan">
      <formula>0</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E36AE-D8DA-4C0F-A740-5041CC7F41CE}">
  <sheetPr codeName="Sheet10"/>
  <dimension ref="A1:H107"/>
  <sheetViews>
    <sheetView workbookViewId="0">
      <pane ySplit="2" topLeftCell="A68" activePane="bottomLeft" state="frozen"/>
      <selection pane="bottomLeft" activeCell="L104" sqref="L104"/>
    </sheetView>
  </sheetViews>
  <sheetFormatPr defaultRowHeight="16.5"/>
  <cols>
    <col min="1" max="1" width="10" style="4" bestFit="1" customWidth="1"/>
    <col min="2" max="2" width="13.75" customWidth="1"/>
    <col min="3" max="4" width="7.75" customWidth="1"/>
    <col min="5" max="5" width="8.75" style="109" bestFit="1" customWidth="1"/>
    <col min="8" max="8" width="12.875" bestFit="1" customWidth="1"/>
  </cols>
  <sheetData>
    <row r="1" spans="1:6">
      <c r="A1" s="10"/>
      <c r="B1" s="10"/>
      <c r="C1" s="10"/>
      <c r="D1" s="10"/>
      <c r="E1" s="10"/>
    </row>
    <row r="2" spans="1:6">
      <c r="A2" s="4" t="s">
        <v>0</v>
      </c>
      <c r="B2" t="s">
        <v>1</v>
      </c>
      <c r="C2" t="s">
        <v>2</v>
      </c>
      <c r="D2" t="s">
        <v>3</v>
      </c>
      <c r="E2" s="109" t="s">
        <v>4</v>
      </c>
    </row>
    <row r="3" spans="1:6">
      <c r="A3" s="4">
        <v>46023</v>
      </c>
      <c r="E3" s="109">
        <v>151</v>
      </c>
    </row>
    <row r="4" spans="1:6">
      <c r="A4" s="110">
        <v>46028</v>
      </c>
      <c r="B4" s="115" t="s">
        <v>332</v>
      </c>
      <c r="C4" s="112">
        <v>450</v>
      </c>
      <c r="D4" s="112"/>
      <c r="E4" s="113">
        <f>C4+E3-D4</f>
        <v>601</v>
      </c>
    </row>
    <row r="5" spans="1:6">
      <c r="A5" s="110">
        <v>46031</v>
      </c>
      <c r="B5" s="162" t="s">
        <v>332</v>
      </c>
      <c r="C5" s="112">
        <v>150</v>
      </c>
      <c r="D5" s="112"/>
      <c r="E5" s="113">
        <f t="shared" ref="E5:E7" si="0">C5+E4-D5</f>
        <v>751</v>
      </c>
    </row>
    <row r="6" spans="1:6">
      <c r="A6" s="110">
        <v>46031</v>
      </c>
      <c r="B6" s="115" t="s">
        <v>331</v>
      </c>
      <c r="C6" s="112"/>
      <c r="D6" s="112">
        <v>102.3</v>
      </c>
      <c r="E6" s="113">
        <f t="shared" si="0"/>
        <v>648.70000000000005</v>
      </c>
    </row>
    <row r="7" spans="1:6">
      <c r="A7" s="110">
        <v>46031</v>
      </c>
      <c r="B7" s="115" t="s">
        <v>567</v>
      </c>
      <c r="C7" s="112"/>
      <c r="D7" s="112">
        <v>600</v>
      </c>
      <c r="E7" s="113">
        <f t="shared" si="0"/>
        <v>48.700000000000045</v>
      </c>
    </row>
    <row r="8" spans="1:6">
      <c r="A8" s="156"/>
      <c r="B8" s="112"/>
      <c r="C8" s="112"/>
      <c r="D8" s="112"/>
      <c r="E8" s="113">
        <f t="shared" ref="E8:E30" si="1">+E7+C8-D8</f>
        <v>48.700000000000045</v>
      </c>
    </row>
    <row r="9" spans="1:6">
      <c r="A9" s="156">
        <v>46038</v>
      </c>
      <c r="B9" s="115" t="s">
        <v>570</v>
      </c>
      <c r="C9" s="112">
        <v>1400</v>
      </c>
      <c r="D9" s="112"/>
      <c r="E9" s="113">
        <f t="shared" si="1"/>
        <v>1448.7</v>
      </c>
    </row>
    <row r="10" spans="1:6">
      <c r="A10" s="156">
        <v>46038</v>
      </c>
      <c r="B10" s="115" t="s">
        <v>604</v>
      </c>
      <c r="C10" s="112"/>
      <c r="D10" s="112">
        <v>400</v>
      </c>
      <c r="E10" s="113">
        <f t="shared" si="1"/>
        <v>1048.7</v>
      </c>
    </row>
    <row r="11" spans="1:6">
      <c r="A11" s="156">
        <v>46045</v>
      </c>
      <c r="B11" s="112" t="s">
        <v>604</v>
      </c>
      <c r="C11" s="112"/>
      <c r="D11" s="112">
        <v>900</v>
      </c>
      <c r="E11" s="113">
        <f t="shared" si="1"/>
        <v>148.70000000000005</v>
      </c>
    </row>
    <row r="12" spans="1:6">
      <c r="A12" s="156"/>
      <c r="B12" s="112"/>
      <c r="C12" s="112"/>
      <c r="D12" s="112"/>
      <c r="E12" s="113">
        <f t="shared" si="1"/>
        <v>148.70000000000005</v>
      </c>
    </row>
    <row r="13" spans="1:6">
      <c r="A13" s="156">
        <v>46052</v>
      </c>
      <c r="B13" s="112" t="s">
        <v>929</v>
      </c>
      <c r="C13" s="112"/>
      <c r="D13" s="112">
        <v>50</v>
      </c>
      <c r="E13" s="113">
        <f t="shared" si="1"/>
        <v>98.700000000000045</v>
      </c>
    </row>
    <row r="14" spans="1:6">
      <c r="A14" s="156">
        <v>46055</v>
      </c>
      <c r="B14" s="112" t="s">
        <v>1013</v>
      </c>
      <c r="C14" s="112"/>
      <c r="D14" s="112">
        <v>25</v>
      </c>
      <c r="E14" s="113">
        <f t="shared" si="1"/>
        <v>73.700000000000045</v>
      </c>
      <c r="F14" t="s">
        <v>1014</v>
      </c>
    </row>
    <row r="15" spans="1:6">
      <c r="A15" s="156"/>
      <c r="B15" s="112"/>
      <c r="C15" s="112"/>
      <c r="D15" s="112"/>
      <c r="E15" s="113">
        <f t="shared" si="1"/>
        <v>73.700000000000045</v>
      </c>
    </row>
    <row r="16" spans="1:6">
      <c r="A16" s="156">
        <v>46058</v>
      </c>
      <c r="B16" s="112" t="s">
        <v>820</v>
      </c>
      <c r="C16" s="112">
        <v>1200</v>
      </c>
      <c r="D16" s="112"/>
      <c r="E16" s="113">
        <f t="shared" si="1"/>
        <v>1273.7</v>
      </c>
    </row>
    <row r="17" spans="1:5">
      <c r="A17" s="156">
        <v>46059</v>
      </c>
      <c r="B17" s="112" t="s">
        <v>571</v>
      </c>
      <c r="C17" s="112"/>
      <c r="D17" s="112">
        <f>9914733*1.029/10000</f>
        <v>1020.2260256999999</v>
      </c>
      <c r="E17" s="113">
        <f t="shared" si="1"/>
        <v>253.47397430000012</v>
      </c>
    </row>
    <row r="18" spans="1:5">
      <c r="A18" s="156">
        <v>46059</v>
      </c>
      <c r="B18" s="112" t="s">
        <v>566</v>
      </c>
      <c r="C18" s="112">
        <v>100</v>
      </c>
      <c r="D18" s="112"/>
      <c r="E18" s="113">
        <f t="shared" si="1"/>
        <v>353.47397430000012</v>
      </c>
    </row>
    <row r="19" spans="1:5">
      <c r="A19" s="156"/>
      <c r="B19" s="112"/>
      <c r="C19" s="112"/>
      <c r="D19" s="112"/>
      <c r="E19" s="113">
        <f>+E18+C19-D19</f>
        <v>353.47397430000012</v>
      </c>
    </row>
    <row r="20" spans="1:5">
      <c r="A20" s="156">
        <v>46062</v>
      </c>
      <c r="B20" s="112" t="s">
        <v>1069</v>
      </c>
      <c r="C20" s="112"/>
      <c r="D20" s="112">
        <v>200</v>
      </c>
      <c r="E20" s="113">
        <f>+E19+C20-D20</f>
        <v>153.47397430000012</v>
      </c>
    </row>
    <row r="21" spans="1:5">
      <c r="A21" s="156">
        <v>46064</v>
      </c>
      <c r="B21" s="112" t="s">
        <v>1013</v>
      </c>
      <c r="C21" s="112"/>
      <c r="D21" s="112">
        <v>125</v>
      </c>
      <c r="E21" s="113">
        <f>+E20+C21-D21</f>
        <v>28.473974300000123</v>
      </c>
    </row>
    <row r="22" spans="1:5">
      <c r="A22" s="156">
        <v>46066</v>
      </c>
      <c r="B22" s="112" t="s">
        <v>570</v>
      </c>
      <c r="C22" s="112">
        <v>200</v>
      </c>
      <c r="D22" s="112"/>
      <c r="E22" s="113">
        <f t="shared" si="1"/>
        <v>228.47397430000012</v>
      </c>
    </row>
    <row r="23" spans="1:5">
      <c r="A23" s="156">
        <v>46066</v>
      </c>
      <c r="B23" s="112" t="s">
        <v>571</v>
      </c>
      <c r="C23" s="112"/>
      <c r="D23" s="112">
        <v>101</v>
      </c>
      <c r="E23" s="113">
        <f t="shared" si="1"/>
        <v>127.47397430000012</v>
      </c>
    </row>
    <row r="24" spans="1:5">
      <c r="A24" s="156"/>
      <c r="B24" s="112"/>
      <c r="C24" s="112"/>
      <c r="D24" s="112"/>
      <c r="E24" s="113">
        <f>+E23+C24-D24</f>
        <v>127.47397430000012</v>
      </c>
    </row>
    <row r="25" spans="1:5">
      <c r="A25" s="156"/>
      <c r="B25" s="112"/>
      <c r="C25" s="112"/>
      <c r="D25" s="112"/>
      <c r="E25" s="113">
        <f>+E24+C25-D25</f>
        <v>127.47397430000012</v>
      </c>
    </row>
    <row r="26" spans="1:5">
      <c r="A26" s="156"/>
      <c r="B26" s="112"/>
      <c r="C26" s="112"/>
      <c r="D26" s="112"/>
      <c r="E26" s="113">
        <f>+E25+C26-D26</f>
        <v>127.47397430000012</v>
      </c>
    </row>
    <row r="27" spans="1:5">
      <c r="A27" s="156">
        <v>46080</v>
      </c>
      <c r="B27" s="112" t="s">
        <v>820</v>
      </c>
      <c r="C27" s="112">
        <v>200</v>
      </c>
      <c r="D27" s="112"/>
      <c r="E27" s="113">
        <f>+E26+C27-D27</f>
        <v>327.47397430000012</v>
      </c>
    </row>
    <row r="28" spans="1:5">
      <c r="A28" s="156">
        <v>46080</v>
      </c>
      <c r="B28" s="112" t="s">
        <v>571</v>
      </c>
      <c r="C28" s="112"/>
      <c r="D28" s="112">
        <f>267*1.032</f>
        <v>275.54399999999998</v>
      </c>
      <c r="E28" s="113">
        <f t="shared" si="1"/>
        <v>51.92997430000014</v>
      </c>
    </row>
    <row r="29" spans="1:5">
      <c r="A29" s="156"/>
      <c r="B29" s="112"/>
      <c r="C29" s="112"/>
      <c r="D29" s="112"/>
      <c r="E29" s="113">
        <f t="shared" si="1"/>
        <v>51.92997430000014</v>
      </c>
    </row>
    <row r="30" spans="1:5">
      <c r="A30" s="156">
        <v>46084</v>
      </c>
      <c r="B30" s="112" t="s">
        <v>820</v>
      </c>
      <c r="C30" s="213">
        <f>朗瑞1_5!D54</f>
        <v>952</v>
      </c>
      <c r="D30" s="112"/>
      <c r="E30" s="113">
        <f t="shared" si="1"/>
        <v>1003.9299743000001</v>
      </c>
    </row>
    <row r="31" spans="1:5">
      <c r="A31" s="156"/>
      <c r="B31" s="112"/>
      <c r="C31" s="112"/>
      <c r="D31" s="112"/>
      <c r="E31" s="113">
        <f>+E30+C31-D31</f>
        <v>1003.9299743000001</v>
      </c>
    </row>
    <row r="32" spans="1:5">
      <c r="A32" s="156">
        <v>46087</v>
      </c>
      <c r="B32" s="112" t="s">
        <v>531</v>
      </c>
      <c r="C32" s="112">
        <v>180</v>
      </c>
      <c r="D32" s="112"/>
      <c r="E32" s="113">
        <f>+E31+C32-D32</f>
        <v>1183.9299743000001</v>
      </c>
    </row>
    <row r="33" spans="1:5">
      <c r="A33" s="156">
        <v>46090</v>
      </c>
      <c r="B33" s="112" t="s">
        <v>819</v>
      </c>
      <c r="C33" s="112"/>
      <c r="D33" s="112">
        <v>550</v>
      </c>
      <c r="E33" s="109">
        <f>+E32+C33-D33</f>
        <v>633.92997430000014</v>
      </c>
    </row>
    <row r="34" spans="1:5">
      <c r="A34" s="156">
        <v>46093</v>
      </c>
      <c r="B34" s="112" t="s">
        <v>1013</v>
      </c>
      <c r="C34" s="112"/>
      <c r="D34" s="112">
        <v>60</v>
      </c>
      <c r="E34" s="109">
        <f t="shared" ref="E34:E39" si="2">+E33+C34-D34</f>
        <v>573.92997430000014</v>
      </c>
    </row>
    <row r="35" spans="1:5">
      <c r="A35" s="156">
        <v>46094</v>
      </c>
      <c r="B35" s="112" t="s">
        <v>571</v>
      </c>
      <c r="C35" s="112"/>
      <c r="D35" s="112">
        <v>519</v>
      </c>
      <c r="E35" s="109">
        <f t="shared" si="2"/>
        <v>54.92997430000014</v>
      </c>
    </row>
    <row r="36" spans="1:5">
      <c r="A36" s="156">
        <v>46094</v>
      </c>
      <c r="B36" s="112" t="s">
        <v>531</v>
      </c>
      <c r="C36" s="112">
        <v>100</v>
      </c>
      <c r="D36" s="112"/>
      <c r="E36" s="109">
        <f t="shared" si="2"/>
        <v>154.92997430000014</v>
      </c>
    </row>
    <row r="37" spans="1:5">
      <c r="B37" s="112"/>
      <c r="E37" s="109">
        <f t="shared" si="2"/>
        <v>154.92997430000014</v>
      </c>
    </row>
    <row r="38" spans="1:5">
      <c r="A38" s="156">
        <v>46101</v>
      </c>
      <c r="B38" s="112" t="s">
        <v>531</v>
      </c>
      <c r="C38" s="112">
        <v>615</v>
      </c>
      <c r="D38" s="112"/>
      <c r="E38" s="113">
        <f t="shared" si="2"/>
        <v>769.92997430000014</v>
      </c>
    </row>
    <row r="39" spans="1:5">
      <c r="A39" s="156">
        <v>46104</v>
      </c>
      <c r="B39" s="112" t="s">
        <v>620</v>
      </c>
      <c r="C39" s="112"/>
      <c r="D39" s="112">
        <v>700</v>
      </c>
      <c r="E39" s="113">
        <f t="shared" si="2"/>
        <v>69.92997430000014</v>
      </c>
    </row>
    <row r="40" spans="1:5">
      <c r="A40" s="156"/>
      <c r="B40" s="112"/>
      <c r="C40" s="112"/>
      <c r="D40" s="112"/>
      <c r="E40" s="113">
        <f t="shared" ref="E40:E47" si="3">+E39+C40-D40</f>
        <v>69.92997430000014</v>
      </c>
    </row>
    <row r="41" spans="1:5">
      <c r="A41" s="156"/>
      <c r="B41" s="112"/>
      <c r="C41" s="112"/>
      <c r="D41" s="112"/>
      <c r="E41" s="113">
        <f>+E40+C41-D41</f>
        <v>69.92997430000014</v>
      </c>
    </row>
    <row r="42" spans="1:5">
      <c r="A42" s="156">
        <v>46108</v>
      </c>
      <c r="B42" s="112" t="s">
        <v>570</v>
      </c>
      <c r="C42" s="112">
        <v>100</v>
      </c>
      <c r="D42" s="112"/>
      <c r="E42" s="113">
        <f>+E41+C42-D42</f>
        <v>169.92997430000014</v>
      </c>
    </row>
    <row r="43" spans="1:5">
      <c r="A43" s="156">
        <v>46112</v>
      </c>
      <c r="B43" s="112" t="s">
        <v>1530</v>
      </c>
      <c r="C43" s="112">
        <v>720</v>
      </c>
      <c r="D43" s="112"/>
      <c r="E43" s="113">
        <f>+E42+C43-D43</f>
        <v>889.92997430000014</v>
      </c>
    </row>
    <row r="44" spans="1:5">
      <c r="A44" s="156">
        <v>46115</v>
      </c>
      <c r="B44" s="112" t="s">
        <v>570</v>
      </c>
      <c r="C44" s="112">
        <v>201</v>
      </c>
      <c r="D44" s="112"/>
      <c r="E44" s="113">
        <f>+E43+C44-D44</f>
        <v>1090.9299743000001</v>
      </c>
    </row>
    <row r="45" spans="1:5">
      <c r="A45" s="156">
        <v>46115</v>
      </c>
      <c r="B45" s="112" t="s">
        <v>571</v>
      </c>
      <c r="C45" s="112"/>
      <c r="D45" s="112">
        <f>495+164</f>
        <v>659</v>
      </c>
      <c r="E45" s="113">
        <f>+E44+C45-D45</f>
        <v>431.92997430000014</v>
      </c>
    </row>
    <row r="46" spans="1:5">
      <c r="A46" s="156"/>
      <c r="B46" s="112"/>
      <c r="C46" s="112"/>
      <c r="D46" s="112"/>
      <c r="E46" s="113">
        <f t="shared" si="3"/>
        <v>431.92997430000014</v>
      </c>
    </row>
    <row r="47" spans="1:5">
      <c r="A47" s="156"/>
      <c r="B47" s="112"/>
      <c r="C47" s="112"/>
      <c r="D47" s="112"/>
      <c r="E47" s="113">
        <f t="shared" si="3"/>
        <v>431.92997430000014</v>
      </c>
    </row>
    <row r="48" spans="1:5">
      <c r="A48" s="156"/>
      <c r="B48" s="112"/>
      <c r="C48" s="112"/>
      <c r="D48" s="112"/>
      <c r="E48" s="113">
        <f t="shared" ref="E48:E52" si="4">+E47+C48-D48</f>
        <v>431.92997430000014</v>
      </c>
    </row>
    <row r="49" spans="1:8">
      <c r="A49" s="156">
        <v>46122</v>
      </c>
      <c r="B49" s="112" t="s">
        <v>571</v>
      </c>
      <c r="C49" s="112"/>
      <c r="D49" s="112">
        <v>310.76</v>
      </c>
      <c r="E49" s="113">
        <v>119</v>
      </c>
      <c r="H49" s="2"/>
    </row>
    <row r="50" spans="1:8">
      <c r="A50" s="156">
        <v>46125</v>
      </c>
      <c r="B50" s="112" t="s">
        <v>566</v>
      </c>
      <c r="C50" s="112">
        <v>100</v>
      </c>
      <c r="D50" s="112"/>
      <c r="E50" s="113">
        <f t="shared" si="4"/>
        <v>219</v>
      </c>
      <c r="H50" s="2"/>
    </row>
    <row r="51" spans="1:8">
      <c r="E51" s="109">
        <f t="shared" si="4"/>
        <v>219</v>
      </c>
      <c r="H51" s="2"/>
    </row>
    <row r="52" spans="1:8">
      <c r="E52" s="109">
        <f t="shared" si="4"/>
        <v>219</v>
      </c>
    </row>
    <row r="53" spans="1:8">
      <c r="E53" s="109">
        <f t="shared" ref="E53:E56" si="5">+E52+C53-D53</f>
        <v>219</v>
      </c>
    </row>
    <row r="54" spans="1:8">
      <c r="A54" s="156">
        <v>46129</v>
      </c>
      <c r="B54" s="112" t="s">
        <v>981</v>
      </c>
      <c r="C54" s="112">
        <v>200</v>
      </c>
      <c r="D54" s="112"/>
      <c r="E54" s="113">
        <f t="shared" si="5"/>
        <v>419</v>
      </c>
    </row>
    <row r="55" spans="1:8">
      <c r="A55" s="156">
        <v>46132</v>
      </c>
      <c r="B55" s="112" t="s">
        <v>1767</v>
      </c>
      <c r="C55" s="112"/>
      <c r="D55" s="112">
        <v>10.36</v>
      </c>
      <c r="E55" s="113">
        <f t="shared" si="5"/>
        <v>408.64</v>
      </c>
    </row>
    <row r="56" spans="1:8">
      <c r="A56" s="156">
        <v>46133</v>
      </c>
      <c r="B56" s="112" t="s">
        <v>2125</v>
      </c>
      <c r="C56" s="112">
        <v>41</v>
      </c>
      <c r="D56" s="112"/>
      <c r="E56" s="113">
        <f t="shared" si="5"/>
        <v>449.64</v>
      </c>
    </row>
    <row r="57" spans="1:8">
      <c r="A57" s="156">
        <v>46133</v>
      </c>
      <c r="B57" s="112" t="s">
        <v>1948</v>
      </c>
      <c r="C57" s="112">
        <v>800</v>
      </c>
      <c r="D57" s="112"/>
      <c r="E57" s="113">
        <f t="shared" ref="E57:E73" si="6">+E56+C57-D57</f>
        <v>1249.6399999999999</v>
      </c>
      <c r="F57" s="399" t="s">
        <v>816</v>
      </c>
    </row>
    <row r="58" spans="1:8">
      <c r="A58" s="156">
        <v>46134</v>
      </c>
      <c r="B58" s="112" t="s">
        <v>1284</v>
      </c>
      <c r="C58" s="112"/>
      <c r="D58" s="112">
        <v>800</v>
      </c>
      <c r="E58" s="113">
        <f t="shared" si="6"/>
        <v>449.63999999999987</v>
      </c>
      <c r="F58" s="399" t="s">
        <v>816</v>
      </c>
    </row>
    <row r="59" spans="1:8">
      <c r="A59" s="156">
        <v>46136</v>
      </c>
      <c r="B59" s="112" t="s">
        <v>531</v>
      </c>
      <c r="C59" s="112">
        <v>200</v>
      </c>
      <c r="D59" s="112"/>
      <c r="E59" s="113">
        <f>+E58+C59-D59</f>
        <v>649.63999999999987</v>
      </c>
    </row>
    <row r="60" spans="1:8">
      <c r="A60" s="156"/>
      <c r="B60" s="112"/>
      <c r="C60" s="112"/>
      <c r="D60" s="112"/>
      <c r="E60" s="113">
        <f t="shared" si="6"/>
        <v>649.63999999999987</v>
      </c>
    </row>
    <row r="61" spans="1:8">
      <c r="A61" s="156"/>
      <c r="B61" s="112"/>
      <c r="C61" s="112"/>
      <c r="D61" s="112"/>
      <c r="E61" s="113">
        <f t="shared" si="6"/>
        <v>649.63999999999987</v>
      </c>
    </row>
    <row r="62" spans="1:8">
      <c r="A62" s="156">
        <v>46140</v>
      </c>
      <c r="B62" s="112" t="s">
        <v>1834</v>
      </c>
      <c r="C62" s="112">
        <v>6795</v>
      </c>
      <c r="D62" s="112"/>
      <c r="E62" s="113">
        <f t="shared" si="6"/>
        <v>7444.6399999999994</v>
      </c>
    </row>
    <row r="63" spans="1:8">
      <c r="A63" s="156"/>
      <c r="B63" s="112"/>
      <c r="C63" s="112"/>
      <c r="D63" s="112"/>
      <c r="E63" s="113">
        <f t="shared" si="6"/>
        <v>7444.6399999999994</v>
      </c>
    </row>
    <row r="64" spans="1:8">
      <c r="A64" s="156">
        <v>46140</v>
      </c>
      <c r="B64" s="156" t="s">
        <v>1962</v>
      </c>
      <c r="C64" s="112"/>
      <c r="D64" s="112">
        <v>3000</v>
      </c>
      <c r="E64" s="113">
        <f t="shared" si="6"/>
        <v>4444.6399999999994</v>
      </c>
      <c r="F64" s="399" t="s">
        <v>816</v>
      </c>
    </row>
    <row r="65" spans="1:6">
      <c r="A65" s="156">
        <v>46140</v>
      </c>
      <c r="B65" s="156" t="s">
        <v>2164</v>
      </c>
      <c r="C65" s="112"/>
      <c r="D65" s="112">
        <v>2500</v>
      </c>
      <c r="E65" s="113">
        <f t="shared" si="6"/>
        <v>1944.6399999999994</v>
      </c>
      <c r="F65" s="399" t="s">
        <v>2214</v>
      </c>
    </row>
    <row r="66" spans="1:6">
      <c r="A66" s="156"/>
      <c r="B66" s="112"/>
      <c r="C66" s="112"/>
      <c r="D66" s="112"/>
      <c r="E66" s="113">
        <f t="shared" si="6"/>
        <v>1944.6399999999994</v>
      </c>
    </row>
    <row r="67" spans="1:6">
      <c r="A67" s="156"/>
      <c r="B67" s="112"/>
      <c r="C67" s="112"/>
      <c r="D67" s="112"/>
      <c r="E67" s="113">
        <v>1946</v>
      </c>
    </row>
    <row r="68" spans="1:6">
      <c r="A68" s="156">
        <v>46141</v>
      </c>
      <c r="B68" s="112" t="s">
        <v>1946</v>
      </c>
      <c r="C68" s="112"/>
      <c r="D68" s="112">
        <v>800</v>
      </c>
      <c r="E68" s="113">
        <f t="shared" si="6"/>
        <v>1146</v>
      </c>
      <c r="F68" s="399" t="s">
        <v>816</v>
      </c>
    </row>
    <row r="69" spans="1:6">
      <c r="A69" s="156"/>
      <c r="B69" s="112"/>
      <c r="C69" s="112"/>
      <c r="D69" s="112"/>
      <c r="E69" s="113">
        <f t="shared" si="6"/>
        <v>1146</v>
      </c>
    </row>
    <row r="70" spans="1:6">
      <c r="A70" s="156"/>
      <c r="B70" s="112"/>
      <c r="C70" s="112"/>
      <c r="D70" s="112"/>
      <c r="E70" s="113">
        <f>+E69+C70-D70</f>
        <v>1146</v>
      </c>
    </row>
    <row r="71" spans="1:6">
      <c r="A71" s="156">
        <v>46142</v>
      </c>
      <c r="B71" s="112" t="s">
        <v>2287</v>
      </c>
      <c r="C71" s="112">
        <v>45.8</v>
      </c>
      <c r="D71" s="112"/>
      <c r="E71" s="113">
        <f t="shared" si="6"/>
        <v>1191.8</v>
      </c>
    </row>
    <row r="72" spans="1:6">
      <c r="A72" s="156">
        <v>46149</v>
      </c>
      <c r="B72" s="112" t="s">
        <v>571</v>
      </c>
      <c r="C72" s="112"/>
      <c r="D72" s="112">
        <f>378.521407+1.958844</f>
        <v>380.48025100000001</v>
      </c>
      <c r="E72" s="113">
        <f>+E71+C72-D72</f>
        <v>811.319749</v>
      </c>
    </row>
    <row r="73" spans="1:6">
      <c r="A73" s="156">
        <v>46150</v>
      </c>
      <c r="B73" s="112" t="s">
        <v>531</v>
      </c>
      <c r="C73" s="112">
        <v>100</v>
      </c>
      <c r="D73" s="112"/>
      <c r="E73" s="113">
        <f t="shared" si="6"/>
        <v>911.319749</v>
      </c>
    </row>
    <row r="74" spans="1:6">
      <c r="A74" s="156"/>
      <c r="B74" s="112"/>
      <c r="C74" s="112"/>
      <c r="D74" s="112"/>
      <c r="E74" s="113">
        <f>+E73+C74-D74</f>
        <v>911.319749</v>
      </c>
    </row>
    <row r="75" spans="1:6">
      <c r="A75" s="156">
        <v>46155</v>
      </c>
      <c r="B75" s="112" t="s">
        <v>2127</v>
      </c>
      <c r="C75" s="112"/>
      <c r="D75" s="112">
        <v>700</v>
      </c>
      <c r="E75" s="113">
        <f>+E74+C75-D75</f>
        <v>211.319749</v>
      </c>
      <c r="F75" s="399" t="s">
        <v>816</v>
      </c>
    </row>
    <row r="76" spans="1:6">
      <c r="A76" s="156"/>
      <c r="B76" s="112"/>
      <c r="C76" s="112"/>
      <c r="D76" s="112"/>
      <c r="E76" s="113">
        <f>+E75+C76-D76</f>
        <v>211.319749</v>
      </c>
    </row>
    <row r="77" spans="1:6">
      <c r="A77" s="156">
        <v>46160</v>
      </c>
      <c r="B77" s="112" t="s">
        <v>531</v>
      </c>
      <c r="C77" s="112">
        <v>102.5</v>
      </c>
      <c r="D77" s="112"/>
      <c r="E77" s="113">
        <f t="shared" ref="E77:E78" si="7">+E76+C77-D77</f>
        <v>313.819749</v>
      </c>
    </row>
    <row r="78" spans="1:6">
      <c r="A78" s="156"/>
      <c r="B78" s="112"/>
      <c r="C78" s="112"/>
      <c r="D78" s="112"/>
      <c r="E78" s="113">
        <f t="shared" si="7"/>
        <v>313.819749</v>
      </c>
    </row>
    <row r="79" spans="1:6">
      <c r="A79" s="156">
        <v>46160</v>
      </c>
      <c r="B79" s="112" t="s">
        <v>2008</v>
      </c>
      <c r="C79" s="112"/>
      <c r="D79" s="112">
        <v>88.88</v>
      </c>
      <c r="E79" s="113">
        <f t="shared" ref="E79:E85" si="8">+E78+C79-D79</f>
        <v>224.93974900000001</v>
      </c>
      <c r="F79" s="399" t="s">
        <v>2499</v>
      </c>
    </row>
    <row r="80" spans="1:6">
      <c r="A80" s="156"/>
      <c r="B80" s="112"/>
      <c r="C80" s="112"/>
      <c r="D80" s="112"/>
      <c r="E80" s="113">
        <f t="shared" si="8"/>
        <v>224.93974900000001</v>
      </c>
      <c r="F80" s="399"/>
    </row>
    <row r="81" spans="1:5">
      <c r="B81" s="112"/>
      <c r="C81" s="112"/>
      <c r="D81" s="112"/>
      <c r="E81" s="109">
        <f t="shared" si="8"/>
        <v>224.93974900000001</v>
      </c>
    </row>
    <row r="82" spans="1:5">
      <c r="B82" s="112"/>
      <c r="C82" s="112"/>
      <c r="D82" s="112"/>
      <c r="E82" s="109">
        <f t="shared" si="8"/>
        <v>224.93974900000001</v>
      </c>
    </row>
    <row r="83" spans="1:5">
      <c r="A83" s="4">
        <v>46162</v>
      </c>
      <c r="B83" s="112" t="s">
        <v>2008</v>
      </c>
      <c r="C83" s="112">
        <v>88.88</v>
      </c>
      <c r="D83" s="112"/>
      <c r="E83" s="109">
        <f t="shared" si="8"/>
        <v>313.819749</v>
      </c>
    </row>
    <row r="84" spans="1:5">
      <c r="B84" s="112"/>
      <c r="C84" s="112"/>
      <c r="D84" s="112"/>
      <c r="E84" s="109">
        <f t="shared" si="8"/>
        <v>313.819749</v>
      </c>
    </row>
    <row r="85" spans="1:5">
      <c r="A85" s="4">
        <v>46163</v>
      </c>
      <c r="B85" s="112" t="s">
        <v>2340</v>
      </c>
      <c r="C85">
        <v>252</v>
      </c>
      <c r="E85" s="109">
        <f t="shared" si="8"/>
        <v>565.819749</v>
      </c>
    </row>
    <row r="86" spans="1:5">
      <c r="B86" s="112"/>
      <c r="E86" s="109">
        <f>+E85+C86-D86</f>
        <v>565.819749</v>
      </c>
    </row>
    <row r="87" spans="1:5">
      <c r="A87" s="4">
        <v>46164</v>
      </c>
      <c r="B87" s="112" t="s">
        <v>531</v>
      </c>
      <c r="C87" s="112">
        <v>860</v>
      </c>
      <c r="E87" s="109">
        <f>+E86+C87-D87</f>
        <v>1425.819749</v>
      </c>
    </row>
    <row r="88" spans="1:5">
      <c r="A88" s="4">
        <v>46164</v>
      </c>
      <c r="B88" t="s">
        <v>571</v>
      </c>
      <c r="D88">
        <f>272*1.05</f>
        <v>285.60000000000002</v>
      </c>
      <c r="E88" s="109">
        <f>+E87+C88-D88</f>
        <v>1140.2197489999999</v>
      </c>
    </row>
    <row r="89" spans="1:5">
      <c r="B89" s="112" t="s">
        <v>2525</v>
      </c>
      <c r="D89">
        <v>1000</v>
      </c>
      <c r="E89" s="109">
        <f t="shared" ref="E89:E105" si="9">+E88+C89-D89</f>
        <v>140.21974899999987</v>
      </c>
    </row>
    <row r="90" spans="1:5">
      <c r="B90" s="112"/>
      <c r="E90" s="109">
        <f>+E89+C90-D90</f>
        <v>140.21974899999987</v>
      </c>
    </row>
    <row r="91" spans="1:5">
      <c r="A91" s="4">
        <v>46164</v>
      </c>
      <c r="B91" s="112" t="s">
        <v>2543</v>
      </c>
      <c r="D91">
        <v>100</v>
      </c>
      <c r="E91" s="109">
        <f>+E90+C91-D91</f>
        <v>40.219748999999865</v>
      </c>
    </row>
    <row r="92" spans="1:5">
      <c r="B92" s="112"/>
      <c r="E92" s="109">
        <f>+E91+C92-D92</f>
        <v>40.219748999999865</v>
      </c>
    </row>
    <row r="93" spans="1:5">
      <c r="B93" s="112"/>
      <c r="E93" s="109">
        <f>+E92+C93-D93</f>
        <v>40.219748999999865</v>
      </c>
    </row>
    <row r="94" spans="1:5">
      <c r="B94" s="112"/>
      <c r="E94" s="109">
        <f>+E93+C94-D94</f>
        <v>40.219748999999865</v>
      </c>
    </row>
    <row r="95" spans="1:5">
      <c r="E95" s="109">
        <f>+E94+C95-D95</f>
        <v>40.219748999999865</v>
      </c>
    </row>
    <row r="96" spans="1:5">
      <c r="A96" s="4">
        <v>46178</v>
      </c>
      <c r="B96" t="s">
        <v>2306</v>
      </c>
      <c r="D96">
        <f>107*1.05</f>
        <v>112.35000000000001</v>
      </c>
      <c r="E96" s="109">
        <f>+E95+C96-D96</f>
        <v>-72.130251000000143</v>
      </c>
    </row>
    <row r="97" spans="1:5">
      <c r="A97" s="4">
        <v>46185</v>
      </c>
      <c r="B97" t="s">
        <v>571</v>
      </c>
      <c r="D97">
        <f>10.7*1.05</f>
        <v>11.234999999999999</v>
      </c>
      <c r="E97" s="109">
        <f>+E96+C97-D97</f>
        <v>-83.365251000000143</v>
      </c>
    </row>
    <row r="98" spans="1:5">
      <c r="E98" s="109">
        <f>+E97+C98-D98</f>
        <v>-83.365251000000143</v>
      </c>
    </row>
    <row r="99" spans="1:5">
      <c r="E99" s="109">
        <f>+E98+C99-D99</f>
        <v>-83.365251000000143</v>
      </c>
    </row>
    <row r="100" spans="1:5">
      <c r="E100" s="109">
        <f>+E99+C100-D100</f>
        <v>-83.365251000000143</v>
      </c>
    </row>
    <row r="101" spans="1:5">
      <c r="E101" s="109">
        <f t="shared" si="9"/>
        <v>-83.365251000000143</v>
      </c>
    </row>
    <row r="102" spans="1:5">
      <c r="E102" s="109">
        <f t="shared" si="9"/>
        <v>-83.365251000000143</v>
      </c>
    </row>
    <row r="103" spans="1:5">
      <c r="A103" s="4">
        <v>46199</v>
      </c>
      <c r="B103" t="s">
        <v>571</v>
      </c>
      <c r="D103">
        <v>2400</v>
      </c>
      <c r="E103" s="109">
        <f t="shared" si="9"/>
        <v>-2483.3652510000002</v>
      </c>
    </row>
    <row r="104" spans="1:5">
      <c r="E104" s="109">
        <f t="shared" si="9"/>
        <v>-2483.3652510000002</v>
      </c>
    </row>
    <row r="105" spans="1:5">
      <c r="E105" s="109">
        <f t="shared" si="9"/>
        <v>-2483.3652510000002</v>
      </c>
    </row>
    <row r="106" spans="1:5">
      <c r="E106" s="109">
        <f>+E105+C106-D106</f>
        <v>-2483.3652510000002</v>
      </c>
    </row>
    <row r="107" spans="1:5">
      <c r="E107" s="109">
        <f>+E106+C107-D107</f>
        <v>-2483.3652510000002</v>
      </c>
    </row>
  </sheetData>
  <phoneticPr fontId="6" type="noConversion"/>
  <conditionalFormatting sqref="E1:E78 E80:E1048576">
    <cfRule type="cellIs" dxfId="1" priority="2" operator="lessThan">
      <formula>0</formula>
    </cfRule>
  </conditionalFormatting>
  <conditionalFormatting sqref="E79">
    <cfRule type="cellIs" dxfId="0" priority="1" operator="lessThan">
      <formula>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AC681-F5CD-4CDC-877A-3D2FBD9E2D58}">
  <sheetPr codeName="Sheet11"/>
  <dimension ref="A1:F74"/>
  <sheetViews>
    <sheetView workbookViewId="0">
      <pane ySplit="2" topLeftCell="A41" activePane="bottomLeft" state="frozen"/>
      <selection pane="bottomLeft" activeCell="E1" sqref="E1:E1048576"/>
    </sheetView>
  </sheetViews>
  <sheetFormatPr defaultRowHeight="16.5"/>
  <cols>
    <col min="1" max="1" width="10" style="4" bestFit="1" customWidth="1"/>
    <col min="2" max="2" width="13.875" customWidth="1"/>
    <col min="3" max="4" width="7.75" customWidth="1"/>
    <col min="5" max="5" width="8.75" style="109" bestFit="1" customWidth="1"/>
    <col min="7" max="7" width="12.875" bestFit="1" customWidth="1"/>
    <col min="11" max="11" width="14.625" customWidth="1"/>
  </cols>
  <sheetData>
    <row r="1" spans="1:6">
      <c r="A1" s="10"/>
      <c r="B1" s="10"/>
      <c r="C1" s="10"/>
      <c r="D1" s="10"/>
      <c r="E1" s="10"/>
    </row>
    <row r="2" spans="1:6">
      <c r="A2" s="4" t="s">
        <v>0</v>
      </c>
      <c r="B2" t="s">
        <v>1</v>
      </c>
      <c r="C2" t="s">
        <v>2</v>
      </c>
      <c r="D2" t="s">
        <v>3</v>
      </c>
      <c r="E2" s="109" t="s">
        <v>4</v>
      </c>
    </row>
    <row r="3" spans="1:6">
      <c r="A3" s="156">
        <v>46023</v>
      </c>
      <c r="B3" s="112"/>
      <c r="C3" s="112"/>
      <c r="D3" s="112"/>
      <c r="E3" s="113">
        <v>11</v>
      </c>
    </row>
    <row r="4" spans="1:6">
      <c r="A4" s="156"/>
      <c r="B4" s="112"/>
      <c r="C4" s="112"/>
      <c r="D4" s="112"/>
      <c r="E4" s="113">
        <f t="shared" ref="E4:E20" si="0">+E3+C4-D4</f>
        <v>11</v>
      </c>
    </row>
    <row r="5" spans="1:6">
      <c r="A5" s="156">
        <v>46037</v>
      </c>
      <c r="B5" s="112" t="s">
        <v>570</v>
      </c>
      <c r="C5" s="112">
        <v>200</v>
      </c>
      <c r="D5" s="112"/>
      <c r="E5" s="113">
        <f t="shared" si="0"/>
        <v>211</v>
      </c>
    </row>
    <row r="6" spans="1:6">
      <c r="A6" s="156">
        <v>46038</v>
      </c>
      <c r="B6" s="112" t="s">
        <v>604</v>
      </c>
      <c r="C6" s="112"/>
      <c r="D6" s="112">
        <v>150</v>
      </c>
      <c r="E6" s="113">
        <f t="shared" si="0"/>
        <v>61</v>
      </c>
    </row>
    <row r="7" spans="1:6">
      <c r="A7" s="156"/>
      <c r="B7" s="112"/>
      <c r="C7" s="112"/>
      <c r="D7" s="112"/>
      <c r="E7" s="113">
        <f t="shared" si="0"/>
        <v>61</v>
      </c>
    </row>
    <row r="8" spans="1:6">
      <c r="A8" s="156">
        <v>46042</v>
      </c>
      <c r="B8" s="112" t="s">
        <v>570</v>
      </c>
      <c r="C8" s="112">
        <v>100</v>
      </c>
      <c r="D8" s="112"/>
      <c r="E8" s="113">
        <f t="shared" si="0"/>
        <v>161</v>
      </c>
    </row>
    <row r="9" spans="1:6">
      <c r="A9" s="156">
        <v>46049</v>
      </c>
      <c r="B9" s="112" t="s">
        <v>570</v>
      </c>
      <c r="C9" s="112">
        <v>233.77733599999999</v>
      </c>
      <c r="D9" s="112"/>
      <c r="E9" s="113">
        <f t="shared" si="0"/>
        <v>394.77733599999999</v>
      </c>
      <c r="F9" s="201"/>
    </row>
    <row r="10" spans="1:6">
      <c r="A10" s="156">
        <v>46052</v>
      </c>
      <c r="B10" s="112" t="s">
        <v>929</v>
      </c>
      <c r="C10" s="112"/>
      <c r="D10" s="112">
        <v>150</v>
      </c>
      <c r="E10" s="113">
        <f t="shared" si="0"/>
        <v>244.77733599999999</v>
      </c>
    </row>
    <row r="11" spans="1:6">
      <c r="E11" s="109">
        <v>245</v>
      </c>
    </row>
    <row r="12" spans="1:6">
      <c r="A12" s="156">
        <v>46059</v>
      </c>
      <c r="B12" s="112" t="s">
        <v>570</v>
      </c>
      <c r="C12" s="112">
        <v>995.02982099999997</v>
      </c>
      <c r="D12" s="112"/>
      <c r="E12" s="113">
        <f t="shared" si="0"/>
        <v>1240.0298210000001</v>
      </c>
    </row>
    <row r="13" spans="1:6">
      <c r="A13" s="156">
        <v>46059</v>
      </c>
      <c r="B13" s="112" t="s">
        <v>988</v>
      </c>
      <c r="C13" s="112"/>
      <c r="D13" s="112">
        <v>1100</v>
      </c>
      <c r="E13" s="113">
        <f t="shared" ref="E13:E19" si="1">+E12+C13-D13</f>
        <v>140.02982100000008</v>
      </c>
      <c r="F13" t="s">
        <v>1032</v>
      </c>
    </row>
    <row r="14" spans="1:6">
      <c r="A14" s="156"/>
      <c r="B14" s="112"/>
      <c r="C14" s="112"/>
      <c r="D14" s="112"/>
      <c r="E14" s="113">
        <f t="shared" si="1"/>
        <v>140.02982100000008</v>
      </c>
    </row>
    <row r="15" spans="1:6">
      <c r="A15" s="156"/>
      <c r="B15" s="112"/>
      <c r="C15" s="112"/>
      <c r="D15" s="112"/>
      <c r="E15" s="113">
        <f t="shared" si="1"/>
        <v>140.02982100000008</v>
      </c>
    </row>
    <row r="16" spans="1:6">
      <c r="A16" s="156">
        <v>46066</v>
      </c>
      <c r="B16" s="112" t="s">
        <v>570</v>
      </c>
      <c r="C16" s="112">
        <v>447.5</v>
      </c>
      <c r="D16" s="112"/>
      <c r="E16" s="113">
        <f t="shared" si="1"/>
        <v>587.52982100000008</v>
      </c>
    </row>
    <row r="17" spans="1:5">
      <c r="A17" s="156">
        <v>46079</v>
      </c>
      <c r="B17" s="112" t="s">
        <v>822</v>
      </c>
      <c r="C17" s="112"/>
      <c r="D17" s="112">
        <v>132.254524</v>
      </c>
      <c r="E17" s="113">
        <f t="shared" si="1"/>
        <v>455.27529700000008</v>
      </c>
    </row>
    <row r="18" spans="1:5">
      <c r="A18" s="156">
        <v>46080</v>
      </c>
      <c r="B18" s="112" t="s">
        <v>1069</v>
      </c>
      <c r="C18" s="112"/>
      <c r="D18" s="112">
        <v>200</v>
      </c>
      <c r="E18" s="113">
        <f>+E17+C18-D18</f>
        <v>255.27529700000008</v>
      </c>
    </row>
    <row r="19" spans="1:5">
      <c r="A19" s="156">
        <v>46085</v>
      </c>
      <c r="B19" s="112" t="s">
        <v>1140</v>
      </c>
      <c r="C19" s="112">
        <v>749.59884999999997</v>
      </c>
      <c r="D19" s="112"/>
      <c r="E19" s="113">
        <f t="shared" si="1"/>
        <v>1004.874147</v>
      </c>
    </row>
    <row r="20" spans="1:5">
      <c r="A20" s="156"/>
      <c r="B20" s="112"/>
      <c r="C20" s="112"/>
      <c r="D20" s="112"/>
      <c r="E20" s="113">
        <f t="shared" si="0"/>
        <v>1004.874147</v>
      </c>
    </row>
    <row r="21" spans="1:5">
      <c r="A21" s="156">
        <v>46087</v>
      </c>
      <c r="B21" s="112" t="s">
        <v>571</v>
      </c>
      <c r="C21" s="112"/>
      <c r="D21" s="112">
        <v>102.3732</v>
      </c>
      <c r="E21" s="113">
        <f t="shared" ref="E21:E24" si="2">+E20+C21-D21</f>
        <v>902.500947</v>
      </c>
    </row>
    <row r="22" spans="1:5">
      <c r="A22" s="156"/>
      <c r="B22" s="112"/>
      <c r="C22" s="112"/>
      <c r="D22" s="112"/>
      <c r="E22" s="113">
        <f t="shared" si="2"/>
        <v>902.500947</v>
      </c>
    </row>
    <row r="23" spans="1:5">
      <c r="A23" s="156"/>
      <c r="B23" s="112"/>
      <c r="C23" s="112"/>
      <c r="D23" s="112"/>
      <c r="E23" s="113">
        <f t="shared" si="2"/>
        <v>902.500947</v>
      </c>
    </row>
    <row r="24" spans="1:5">
      <c r="A24" s="156">
        <v>46090</v>
      </c>
      <c r="B24" s="112" t="s">
        <v>819</v>
      </c>
      <c r="C24" s="112"/>
      <c r="D24" s="112">
        <v>850</v>
      </c>
      <c r="E24" s="113">
        <f t="shared" si="2"/>
        <v>52.500946999999996</v>
      </c>
    </row>
    <row r="25" spans="1:5">
      <c r="A25" s="156">
        <v>46093</v>
      </c>
      <c r="B25" s="112" t="s">
        <v>531</v>
      </c>
      <c r="C25" s="112">
        <v>100</v>
      </c>
      <c r="D25" s="112"/>
      <c r="E25" s="113">
        <f t="shared" ref="E25:E34" si="3">+E24+C25-D25</f>
        <v>152.500947</v>
      </c>
    </row>
    <row r="26" spans="1:5">
      <c r="A26" s="156">
        <v>46098</v>
      </c>
      <c r="B26" s="112" t="s">
        <v>1414</v>
      </c>
      <c r="C26" s="112">
        <v>1600.452</v>
      </c>
      <c r="D26" s="112"/>
      <c r="E26" s="113">
        <f t="shared" si="3"/>
        <v>1752.952947</v>
      </c>
    </row>
    <row r="27" spans="1:5">
      <c r="A27" s="156"/>
      <c r="B27" s="112"/>
      <c r="C27" s="112"/>
      <c r="D27" s="112"/>
      <c r="E27" s="113">
        <f t="shared" si="3"/>
        <v>1752.952947</v>
      </c>
    </row>
    <row r="28" spans="1:5">
      <c r="A28" s="156">
        <v>46100</v>
      </c>
      <c r="B28" s="112" t="s">
        <v>819</v>
      </c>
      <c r="C28" s="112"/>
      <c r="D28" s="112">
        <v>300</v>
      </c>
      <c r="E28" s="113">
        <f t="shared" si="3"/>
        <v>1452.952947</v>
      </c>
    </row>
    <row r="29" spans="1:5">
      <c r="A29" s="156"/>
      <c r="B29" s="112"/>
      <c r="C29" s="112"/>
      <c r="D29" s="112"/>
      <c r="E29" s="113">
        <f t="shared" si="3"/>
        <v>1452.952947</v>
      </c>
    </row>
    <row r="30" spans="1:5">
      <c r="A30" s="156">
        <v>46104</v>
      </c>
      <c r="B30" s="112" t="s">
        <v>929</v>
      </c>
      <c r="C30" s="112"/>
      <c r="D30" s="112">
        <v>1000</v>
      </c>
      <c r="E30" s="113">
        <f t="shared" si="3"/>
        <v>452.95294699999999</v>
      </c>
    </row>
    <row r="31" spans="1:5">
      <c r="A31" s="156">
        <v>46108</v>
      </c>
      <c r="B31" s="112" t="s">
        <v>571</v>
      </c>
      <c r="C31" s="112"/>
      <c r="D31" s="112">
        <v>255.3</v>
      </c>
      <c r="E31" s="113">
        <f>+E30+C31-D31</f>
        <v>197.65294699999998</v>
      </c>
    </row>
    <row r="32" spans="1:5">
      <c r="A32" s="156">
        <v>46112</v>
      </c>
      <c r="B32" s="112" t="s">
        <v>1563</v>
      </c>
      <c r="C32" s="112">
        <v>650.70863999999995</v>
      </c>
      <c r="D32" s="112"/>
      <c r="E32" s="113">
        <f t="shared" si="3"/>
        <v>848.36158699999987</v>
      </c>
    </row>
    <row r="33" spans="1:6">
      <c r="A33" s="156">
        <v>46115</v>
      </c>
      <c r="B33" s="112" t="s">
        <v>1365</v>
      </c>
      <c r="C33" s="112"/>
      <c r="D33" s="332">
        <f>13.339862+0.166746+0.166746</f>
        <v>13.673354</v>
      </c>
      <c r="E33" s="113">
        <f t="shared" si="3"/>
        <v>834.68823299999985</v>
      </c>
    </row>
    <row r="34" spans="1:6">
      <c r="A34" s="156">
        <v>46119</v>
      </c>
      <c r="B34" s="112" t="s">
        <v>571</v>
      </c>
      <c r="C34" s="112"/>
      <c r="D34" s="112">
        <v>663.48012400000005</v>
      </c>
      <c r="E34" s="113">
        <f t="shared" si="3"/>
        <v>171.20810899999981</v>
      </c>
    </row>
    <row r="35" spans="1:6">
      <c r="A35" s="156"/>
      <c r="B35" s="112"/>
      <c r="C35" s="112"/>
      <c r="D35" s="112"/>
      <c r="E35" s="113">
        <f t="shared" ref="E35:E40" si="4">+E34+C35-D35</f>
        <v>171.20810899999981</v>
      </c>
    </row>
    <row r="36" spans="1:6">
      <c r="A36" s="156"/>
      <c r="B36" s="112"/>
      <c r="C36" s="112"/>
      <c r="D36" s="112"/>
      <c r="E36" s="113">
        <f t="shared" si="4"/>
        <v>171.20810899999981</v>
      </c>
    </row>
    <row r="37" spans="1:6">
      <c r="A37" s="156"/>
      <c r="B37" s="112"/>
      <c r="C37" s="112"/>
      <c r="D37" s="112"/>
      <c r="E37" s="113">
        <f t="shared" si="4"/>
        <v>171.20810899999981</v>
      </c>
    </row>
    <row r="38" spans="1:6">
      <c r="A38" s="156">
        <v>46122</v>
      </c>
      <c r="B38" s="112" t="s">
        <v>571</v>
      </c>
      <c r="C38" s="112"/>
      <c r="D38" s="112">
        <f>144*1.0672</f>
        <v>153.67679999999999</v>
      </c>
      <c r="E38" s="113">
        <f t="shared" si="4"/>
        <v>17.531308999999823</v>
      </c>
    </row>
    <row r="39" spans="1:6">
      <c r="A39" s="156"/>
      <c r="B39" s="112"/>
      <c r="C39" s="112"/>
      <c r="D39" s="112"/>
      <c r="E39" s="113">
        <f t="shared" si="4"/>
        <v>17.531308999999823</v>
      </c>
    </row>
    <row r="40" spans="1:6">
      <c r="A40" s="156"/>
      <c r="B40" s="112"/>
      <c r="C40" s="112"/>
      <c r="D40" s="112"/>
      <c r="E40" s="113">
        <f t="shared" si="4"/>
        <v>17.531308999999823</v>
      </c>
    </row>
    <row r="41" spans="1:6">
      <c r="A41" s="156"/>
      <c r="B41" s="112"/>
      <c r="C41" s="112"/>
      <c r="D41" s="112"/>
      <c r="E41" s="113">
        <f t="shared" ref="E41:E42" si="5">+E40+C41-D41</f>
        <v>17.531308999999823</v>
      </c>
    </row>
    <row r="42" spans="1:6">
      <c r="A42" s="156"/>
      <c r="B42" s="112"/>
      <c r="C42" s="112"/>
      <c r="D42" s="112"/>
      <c r="E42" s="113">
        <f t="shared" si="5"/>
        <v>17.531308999999823</v>
      </c>
    </row>
    <row r="43" spans="1:6">
      <c r="A43" s="156">
        <v>46134</v>
      </c>
      <c r="B43" s="112" t="s">
        <v>1834</v>
      </c>
      <c r="C43" s="112">
        <v>521.17750000000001</v>
      </c>
      <c r="D43" s="112"/>
      <c r="E43" s="113">
        <f t="shared" ref="E43:E54" si="6">+E42+C43-D43</f>
        <v>538.70880899999986</v>
      </c>
      <c r="F43" s="399" t="s">
        <v>816</v>
      </c>
    </row>
    <row r="44" spans="1:6">
      <c r="A44" s="156"/>
      <c r="B44" s="112"/>
      <c r="C44" s="112"/>
      <c r="D44" s="112"/>
      <c r="E44" s="113">
        <f t="shared" si="6"/>
        <v>538.70880899999986</v>
      </c>
    </row>
    <row r="45" spans="1:6">
      <c r="A45" s="156">
        <v>46136</v>
      </c>
      <c r="B45" s="112" t="s">
        <v>2132</v>
      </c>
      <c r="C45" s="112">
        <v>204.37</v>
      </c>
      <c r="D45" s="112"/>
      <c r="E45" s="113">
        <f t="shared" ref="E45:E52" si="7">+E44+C45-D45</f>
        <v>743.07880899999986</v>
      </c>
    </row>
    <row r="46" spans="1:6">
      <c r="A46" s="156"/>
      <c r="B46" s="112"/>
      <c r="C46" s="112"/>
      <c r="D46" s="112"/>
      <c r="E46" s="113">
        <f t="shared" si="7"/>
        <v>743.07880899999986</v>
      </c>
    </row>
    <row r="47" spans="1:6">
      <c r="A47" s="156">
        <v>46140</v>
      </c>
      <c r="B47" s="112" t="s">
        <v>1834</v>
      </c>
      <c r="C47" s="112">
        <v>1100</v>
      </c>
      <c r="D47" s="112"/>
      <c r="E47" s="113">
        <f t="shared" si="7"/>
        <v>1843.0788089999999</v>
      </c>
      <c r="F47" s="399" t="s">
        <v>816</v>
      </c>
    </row>
    <row r="48" spans="1:6">
      <c r="A48" s="156">
        <v>46140</v>
      </c>
      <c r="B48" s="112" t="s">
        <v>2164</v>
      </c>
      <c r="C48" s="112"/>
      <c r="D48" s="112">
        <v>900</v>
      </c>
      <c r="E48" s="113">
        <f t="shared" si="7"/>
        <v>943.07880899999986</v>
      </c>
      <c r="F48" s="399" t="s">
        <v>2213</v>
      </c>
    </row>
    <row r="49" spans="1:6">
      <c r="A49" s="156">
        <v>46141</v>
      </c>
      <c r="B49" s="112" t="s">
        <v>1284</v>
      </c>
      <c r="C49" s="112"/>
      <c r="D49" s="112">
        <v>900</v>
      </c>
      <c r="E49" s="113">
        <f t="shared" si="7"/>
        <v>43.078808999999865</v>
      </c>
      <c r="F49" s="399" t="s">
        <v>2216</v>
      </c>
    </row>
    <row r="50" spans="1:6">
      <c r="A50" s="156"/>
      <c r="B50" s="112"/>
      <c r="C50" s="112"/>
      <c r="D50" s="112"/>
      <c r="E50" s="113">
        <f t="shared" si="7"/>
        <v>43.078808999999865</v>
      </c>
    </row>
    <row r="51" spans="1:6">
      <c r="A51" s="156">
        <v>46142</v>
      </c>
      <c r="B51" s="112" t="s">
        <v>2287</v>
      </c>
      <c r="C51" s="112">
        <v>16.488</v>
      </c>
      <c r="D51" s="112"/>
      <c r="E51" s="113">
        <f t="shared" si="7"/>
        <v>59.566808999999864</v>
      </c>
    </row>
    <row r="52" spans="1:6">
      <c r="A52" s="156"/>
      <c r="B52" s="112"/>
      <c r="C52" s="112"/>
      <c r="D52" s="112"/>
      <c r="E52" s="113">
        <f t="shared" si="7"/>
        <v>59.566808999999864</v>
      </c>
      <c r="F52" s="324"/>
    </row>
    <row r="53" spans="1:6">
      <c r="A53" s="156">
        <v>46150</v>
      </c>
      <c r="B53" s="112" t="s">
        <v>1948</v>
      </c>
      <c r="C53" s="112">
        <v>1200</v>
      </c>
      <c r="D53" s="112"/>
      <c r="E53" s="113">
        <f t="shared" si="6"/>
        <v>1259.5668089999999</v>
      </c>
      <c r="F53" s="473" t="s">
        <v>2281</v>
      </c>
    </row>
    <row r="54" spans="1:6">
      <c r="A54" s="156"/>
      <c r="B54" s="112"/>
      <c r="C54" s="112"/>
      <c r="D54" s="112"/>
      <c r="E54" s="113">
        <f t="shared" si="6"/>
        <v>1259.5668089999999</v>
      </c>
    </row>
    <row r="55" spans="1:6">
      <c r="A55" s="156"/>
      <c r="B55" s="112"/>
      <c r="C55" s="112"/>
      <c r="D55" s="112"/>
      <c r="E55" s="113">
        <f>+E54+C55-D55</f>
        <v>1259.5668089999999</v>
      </c>
    </row>
    <row r="56" spans="1:6">
      <c r="A56" s="156"/>
      <c r="B56" s="112"/>
      <c r="C56" s="112"/>
      <c r="D56" s="112"/>
      <c r="E56" s="113">
        <f>+E55+C56-D56</f>
        <v>1259.5668089999999</v>
      </c>
    </row>
    <row r="57" spans="1:6">
      <c r="A57" s="156">
        <v>46150</v>
      </c>
      <c r="B57" s="112" t="s">
        <v>822</v>
      </c>
      <c r="C57" s="112"/>
      <c r="D57" s="112">
        <f>393.665382+0.503306</f>
        <v>394.16868800000003</v>
      </c>
      <c r="E57" s="113">
        <f>+E56+C57-D57</f>
        <v>865.39812099999995</v>
      </c>
    </row>
    <row r="58" spans="1:6">
      <c r="A58" s="156"/>
      <c r="B58" s="112"/>
      <c r="C58" s="112"/>
      <c r="D58" s="112"/>
      <c r="E58" s="113">
        <f>+E57+C58-D58</f>
        <v>865.39812099999995</v>
      </c>
    </row>
    <row r="59" spans="1:6">
      <c r="A59" s="156"/>
      <c r="B59" s="112"/>
      <c r="C59" s="112"/>
      <c r="D59" s="112"/>
      <c r="E59" s="113">
        <f>+E58+C59-D59</f>
        <v>865.39812099999995</v>
      </c>
    </row>
    <row r="60" spans="1:6">
      <c r="A60" s="156">
        <v>46155</v>
      </c>
      <c r="B60" s="112" t="s">
        <v>2128</v>
      </c>
      <c r="C60" s="112"/>
      <c r="D60" s="112">
        <v>500</v>
      </c>
      <c r="E60" s="113">
        <f t="shared" ref="E60:E67" si="8">+E59+C60-D60</f>
        <v>365.39812099999995</v>
      </c>
      <c r="F60" s="399" t="s">
        <v>816</v>
      </c>
    </row>
    <row r="61" spans="1:6">
      <c r="A61" s="156">
        <v>46157</v>
      </c>
      <c r="B61" s="112" t="s">
        <v>531</v>
      </c>
      <c r="C61" s="112">
        <v>200</v>
      </c>
      <c r="D61" s="112"/>
      <c r="E61" s="113">
        <f t="shared" si="8"/>
        <v>565.39812099999995</v>
      </c>
    </row>
    <row r="62" spans="1:6">
      <c r="E62" s="109">
        <f t="shared" si="8"/>
        <v>565.39812099999995</v>
      </c>
    </row>
    <row r="63" spans="1:6">
      <c r="E63" s="109">
        <f t="shared" si="8"/>
        <v>565.39812099999995</v>
      </c>
    </row>
    <row r="64" spans="1:6">
      <c r="E64" s="109">
        <f t="shared" si="8"/>
        <v>565.39812099999995</v>
      </c>
    </row>
    <row r="65" spans="1:5">
      <c r="A65" s="4">
        <v>46163</v>
      </c>
      <c r="B65" t="s">
        <v>822</v>
      </c>
      <c r="D65">
        <f>383.2*1.08</f>
        <v>413.85599999999999</v>
      </c>
      <c r="E65" s="109">
        <f t="shared" si="8"/>
        <v>151.54212099999995</v>
      </c>
    </row>
    <row r="66" spans="1:5">
      <c r="B66" s="112"/>
      <c r="E66" s="109">
        <f t="shared" si="8"/>
        <v>151.54212099999995</v>
      </c>
    </row>
    <row r="67" spans="1:5">
      <c r="E67" s="109">
        <f t="shared" si="8"/>
        <v>151.54212099999995</v>
      </c>
    </row>
    <row r="68" spans="1:5">
      <c r="A68" s="4">
        <v>46168</v>
      </c>
      <c r="B68" t="s">
        <v>2513</v>
      </c>
      <c r="C68">
        <v>500</v>
      </c>
      <c r="E68" s="109">
        <f t="shared" ref="E68:E74" si="9">+E67+C68-D68</f>
        <v>651.54212099999995</v>
      </c>
    </row>
    <row r="69" spans="1:5">
      <c r="E69" s="109">
        <f t="shared" si="9"/>
        <v>651.54212099999995</v>
      </c>
    </row>
    <row r="70" spans="1:5">
      <c r="A70" s="4">
        <v>46170</v>
      </c>
      <c r="B70" t="s">
        <v>822</v>
      </c>
      <c r="D70">
        <f>590*1.08</f>
        <v>637.20000000000005</v>
      </c>
      <c r="E70" s="109">
        <f t="shared" si="9"/>
        <v>14.342120999999906</v>
      </c>
    </row>
    <row r="71" spans="1:5">
      <c r="E71" s="109">
        <f t="shared" si="9"/>
        <v>14.342120999999906</v>
      </c>
    </row>
    <row r="72" spans="1:5">
      <c r="E72" s="109">
        <f t="shared" si="9"/>
        <v>14.342120999999906</v>
      </c>
    </row>
    <row r="73" spans="1:5">
      <c r="E73" s="109">
        <f t="shared" si="9"/>
        <v>14.342120999999906</v>
      </c>
    </row>
    <row r="74" spans="1:5">
      <c r="E74" s="109">
        <f t="shared" si="9"/>
        <v>14.342120999999906</v>
      </c>
    </row>
  </sheetData>
  <phoneticPr fontId="6" type="noConversion"/>
  <conditionalFormatting sqref="E1:E1048576">
    <cfRule type="cellIs" dxfId="16" priority="1" operator="lessThan">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728EC-B3E9-46C1-97DE-B7F7F879AC3E}">
  <sheetPr codeName="Sheet12"/>
  <dimension ref="A1:F112"/>
  <sheetViews>
    <sheetView zoomScaleNormal="100" workbookViewId="0">
      <pane ySplit="2" topLeftCell="A90" activePane="bottomLeft" state="frozen"/>
      <selection pane="bottomLeft" activeCell="E1" sqref="E1:E1048576"/>
    </sheetView>
  </sheetViews>
  <sheetFormatPr defaultRowHeight="16.5"/>
  <cols>
    <col min="1" max="1" width="10" style="4" bestFit="1" customWidth="1"/>
    <col min="2" max="2" width="23.125" customWidth="1"/>
    <col min="3" max="4" width="7.75" customWidth="1"/>
    <col min="5" max="5" width="8.75" style="109" bestFit="1" customWidth="1"/>
  </cols>
  <sheetData>
    <row r="1" spans="1:6">
      <c r="A1" s="10"/>
      <c r="B1" s="10"/>
      <c r="C1" s="10"/>
      <c r="D1" s="10"/>
      <c r="E1" s="10"/>
    </row>
    <row r="2" spans="1:6">
      <c r="A2" s="4" t="s">
        <v>0</v>
      </c>
      <c r="B2" t="s">
        <v>1</v>
      </c>
      <c r="C2" t="s">
        <v>2</v>
      </c>
      <c r="D2" t="s">
        <v>3</v>
      </c>
      <c r="E2" s="109" t="s">
        <v>4</v>
      </c>
    </row>
    <row r="3" spans="1:6">
      <c r="A3" s="156">
        <v>46023</v>
      </c>
      <c r="B3" s="112"/>
      <c r="C3" s="112"/>
      <c r="D3" s="112"/>
      <c r="E3" s="113">
        <v>277.92</v>
      </c>
    </row>
    <row r="4" spans="1:6">
      <c r="A4" s="110">
        <v>45662</v>
      </c>
      <c r="B4" s="159" t="s">
        <v>331</v>
      </c>
      <c r="C4" s="112"/>
      <c r="D4" s="160">
        <v>256</v>
      </c>
      <c r="E4" s="116">
        <f t="shared" ref="E4:E17" si="0">E3+C4-D4</f>
        <v>21.920000000000016</v>
      </c>
    </row>
    <row r="5" spans="1:6">
      <c r="A5" s="110"/>
      <c r="B5" s="159"/>
      <c r="C5" s="112"/>
      <c r="D5" s="112"/>
      <c r="E5" s="116">
        <f t="shared" si="0"/>
        <v>21.920000000000016</v>
      </c>
    </row>
    <row r="6" spans="1:6">
      <c r="A6" s="110">
        <v>46029</v>
      </c>
      <c r="B6" s="159" t="s">
        <v>332</v>
      </c>
      <c r="C6" s="112">
        <v>112</v>
      </c>
      <c r="D6" s="112"/>
      <c r="E6" s="116">
        <f t="shared" si="0"/>
        <v>133.92000000000002</v>
      </c>
    </row>
    <row r="7" spans="1:6">
      <c r="A7" s="110">
        <v>46031</v>
      </c>
      <c r="B7" s="171" t="s">
        <v>332</v>
      </c>
      <c r="C7" s="112">
        <v>223</v>
      </c>
      <c r="D7" s="112"/>
      <c r="E7" s="116">
        <f t="shared" si="0"/>
        <v>356.92</v>
      </c>
    </row>
    <row r="8" spans="1:6">
      <c r="A8" s="110">
        <v>46031</v>
      </c>
      <c r="B8" s="171" t="s">
        <v>568</v>
      </c>
      <c r="C8" s="112"/>
      <c r="D8" s="112">
        <v>350</v>
      </c>
      <c r="E8" s="116">
        <f t="shared" si="0"/>
        <v>6.9200000000000159</v>
      </c>
    </row>
    <row r="9" spans="1:6">
      <c r="A9" s="110"/>
      <c r="B9" s="112"/>
      <c r="C9" s="112"/>
      <c r="D9" s="112"/>
      <c r="E9" s="116">
        <v>5.8</v>
      </c>
    </row>
    <row r="10" spans="1:6">
      <c r="A10" s="110">
        <v>46038</v>
      </c>
      <c r="B10" s="115" t="s">
        <v>783</v>
      </c>
      <c r="C10" s="112">
        <v>10</v>
      </c>
      <c r="D10" s="112"/>
      <c r="E10" s="116">
        <f>E9+C10-D10</f>
        <v>15.8</v>
      </c>
    </row>
    <row r="11" spans="1:6">
      <c r="A11" s="110">
        <v>46042</v>
      </c>
      <c r="B11" s="159" t="s">
        <v>333</v>
      </c>
      <c r="C11" s="112">
        <v>350</v>
      </c>
      <c r="D11" s="112"/>
      <c r="E11" s="116">
        <f>E10+C11-D11</f>
        <v>365.8</v>
      </c>
      <c r="F11" t="s">
        <v>334</v>
      </c>
    </row>
    <row r="12" spans="1:6">
      <c r="A12" s="110">
        <v>46045</v>
      </c>
      <c r="B12" s="159" t="s">
        <v>880</v>
      </c>
      <c r="C12" s="112">
        <v>152</v>
      </c>
      <c r="D12" s="112"/>
      <c r="E12" s="116">
        <f t="shared" ref="E12:E13" si="1">E11+C12-D12</f>
        <v>517.79999999999995</v>
      </c>
    </row>
    <row r="13" spans="1:6">
      <c r="A13" s="110">
        <v>46048</v>
      </c>
      <c r="B13" s="171" t="s">
        <v>331</v>
      </c>
      <c r="C13" s="112"/>
      <c r="D13" s="112">
        <v>188</v>
      </c>
      <c r="E13" s="116">
        <f t="shared" si="1"/>
        <v>329.79999999999995</v>
      </c>
    </row>
    <row r="14" spans="1:6">
      <c r="A14" s="112"/>
      <c r="B14" s="112"/>
      <c r="C14" s="112"/>
      <c r="D14" s="112"/>
      <c r="E14" s="116">
        <f t="shared" si="0"/>
        <v>329.79999999999995</v>
      </c>
      <c r="F14" t="s">
        <v>849</v>
      </c>
    </row>
    <row r="15" spans="1:6">
      <c r="A15" s="110">
        <v>46052</v>
      </c>
      <c r="B15" s="112" t="s">
        <v>566</v>
      </c>
      <c r="C15" s="112">
        <v>126</v>
      </c>
      <c r="D15" s="112"/>
      <c r="E15" s="116">
        <f>E14+C15-D15</f>
        <v>455.79999999999995</v>
      </c>
    </row>
    <row r="16" spans="1:6">
      <c r="A16" s="110">
        <v>46055</v>
      </c>
      <c r="B16" s="112" t="s">
        <v>620</v>
      </c>
      <c r="C16" s="112"/>
      <c r="D16" s="112">
        <v>100</v>
      </c>
      <c r="E16" s="116">
        <f>E15+C16-D16</f>
        <v>355.79999999999995</v>
      </c>
    </row>
    <row r="17" spans="1:5">
      <c r="A17" s="110">
        <v>46056</v>
      </c>
      <c r="B17" s="251" t="s">
        <v>331</v>
      </c>
      <c r="C17" s="112"/>
      <c r="D17" s="112">
        <v>99</v>
      </c>
      <c r="E17" s="116">
        <f t="shared" si="0"/>
        <v>256.79999999999995</v>
      </c>
    </row>
    <row r="18" spans="1:5">
      <c r="A18" s="156"/>
      <c r="B18" s="112"/>
      <c r="C18" s="112"/>
      <c r="D18" s="112"/>
      <c r="E18" s="113">
        <f t="shared" ref="E18:E37" si="2">+E17+C18-D18</f>
        <v>256.79999999999995</v>
      </c>
    </row>
    <row r="19" spans="1:5">
      <c r="A19" s="156">
        <v>46059</v>
      </c>
      <c r="B19" s="112" t="s">
        <v>566</v>
      </c>
      <c r="C19" s="112">
        <v>161</v>
      </c>
      <c r="D19" s="112"/>
      <c r="E19" s="113">
        <f t="shared" si="2"/>
        <v>417.79999999999995</v>
      </c>
    </row>
    <row r="20" spans="1:5">
      <c r="A20" s="156">
        <v>46059</v>
      </c>
      <c r="B20" s="112" t="s">
        <v>620</v>
      </c>
      <c r="C20" s="112"/>
      <c r="D20" s="112">
        <v>200</v>
      </c>
      <c r="E20" s="113">
        <f t="shared" si="2"/>
        <v>217.79999999999995</v>
      </c>
    </row>
    <row r="21" spans="1:5">
      <c r="A21" s="156"/>
      <c r="B21" s="112"/>
      <c r="C21" s="112"/>
      <c r="D21" s="112"/>
      <c r="E21" s="113">
        <v>214</v>
      </c>
    </row>
    <row r="22" spans="1:5">
      <c r="A22" s="156">
        <v>46066</v>
      </c>
      <c r="B22" s="251" t="s">
        <v>331</v>
      </c>
      <c r="C22" s="112"/>
      <c r="D22" s="112">
        <v>105</v>
      </c>
      <c r="E22" s="113">
        <f t="shared" si="2"/>
        <v>109</v>
      </c>
    </row>
    <row r="23" spans="1:5">
      <c r="A23" s="156">
        <v>46077</v>
      </c>
      <c r="B23" s="112" t="s">
        <v>566</v>
      </c>
      <c r="C23" s="112">
        <v>323</v>
      </c>
      <c r="D23" s="112"/>
      <c r="E23" s="113">
        <f t="shared" si="2"/>
        <v>432</v>
      </c>
    </row>
    <row r="24" spans="1:5">
      <c r="A24" s="156"/>
      <c r="B24" s="112"/>
      <c r="C24" s="112"/>
      <c r="D24" s="112"/>
      <c r="E24" s="113">
        <f t="shared" si="2"/>
        <v>432</v>
      </c>
    </row>
    <row r="25" spans="1:5">
      <c r="A25" s="156">
        <v>46080</v>
      </c>
      <c r="B25" s="112" t="s">
        <v>636</v>
      </c>
      <c r="C25" s="112"/>
      <c r="D25" s="112">
        <f>71.28*1.517</f>
        <v>108.13176</v>
      </c>
      <c r="E25" s="113">
        <f t="shared" si="2"/>
        <v>323.86824000000001</v>
      </c>
    </row>
    <row r="26" spans="1:5">
      <c r="A26" s="156"/>
      <c r="B26" s="112"/>
      <c r="C26" s="112"/>
      <c r="D26" s="112"/>
      <c r="E26" s="113">
        <f t="shared" si="2"/>
        <v>323.86824000000001</v>
      </c>
    </row>
    <row r="27" spans="1:5">
      <c r="A27" s="156">
        <v>46085</v>
      </c>
      <c r="B27" s="112" t="s">
        <v>1390</v>
      </c>
      <c r="C27" s="112"/>
      <c r="D27" s="112">
        <v>2</v>
      </c>
      <c r="E27" s="113">
        <f>+E26+C27-D27</f>
        <v>321.86824000000001</v>
      </c>
    </row>
    <row r="28" spans="1:5">
      <c r="A28" s="156">
        <v>46085</v>
      </c>
      <c r="B28" s="112" t="s">
        <v>1140</v>
      </c>
      <c r="C28" s="112">
        <v>200</v>
      </c>
      <c r="D28" s="112"/>
      <c r="E28" s="113">
        <f>+E27+C28-D28</f>
        <v>521.86824000000001</v>
      </c>
    </row>
    <row r="29" spans="1:5">
      <c r="A29" s="156">
        <v>46090</v>
      </c>
      <c r="B29" s="112" t="s">
        <v>570</v>
      </c>
      <c r="C29" s="112">
        <v>598</v>
      </c>
      <c r="D29" s="112"/>
      <c r="E29" s="113">
        <f t="shared" si="2"/>
        <v>1119.86824</v>
      </c>
    </row>
    <row r="30" spans="1:5">
      <c r="A30" s="156">
        <v>46090</v>
      </c>
      <c r="B30" s="112" t="s">
        <v>636</v>
      </c>
      <c r="C30" s="112"/>
      <c r="D30" s="112">
        <v>259.56</v>
      </c>
      <c r="E30" s="113">
        <f t="shared" si="2"/>
        <v>860.30824000000007</v>
      </c>
    </row>
    <row r="31" spans="1:5">
      <c r="A31" s="156"/>
      <c r="B31" s="112"/>
      <c r="C31" s="112"/>
      <c r="D31" s="112"/>
      <c r="E31" s="113">
        <f t="shared" si="2"/>
        <v>860.30824000000007</v>
      </c>
    </row>
    <row r="32" spans="1:5">
      <c r="A32" s="156"/>
      <c r="B32" s="112"/>
      <c r="C32" s="112"/>
      <c r="D32" s="112"/>
      <c r="E32" s="113">
        <f t="shared" si="2"/>
        <v>860.30824000000007</v>
      </c>
    </row>
    <row r="33" spans="1:5">
      <c r="A33" s="156">
        <v>46090</v>
      </c>
      <c r="B33" s="112" t="s">
        <v>1318</v>
      </c>
      <c r="C33" s="112"/>
      <c r="D33" s="112">
        <v>600</v>
      </c>
      <c r="E33" s="113">
        <f t="shared" si="2"/>
        <v>260.30824000000007</v>
      </c>
    </row>
    <row r="34" spans="1:5">
      <c r="A34" s="156"/>
      <c r="B34" s="112"/>
      <c r="C34" s="112"/>
      <c r="D34" s="112"/>
      <c r="E34" s="113">
        <f t="shared" si="2"/>
        <v>260.30824000000007</v>
      </c>
    </row>
    <row r="35" spans="1:5">
      <c r="A35" s="156">
        <v>46094</v>
      </c>
      <c r="B35" s="112" t="s">
        <v>636</v>
      </c>
      <c r="C35" s="112"/>
      <c r="D35" s="112">
        <v>207.6</v>
      </c>
      <c r="E35" s="113">
        <f t="shared" si="2"/>
        <v>52.708240000000075</v>
      </c>
    </row>
    <row r="36" spans="1:5">
      <c r="A36" s="156">
        <v>46094</v>
      </c>
      <c r="B36" s="112" t="s">
        <v>566</v>
      </c>
      <c r="C36" s="112">
        <v>100</v>
      </c>
      <c r="D36" s="112"/>
      <c r="E36" s="113">
        <f t="shared" si="2"/>
        <v>152.70824000000007</v>
      </c>
    </row>
    <row r="37" spans="1:5">
      <c r="A37" s="156">
        <v>46098</v>
      </c>
      <c r="B37" s="112" t="s">
        <v>1319</v>
      </c>
      <c r="C37" s="112">
        <v>2700</v>
      </c>
      <c r="D37" s="112"/>
      <c r="E37" s="113">
        <f t="shared" si="2"/>
        <v>2852.7082399999999</v>
      </c>
    </row>
    <row r="38" spans="1:5">
      <c r="A38" s="156">
        <v>46099</v>
      </c>
      <c r="B38" s="112" t="s">
        <v>620</v>
      </c>
      <c r="C38" s="112"/>
      <c r="D38" s="112">
        <v>600</v>
      </c>
      <c r="E38" s="113">
        <f t="shared" ref="E38:E70" si="3">+E37+C38-D38</f>
        <v>2252.7082399999999</v>
      </c>
    </row>
    <row r="39" spans="1:5">
      <c r="A39" s="156"/>
      <c r="B39" s="112"/>
      <c r="C39" s="112"/>
      <c r="D39" s="112"/>
      <c r="E39" s="113">
        <f t="shared" si="3"/>
        <v>2252.7082399999999</v>
      </c>
    </row>
    <row r="40" spans="1:5">
      <c r="A40" s="156"/>
      <c r="B40" s="112"/>
      <c r="C40" s="112"/>
      <c r="D40" s="112"/>
      <c r="E40" s="113">
        <f t="shared" si="3"/>
        <v>2252.7082399999999</v>
      </c>
    </row>
    <row r="41" spans="1:5">
      <c r="A41" s="156">
        <v>46100</v>
      </c>
      <c r="B41" s="112" t="s">
        <v>1405</v>
      </c>
      <c r="C41" s="112"/>
      <c r="D41" s="112">
        <v>1700</v>
      </c>
      <c r="E41" s="113">
        <f t="shared" si="3"/>
        <v>552.70823999999993</v>
      </c>
    </row>
    <row r="42" spans="1:5">
      <c r="A42" s="156">
        <v>46101</v>
      </c>
      <c r="B42" s="112" t="s">
        <v>566</v>
      </c>
      <c r="C42" s="112">
        <v>200</v>
      </c>
      <c r="D42" s="112"/>
      <c r="E42" s="113">
        <f t="shared" si="3"/>
        <v>752.70823999999993</v>
      </c>
    </row>
    <row r="43" spans="1:5">
      <c r="A43" s="156">
        <v>46101</v>
      </c>
      <c r="B43" s="112" t="s">
        <v>636</v>
      </c>
      <c r="C43" s="112"/>
      <c r="D43" s="112">
        <v>209.17</v>
      </c>
      <c r="E43" s="113">
        <f t="shared" si="3"/>
        <v>543.53823999999997</v>
      </c>
    </row>
    <row r="44" spans="1:5">
      <c r="E44" s="321">
        <v>545</v>
      </c>
    </row>
    <row r="45" spans="1:5">
      <c r="B45" s="112"/>
      <c r="E45" s="321">
        <f t="shared" si="3"/>
        <v>545</v>
      </c>
    </row>
    <row r="46" spans="1:5">
      <c r="A46" s="156">
        <v>46111</v>
      </c>
      <c r="B46" s="112" t="s">
        <v>636</v>
      </c>
      <c r="C46" s="112"/>
      <c r="D46" s="112">
        <v>208.72</v>
      </c>
      <c r="E46" s="321">
        <f t="shared" si="3"/>
        <v>336.28</v>
      </c>
    </row>
    <row r="47" spans="1:5">
      <c r="A47" s="156">
        <v>46111</v>
      </c>
      <c r="B47" s="112" t="s">
        <v>566</v>
      </c>
      <c r="C47" s="112">
        <v>333.11200000000002</v>
      </c>
      <c r="D47" s="112"/>
      <c r="E47" s="321">
        <f t="shared" si="3"/>
        <v>669.39200000000005</v>
      </c>
    </row>
    <row r="48" spans="1:5">
      <c r="A48" s="156"/>
      <c r="B48" s="112"/>
      <c r="C48" s="112"/>
      <c r="D48" s="112"/>
      <c r="E48" s="321">
        <f t="shared" ref="E48:E59" si="4">+E47+C48-D48</f>
        <v>669.39200000000005</v>
      </c>
    </row>
    <row r="49" spans="1:5">
      <c r="A49" s="156">
        <v>46111</v>
      </c>
      <c r="B49" s="112" t="s">
        <v>1069</v>
      </c>
      <c r="C49" s="112"/>
      <c r="D49" s="112">
        <v>600</v>
      </c>
      <c r="E49" s="113">
        <f t="shared" si="4"/>
        <v>69.392000000000053</v>
      </c>
    </row>
    <row r="50" spans="1:5">
      <c r="A50" s="156"/>
      <c r="B50" s="112"/>
      <c r="C50" s="112"/>
      <c r="D50" s="112"/>
      <c r="E50" s="113">
        <f t="shared" si="4"/>
        <v>69.392000000000053</v>
      </c>
    </row>
    <row r="51" spans="1:5">
      <c r="A51" s="156"/>
      <c r="B51" s="112"/>
      <c r="C51" s="112"/>
      <c r="D51" s="112"/>
      <c r="E51" s="113">
        <f>+E50+C51-D51</f>
        <v>69.392000000000053</v>
      </c>
    </row>
    <row r="52" spans="1:5">
      <c r="A52" s="156">
        <v>46115</v>
      </c>
      <c r="B52" s="112" t="s">
        <v>566</v>
      </c>
      <c r="C52" s="112">
        <v>718</v>
      </c>
      <c r="D52" s="112"/>
      <c r="E52" s="113">
        <f>+E51+C52-D52</f>
        <v>787.39200000000005</v>
      </c>
    </row>
    <row r="53" spans="1:5">
      <c r="A53" s="156">
        <v>46120</v>
      </c>
      <c r="B53" s="112" t="s">
        <v>1319</v>
      </c>
      <c r="C53" s="112">
        <v>1298</v>
      </c>
      <c r="D53" s="112"/>
      <c r="E53" s="113">
        <f>+E52+C53-D53</f>
        <v>2085.3919999999998</v>
      </c>
    </row>
    <row r="54" spans="1:5">
      <c r="A54" s="156"/>
      <c r="B54" s="112"/>
      <c r="C54" s="112"/>
      <c r="D54" s="112"/>
      <c r="E54" s="113">
        <f t="shared" si="4"/>
        <v>2085.3919999999998</v>
      </c>
    </row>
    <row r="55" spans="1:5">
      <c r="A55" s="156">
        <v>46121</v>
      </c>
      <c r="B55" s="112" t="s">
        <v>620</v>
      </c>
      <c r="C55" s="112"/>
      <c r="D55" s="112">
        <v>1000</v>
      </c>
      <c r="E55" s="113">
        <f>+E54+C55-D55</f>
        <v>1085.3919999999998</v>
      </c>
    </row>
    <row r="56" spans="1:5">
      <c r="A56" s="156">
        <v>46122</v>
      </c>
      <c r="B56" s="112" t="s">
        <v>929</v>
      </c>
      <c r="C56" s="112"/>
      <c r="D56" s="112">
        <v>475</v>
      </c>
      <c r="E56" s="113">
        <f>+E55+C56-D56</f>
        <v>610.39199999999983</v>
      </c>
    </row>
    <row r="57" spans="1:5" s="112" customFormat="1">
      <c r="A57" s="156">
        <v>46122</v>
      </c>
      <c r="B57" s="112" t="s">
        <v>636</v>
      </c>
      <c r="D57" s="112">
        <f>36.8*1.53</f>
        <v>56.303999999999995</v>
      </c>
      <c r="E57" s="113">
        <f>+E56+C57-D57</f>
        <v>554.08799999999985</v>
      </c>
    </row>
    <row r="58" spans="1:5" s="112" customFormat="1">
      <c r="A58" s="156">
        <v>46125</v>
      </c>
      <c r="B58" s="112" t="s">
        <v>566</v>
      </c>
      <c r="C58" s="112">
        <v>145</v>
      </c>
      <c r="E58" s="113">
        <f t="shared" si="4"/>
        <v>699.08799999999985</v>
      </c>
    </row>
    <row r="59" spans="1:5" s="112" customFormat="1">
      <c r="A59" s="156">
        <v>46125</v>
      </c>
      <c r="B59" s="112" t="s">
        <v>1865</v>
      </c>
      <c r="C59" s="112">
        <v>200</v>
      </c>
      <c r="E59" s="113">
        <f t="shared" si="4"/>
        <v>899.08799999999985</v>
      </c>
    </row>
    <row r="60" spans="1:5">
      <c r="A60" s="156">
        <v>46127</v>
      </c>
      <c r="B60" s="112" t="s">
        <v>929</v>
      </c>
      <c r="C60" s="112"/>
      <c r="D60" s="112">
        <v>8</v>
      </c>
      <c r="E60" s="113">
        <f t="shared" si="3"/>
        <v>891.08799999999985</v>
      </c>
    </row>
    <row r="61" spans="1:5">
      <c r="E61" s="321">
        <f t="shared" si="3"/>
        <v>891.08799999999985</v>
      </c>
    </row>
    <row r="62" spans="1:5">
      <c r="B62" s="112"/>
      <c r="E62" s="321">
        <f t="shared" si="3"/>
        <v>891.08799999999985</v>
      </c>
    </row>
    <row r="63" spans="1:5">
      <c r="A63" s="156">
        <v>46129</v>
      </c>
      <c r="B63" s="112" t="s">
        <v>636</v>
      </c>
      <c r="C63" s="112"/>
      <c r="D63" s="112">
        <v>516.86909500000002</v>
      </c>
      <c r="E63" s="113">
        <f t="shared" si="3"/>
        <v>374.21890499999984</v>
      </c>
    </row>
    <row r="64" spans="1:5">
      <c r="A64" s="156">
        <v>46132</v>
      </c>
      <c r="B64" s="112" t="s">
        <v>566</v>
      </c>
      <c r="C64" s="112">
        <v>210</v>
      </c>
      <c r="D64" s="112"/>
      <c r="E64" s="113">
        <f t="shared" si="3"/>
        <v>584.21890499999984</v>
      </c>
    </row>
    <row r="65" spans="1:6">
      <c r="A65" s="156"/>
      <c r="B65" s="112"/>
      <c r="C65" s="112"/>
      <c r="D65" s="112"/>
      <c r="E65" s="113">
        <f t="shared" si="3"/>
        <v>584.21890499999984</v>
      </c>
    </row>
    <row r="66" spans="1:6">
      <c r="A66" s="156">
        <v>46133</v>
      </c>
      <c r="B66" s="112" t="s">
        <v>1918</v>
      </c>
      <c r="C66" s="112">
        <v>500</v>
      </c>
      <c r="D66" s="112"/>
      <c r="E66" s="113">
        <f t="shared" si="3"/>
        <v>1084.2189049999997</v>
      </c>
    </row>
    <row r="67" spans="1:6">
      <c r="A67" s="156"/>
      <c r="B67" s="112"/>
      <c r="C67" s="112"/>
      <c r="D67" s="112"/>
      <c r="E67" s="113">
        <f t="shared" si="3"/>
        <v>1084.2189049999997</v>
      </c>
    </row>
    <row r="68" spans="1:6">
      <c r="A68" s="156"/>
      <c r="B68" s="112"/>
      <c r="C68" s="112"/>
      <c r="D68" s="112"/>
      <c r="E68" s="113">
        <f t="shared" si="3"/>
        <v>1084.2189049999997</v>
      </c>
    </row>
    <row r="69" spans="1:6">
      <c r="A69" s="156">
        <v>46136</v>
      </c>
      <c r="B69" s="112" t="s">
        <v>636</v>
      </c>
      <c r="C69" s="112"/>
      <c r="D69" s="112">
        <v>105.866114</v>
      </c>
      <c r="E69" s="113">
        <f t="shared" si="3"/>
        <v>978.35279099999968</v>
      </c>
    </row>
    <row r="70" spans="1:6">
      <c r="A70" s="156"/>
      <c r="B70" s="112"/>
      <c r="C70" s="112"/>
      <c r="D70" s="112"/>
      <c r="E70" s="113">
        <f t="shared" si="3"/>
        <v>978.35279099999968</v>
      </c>
    </row>
    <row r="71" spans="1:6">
      <c r="A71" s="156">
        <v>46136</v>
      </c>
      <c r="B71" s="112" t="s">
        <v>7</v>
      </c>
      <c r="C71" s="112"/>
      <c r="D71" s="112">
        <v>700</v>
      </c>
      <c r="E71" s="113">
        <f>+E70+C71-D71</f>
        <v>278.35279099999968</v>
      </c>
      <c r="F71" s="473" t="s">
        <v>816</v>
      </c>
    </row>
    <row r="72" spans="1:6">
      <c r="A72" s="156">
        <v>46136</v>
      </c>
      <c r="B72" s="112" t="s">
        <v>1865</v>
      </c>
      <c r="C72" s="112">
        <v>156</v>
      </c>
      <c r="D72" s="112"/>
      <c r="E72" s="113">
        <f t="shared" ref="E72:E73" si="5">+E71+C72-D72</f>
        <v>434.35279099999968</v>
      </c>
      <c r="F72" s="324"/>
    </row>
    <row r="73" spans="1:6">
      <c r="A73" s="156">
        <v>46136</v>
      </c>
      <c r="B73" s="112" t="s">
        <v>566</v>
      </c>
      <c r="C73" s="112">
        <v>733</v>
      </c>
      <c r="D73" s="112"/>
      <c r="E73" s="113">
        <f t="shared" si="5"/>
        <v>1167.3527909999998</v>
      </c>
      <c r="F73" s="324"/>
    </row>
    <row r="74" spans="1:6">
      <c r="A74" s="156">
        <v>46140</v>
      </c>
      <c r="B74" s="112" t="s">
        <v>1834</v>
      </c>
      <c r="C74" s="112">
        <v>800</v>
      </c>
      <c r="D74" s="112"/>
      <c r="E74" s="113">
        <f>+E73+C74-D74</f>
        <v>1967.3527909999998</v>
      </c>
      <c r="F74" s="399" t="s">
        <v>816</v>
      </c>
    </row>
    <row r="75" spans="1:6">
      <c r="A75" s="156">
        <v>46140</v>
      </c>
      <c r="B75" s="112" t="s">
        <v>929</v>
      </c>
      <c r="C75" s="112"/>
      <c r="D75" s="112">
        <v>700</v>
      </c>
      <c r="E75" s="113">
        <f>+E74+C75-D75</f>
        <v>1267.3527909999998</v>
      </c>
      <c r="F75" s="399" t="s">
        <v>816</v>
      </c>
    </row>
    <row r="76" spans="1:6">
      <c r="A76" s="156">
        <v>46141</v>
      </c>
      <c r="B76" s="112" t="s">
        <v>7</v>
      </c>
      <c r="C76" s="112"/>
      <c r="D76" s="112">
        <v>300</v>
      </c>
      <c r="E76" s="113">
        <f>+E75+C76-D76</f>
        <v>967.3527909999998</v>
      </c>
      <c r="F76" s="399" t="s">
        <v>816</v>
      </c>
    </row>
    <row r="77" spans="1:6">
      <c r="A77" s="156"/>
      <c r="B77" s="112"/>
      <c r="C77" s="112"/>
      <c r="D77" s="116"/>
      <c r="E77" s="113">
        <f>+E76+C77-D77</f>
        <v>967.3527909999998</v>
      </c>
    </row>
    <row r="78" spans="1:6">
      <c r="A78" s="156">
        <v>46148</v>
      </c>
      <c r="B78" s="112" t="s">
        <v>636</v>
      </c>
      <c r="C78" s="112"/>
      <c r="D78" s="116">
        <f>233.180066+0.001585</f>
        <v>233.18165100000002</v>
      </c>
      <c r="E78" s="113">
        <f>+E77+C78-D78</f>
        <v>734.17113999999981</v>
      </c>
    </row>
    <row r="79" spans="1:6">
      <c r="A79" s="156">
        <v>46149</v>
      </c>
      <c r="B79" s="112" t="s">
        <v>566</v>
      </c>
      <c r="C79" s="112">
        <v>1054.3</v>
      </c>
      <c r="D79" s="112"/>
      <c r="E79" s="113">
        <f t="shared" ref="E79:E87" si="6">+E78+C79-D79</f>
        <v>1788.4711399999997</v>
      </c>
    </row>
    <row r="80" spans="1:6">
      <c r="A80" s="156">
        <v>46150</v>
      </c>
      <c r="B80" s="112" t="s">
        <v>2264</v>
      </c>
      <c r="C80" s="112"/>
      <c r="D80" s="112">
        <v>800</v>
      </c>
      <c r="E80" s="113">
        <f t="shared" ref="E80:E85" si="7">+E79+C80-D80</f>
        <v>988.47113999999965</v>
      </c>
      <c r="F80" s="399" t="s">
        <v>816</v>
      </c>
    </row>
    <row r="81" spans="1:6">
      <c r="A81" s="156">
        <v>46153</v>
      </c>
      <c r="B81" s="112" t="s">
        <v>566</v>
      </c>
      <c r="C81" s="112">
        <v>200</v>
      </c>
      <c r="D81" s="112"/>
      <c r="E81" s="113">
        <f t="shared" si="7"/>
        <v>1188.4711399999997</v>
      </c>
    </row>
    <row r="82" spans="1:6">
      <c r="A82" s="156">
        <v>46153</v>
      </c>
      <c r="B82" s="112" t="s">
        <v>1908</v>
      </c>
      <c r="C82" s="112"/>
      <c r="D82" s="112">
        <v>2.2999999999999998</v>
      </c>
      <c r="E82" s="113">
        <f t="shared" si="7"/>
        <v>1186.1711399999997</v>
      </c>
    </row>
    <row r="83" spans="1:6">
      <c r="A83" s="156">
        <v>46155</v>
      </c>
      <c r="B83" s="112" t="s">
        <v>2129</v>
      </c>
      <c r="C83" s="112"/>
      <c r="D83" s="112">
        <v>1150</v>
      </c>
      <c r="E83" s="113">
        <f t="shared" si="7"/>
        <v>36.171139999999696</v>
      </c>
      <c r="F83" s="399" t="s">
        <v>816</v>
      </c>
    </row>
    <row r="84" spans="1:6">
      <c r="A84" s="156">
        <v>46157</v>
      </c>
      <c r="B84" s="112" t="s">
        <v>636</v>
      </c>
      <c r="C84" s="112"/>
      <c r="D84" s="116">
        <v>4.9523599999999997</v>
      </c>
      <c r="E84" s="113">
        <f t="shared" si="7"/>
        <v>31.218779999999697</v>
      </c>
    </row>
    <row r="85" spans="1:6">
      <c r="A85" s="156">
        <v>46157</v>
      </c>
      <c r="B85" s="112" t="s">
        <v>2406</v>
      </c>
      <c r="C85" s="112">
        <v>800</v>
      </c>
      <c r="D85" s="112"/>
      <c r="E85" s="113">
        <f t="shared" si="7"/>
        <v>831.2187799999997</v>
      </c>
    </row>
    <row r="86" spans="1:6">
      <c r="A86" s="156">
        <v>46160</v>
      </c>
      <c r="B86" s="112" t="s">
        <v>566</v>
      </c>
      <c r="C86" s="112">
        <v>935.7</v>
      </c>
      <c r="D86" s="112"/>
      <c r="E86" s="113">
        <f t="shared" si="6"/>
        <v>1766.9187799999997</v>
      </c>
    </row>
    <row r="87" spans="1:6">
      <c r="A87" s="4">
        <v>46160</v>
      </c>
      <c r="B87" s="112" t="s">
        <v>2470</v>
      </c>
      <c r="D87">
        <v>1506</v>
      </c>
      <c r="E87" s="109">
        <f t="shared" si="6"/>
        <v>260.91877999999974</v>
      </c>
      <c r="F87" s="399" t="s">
        <v>2500</v>
      </c>
    </row>
    <row r="88" spans="1:6">
      <c r="E88" s="109">
        <f t="shared" ref="E88:E90" si="8">+E87+C88-D88</f>
        <v>260.91877999999974</v>
      </c>
    </row>
    <row r="89" spans="1:6">
      <c r="A89" s="4">
        <v>46162</v>
      </c>
      <c r="B89" s="112" t="s">
        <v>2470</v>
      </c>
      <c r="C89">
        <v>1506</v>
      </c>
      <c r="E89" s="109">
        <f t="shared" si="8"/>
        <v>1766.9187799999997</v>
      </c>
    </row>
    <row r="90" spans="1:6">
      <c r="A90" s="4">
        <v>46162</v>
      </c>
      <c r="B90" t="s">
        <v>2465</v>
      </c>
      <c r="D90">
        <v>300</v>
      </c>
      <c r="E90" s="109">
        <f t="shared" si="8"/>
        <v>1466.9187799999997</v>
      </c>
      <c r="F90" s="399" t="s">
        <v>2501</v>
      </c>
    </row>
    <row r="91" spans="1:6">
      <c r="E91" s="109">
        <f t="shared" ref="E91:E107" si="9">+E90+C91-D91</f>
        <v>1466.9187799999997</v>
      </c>
    </row>
    <row r="92" spans="1:6">
      <c r="B92" t="s">
        <v>2525</v>
      </c>
      <c r="D92">
        <v>1400</v>
      </c>
      <c r="E92" s="109">
        <f t="shared" si="9"/>
        <v>66.918779999999742</v>
      </c>
    </row>
    <row r="93" spans="1:6">
      <c r="E93" s="109">
        <f t="shared" si="9"/>
        <v>66.918779999999742</v>
      </c>
    </row>
    <row r="94" spans="1:6">
      <c r="E94" s="109">
        <f t="shared" si="9"/>
        <v>66.918779999999742</v>
      </c>
    </row>
    <row r="95" spans="1:6">
      <c r="A95" s="4">
        <v>46164</v>
      </c>
      <c r="B95" t="s">
        <v>1948</v>
      </c>
      <c r="C95">
        <v>1200</v>
      </c>
      <c r="E95" s="109">
        <f t="shared" si="9"/>
        <v>1266.9187799999997</v>
      </c>
    </row>
    <row r="96" spans="1:6">
      <c r="A96" s="4">
        <v>46164</v>
      </c>
      <c r="B96" t="s">
        <v>929</v>
      </c>
      <c r="D96">
        <v>1100</v>
      </c>
      <c r="E96" s="109">
        <f t="shared" si="9"/>
        <v>166.91877999999974</v>
      </c>
      <c r="F96" t="s">
        <v>2540</v>
      </c>
    </row>
    <row r="97" spans="1:6">
      <c r="A97" s="4">
        <v>46164</v>
      </c>
      <c r="B97" s="112" t="s">
        <v>2543</v>
      </c>
      <c r="D97">
        <v>100</v>
      </c>
      <c r="E97" s="109">
        <f t="shared" si="9"/>
        <v>66.918779999999742</v>
      </c>
    </row>
    <row r="98" spans="1:6">
      <c r="B98" s="112"/>
      <c r="E98" s="109">
        <f>+E97+C98-D98</f>
        <v>66.918779999999742</v>
      </c>
    </row>
    <row r="99" spans="1:6">
      <c r="A99" s="4">
        <v>46169</v>
      </c>
      <c r="B99" t="s">
        <v>1948</v>
      </c>
      <c r="C99">
        <v>300</v>
      </c>
      <c r="E99" s="109">
        <f>+E98+C99-D99</f>
        <v>366.91877999999974</v>
      </c>
    </row>
    <row r="100" spans="1:6">
      <c r="A100" s="4">
        <v>46169</v>
      </c>
      <c r="B100" t="s">
        <v>1284</v>
      </c>
      <c r="D100">
        <v>200</v>
      </c>
      <c r="E100" s="109">
        <f t="shared" si="9"/>
        <v>166.91877999999974</v>
      </c>
      <c r="F100" t="s">
        <v>2547</v>
      </c>
    </row>
    <row r="101" spans="1:6">
      <c r="A101" s="4">
        <v>46178</v>
      </c>
      <c r="B101" t="s">
        <v>2208</v>
      </c>
      <c r="D101">
        <f>68*1.6</f>
        <v>108.80000000000001</v>
      </c>
      <c r="E101" s="109">
        <f t="shared" si="9"/>
        <v>58.118779999999731</v>
      </c>
    </row>
    <row r="102" spans="1:6">
      <c r="E102" s="109">
        <f t="shared" si="9"/>
        <v>58.118779999999731</v>
      </c>
    </row>
    <row r="103" spans="1:6">
      <c r="A103" s="4">
        <v>46185</v>
      </c>
      <c r="B103" t="s">
        <v>636</v>
      </c>
      <c r="D103">
        <f>18*1.7</f>
        <v>30.599999999999998</v>
      </c>
      <c r="E103" s="109">
        <f t="shared" si="9"/>
        <v>27.518779999999733</v>
      </c>
    </row>
    <row r="104" spans="1:6">
      <c r="E104" s="109">
        <f t="shared" si="9"/>
        <v>27.518779999999733</v>
      </c>
    </row>
    <row r="105" spans="1:6">
      <c r="E105" s="109">
        <f t="shared" si="9"/>
        <v>27.518779999999733</v>
      </c>
    </row>
    <row r="106" spans="1:6">
      <c r="E106" s="109">
        <f t="shared" si="9"/>
        <v>27.518779999999733</v>
      </c>
    </row>
    <row r="107" spans="1:6">
      <c r="E107" s="109">
        <f t="shared" si="9"/>
        <v>27.518779999999733</v>
      </c>
    </row>
    <row r="108" spans="1:6">
      <c r="E108" s="109">
        <f t="shared" ref="E108:E112" si="10">+E107+C108-D108</f>
        <v>27.518779999999733</v>
      </c>
    </row>
    <row r="109" spans="1:6">
      <c r="E109" s="109">
        <f t="shared" si="10"/>
        <v>27.518779999999733</v>
      </c>
    </row>
    <row r="110" spans="1:6">
      <c r="E110" s="109">
        <f t="shared" si="10"/>
        <v>27.518779999999733</v>
      </c>
    </row>
    <row r="111" spans="1:6">
      <c r="E111" s="109">
        <f t="shared" si="10"/>
        <v>27.518779999999733</v>
      </c>
    </row>
    <row r="112" spans="1:6">
      <c r="E112" s="109">
        <f t="shared" si="10"/>
        <v>27.518779999999733</v>
      </c>
    </row>
  </sheetData>
  <phoneticPr fontId="6" type="noConversion"/>
  <conditionalFormatting sqref="E1:E1048576">
    <cfRule type="cellIs" dxfId="15" priority="1" operator="lessThan">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E88A-54BA-4681-9F57-C99398AC9202}">
  <sheetPr codeName="Sheet13"/>
  <dimension ref="A1:O124"/>
  <sheetViews>
    <sheetView zoomScaleNormal="100" workbookViewId="0">
      <pane ySplit="2" topLeftCell="A94" activePane="bottomLeft" state="frozen"/>
      <selection pane="bottomLeft" activeCell="E1" sqref="E1:E1048576"/>
    </sheetView>
  </sheetViews>
  <sheetFormatPr defaultColWidth="9" defaultRowHeight="16.5"/>
  <cols>
    <col min="1" max="1" width="10" style="4" bestFit="1" customWidth="1"/>
    <col min="2" max="2" width="18.375" customWidth="1"/>
    <col min="3" max="3" width="12.875" bestFit="1" customWidth="1"/>
    <col min="4" max="4" width="8.75" bestFit="1" customWidth="1"/>
    <col min="5" max="5" width="8.75" style="109" bestFit="1" customWidth="1"/>
    <col min="6" max="6" width="13.5" customWidth="1"/>
    <col min="7" max="7" width="15.125" bestFit="1" customWidth="1"/>
    <col min="9" max="9" width="10" bestFit="1" customWidth="1"/>
    <col min="10" max="10" width="12.375" customWidth="1"/>
    <col min="11" max="11" width="11.125" bestFit="1" customWidth="1"/>
    <col min="12" max="12" width="10.625" customWidth="1"/>
  </cols>
  <sheetData>
    <row r="1" spans="1:6">
      <c r="A1" s="10"/>
      <c r="B1" s="10"/>
      <c r="C1" s="10"/>
      <c r="D1" s="10"/>
      <c r="E1" s="10"/>
    </row>
    <row r="2" spans="1:6">
      <c r="A2" s="4" t="s">
        <v>0</v>
      </c>
      <c r="B2" t="s">
        <v>1</v>
      </c>
      <c r="C2" t="s">
        <v>2</v>
      </c>
      <c r="D2" t="s">
        <v>3</v>
      </c>
      <c r="E2" s="109" t="s">
        <v>4</v>
      </c>
    </row>
    <row r="3" spans="1:6">
      <c r="A3" s="156">
        <v>46023</v>
      </c>
      <c r="B3" s="112"/>
      <c r="C3" s="112"/>
      <c r="D3" s="112"/>
      <c r="E3" s="113">
        <v>234</v>
      </c>
    </row>
    <row r="4" spans="1:6">
      <c r="A4" s="156"/>
      <c r="B4" s="112"/>
      <c r="C4" s="112"/>
      <c r="D4" s="112"/>
      <c r="E4" s="113">
        <f>+E3+C4-D4</f>
        <v>234</v>
      </c>
    </row>
    <row r="5" spans="1:6">
      <c r="A5" s="228">
        <v>46031</v>
      </c>
      <c r="B5" s="229" t="s">
        <v>318</v>
      </c>
      <c r="C5" s="230">
        <v>600</v>
      </c>
      <c r="D5" s="230"/>
      <c r="E5" s="113">
        <f t="shared" ref="E5:E58" si="0">+E4+C5-D5</f>
        <v>834</v>
      </c>
    </row>
    <row r="6" spans="1:6">
      <c r="A6" s="228">
        <v>46031</v>
      </c>
      <c r="B6" s="229" t="s">
        <v>319</v>
      </c>
      <c r="C6" s="230">
        <v>350</v>
      </c>
      <c r="D6" s="230"/>
      <c r="E6" s="113">
        <f t="shared" si="0"/>
        <v>1184</v>
      </c>
    </row>
    <row r="7" spans="1:6">
      <c r="A7" s="228">
        <v>46035</v>
      </c>
      <c r="B7" s="229" t="s">
        <v>320</v>
      </c>
      <c r="C7" s="230"/>
      <c r="D7" s="230">
        <v>1100</v>
      </c>
      <c r="E7" s="113">
        <v>73</v>
      </c>
    </row>
    <row r="8" spans="1:6">
      <c r="A8" s="228">
        <v>46036</v>
      </c>
      <c r="B8" s="229" t="s">
        <v>565</v>
      </c>
      <c r="C8" s="230">
        <v>24</v>
      </c>
      <c r="D8" s="230"/>
      <c r="E8" s="113">
        <f t="shared" si="0"/>
        <v>97</v>
      </c>
    </row>
    <row r="9" spans="1:6">
      <c r="A9" s="228"/>
      <c r="B9" s="229"/>
      <c r="C9" s="230"/>
      <c r="D9" s="230"/>
      <c r="E9" s="113">
        <f t="shared" si="0"/>
        <v>97</v>
      </c>
    </row>
    <row r="10" spans="1:6">
      <c r="A10" s="228">
        <v>46041</v>
      </c>
      <c r="B10" s="229" t="s">
        <v>623</v>
      </c>
      <c r="C10" s="231">
        <v>2600</v>
      </c>
      <c r="D10" s="230"/>
      <c r="E10" s="113">
        <f t="shared" si="0"/>
        <v>2697</v>
      </c>
    </row>
    <row r="11" spans="1:6">
      <c r="A11" s="228"/>
      <c r="B11" s="229"/>
      <c r="C11" s="230"/>
      <c r="D11" s="230"/>
      <c r="E11" s="113">
        <f t="shared" ref="E11:E17" si="1">+E10+C11-D11</f>
        <v>2697</v>
      </c>
    </row>
    <row r="12" spans="1:6">
      <c r="A12" s="228">
        <v>46041</v>
      </c>
      <c r="B12" s="229" t="s">
        <v>790</v>
      </c>
      <c r="C12" s="230"/>
      <c r="D12" s="231">
        <f>2000*1.074225</f>
        <v>2148.4499999999998</v>
      </c>
      <c r="E12" s="113">
        <f t="shared" si="1"/>
        <v>548.55000000000018</v>
      </c>
      <c r="F12" t="s">
        <v>824</v>
      </c>
    </row>
    <row r="13" spans="1:6">
      <c r="A13" s="228">
        <v>46042</v>
      </c>
      <c r="B13" s="229" t="s">
        <v>613</v>
      </c>
      <c r="C13" s="231">
        <v>30.7</v>
      </c>
      <c r="D13" s="230"/>
      <c r="E13" s="109">
        <f t="shared" si="1"/>
        <v>579.25000000000023</v>
      </c>
    </row>
    <row r="14" spans="1:6">
      <c r="A14" s="228"/>
      <c r="B14" s="229"/>
      <c r="C14" s="230"/>
      <c r="D14" s="230"/>
      <c r="E14" s="109">
        <f t="shared" si="1"/>
        <v>579.25000000000023</v>
      </c>
    </row>
    <row r="15" spans="1:6">
      <c r="A15" s="228">
        <v>46044</v>
      </c>
      <c r="B15" s="229" t="s">
        <v>894</v>
      </c>
      <c r="C15" s="231">
        <v>800</v>
      </c>
      <c r="D15" s="230"/>
      <c r="E15" s="113">
        <f t="shared" si="1"/>
        <v>1379.2500000000002</v>
      </c>
    </row>
    <row r="16" spans="1:6">
      <c r="A16" s="228">
        <v>46044</v>
      </c>
      <c r="B16" s="229" t="s">
        <v>613</v>
      </c>
      <c r="C16" s="231">
        <v>9.1</v>
      </c>
      <c r="D16" s="230"/>
      <c r="E16" s="113">
        <f t="shared" si="1"/>
        <v>1388.3500000000001</v>
      </c>
    </row>
    <row r="17" spans="1:11">
      <c r="A17" s="228">
        <v>46044</v>
      </c>
      <c r="B17" s="229" t="s">
        <v>892</v>
      </c>
      <c r="C17" s="232"/>
      <c r="D17" s="233">
        <f>800*1.003</f>
        <v>802.39999999999986</v>
      </c>
      <c r="E17" s="113">
        <f t="shared" si="1"/>
        <v>585.95000000000027</v>
      </c>
      <c r="F17" s="217" t="s">
        <v>904</v>
      </c>
    </row>
    <row r="18" spans="1:11">
      <c r="A18" s="234"/>
      <c r="B18" s="235"/>
      <c r="C18" s="236"/>
      <c r="D18" s="237"/>
      <c r="E18" s="109">
        <f t="shared" si="0"/>
        <v>585.95000000000027</v>
      </c>
    </row>
    <row r="19" spans="1:11">
      <c r="A19" s="228">
        <v>46048</v>
      </c>
      <c r="B19" s="239" t="s">
        <v>321</v>
      </c>
      <c r="C19" s="233">
        <f>1500*100.2683/100</f>
        <v>1504.0244999999998</v>
      </c>
      <c r="D19" s="233"/>
      <c r="E19" s="113">
        <f t="shared" si="0"/>
        <v>2089.9745000000003</v>
      </c>
    </row>
    <row r="20" spans="1:11">
      <c r="A20" s="228">
        <v>46048</v>
      </c>
      <c r="B20" s="239" t="s">
        <v>899</v>
      </c>
      <c r="C20" s="233">
        <v>87</v>
      </c>
      <c r="D20" s="233"/>
      <c r="E20" s="113">
        <f t="shared" si="0"/>
        <v>2176.9745000000003</v>
      </c>
    </row>
    <row r="21" spans="1:11">
      <c r="A21" s="228">
        <v>46049</v>
      </c>
      <c r="B21" s="239" t="s">
        <v>899</v>
      </c>
      <c r="C21" s="233">
        <v>378</v>
      </c>
      <c r="D21" s="233"/>
      <c r="E21" s="113">
        <f>+E20+C21-D21</f>
        <v>2554.9745000000003</v>
      </c>
    </row>
    <row r="22" spans="1:11">
      <c r="A22" s="228">
        <v>46051</v>
      </c>
      <c r="B22" s="239" t="s">
        <v>924</v>
      </c>
      <c r="C22" s="233"/>
      <c r="D22" s="233">
        <v>507</v>
      </c>
      <c r="E22" s="113">
        <f>+E21+C22-D22</f>
        <v>2047.9745000000003</v>
      </c>
    </row>
    <row r="23" spans="1:11">
      <c r="A23" s="228">
        <v>46051</v>
      </c>
      <c r="B23" s="239" t="s">
        <v>920</v>
      </c>
      <c r="C23" s="233"/>
      <c r="D23" s="233">
        <v>603</v>
      </c>
      <c r="E23" s="113">
        <f t="shared" si="0"/>
        <v>1444.9745000000003</v>
      </c>
      <c r="H23" t="s">
        <v>849</v>
      </c>
    </row>
    <row r="24" spans="1:11">
      <c r="A24" s="228">
        <v>46055</v>
      </c>
      <c r="B24" s="239" t="s">
        <v>928</v>
      </c>
      <c r="C24" s="233">
        <v>100</v>
      </c>
      <c r="D24" s="233"/>
      <c r="E24" s="113">
        <f t="shared" si="0"/>
        <v>1544.9745000000003</v>
      </c>
    </row>
    <row r="25" spans="1:11">
      <c r="A25" s="228"/>
      <c r="B25" s="239"/>
      <c r="C25" s="233"/>
      <c r="D25" s="233"/>
      <c r="E25" s="113">
        <f t="shared" si="0"/>
        <v>1544.9745000000003</v>
      </c>
    </row>
    <row r="26" spans="1:11">
      <c r="A26" s="228">
        <v>46056</v>
      </c>
      <c r="B26" s="239" t="s">
        <v>920</v>
      </c>
      <c r="C26" s="233"/>
      <c r="D26" s="233">
        <v>200</v>
      </c>
      <c r="E26" s="113">
        <f t="shared" si="0"/>
        <v>1344.9745000000003</v>
      </c>
    </row>
    <row r="27" spans="1:11">
      <c r="A27" s="228">
        <v>46059</v>
      </c>
      <c r="B27" s="239" t="s">
        <v>989</v>
      </c>
      <c r="C27" s="233">
        <v>1100</v>
      </c>
      <c r="D27" s="233"/>
      <c r="E27" s="113">
        <f t="shared" si="0"/>
        <v>2444.9745000000003</v>
      </c>
    </row>
    <row r="28" spans="1:11">
      <c r="A28" s="228">
        <v>46059</v>
      </c>
      <c r="B28" s="239" t="s">
        <v>999</v>
      </c>
      <c r="C28" s="233">
        <v>1650</v>
      </c>
      <c r="D28" s="233"/>
      <c r="E28" s="113">
        <f t="shared" si="0"/>
        <v>4094.9745000000003</v>
      </c>
    </row>
    <row r="29" spans="1:11">
      <c r="A29" s="228">
        <v>46059</v>
      </c>
      <c r="B29" s="239" t="s">
        <v>319</v>
      </c>
      <c r="C29" s="233">
        <v>200</v>
      </c>
      <c r="D29" s="233"/>
      <c r="E29" s="113">
        <f t="shared" si="0"/>
        <v>4294.9745000000003</v>
      </c>
    </row>
    <row r="30" spans="1:11">
      <c r="A30" s="228">
        <v>46059</v>
      </c>
      <c r="B30" s="239" t="s">
        <v>647</v>
      </c>
      <c r="C30" s="233"/>
      <c r="D30" s="233">
        <v>1201</v>
      </c>
      <c r="E30" s="113">
        <f t="shared" si="0"/>
        <v>3093.9745000000003</v>
      </c>
    </row>
    <row r="31" spans="1:11">
      <c r="A31" s="228">
        <v>46059</v>
      </c>
      <c r="B31" s="239" t="s">
        <v>1026</v>
      </c>
      <c r="C31" s="233"/>
      <c r="D31" s="233">
        <f>1200*1.018227</f>
        <v>1221.8724</v>
      </c>
      <c r="E31" s="113">
        <f t="shared" si="0"/>
        <v>1872.1021000000003</v>
      </c>
      <c r="F31" t="s">
        <v>1056</v>
      </c>
      <c r="K31" s="1"/>
    </row>
    <row r="32" spans="1:11">
      <c r="A32" s="228">
        <v>46059</v>
      </c>
      <c r="B32" s="239" t="s">
        <v>1067</v>
      </c>
      <c r="C32" s="233"/>
      <c r="D32" s="233">
        <f>1975*0.2926/100</f>
        <v>5.7788500000000012</v>
      </c>
      <c r="E32" s="113">
        <f t="shared" si="0"/>
        <v>1866.3232500000004</v>
      </c>
      <c r="F32" t="s">
        <v>1066</v>
      </c>
      <c r="K32" s="1"/>
    </row>
    <row r="33" spans="1:11">
      <c r="A33" s="228"/>
      <c r="B33" s="239"/>
      <c r="C33" s="233"/>
      <c r="D33" s="233"/>
      <c r="E33" s="113">
        <v>1869</v>
      </c>
      <c r="F33" t="s">
        <v>1065</v>
      </c>
      <c r="K33" s="1"/>
    </row>
    <row r="34" spans="1:11">
      <c r="A34" s="228"/>
      <c r="B34" s="239"/>
      <c r="C34" s="233"/>
      <c r="D34" s="233"/>
      <c r="E34" s="113">
        <f t="shared" si="0"/>
        <v>1869</v>
      </c>
      <c r="K34" s="1"/>
    </row>
    <row r="35" spans="1:11">
      <c r="A35" s="228">
        <v>46062</v>
      </c>
      <c r="B35" s="239" t="s">
        <v>1090</v>
      </c>
      <c r="C35" s="233">
        <v>200</v>
      </c>
      <c r="D35" s="233"/>
      <c r="E35" s="113">
        <f t="shared" si="0"/>
        <v>2069</v>
      </c>
      <c r="K35" s="1"/>
    </row>
    <row r="36" spans="1:11">
      <c r="A36" s="228">
        <v>46062</v>
      </c>
      <c r="B36" s="239" t="s">
        <v>1081</v>
      </c>
      <c r="C36" s="233"/>
      <c r="D36" s="233">
        <f>500*100.20089/100</f>
        <v>501.00445000000002</v>
      </c>
      <c r="E36" s="113">
        <f t="shared" si="0"/>
        <v>1567.9955500000001</v>
      </c>
      <c r="F36" t="s">
        <v>1080</v>
      </c>
      <c r="K36" s="1"/>
    </row>
    <row r="37" spans="1:11">
      <c r="A37" s="228">
        <v>46062</v>
      </c>
      <c r="B37" s="239" t="s">
        <v>1083</v>
      </c>
      <c r="C37" s="233"/>
      <c r="D37" s="233">
        <f>1350*1.08795</f>
        <v>1468.7325000000001</v>
      </c>
      <c r="E37" s="113">
        <f t="shared" si="0"/>
        <v>99.263050000000021</v>
      </c>
      <c r="F37" t="s">
        <v>1082</v>
      </c>
      <c r="K37" s="117"/>
    </row>
    <row r="38" spans="1:11">
      <c r="A38" s="234"/>
      <c r="B38" s="238"/>
      <c r="C38" s="237"/>
      <c r="D38" s="237"/>
      <c r="E38" s="109">
        <f t="shared" si="0"/>
        <v>99.263050000000021</v>
      </c>
      <c r="K38" s="117"/>
    </row>
    <row r="39" spans="1:11">
      <c r="A39" s="228">
        <v>46077</v>
      </c>
      <c r="B39" s="239" t="s">
        <v>1145</v>
      </c>
      <c r="C39" s="233">
        <v>4.25</v>
      </c>
      <c r="D39" s="233"/>
      <c r="E39" s="113">
        <f t="shared" si="0"/>
        <v>103.51305000000002</v>
      </c>
      <c r="K39" s="117"/>
    </row>
    <row r="40" spans="1:11">
      <c r="A40" s="228">
        <v>46078</v>
      </c>
      <c r="B40" s="239" t="s">
        <v>1145</v>
      </c>
      <c r="C40" s="233">
        <v>32.5</v>
      </c>
      <c r="D40" s="233"/>
      <c r="E40" s="113">
        <f t="shared" si="0"/>
        <v>136.01305000000002</v>
      </c>
      <c r="K40" s="117"/>
    </row>
    <row r="41" spans="1:11">
      <c r="A41" s="228"/>
      <c r="B41" s="239"/>
      <c r="C41" s="233"/>
      <c r="D41" s="233"/>
      <c r="E41" s="113">
        <f t="shared" si="0"/>
        <v>136.01305000000002</v>
      </c>
      <c r="K41" s="117"/>
    </row>
    <row r="42" spans="1:11">
      <c r="A42" s="228"/>
      <c r="B42" s="239"/>
      <c r="C42" s="233"/>
      <c r="D42" s="233"/>
      <c r="E42" s="113">
        <f t="shared" si="0"/>
        <v>136.01305000000002</v>
      </c>
      <c r="K42" s="117"/>
    </row>
    <row r="43" spans="1:11">
      <c r="A43" s="228">
        <v>46079</v>
      </c>
      <c r="B43" s="239" t="s">
        <v>613</v>
      </c>
      <c r="C43" s="306">
        <v>2435</v>
      </c>
      <c r="D43" s="233"/>
      <c r="E43" s="113">
        <f t="shared" si="0"/>
        <v>2571.01305</v>
      </c>
    </row>
    <row r="44" spans="1:11">
      <c r="A44" s="228">
        <v>46080</v>
      </c>
      <c r="B44" s="239" t="s">
        <v>613</v>
      </c>
      <c r="C44" s="233">
        <v>542</v>
      </c>
      <c r="D44" s="233"/>
      <c r="E44" s="113">
        <f t="shared" si="0"/>
        <v>3113.01305</v>
      </c>
    </row>
    <row r="45" spans="1:11">
      <c r="A45" s="228">
        <v>46080</v>
      </c>
      <c r="B45" s="239" t="s">
        <v>989</v>
      </c>
      <c r="C45" s="233">
        <v>200</v>
      </c>
      <c r="D45" s="237"/>
      <c r="E45" s="109">
        <f t="shared" si="0"/>
        <v>3313.01305</v>
      </c>
    </row>
    <row r="46" spans="1:11">
      <c r="A46" s="234"/>
      <c r="B46" s="238"/>
      <c r="C46" s="237"/>
      <c r="D46" s="237"/>
      <c r="E46" s="109">
        <f t="shared" si="0"/>
        <v>3313.01305</v>
      </c>
    </row>
    <row r="47" spans="1:11">
      <c r="A47" s="228">
        <v>46080</v>
      </c>
      <c r="B47" s="239" t="s">
        <v>1139</v>
      </c>
      <c r="C47" s="233">
        <v>400</v>
      </c>
      <c r="D47" s="233"/>
      <c r="E47" s="113">
        <f t="shared" si="0"/>
        <v>3713.01305</v>
      </c>
    </row>
    <row r="48" spans="1:11">
      <c r="A48" s="228"/>
      <c r="B48" s="239"/>
      <c r="C48" s="233"/>
      <c r="D48" s="233"/>
      <c r="E48" s="113">
        <f t="shared" si="0"/>
        <v>3713.01305</v>
      </c>
    </row>
    <row r="49" spans="1:10">
      <c r="A49" s="228"/>
      <c r="B49" s="239"/>
      <c r="C49" s="233"/>
      <c r="D49" s="233"/>
      <c r="E49" s="113">
        <f t="shared" si="0"/>
        <v>3713.01305</v>
      </c>
    </row>
    <row r="50" spans="1:10">
      <c r="A50" s="228"/>
      <c r="B50" s="239"/>
      <c r="C50" s="233"/>
      <c r="D50" s="233"/>
      <c r="E50" s="113">
        <f t="shared" si="0"/>
        <v>3713.01305</v>
      </c>
    </row>
    <row r="51" spans="1:10">
      <c r="A51" s="228">
        <v>46080</v>
      </c>
      <c r="B51" s="239" t="s">
        <v>1076</v>
      </c>
      <c r="C51" s="233"/>
      <c r="D51" s="233">
        <v>201</v>
      </c>
      <c r="E51" s="113">
        <f>+E50+C51-D51</f>
        <v>3512.01305</v>
      </c>
    </row>
    <row r="52" spans="1:10">
      <c r="A52" s="228">
        <v>46083</v>
      </c>
      <c r="B52" s="239" t="s">
        <v>1121</v>
      </c>
      <c r="C52" s="233"/>
      <c r="D52" s="233">
        <f>6000*21.9792%</f>
        <v>1318.752</v>
      </c>
      <c r="E52" s="113">
        <f t="shared" si="0"/>
        <v>2193.2610500000001</v>
      </c>
      <c r="F52" t="s">
        <v>1259</v>
      </c>
    </row>
    <row r="53" spans="1:10">
      <c r="A53" s="228"/>
      <c r="B53" s="239" t="s">
        <v>1122</v>
      </c>
      <c r="C53" s="233"/>
      <c r="D53" s="233">
        <f>4500*27.6614%</f>
        <v>1244.7630000000001</v>
      </c>
      <c r="E53" s="113">
        <f t="shared" si="0"/>
        <v>948.49804999999992</v>
      </c>
      <c r="F53" t="s">
        <v>1260</v>
      </c>
    </row>
    <row r="54" spans="1:10">
      <c r="A54" s="228">
        <v>46084</v>
      </c>
      <c r="B54" s="239" t="s">
        <v>1076</v>
      </c>
      <c r="C54" s="233"/>
      <c r="D54" s="233">
        <v>952</v>
      </c>
      <c r="E54" s="113">
        <f t="shared" si="0"/>
        <v>-3.5019500000000789</v>
      </c>
    </row>
    <row r="55" spans="1:10">
      <c r="A55" s="228"/>
      <c r="B55" s="268"/>
      <c r="C55" s="112"/>
      <c r="D55" s="112"/>
      <c r="E55" s="113">
        <f t="shared" si="0"/>
        <v>-3.5019500000000789</v>
      </c>
      <c r="F55" s="217"/>
    </row>
    <row r="56" spans="1:10">
      <c r="A56" s="156">
        <v>46085</v>
      </c>
      <c r="B56" s="239" t="s">
        <v>1316</v>
      </c>
      <c r="C56" s="112">
        <v>5</v>
      </c>
      <c r="D56" s="112"/>
      <c r="E56" s="113">
        <f t="shared" si="0"/>
        <v>1.4980499999999211</v>
      </c>
    </row>
    <row r="57" spans="1:10">
      <c r="A57" s="156">
        <v>46091</v>
      </c>
      <c r="B57" s="315" t="s">
        <v>1388</v>
      </c>
      <c r="C57" s="213">
        <f>慧聚领航1号!D6</f>
        <v>300</v>
      </c>
      <c r="D57" s="112"/>
      <c r="E57" s="113">
        <f t="shared" si="0"/>
        <v>301.49804999999992</v>
      </c>
      <c r="I57" t="s">
        <v>1314</v>
      </c>
      <c r="J57" s="163">
        <f>XIRR(J58:J59,I58:I59)</f>
        <v>5.8415356278419497E-2</v>
      </c>
    </row>
    <row r="58" spans="1:10">
      <c r="E58" s="109">
        <f t="shared" si="0"/>
        <v>301.49804999999992</v>
      </c>
      <c r="I58" s="1">
        <v>45820</v>
      </c>
      <c r="J58">
        <v>-100</v>
      </c>
    </row>
    <row r="59" spans="1:10">
      <c r="A59" s="156">
        <v>46094</v>
      </c>
      <c r="B59" s="112" t="s">
        <v>1441</v>
      </c>
      <c r="C59" s="112">
        <v>750</v>
      </c>
      <c r="D59" s="112"/>
      <c r="E59" s="113">
        <f t="shared" ref="E59:E85" si="2">+E58+C59-D59</f>
        <v>1051.4980499999999</v>
      </c>
      <c r="I59" s="117">
        <v>46094</v>
      </c>
      <c r="J59">
        <f>-J58*(1+5.8%*(I59-I58)/365)</f>
        <v>104.35397260273973</v>
      </c>
    </row>
    <row r="60" spans="1:10">
      <c r="A60" s="156">
        <v>46094</v>
      </c>
      <c r="B60" s="218" t="s">
        <v>1314</v>
      </c>
      <c r="C60" s="112"/>
      <c r="D60" s="112">
        <v>1044</v>
      </c>
      <c r="E60" s="113">
        <f t="shared" si="2"/>
        <v>7.4980499999999211</v>
      </c>
    </row>
    <row r="61" spans="1:10">
      <c r="A61" s="156">
        <v>46099</v>
      </c>
      <c r="B61" s="112" t="s">
        <v>928</v>
      </c>
      <c r="C61" s="112">
        <v>600</v>
      </c>
      <c r="D61" s="112"/>
      <c r="E61" s="113">
        <f t="shared" si="2"/>
        <v>607.49804999999992</v>
      </c>
    </row>
    <row r="62" spans="1:10">
      <c r="A62" s="156">
        <v>46099</v>
      </c>
      <c r="B62" s="315" t="s">
        <v>1510</v>
      </c>
      <c r="C62" s="112"/>
      <c r="D62" s="112">
        <f>400*141.9%</f>
        <v>567.6</v>
      </c>
      <c r="E62" s="113">
        <v>59</v>
      </c>
      <c r="F62" t="s">
        <v>1524</v>
      </c>
    </row>
    <row r="63" spans="1:10">
      <c r="A63" s="4">
        <v>46100</v>
      </c>
      <c r="B63" s="244" t="s">
        <v>619</v>
      </c>
      <c r="C63">
        <v>28</v>
      </c>
      <c r="E63" s="109">
        <v>69.400000000000006</v>
      </c>
      <c r="I63" s="117"/>
    </row>
    <row r="64" spans="1:10">
      <c r="A64" s="156">
        <v>46101</v>
      </c>
      <c r="B64" s="315" t="s">
        <v>1525</v>
      </c>
      <c r="C64" s="112">
        <f>1000*104.4652%</f>
        <v>1044.6519999999998</v>
      </c>
      <c r="D64" s="112"/>
      <c r="E64" s="113">
        <f t="shared" si="2"/>
        <v>1114.0519999999999</v>
      </c>
      <c r="I64" s="117"/>
    </row>
    <row r="65" spans="1:10">
      <c r="A65" s="156">
        <v>46104</v>
      </c>
      <c r="B65" s="315" t="s">
        <v>1529</v>
      </c>
      <c r="C65" s="112"/>
      <c r="D65" s="112">
        <v>1000</v>
      </c>
      <c r="E65" s="113">
        <f t="shared" si="2"/>
        <v>114.05199999999991</v>
      </c>
      <c r="I65" s="117"/>
    </row>
    <row r="66" spans="1:10">
      <c r="A66" s="156">
        <v>46104</v>
      </c>
      <c r="B66" s="315" t="s">
        <v>635</v>
      </c>
      <c r="C66" s="112">
        <v>3.8</v>
      </c>
      <c r="D66" s="112"/>
      <c r="E66" s="113">
        <f t="shared" si="2"/>
        <v>117.8519999999999</v>
      </c>
      <c r="I66" s="117"/>
    </row>
    <row r="67" spans="1:10">
      <c r="A67" s="156">
        <v>46104</v>
      </c>
      <c r="B67" s="218" t="s">
        <v>623</v>
      </c>
      <c r="C67" s="112">
        <v>1300</v>
      </c>
      <c r="D67" s="112"/>
      <c r="E67" s="113">
        <f t="shared" si="2"/>
        <v>1417.8519999999999</v>
      </c>
      <c r="I67" s="117"/>
    </row>
    <row r="68" spans="1:10">
      <c r="A68" s="156">
        <v>46104</v>
      </c>
      <c r="B68" s="218" t="s">
        <v>931</v>
      </c>
      <c r="C68" s="112">
        <v>700</v>
      </c>
      <c r="D68" s="112"/>
      <c r="E68" s="113">
        <f t="shared" si="2"/>
        <v>2117.8519999999999</v>
      </c>
      <c r="I68" s="117"/>
    </row>
    <row r="69" spans="1:10">
      <c r="A69" s="156">
        <v>46104</v>
      </c>
      <c r="B69" s="218" t="s">
        <v>1557</v>
      </c>
      <c r="C69" s="112">
        <v>300</v>
      </c>
      <c r="D69" s="112"/>
      <c r="E69" s="113">
        <f t="shared" si="2"/>
        <v>2417.8519999999999</v>
      </c>
      <c r="I69" s="117"/>
    </row>
    <row r="70" spans="1:10">
      <c r="A70" s="156">
        <v>46105</v>
      </c>
      <c r="B70" s="315" t="s">
        <v>1553</v>
      </c>
      <c r="C70" s="112"/>
      <c r="D70" s="112">
        <v>2021</v>
      </c>
      <c r="E70" s="113">
        <f t="shared" si="2"/>
        <v>396.85199999999986</v>
      </c>
      <c r="F70" t="s">
        <v>1566</v>
      </c>
      <c r="I70" s="117"/>
    </row>
    <row r="71" spans="1:10">
      <c r="A71" s="156">
        <v>46105</v>
      </c>
      <c r="B71" s="315" t="s">
        <v>1556</v>
      </c>
      <c r="C71" s="112"/>
      <c r="D71" s="112">
        <v>305</v>
      </c>
      <c r="E71" s="113">
        <v>90.3</v>
      </c>
      <c r="F71" t="s">
        <v>1564</v>
      </c>
      <c r="I71" s="117"/>
    </row>
    <row r="72" spans="1:10">
      <c r="A72" s="156">
        <v>46107</v>
      </c>
      <c r="B72" s="315" t="s">
        <v>613</v>
      </c>
      <c r="C72" s="112">
        <v>206</v>
      </c>
      <c r="D72" s="112"/>
      <c r="E72" s="113">
        <f t="shared" si="2"/>
        <v>296.3</v>
      </c>
      <c r="I72" s="117"/>
    </row>
    <row r="73" spans="1:10">
      <c r="A73" s="156">
        <v>46107</v>
      </c>
      <c r="B73" s="315" t="s">
        <v>1146</v>
      </c>
      <c r="C73" s="112">
        <v>605</v>
      </c>
      <c r="D73" s="112"/>
      <c r="E73" s="113">
        <f t="shared" si="2"/>
        <v>901.3</v>
      </c>
    </row>
    <row r="74" spans="1:10">
      <c r="A74" s="156"/>
      <c r="B74" s="315"/>
      <c r="C74" s="112"/>
      <c r="D74" s="112"/>
      <c r="E74" s="113">
        <f t="shared" si="2"/>
        <v>901.3</v>
      </c>
    </row>
    <row r="75" spans="1:10">
      <c r="A75" s="156">
        <v>46108</v>
      </c>
      <c r="B75" s="315" t="s">
        <v>1299</v>
      </c>
      <c r="C75" s="112">
        <v>450</v>
      </c>
      <c r="D75" s="112"/>
      <c r="E75" s="113">
        <v>1386</v>
      </c>
    </row>
    <row r="76" spans="1:10">
      <c r="A76" s="156">
        <v>46111</v>
      </c>
      <c r="B76" s="315" t="s">
        <v>792</v>
      </c>
      <c r="C76" s="112">
        <v>2173.5</v>
      </c>
      <c r="D76" s="112"/>
      <c r="E76" s="113">
        <f t="shared" si="2"/>
        <v>3559.5</v>
      </c>
    </row>
    <row r="77" spans="1:10">
      <c r="A77" s="156">
        <v>46111</v>
      </c>
      <c r="B77" s="315" t="s">
        <v>1602</v>
      </c>
      <c r="C77" s="112">
        <v>600</v>
      </c>
      <c r="D77" s="112"/>
      <c r="E77" s="113">
        <f t="shared" si="2"/>
        <v>4159.5</v>
      </c>
    </row>
    <row r="78" spans="1:10">
      <c r="A78" s="156">
        <v>46111</v>
      </c>
      <c r="B78" s="112" t="s">
        <v>920</v>
      </c>
      <c r="C78" s="112"/>
      <c r="D78" s="112">
        <v>3622.0022000000004</v>
      </c>
      <c r="E78" s="113">
        <f t="shared" si="2"/>
        <v>537.49779999999964</v>
      </c>
      <c r="I78" s="248" t="s">
        <v>1805</v>
      </c>
      <c r="J78" s="163">
        <f>XIRR(J79:J81,I79:I81)</f>
        <v>4.0026757121086137E-2</v>
      </c>
    </row>
    <row r="79" spans="1:10">
      <c r="A79" s="156"/>
      <c r="B79" s="112"/>
      <c r="C79" s="112"/>
      <c r="D79" s="112"/>
      <c r="E79" s="113">
        <f t="shared" si="2"/>
        <v>537.49779999999964</v>
      </c>
      <c r="I79" s="266">
        <v>45994</v>
      </c>
      <c r="J79" s="9">
        <v>-102.105</v>
      </c>
    </row>
    <row r="80" spans="1:10">
      <c r="A80" s="156">
        <v>46121</v>
      </c>
      <c r="B80" s="416" t="s">
        <v>1274</v>
      </c>
      <c r="C80" s="417">
        <v>1000</v>
      </c>
      <c r="D80" s="112"/>
      <c r="E80" s="113">
        <f t="shared" si="2"/>
        <v>1537.4977999999996</v>
      </c>
      <c r="I80" s="266">
        <v>46122</v>
      </c>
      <c r="J80" s="9">
        <v>103.52</v>
      </c>
    </row>
    <row r="81" spans="1:10">
      <c r="A81" s="156">
        <v>46121</v>
      </c>
      <c r="B81" s="112" t="s">
        <v>1743</v>
      </c>
      <c r="C81" s="112"/>
      <c r="D81" s="112">
        <v>475</v>
      </c>
      <c r="E81" s="113">
        <f>+E80+C81-D81</f>
        <v>1062.4977999999996</v>
      </c>
      <c r="F81" t="s">
        <v>1837</v>
      </c>
      <c r="I81" s="266"/>
      <c r="J81" s="9"/>
    </row>
    <row r="82" spans="1:10">
      <c r="A82" s="156">
        <v>46122</v>
      </c>
      <c r="B82" s="416" t="s">
        <v>1744</v>
      </c>
      <c r="C82" s="417"/>
      <c r="D82" s="112">
        <f>400*101.827/100</f>
        <v>407.30800000000005</v>
      </c>
      <c r="E82" s="113">
        <f>+E81+C82-D82</f>
        <v>655.18979999999965</v>
      </c>
      <c r="F82" t="s">
        <v>1817</v>
      </c>
    </row>
    <row r="83" spans="1:10">
      <c r="A83" s="156">
        <v>46122</v>
      </c>
      <c r="B83" s="418" t="s">
        <v>1805</v>
      </c>
      <c r="C83" s="417"/>
      <c r="D83" s="112">
        <f>580*103.52/100</f>
        <v>600.41599999999994</v>
      </c>
      <c r="E83" s="113">
        <f>+E82+C83-D83</f>
        <v>54.77379999999971</v>
      </c>
      <c r="F83" t="s">
        <v>1835</v>
      </c>
    </row>
    <row r="84" spans="1:10">
      <c r="A84" s="156"/>
      <c r="B84" s="112"/>
      <c r="C84" s="116"/>
      <c r="D84" s="112"/>
      <c r="E84" s="113">
        <f>+E83+C84-D84</f>
        <v>54.77379999999971</v>
      </c>
    </row>
    <row r="85" spans="1:10">
      <c r="A85" s="156">
        <v>46125</v>
      </c>
      <c r="B85" s="112" t="s">
        <v>1767</v>
      </c>
      <c r="C85" s="116"/>
      <c r="D85" s="112">
        <v>6.3</v>
      </c>
      <c r="E85" s="113">
        <f t="shared" si="2"/>
        <v>48.473799999999713</v>
      </c>
    </row>
    <row r="86" spans="1:10">
      <c r="A86" s="156">
        <v>46129</v>
      </c>
      <c r="B86" s="112" t="s">
        <v>1990</v>
      </c>
      <c r="C86" s="116">
        <v>65</v>
      </c>
      <c r="D86" s="112"/>
      <c r="E86" s="113">
        <f>+E85+C86-D86</f>
        <v>113.47379999999971</v>
      </c>
    </row>
    <row r="87" spans="1:10">
      <c r="A87" s="156">
        <v>46132</v>
      </c>
      <c r="B87" s="112" t="s">
        <v>2183</v>
      </c>
      <c r="C87" s="417">
        <v>29.79</v>
      </c>
      <c r="D87" s="112"/>
      <c r="E87" s="113">
        <f>+E86+C87-D87</f>
        <v>143.26379999999972</v>
      </c>
      <c r="G87" s="409"/>
    </row>
    <row r="88" spans="1:10">
      <c r="A88" s="156">
        <v>46133</v>
      </c>
      <c r="B88" s="112" t="s">
        <v>1961</v>
      </c>
      <c r="C88" s="417">
        <v>2200</v>
      </c>
      <c r="D88" s="112"/>
      <c r="E88" s="113">
        <f>+E87+C88-D88</f>
        <v>2343.2637999999997</v>
      </c>
      <c r="G88" s="409"/>
    </row>
    <row r="89" spans="1:10">
      <c r="A89" s="156">
        <v>46133</v>
      </c>
      <c r="B89" s="112" t="s">
        <v>1076</v>
      </c>
      <c r="C89" s="112"/>
      <c r="D89" s="112">
        <v>801</v>
      </c>
      <c r="E89" s="113">
        <f t="shared" ref="E89:E101" si="3">+E88+C89-D89</f>
        <v>1542.2637999999997</v>
      </c>
      <c r="F89" s="399" t="s">
        <v>816</v>
      </c>
      <c r="G89" s="409"/>
    </row>
    <row r="90" spans="1:10">
      <c r="A90" s="156">
        <v>46133</v>
      </c>
      <c r="B90" s="112" t="s">
        <v>2185</v>
      </c>
      <c r="C90" s="112">
        <f>14.8+4.25</f>
        <v>19.05</v>
      </c>
      <c r="D90" s="112"/>
      <c r="E90" s="113">
        <f>+E89+C90-D90</f>
        <v>1561.3137999999997</v>
      </c>
      <c r="F90" s="409"/>
      <c r="G90" s="409"/>
    </row>
    <row r="91" spans="1:10">
      <c r="A91" s="156"/>
      <c r="B91" s="112"/>
      <c r="C91" s="213"/>
      <c r="D91" s="112"/>
      <c r="E91" s="113">
        <f>+E90+C91-D91</f>
        <v>1561.3137999999997</v>
      </c>
      <c r="F91" s="399" t="s">
        <v>816</v>
      </c>
      <c r="G91" s="409">
        <f>+D91/1.4039</f>
        <v>0</v>
      </c>
    </row>
    <row r="92" spans="1:10">
      <c r="A92" s="156">
        <v>46139</v>
      </c>
      <c r="B92" s="112" t="s">
        <v>635</v>
      </c>
      <c r="C92" s="476">
        <v>815.6</v>
      </c>
      <c r="D92" s="112"/>
      <c r="E92" s="113">
        <f>+E91+C92-D92</f>
        <v>2376.9137999999998</v>
      </c>
      <c r="G92" s="409"/>
    </row>
    <row r="93" spans="1:10">
      <c r="A93" s="156">
        <v>46139</v>
      </c>
      <c r="B93" s="112" t="s">
        <v>2116</v>
      </c>
      <c r="C93" s="213"/>
      <c r="D93" s="112">
        <v>200</v>
      </c>
      <c r="E93" s="113">
        <f t="shared" si="3"/>
        <v>2176.9137999999998</v>
      </c>
      <c r="G93" s="409"/>
    </row>
    <row r="94" spans="1:10">
      <c r="A94" s="156">
        <v>46139</v>
      </c>
      <c r="B94" s="112" t="s">
        <v>1945</v>
      </c>
      <c r="C94" s="112"/>
      <c r="D94" s="112">
        <f>1900*1.005</f>
        <v>1909.4999999999998</v>
      </c>
      <c r="E94" s="113">
        <f t="shared" si="3"/>
        <v>267.41380000000004</v>
      </c>
      <c r="F94" s="399" t="s">
        <v>2196</v>
      </c>
    </row>
    <row r="95" spans="1:10">
      <c r="A95" s="156"/>
      <c r="B95" s="112"/>
      <c r="C95" s="112"/>
      <c r="D95" s="112"/>
      <c r="E95" s="113">
        <f t="shared" si="3"/>
        <v>267.41380000000004</v>
      </c>
    </row>
    <row r="96" spans="1:10">
      <c r="A96" s="156"/>
      <c r="B96" s="112"/>
      <c r="C96" s="476"/>
      <c r="D96" s="112"/>
      <c r="E96" s="113">
        <f t="shared" si="3"/>
        <v>267.41380000000004</v>
      </c>
    </row>
    <row r="97" spans="1:15">
      <c r="A97" s="156"/>
      <c r="B97" s="112"/>
      <c r="C97" s="112"/>
      <c r="D97" s="112"/>
      <c r="E97" s="113">
        <f t="shared" si="3"/>
        <v>267.41380000000004</v>
      </c>
      <c r="F97" s="109"/>
      <c r="G97" t="s">
        <v>1960</v>
      </c>
      <c r="H97" t="s">
        <v>2222</v>
      </c>
      <c r="K97" t="s">
        <v>2237</v>
      </c>
      <c r="L97" t="s">
        <v>2069</v>
      </c>
      <c r="M97" t="s">
        <v>2223</v>
      </c>
    </row>
    <row r="98" spans="1:15">
      <c r="A98" s="156">
        <v>46140</v>
      </c>
      <c r="B98" s="483" t="s">
        <v>2187</v>
      </c>
      <c r="C98" s="213">
        <v>741.08719999999994</v>
      </c>
      <c r="D98" s="213"/>
      <c r="E98" s="113">
        <f t="shared" si="3"/>
        <v>1008.501</v>
      </c>
      <c r="F98" s="400" t="s">
        <v>2240</v>
      </c>
      <c r="G98" s="475">
        <v>70000</v>
      </c>
      <c r="H98">
        <v>105.81100000000001</v>
      </c>
      <c r="I98" s="117">
        <v>46140</v>
      </c>
      <c r="J98" s="150">
        <v>5.8000000000000003E-2</v>
      </c>
      <c r="K98">
        <f>ROUND(H98+J98/365*4*100,4)</f>
        <v>105.8746</v>
      </c>
      <c r="L98" s="1">
        <v>45518</v>
      </c>
      <c r="M98">
        <f>100*(1+J98*(I98-L98)/365)-4</f>
        <v>105.88383561643835</v>
      </c>
      <c r="N98">
        <f>+K98+0.005</f>
        <v>105.8796</v>
      </c>
      <c r="O98">
        <f>+N98-0.01</f>
        <v>105.86959999999999</v>
      </c>
    </row>
    <row r="99" spans="1:15">
      <c r="A99" s="156">
        <v>46140</v>
      </c>
      <c r="B99" s="483" t="s">
        <v>2236</v>
      </c>
      <c r="C99" s="213">
        <v>2093.1320000000001</v>
      </c>
      <c r="D99" s="112"/>
      <c r="E99" s="113">
        <f t="shared" si="3"/>
        <v>3101.6329999999998</v>
      </c>
      <c r="F99" s="400" t="s">
        <v>2241</v>
      </c>
      <c r="G99" s="475">
        <v>200000</v>
      </c>
      <c r="H99">
        <v>104.59910000000001</v>
      </c>
      <c r="I99" s="117">
        <v>46140</v>
      </c>
      <c r="J99" s="150">
        <v>5.7000000000000002E-2</v>
      </c>
      <c r="K99">
        <f>ROUND(H99+J99/365*4*100,4)</f>
        <v>104.66160000000001</v>
      </c>
      <c r="L99" s="1">
        <v>45596</v>
      </c>
      <c r="M99">
        <f>100*(1+J99*(I99-L99)/365)-4</f>
        <v>104.49534246575342</v>
      </c>
      <c r="N99">
        <f>+K99+0.005</f>
        <v>104.6666</v>
      </c>
      <c r="O99">
        <f>+N99-0.01</f>
        <v>104.6566</v>
      </c>
    </row>
    <row r="100" spans="1:15">
      <c r="A100" s="156"/>
      <c r="B100" s="112"/>
      <c r="C100" s="112"/>
      <c r="D100" s="112"/>
      <c r="E100" s="113">
        <f t="shared" si="3"/>
        <v>3101.6329999999998</v>
      </c>
    </row>
    <row r="101" spans="1:15">
      <c r="A101" s="156">
        <v>46141</v>
      </c>
      <c r="B101" s="112" t="s">
        <v>1963</v>
      </c>
      <c r="C101" s="112"/>
      <c r="D101" s="112">
        <v>2000</v>
      </c>
      <c r="E101" s="113">
        <f t="shared" si="3"/>
        <v>1101.6329999999998</v>
      </c>
      <c r="F101" s="399" t="s">
        <v>816</v>
      </c>
    </row>
    <row r="102" spans="1:15">
      <c r="A102" s="156">
        <v>46142</v>
      </c>
      <c r="B102" s="112" t="s">
        <v>1390</v>
      </c>
      <c r="C102" s="112"/>
      <c r="D102" s="112">
        <v>270.51</v>
      </c>
      <c r="E102" s="113">
        <f>+E101+C102-D102</f>
        <v>831.12299999999982</v>
      </c>
    </row>
    <row r="103" spans="1:15">
      <c r="A103" s="156"/>
      <c r="B103" s="112"/>
      <c r="C103" s="112"/>
      <c r="D103" s="112"/>
      <c r="E103" s="113">
        <f>+E102+C103-D103</f>
        <v>831.12299999999982</v>
      </c>
    </row>
    <row r="104" spans="1:15">
      <c r="A104" s="156">
        <v>46150</v>
      </c>
      <c r="B104" s="112" t="s">
        <v>1190</v>
      </c>
      <c r="C104" s="113">
        <v>700</v>
      </c>
      <c r="D104" s="112"/>
      <c r="E104" s="113">
        <f>+E103+C104-D104</f>
        <v>1531.1229999999998</v>
      </c>
      <c r="J104" s="117">
        <v>46135</v>
      </c>
      <c r="K104" s="117">
        <v>46134</v>
      </c>
    </row>
    <row r="105" spans="1:15">
      <c r="A105" s="156"/>
      <c r="B105" s="112"/>
      <c r="C105" s="112"/>
      <c r="D105" s="112"/>
      <c r="E105" s="113">
        <f t="shared" ref="E105:E107" si="4">+E104+C105-D105</f>
        <v>1531.1229999999998</v>
      </c>
      <c r="I105">
        <f>ROUND(K105+J98/365*2*100,4)</f>
        <v>105.8107</v>
      </c>
      <c r="J105">
        <v>105.79510000000001</v>
      </c>
      <c r="K105">
        <v>105.77889999999999</v>
      </c>
    </row>
    <row r="106" spans="1:15">
      <c r="A106" s="156">
        <v>46150</v>
      </c>
      <c r="B106" s="112" t="s">
        <v>1833</v>
      </c>
      <c r="C106" s="112"/>
      <c r="D106" s="112">
        <v>1201</v>
      </c>
      <c r="E106" s="113">
        <f t="shared" si="4"/>
        <v>330.12299999999982</v>
      </c>
      <c r="I106">
        <f>ROUND(K106+J99/365*2*100,4)</f>
        <v>104.59699999999999</v>
      </c>
      <c r="J106">
        <v>104.5817</v>
      </c>
      <c r="K106">
        <v>104.5658</v>
      </c>
    </row>
    <row r="107" spans="1:15">
      <c r="A107" s="156"/>
      <c r="B107" s="112"/>
      <c r="C107" s="112"/>
      <c r="D107" s="112"/>
      <c r="E107" s="113">
        <f t="shared" si="4"/>
        <v>330.12299999999982</v>
      </c>
    </row>
    <row r="108" spans="1:15">
      <c r="A108" s="156">
        <v>46153</v>
      </c>
      <c r="B108" s="112" t="s">
        <v>613</v>
      </c>
      <c r="C108" s="112">
        <v>76.7</v>
      </c>
      <c r="D108" s="112"/>
      <c r="E108" s="113">
        <f t="shared" ref="E108:E120" si="5">+E107+C108-D108</f>
        <v>406.82299999999981</v>
      </c>
    </row>
    <row r="109" spans="1:15">
      <c r="E109" s="109">
        <f t="shared" si="5"/>
        <v>406.82299999999981</v>
      </c>
    </row>
    <row r="110" spans="1:15">
      <c r="E110" s="109">
        <f t="shared" si="5"/>
        <v>406.82299999999981</v>
      </c>
    </row>
    <row r="111" spans="1:15">
      <c r="A111" s="4" t="s">
        <v>324</v>
      </c>
      <c r="B111" t="s">
        <v>1390</v>
      </c>
      <c r="D111">
        <v>190</v>
      </c>
      <c r="E111" s="109">
        <f t="shared" si="5"/>
        <v>216.82299999999981</v>
      </c>
    </row>
    <row r="112" spans="1:15">
      <c r="E112" s="109">
        <f t="shared" si="5"/>
        <v>216.82299999999981</v>
      </c>
    </row>
    <row r="113" spans="1:6">
      <c r="A113" s="4">
        <v>46164</v>
      </c>
      <c r="B113" t="s">
        <v>1190</v>
      </c>
      <c r="C113">
        <v>1100</v>
      </c>
      <c r="E113" s="109">
        <f t="shared" ref="E113:E119" si="6">+E112+C113-D113</f>
        <v>1316.8229999999999</v>
      </c>
    </row>
    <row r="114" spans="1:6">
      <c r="A114" s="4">
        <v>46164</v>
      </c>
      <c r="B114" t="s">
        <v>1141</v>
      </c>
      <c r="D114">
        <v>1200</v>
      </c>
      <c r="E114" s="109">
        <f t="shared" si="6"/>
        <v>116.82299999999987</v>
      </c>
      <c r="F114" t="s">
        <v>2544</v>
      </c>
    </row>
    <row r="115" spans="1:6">
      <c r="E115" s="109">
        <f t="shared" si="6"/>
        <v>116.82299999999987</v>
      </c>
    </row>
    <row r="116" spans="1:6">
      <c r="A116" s="4">
        <v>46169</v>
      </c>
      <c r="B116" t="s">
        <v>2521</v>
      </c>
      <c r="C116">
        <v>300</v>
      </c>
      <c r="E116" s="109">
        <f t="shared" si="6"/>
        <v>416.82299999999987</v>
      </c>
    </row>
    <row r="117" spans="1:6">
      <c r="E117" s="109">
        <f t="shared" si="6"/>
        <v>416.82299999999987</v>
      </c>
    </row>
    <row r="118" spans="1:6">
      <c r="A118" s="4">
        <v>46169</v>
      </c>
      <c r="B118" t="s">
        <v>1141</v>
      </c>
      <c r="D118">
        <v>300</v>
      </c>
      <c r="E118" s="109">
        <f t="shared" si="6"/>
        <v>116.82299999999987</v>
      </c>
      <c r="F118" t="s">
        <v>2545</v>
      </c>
    </row>
    <row r="119" spans="1:6">
      <c r="E119" s="109">
        <f t="shared" si="6"/>
        <v>116.82299999999987</v>
      </c>
    </row>
    <row r="120" spans="1:6">
      <c r="E120" s="109">
        <f t="shared" si="5"/>
        <v>116.82299999999987</v>
      </c>
    </row>
    <row r="121" spans="1:6">
      <c r="E121" s="109">
        <f>+E120+C121-D121</f>
        <v>116.82299999999987</v>
      </c>
    </row>
    <row r="122" spans="1:6">
      <c r="E122" s="109">
        <f>+E121+C122-D122</f>
        <v>116.82299999999987</v>
      </c>
    </row>
    <row r="123" spans="1:6">
      <c r="E123" s="109">
        <f>+E122+C123-D123</f>
        <v>116.82299999999987</v>
      </c>
    </row>
    <row r="124" spans="1:6">
      <c r="E124" s="109">
        <f>+E123+C124-D124</f>
        <v>116.82299999999987</v>
      </c>
    </row>
  </sheetData>
  <phoneticPr fontId="6" type="noConversion"/>
  <conditionalFormatting sqref="B98:B99">
    <cfRule type="duplicateValues" dxfId="14" priority="3"/>
  </conditionalFormatting>
  <conditionalFormatting sqref="E1:E1048576">
    <cfRule type="cellIs" dxfId="13" priority="1" operator="lessThan">
      <formula>0</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19AC-CF67-4D38-853F-757F0F3AE0E3}">
  <sheetPr codeName="Sheet14"/>
  <dimension ref="A1:N35"/>
  <sheetViews>
    <sheetView workbookViewId="0">
      <pane ySplit="2" topLeftCell="A15" activePane="bottomLeft" state="frozen"/>
      <selection pane="bottomLeft" activeCell="E1" sqref="E1:E1048576"/>
    </sheetView>
  </sheetViews>
  <sheetFormatPr defaultRowHeight="16.5"/>
  <cols>
    <col min="1" max="1" width="15.875" style="4" customWidth="1"/>
    <col min="2" max="2" width="9.5" style="217" customWidth="1"/>
    <col min="3" max="3" width="11.625" customWidth="1"/>
    <col min="4" max="4" width="10.125" customWidth="1"/>
    <col min="5" max="5" width="8.75" style="109" bestFit="1" customWidth="1"/>
    <col min="9" max="9" width="11.125" bestFit="1" customWidth="1"/>
  </cols>
  <sheetData>
    <row r="1" spans="1:6">
      <c r="A1" s="10"/>
      <c r="B1" s="307"/>
      <c r="C1" s="10"/>
      <c r="D1" s="10"/>
      <c r="E1" s="10"/>
    </row>
    <row r="2" spans="1:6">
      <c r="A2" s="4" t="s">
        <v>0</v>
      </c>
      <c r="B2" s="217" t="s">
        <v>1</v>
      </c>
      <c r="C2" t="s">
        <v>2</v>
      </c>
      <c r="D2" t="s">
        <v>3</v>
      </c>
      <c r="E2" s="109" t="s">
        <v>4</v>
      </c>
    </row>
    <row r="3" spans="1:6">
      <c r="A3" s="4">
        <v>46036</v>
      </c>
      <c r="E3" s="109">
        <v>73</v>
      </c>
    </row>
    <row r="4" spans="1:6">
      <c r="E4" s="109">
        <f>+E3+C4-D4</f>
        <v>73</v>
      </c>
    </row>
    <row r="5" spans="1:6">
      <c r="A5" s="156">
        <v>46090</v>
      </c>
      <c r="B5" s="316" t="s">
        <v>1090</v>
      </c>
      <c r="C5" s="112">
        <v>550</v>
      </c>
      <c r="D5" s="112"/>
      <c r="E5" s="113">
        <f t="shared" ref="E5:E15" si="0">+E4+C5-D5</f>
        <v>623</v>
      </c>
    </row>
    <row r="6" spans="1:6">
      <c r="A6" s="156">
        <v>46090</v>
      </c>
      <c r="B6" s="317" t="s">
        <v>1190</v>
      </c>
      <c r="C6" s="112">
        <v>2200</v>
      </c>
      <c r="D6" s="112"/>
      <c r="E6" s="113">
        <f t="shared" si="0"/>
        <v>2823</v>
      </c>
      <c r="F6" t="s">
        <v>847</v>
      </c>
    </row>
    <row r="7" spans="1:6">
      <c r="A7" s="156">
        <v>46090</v>
      </c>
      <c r="B7" s="317" t="s">
        <v>1377</v>
      </c>
      <c r="C7" s="112">
        <v>600</v>
      </c>
      <c r="D7" s="112"/>
      <c r="E7" s="113">
        <f t="shared" si="0"/>
        <v>3423</v>
      </c>
    </row>
    <row r="8" spans="1:6">
      <c r="A8" s="156">
        <v>46090</v>
      </c>
      <c r="B8" s="317" t="s">
        <v>989</v>
      </c>
      <c r="C8" s="112">
        <v>850</v>
      </c>
      <c r="D8" s="112"/>
      <c r="E8" s="113">
        <f t="shared" si="0"/>
        <v>4273</v>
      </c>
    </row>
    <row r="9" spans="1:6">
      <c r="A9" s="156">
        <v>46090</v>
      </c>
      <c r="B9" s="317" t="s">
        <v>1243</v>
      </c>
      <c r="C9" s="112">
        <v>340</v>
      </c>
      <c r="D9" s="112"/>
      <c r="E9" s="113">
        <f t="shared" si="0"/>
        <v>4613</v>
      </c>
    </row>
    <row r="10" spans="1:6">
      <c r="A10" s="156">
        <v>46091</v>
      </c>
      <c r="B10" s="218" t="s">
        <v>1325</v>
      </c>
      <c r="C10" s="112"/>
      <c r="D10" s="112">
        <v>3000</v>
      </c>
      <c r="E10" s="113">
        <f t="shared" si="0"/>
        <v>1613</v>
      </c>
      <c r="F10" t="s">
        <v>1348</v>
      </c>
    </row>
    <row r="11" spans="1:6">
      <c r="A11" s="156"/>
      <c r="B11" s="316"/>
      <c r="C11" s="331"/>
      <c r="D11" s="300"/>
      <c r="E11" s="113">
        <f t="shared" si="0"/>
        <v>1613</v>
      </c>
      <c r="F11" t="s">
        <v>1349</v>
      </c>
    </row>
    <row r="12" spans="1:6">
      <c r="A12" s="341"/>
      <c r="B12" s="342"/>
      <c r="C12" s="341"/>
      <c r="D12" s="300"/>
      <c r="E12" s="113">
        <f t="shared" si="0"/>
        <v>1613</v>
      </c>
    </row>
    <row r="13" spans="1:6">
      <c r="A13" s="341"/>
      <c r="B13" s="316"/>
      <c r="C13" s="331"/>
      <c r="D13" s="300"/>
      <c r="E13" s="113">
        <f t="shared" si="0"/>
        <v>1613</v>
      </c>
    </row>
    <row r="14" spans="1:6">
      <c r="A14" s="341"/>
      <c r="B14" s="343"/>
      <c r="C14" s="300"/>
      <c r="D14" s="300"/>
      <c r="E14" s="113">
        <f t="shared" si="0"/>
        <v>1613</v>
      </c>
      <c r="F14" t="s">
        <v>1315</v>
      </c>
    </row>
    <row r="15" spans="1:6">
      <c r="A15" s="156">
        <v>46100</v>
      </c>
      <c r="B15" s="218" t="s">
        <v>302</v>
      </c>
      <c r="C15" s="112">
        <v>1700</v>
      </c>
      <c r="D15" s="112"/>
      <c r="E15" s="113">
        <f t="shared" si="0"/>
        <v>3313</v>
      </c>
    </row>
    <row r="16" spans="1:6">
      <c r="A16" s="156">
        <v>46100</v>
      </c>
      <c r="B16" s="343" t="s">
        <v>989</v>
      </c>
      <c r="C16" s="300">
        <v>300</v>
      </c>
      <c r="D16" s="112"/>
      <c r="E16" s="113">
        <f t="shared" ref="E16:E27" si="1">+E15+C16-D16</f>
        <v>3613</v>
      </c>
    </row>
    <row r="17" spans="1:13">
      <c r="A17" s="156"/>
      <c r="B17" s="218"/>
      <c r="C17" s="112"/>
      <c r="D17" s="112"/>
      <c r="E17" s="113">
        <f t="shared" si="1"/>
        <v>3613</v>
      </c>
    </row>
    <row r="18" spans="1:13">
      <c r="A18" s="156">
        <v>46104</v>
      </c>
      <c r="B18" s="218" t="s">
        <v>1528</v>
      </c>
      <c r="C18" s="112"/>
      <c r="D18" s="112">
        <v>3500</v>
      </c>
      <c r="E18" s="113">
        <f t="shared" si="1"/>
        <v>113</v>
      </c>
      <c r="F18" t="s">
        <v>1552</v>
      </c>
    </row>
    <row r="19" spans="1:13">
      <c r="A19" s="156">
        <v>46104</v>
      </c>
      <c r="B19" s="218" t="s">
        <v>1579</v>
      </c>
      <c r="C19" s="112"/>
      <c r="D19" s="112">
        <v>100</v>
      </c>
      <c r="E19" s="113">
        <f t="shared" si="1"/>
        <v>13</v>
      </c>
    </row>
    <row r="20" spans="1:13">
      <c r="A20" s="156">
        <v>46107</v>
      </c>
      <c r="B20" s="218" t="s">
        <v>613</v>
      </c>
      <c r="C20" s="112">
        <v>16.5</v>
      </c>
      <c r="D20" s="112"/>
      <c r="E20" s="113">
        <f>+E19+C20-D20</f>
        <v>29.5</v>
      </c>
    </row>
    <row r="21" spans="1:13">
      <c r="A21" s="156">
        <v>46119</v>
      </c>
      <c r="B21" s="218" t="s">
        <v>1190</v>
      </c>
      <c r="C21" s="112">
        <v>2100</v>
      </c>
      <c r="D21" s="112"/>
      <c r="E21" s="113">
        <f>+E20+C21-D21</f>
        <v>2129.5</v>
      </c>
    </row>
    <row r="22" spans="1:13">
      <c r="A22" s="156">
        <v>46120</v>
      </c>
      <c r="B22" s="218" t="s">
        <v>1395</v>
      </c>
      <c r="C22" s="112">
        <v>850</v>
      </c>
      <c r="D22" s="112"/>
      <c r="E22" s="113">
        <f>+E21+C22-D22</f>
        <v>2979.5</v>
      </c>
      <c r="I22" s="169" t="s">
        <v>1019</v>
      </c>
      <c r="J22" s="163">
        <f>XIRR(J23:J29,I23:I29)</f>
        <v>8.5686376690864582E-2</v>
      </c>
    </row>
    <row r="23" spans="1:13">
      <c r="A23" s="156"/>
      <c r="B23" s="218"/>
      <c r="C23" s="112"/>
      <c r="D23" s="112"/>
      <c r="E23" s="113">
        <f>+E22+C23-D23</f>
        <v>2979.5</v>
      </c>
      <c r="I23" s="1">
        <v>45653</v>
      </c>
      <c r="J23">
        <v>-100</v>
      </c>
    </row>
    <row r="24" spans="1:13">
      <c r="A24" s="156">
        <v>46120</v>
      </c>
      <c r="B24" s="218" t="s">
        <v>1707</v>
      </c>
      <c r="C24" s="112"/>
      <c r="D24" s="112">
        <f>2950*100.03%</f>
        <v>2950.8849999999998</v>
      </c>
      <c r="E24" s="113">
        <f>+E23+C24-D24</f>
        <v>28.615000000000236</v>
      </c>
      <c r="F24" t="s">
        <v>1788</v>
      </c>
      <c r="I24" s="1">
        <v>45737.000497685185</v>
      </c>
      <c r="J24" s="2">
        <v>1.9561640000000002</v>
      </c>
    </row>
    <row r="25" spans="1:13">
      <c r="A25" s="156">
        <v>46142</v>
      </c>
      <c r="B25" s="218" t="s">
        <v>1390</v>
      </c>
      <c r="C25" s="112"/>
      <c r="D25" s="112">
        <v>7.7</v>
      </c>
      <c r="E25" s="113">
        <f t="shared" si="1"/>
        <v>20.915000000000237</v>
      </c>
      <c r="I25" s="1">
        <v>45821.000497685185</v>
      </c>
      <c r="J25" s="2">
        <v>1.9561643866666665</v>
      </c>
    </row>
    <row r="26" spans="1:13">
      <c r="A26" s="156">
        <v>46157</v>
      </c>
      <c r="B26" s="218" t="s">
        <v>623</v>
      </c>
      <c r="C26" s="113">
        <v>800</v>
      </c>
      <c r="D26" s="112"/>
      <c r="E26" s="113">
        <f t="shared" si="1"/>
        <v>820.91500000000019</v>
      </c>
      <c r="F26" s="399" t="s">
        <v>816</v>
      </c>
      <c r="I26" s="1">
        <v>45896.000497685185</v>
      </c>
      <c r="J26" s="2">
        <v>1.7465753466666667</v>
      </c>
    </row>
    <row r="27" spans="1:13">
      <c r="A27" s="156">
        <v>46157</v>
      </c>
      <c r="B27" s="218" t="s">
        <v>1320</v>
      </c>
      <c r="C27" s="112"/>
      <c r="D27" s="112">
        <v>800</v>
      </c>
      <c r="E27" s="113">
        <f t="shared" si="1"/>
        <v>20.915000000000191</v>
      </c>
      <c r="F27" s="399" t="s">
        <v>816</v>
      </c>
      <c r="I27" s="1">
        <v>45996.000497685185</v>
      </c>
      <c r="J27" s="2">
        <v>2.3287671200000002</v>
      </c>
    </row>
    <row r="28" spans="1:13">
      <c r="E28" s="109">
        <f t="shared" ref="E28:E35" si="2">+E27+C28-D28</f>
        <v>20.915000000000191</v>
      </c>
      <c r="I28" s="1">
        <v>46108.000497685185</v>
      </c>
      <c r="J28" s="2">
        <v>2.6082191733333331</v>
      </c>
      <c r="L28" s="184" t="s">
        <v>1771</v>
      </c>
      <c r="M28" s="165">
        <f>-J23*(1+8.5%*(I29-I23)/365)-SUM(J24:J28)</f>
        <v>100.27945243908677</v>
      </c>
    </row>
    <row r="29" spans="1:13">
      <c r="E29" s="109">
        <f t="shared" si="2"/>
        <v>20.915000000000191</v>
      </c>
      <c r="H29" s="150">
        <v>8.5000000000000006E-2</v>
      </c>
      <c r="I29" s="117">
        <v>46120</v>
      </c>
      <c r="J29" s="325">
        <v>100.02</v>
      </c>
      <c r="L29" s="184" t="s">
        <v>1770</v>
      </c>
      <c r="M29">
        <v>100.2231</v>
      </c>
    </row>
    <row r="30" spans="1:13">
      <c r="B30"/>
      <c r="E30" s="109">
        <f t="shared" si="2"/>
        <v>20.915000000000191</v>
      </c>
    </row>
    <row r="31" spans="1:13">
      <c r="A31" s="4">
        <v>46168</v>
      </c>
      <c r="B31" t="s">
        <v>1190</v>
      </c>
      <c r="C31">
        <v>500</v>
      </c>
      <c r="E31" s="109">
        <f t="shared" si="2"/>
        <v>520.91500000000019</v>
      </c>
    </row>
    <row r="32" spans="1:13">
      <c r="A32" s="4">
        <v>46168</v>
      </c>
      <c r="B32" s="217" t="s">
        <v>1833</v>
      </c>
      <c r="D32">
        <v>500</v>
      </c>
      <c r="E32" s="109">
        <f t="shared" si="2"/>
        <v>20.915000000000191</v>
      </c>
      <c r="F32" t="s">
        <v>2546</v>
      </c>
    </row>
    <row r="33" spans="5:14">
      <c r="E33" s="109">
        <f t="shared" si="2"/>
        <v>20.915000000000191</v>
      </c>
      <c r="M33" s="117"/>
      <c r="N33" s="117"/>
    </row>
    <row r="34" spans="5:14">
      <c r="E34" s="109">
        <f t="shared" si="2"/>
        <v>20.915000000000191</v>
      </c>
    </row>
    <row r="35" spans="5:14">
      <c r="E35" s="109">
        <f t="shared" si="2"/>
        <v>20.915000000000191</v>
      </c>
    </row>
  </sheetData>
  <phoneticPr fontId="6" type="noConversion"/>
  <conditionalFormatting sqref="E1:E1048576">
    <cfRule type="cellIs" dxfId="12" priority="1" operator="lessThan">
      <formula>0</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E776-C97E-4CAE-9258-24774496E2D7}">
  <sheetPr codeName="Sheet15"/>
  <dimension ref="A1:AD101"/>
  <sheetViews>
    <sheetView zoomScaleNormal="100" workbookViewId="0">
      <pane ySplit="2" topLeftCell="A61" activePane="bottomLeft" state="frozen"/>
      <selection pane="bottomLeft" activeCell="E87" sqref="E87"/>
    </sheetView>
  </sheetViews>
  <sheetFormatPr defaultRowHeight="16.5"/>
  <cols>
    <col min="1" max="1" width="10" style="4" bestFit="1" customWidth="1"/>
    <col min="2" max="2" width="9.5" customWidth="1"/>
    <col min="3" max="3" width="7.75" customWidth="1"/>
    <col min="4" max="4" width="9.375" customWidth="1"/>
    <col min="5" max="5" width="8.75" style="109" bestFit="1" customWidth="1"/>
    <col min="7" max="7" width="9.625" bestFit="1" customWidth="1"/>
    <col min="8" max="8" width="9.5" bestFit="1" customWidth="1"/>
    <col min="9" max="9" width="9.625" bestFit="1" customWidth="1"/>
    <col min="10" max="10" width="9.75" customWidth="1"/>
    <col min="11" max="11" width="9.625" bestFit="1" customWidth="1"/>
    <col min="12" max="12" width="9.5" customWidth="1"/>
    <col min="13" max="13" width="9.625" bestFit="1" customWidth="1"/>
    <col min="14" max="14" width="9.375" customWidth="1"/>
    <col min="15" max="15" width="12.625" customWidth="1"/>
    <col min="16" max="16" width="14.875" bestFit="1" customWidth="1"/>
    <col min="17" max="17" width="10" bestFit="1" customWidth="1"/>
    <col min="18" max="18" width="11.125" bestFit="1" customWidth="1"/>
    <col min="19" max="19" width="12.375" customWidth="1"/>
  </cols>
  <sheetData>
    <row r="1" spans="1:17">
      <c r="A1" s="10"/>
      <c r="B1" s="10"/>
      <c r="C1" s="10"/>
      <c r="D1" s="10"/>
      <c r="E1" s="10"/>
    </row>
    <row r="2" spans="1:17">
      <c r="A2" s="4" t="s">
        <v>0</v>
      </c>
      <c r="B2" t="s">
        <v>1</v>
      </c>
      <c r="C2" t="s">
        <v>2</v>
      </c>
      <c r="D2" t="s">
        <v>3</v>
      </c>
      <c r="E2" s="109" t="s">
        <v>4</v>
      </c>
    </row>
    <row r="3" spans="1:17">
      <c r="A3" s="156">
        <v>46023</v>
      </c>
      <c r="B3" s="112"/>
      <c r="C3" s="112"/>
      <c r="D3" s="112"/>
      <c r="E3" s="113">
        <v>2020</v>
      </c>
    </row>
    <row r="4" spans="1:17">
      <c r="A4" s="156"/>
      <c r="B4" s="112"/>
      <c r="C4" s="112"/>
      <c r="D4" s="112"/>
      <c r="E4" s="113">
        <f>+E3+C4-D4</f>
        <v>2020</v>
      </c>
    </row>
    <row r="5" spans="1:17">
      <c r="A5" s="110">
        <v>46031</v>
      </c>
      <c r="B5" s="115" t="s">
        <v>336</v>
      </c>
      <c r="C5" s="112">
        <v>1200</v>
      </c>
      <c r="D5" s="112"/>
      <c r="E5" s="219">
        <f>E4+C5-D5</f>
        <v>3220</v>
      </c>
    </row>
    <row r="6" spans="1:17">
      <c r="A6" s="110">
        <v>46031</v>
      </c>
      <c r="B6" s="220" t="s">
        <v>337</v>
      </c>
      <c r="C6" s="112"/>
      <c r="D6" s="112">
        <f>71.245*3000/100</f>
        <v>2137.35</v>
      </c>
      <c r="E6" s="219">
        <f t="shared" ref="E6:E8" si="0">E5+C6-D6</f>
        <v>1082.6500000000001</v>
      </c>
      <c r="F6" s="124" t="s">
        <v>980</v>
      </c>
    </row>
    <row r="7" spans="1:17">
      <c r="A7" s="112"/>
      <c r="B7" s="112"/>
      <c r="C7" s="112"/>
      <c r="D7" s="112"/>
      <c r="E7" s="219">
        <f t="shared" si="0"/>
        <v>1082.6500000000001</v>
      </c>
    </row>
    <row r="8" spans="1:17">
      <c r="A8" s="110">
        <v>46034</v>
      </c>
      <c r="B8" s="220" t="s">
        <v>338</v>
      </c>
      <c r="C8" s="112"/>
      <c r="D8" s="112">
        <f>1000*100.644/100</f>
        <v>1006.44</v>
      </c>
      <c r="E8" s="219">
        <f t="shared" si="0"/>
        <v>76.210000000000036</v>
      </c>
      <c r="F8" t="s">
        <v>582</v>
      </c>
    </row>
    <row r="9" spans="1:17">
      <c r="A9" s="156">
        <v>46038</v>
      </c>
      <c r="B9" s="112" t="s">
        <v>788</v>
      </c>
      <c r="C9" s="112">
        <v>500</v>
      </c>
      <c r="D9" s="112"/>
      <c r="E9" s="113">
        <f t="shared" ref="E9:E24" si="1">+E8+C9-D9</f>
        <v>576.21</v>
      </c>
    </row>
    <row r="10" spans="1:17">
      <c r="A10" s="156"/>
      <c r="B10" s="112"/>
      <c r="C10" s="112"/>
      <c r="D10" s="112"/>
      <c r="E10" s="113">
        <f t="shared" si="1"/>
        <v>576.21</v>
      </c>
    </row>
    <row r="11" spans="1:17">
      <c r="A11" s="156">
        <v>46038</v>
      </c>
      <c r="B11" s="112" t="s">
        <v>883</v>
      </c>
      <c r="C11" s="112"/>
      <c r="D11" s="112">
        <v>147</v>
      </c>
      <c r="E11" s="113">
        <f t="shared" si="1"/>
        <v>429.21000000000004</v>
      </c>
      <c r="F11" t="s">
        <v>854</v>
      </c>
    </row>
    <row r="12" spans="1:17">
      <c r="A12" s="156"/>
      <c r="B12" s="112"/>
      <c r="C12" s="112"/>
      <c r="D12" s="112"/>
      <c r="E12" s="113">
        <f t="shared" si="1"/>
        <v>429.21000000000004</v>
      </c>
      <c r="F12" t="s">
        <v>825</v>
      </c>
    </row>
    <row r="13" spans="1:17">
      <c r="A13" s="156">
        <v>46041</v>
      </c>
      <c r="B13" s="112" t="s">
        <v>883</v>
      </c>
      <c r="C13" s="112"/>
      <c r="D13" s="112">
        <v>67</v>
      </c>
      <c r="E13" s="113">
        <v>357</v>
      </c>
      <c r="F13" t="s">
        <v>855</v>
      </c>
    </row>
    <row r="14" spans="1:17">
      <c r="A14" s="156">
        <v>46044</v>
      </c>
      <c r="B14" s="112" t="s">
        <v>902</v>
      </c>
      <c r="C14" s="112">
        <v>2500</v>
      </c>
      <c r="D14" s="112"/>
      <c r="E14" s="113">
        <f t="shared" si="1"/>
        <v>2857</v>
      </c>
    </row>
    <row r="15" spans="1:17">
      <c r="A15" s="156">
        <v>46044</v>
      </c>
      <c r="B15" s="112" t="s">
        <v>883</v>
      </c>
      <c r="C15" s="112"/>
      <c r="D15" s="112">
        <v>2507</v>
      </c>
      <c r="E15" s="113">
        <f t="shared" si="1"/>
        <v>350</v>
      </c>
      <c r="F15" s="217" t="s">
        <v>890</v>
      </c>
      <c r="Q15" t="s">
        <v>869</v>
      </c>
    </row>
    <row r="16" spans="1:17">
      <c r="E16" s="109">
        <f t="shared" si="1"/>
        <v>350</v>
      </c>
      <c r="F16" t="s">
        <v>886</v>
      </c>
      <c r="Q16" t="s">
        <v>870</v>
      </c>
    </row>
    <row r="17" spans="1:30">
      <c r="E17" s="109">
        <f t="shared" si="1"/>
        <v>350</v>
      </c>
      <c r="F17" t="s">
        <v>887</v>
      </c>
      <c r="Q17" t="s">
        <v>871</v>
      </c>
    </row>
    <row r="18" spans="1:30">
      <c r="E18" s="109">
        <f t="shared" si="1"/>
        <v>350</v>
      </c>
      <c r="F18" t="s">
        <v>908</v>
      </c>
      <c r="Q18" t="s">
        <v>872</v>
      </c>
    </row>
    <row r="19" spans="1:30">
      <c r="A19" s="156">
        <v>46045</v>
      </c>
      <c r="B19" s="112" t="s">
        <v>881</v>
      </c>
      <c r="C19" s="112">
        <v>435</v>
      </c>
      <c r="D19" s="112"/>
      <c r="E19" s="109">
        <f t="shared" si="1"/>
        <v>785</v>
      </c>
    </row>
    <row r="20" spans="1:30">
      <c r="A20" s="156">
        <v>46045</v>
      </c>
      <c r="B20" s="112" t="s">
        <v>909</v>
      </c>
      <c r="C20" s="112"/>
      <c r="D20" s="112">
        <f>42*1.0289</f>
        <v>43.213799999999999</v>
      </c>
      <c r="E20" s="109">
        <f t="shared" si="1"/>
        <v>741.78620000000001</v>
      </c>
      <c r="F20" s="217" t="s">
        <v>913</v>
      </c>
    </row>
    <row r="21" spans="1:30">
      <c r="A21" s="156">
        <v>46048</v>
      </c>
      <c r="B21" s="112" t="s">
        <v>881</v>
      </c>
      <c r="C21" s="112">
        <v>3701</v>
      </c>
      <c r="D21" s="112"/>
      <c r="E21" s="113">
        <f>+E20+C21-D21</f>
        <v>4442.7862000000005</v>
      </c>
    </row>
    <row r="22" spans="1:30">
      <c r="A22" s="156">
        <v>46050</v>
      </c>
      <c r="B22" s="112" t="s">
        <v>565</v>
      </c>
      <c r="C22" s="112">
        <v>11</v>
      </c>
      <c r="D22" s="112"/>
      <c r="E22" s="113">
        <f>+E21+C22-D22</f>
        <v>4453.7862000000005</v>
      </c>
    </row>
    <row r="23" spans="1:30">
      <c r="A23" s="156">
        <v>46050</v>
      </c>
      <c r="B23" s="112" t="s">
        <v>925</v>
      </c>
      <c r="C23" s="112">
        <v>270</v>
      </c>
      <c r="D23" s="112"/>
      <c r="E23" s="113">
        <f>+E22+C23-D23</f>
        <v>4723.7862000000005</v>
      </c>
      <c r="I23" t="s">
        <v>849</v>
      </c>
    </row>
    <row r="24" spans="1:30">
      <c r="A24" s="156">
        <v>46051</v>
      </c>
      <c r="B24" s="112" t="s">
        <v>925</v>
      </c>
      <c r="C24" s="112">
        <v>260</v>
      </c>
      <c r="D24" s="112"/>
      <c r="E24" s="113">
        <f t="shared" si="1"/>
        <v>4983.7862000000005</v>
      </c>
      <c r="Q24" t="s">
        <v>530</v>
      </c>
      <c r="R24" t="s">
        <v>978</v>
      </c>
      <c r="S24" t="s">
        <v>875</v>
      </c>
      <c r="T24" t="s">
        <v>979</v>
      </c>
    </row>
    <row r="25" spans="1:30">
      <c r="A25" s="156">
        <v>46052</v>
      </c>
      <c r="B25" s="241" t="s">
        <v>926</v>
      </c>
      <c r="C25" s="112"/>
      <c r="D25" s="112">
        <f>417*1.078479</f>
        <v>449.72574299999997</v>
      </c>
      <c r="E25" s="109">
        <f t="shared" ref="E25:E63" si="2">+E24+C25-D25</f>
        <v>4534.0604570000005</v>
      </c>
      <c r="F25" t="s">
        <v>995</v>
      </c>
      <c r="O25" t="s">
        <v>926</v>
      </c>
      <c r="P25">
        <v>417</v>
      </c>
      <c r="Q25" s="117">
        <v>46052</v>
      </c>
      <c r="R25" s="155">
        <f>P36</f>
        <v>107.84794520547945</v>
      </c>
      <c r="S25" s="2">
        <f t="shared" ref="S25:S30" si="3">+R25*P25*100</f>
        <v>4497259.3150684927</v>
      </c>
      <c r="U25" t="s">
        <v>995</v>
      </c>
    </row>
    <row r="26" spans="1:30">
      <c r="A26" s="156"/>
      <c r="B26" s="241"/>
      <c r="C26" s="112"/>
      <c r="D26" s="112"/>
      <c r="E26" s="109">
        <f t="shared" si="2"/>
        <v>4534.0604570000005</v>
      </c>
      <c r="O26" t="s">
        <v>982</v>
      </c>
      <c r="P26">
        <v>182</v>
      </c>
      <c r="Q26" s="117">
        <v>46056</v>
      </c>
      <c r="R26" s="155">
        <f>+S36</f>
        <v>113.41471302739727</v>
      </c>
      <c r="S26" s="2">
        <f t="shared" si="3"/>
        <v>2064147.7770986306</v>
      </c>
      <c r="U26" t="s">
        <v>998</v>
      </c>
    </row>
    <row r="27" spans="1:30">
      <c r="A27" s="156">
        <v>46052</v>
      </c>
      <c r="B27" s="241" t="s">
        <v>927</v>
      </c>
      <c r="C27" s="112"/>
      <c r="D27" s="112">
        <v>731</v>
      </c>
      <c r="E27" s="109">
        <f t="shared" si="2"/>
        <v>3803.0604570000005</v>
      </c>
      <c r="F27" t="s">
        <v>996</v>
      </c>
      <c r="O27" t="s">
        <v>927</v>
      </c>
      <c r="P27">
        <v>700</v>
      </c>
      <c r="Q27" s="117">
        <v>46052</v>
      </c>
      <c r="R27" s="155">
        <f>+P40</f>
        <v>104.53749999999999</v>
      </c>
      <c r="S27" s="2">
        <f t="shared" si="3"/>
        <v>7317625</v>
      </c>
      <c r="U27" t="s">
        <v>996</v>
      </c>
      <c r="AD27" t="s">
        <v>983</v>
      </c>
    </row>
    <row r="28" spans="1:30">
      <c r="A28" s="156"/>
      <c r="B28" s="241"/>
      <c r="C28" s="112"/>
      <c r="D28" s="242"/>
      <c r="E28" s="109">
        <f t="shared" si="2"/>
        <v>3803.0604570000005</v>
      </c>
      <c r="F28" s="201" t="s">
        <v>983</v>
      </c>
      <c r="O28" t="s">
        <v>468</v>
      </c>
      <c r="P28">
        <v>68</v>
      </c>
      <c r="Q28" s="117">
        <v>46057</v>
      </c>
      <c r="R28" s="155">
        <f>S41</f>
        <v>25.57</v>
      </c>
      <c r="S28" s="2">
        <f t="shared" si="3"/>
        <v>173876</v>
      </c>
    </row>
    <row r="29" spans="1:30">
      <c r="A29" s="156">
        <v>46052</v>
      </c>
      <c r="B29" s="241" t="s">
        <v>933</v>
      </c>
      <c r="C29" s="112"/>
      <c r="D29" s="242">
        <v>81.319999999999993</v>
      </c>
      <c r="E29" s="109">
        <f t="shared" si="2"/>
        <v>3721.7404570000003</v>
      </c>
      <c r="F29" s="217" t="s">
        <v>984</v>
      </c>
      <c r="O29" t="s">
        <v>933</v>
      </c>
      <c r="P29">
        <v>76</v>
      </c>
      <c r="Q29" s="117">
        <v>46052</v>
      </c>
      <c r="R29" s="155">
        <f>+Q57</f>
        <v>106.96</v>
      </c>
      <c r="S29" s="2">
        <f t="shared" si="3"/>
        <v>812895.99999999988</v>
      </c>
      <c r="T29">
        <f>+(P57-Q57)*P29*100</f>
        <v>13224.000000000069</v>
      </c>
      <c r="U29" s="217" t="s">
        <v>984</v>
      </c>
    </row>
    <row r="30" spans="1:30">
      <c r="A30" s="156">
        <v>46052</v>
      </c>
      <c r="B30" s="241" t="s">
        <v>934</v>
      </c>
      <c r="C30" s="112"/>
      <c r="D30" s="242">
        <v>176</v>
      </c>
      <c r="E30" s="109">
        <f>+E29+C30-D30</f>
        <v>3545.7404570000003</v>
      </c>
      <c r="F30" t="s">
        <v>985</v>
      </c>
      <c r="O30" t="s">
        <v>934</v>
      </c>
      <c r="P30">
        <v>182</v>
      </c>
      <c r="Q30" s="117">
        <v>46052</v>
      </c>
      <c r="R30" s="155">
        <f>+U57</f>
        <v>97.22</v>
      </c>
      <c r="S30" s="2">
        <f t="shared" si="3"/>
        <v>1769404</v>
      </c>
      <c r="T30">
        <f>+(T57-U57)*P30*100</f>
        <v>20019.999999999898</v>
      </c>
      <c r="U30" t="s">
        <v>985</v>
      </c>
    </row>
    <row r="31" spans="1:30">
      <c r="A31" s="156">
        <v>46055</v>
      </c>
      <c r="B31" s="241" t="s">
        <v>994</v>
      </c>
      <c r="C31" s="112"/>
      <c r="D31" s="242">
        <f>200*1.00691</f>
        <v>201.38200000000001</v>
      </c>
      <c r="E31" s="109">
        <f t="shared" si="2"/>
        <v>3344.3584570000003</v>
      </c>
      <c r="F31" t="s">
        <v>997</v>
      </c>
    </row>
    <row r="32" spans="1:30">
      <c r="A32" s="156"/>
      <c r="B32" s="241"/>
      <c r="C32" s="112"/>
      <c r="D32" s="242"/>
      <c r="E32" s="113">
        <f t="shared" si="2"/>
        <v>3344.3584570000003</v>
      </c>
      <c r="G32" s="117"/>
    </row>
    <row r="33" spans="1:19">
      <c r="A33" s="156"/>
      <c r="B33" s="112"/>
      <c r="C33" s="112"/>
      <c r="D33" s="112"/>
      <c r="E33" s="113">
        <f t="shared" si="2"/>
        <v>3344.3584570000003</v>
      </c>
    </row>
    <row r="34" spans="1:19">
      <c r="A34" s="156"/>
      <c r="B34" s="241"/>
      <c r="C34" s="112"/>
      <c r="D34" s="112"/>
      <c r="E34" s="113">
        <f t="shared" si="2"/>
        <v>3344.3584570000003</v>
      </c>
      <c r="O34" t="s">
        <v>926</v>
      </c>
      <c r="P34" s="163">
        <f>XIRR(P35:P36,O35:O36)</f>
        <v>5.0571116805076588E-2</v>
      </c>
      <c r="R34" t="s">
        <v>363</v>
      </c>
      <c r="S34" s="163">
        <f>XIRR(S35:S36,R35:R36)</f>
        <v>5.0974562764167786E-2</v>
      </c>
    </row>
    <row r="35" spans="1:19">
      <c r="A35" s="156">
        <v>46057</v>
      </c>
      <c r="B35" s="241" t="s">
        <v>1006</v>
      </c>
      <c r="C35" s="242"/>
      <c r="D35" s="242">
        <f>1500*1.121248</f>
        <v>1681.8720000000001</v>
      </c>
      <c r="E35" s="113">
        <f t="shared" si="2"/>
        <v>1662.4864570000002</v>
      </c>
      <c r="F35" t="s">
        <v>1049</v>
      </c>
      <c r="H35" s="2"/>
      <c r="O35" s="1">
        <v>45854</v>
      </c>
      <c r="P35">
        <v>-105</v>
      </c>
      <c r="R35" s="1">
        <v>45973</v>
      </c>
      <c r="S35">
        <v>-112.1397</v>
      </c>
    </row>
    <row r="36" spans="1:19">
      <c r="A36" s="156">
        <v>46057</v>
      </c>
      <c r="B36" s="241" t="s">
        <v>1017</v>
      </c>
      <c r="C36" s="242"/>
      <c r="D36" s="242">
        <f>1000*1.171441</f>
        <v>1171.441</v>
      </c>
      <c r="E36" s="113">
        <f t="shared" si="2"/>
        <v>491.04545700000017</v>
      </c>
      <c r="F36" t="s">
        <v>1050</v>
      </c>
      <c r="H36" s="2"/>
      <c r="O36" s="117">
        <f>Q25</f>
        <v>46052</v>
      </c>
      <c r="P36">
        <f>-P35*(1+5%/365*(O36-O35))</f>
        <v>107.84794520547945</v>
      </c>
      <c r="R36" s="1">
        <f>+Q26</f>
        <v>46056</v>
      </c>
      <c r="S36" s="243">
        <f>-S35*(1+5%/365*(R36-R35))</f>
        <v>113.41471302739727</v>
      </c>
    </row>
    <row r="37" spans="1:19">
      <c r="A37" s="156"/>
      <c r="B37" s="112"/>
      <c r="C37" s="112"/>
      <c r="D37" s="242"/>
      <c r="E37" s="113">
        <f t="shared" si="2"/>
        <v>491.04545700000017</v>
      </c>
      <c r="F37" t="s">
        <v>1051</v>
      </c>
      <c r="H37" s="2"/>
    </row>
    <row r="38" spans="1:19">
      <c r="B38" s="128"/>
      <c r="D38" s="2"/>
      <c r="E38" s="109">
        <f t="shared" si="2"/>
        <v>491.04545700000017</v>
      </c>
      <c r="F38" t="s">
        <v>1052</v>
      </c>
      <c r="O38" t="s">
        <v>975</v>
      </c>
      <c r="P38" s="163">
        <f>XIRR(P39:P40,O39:O40)</f>
        <v>4.9953046441078189E-2</v>
      </c>
      <c r="R38" t="s">
        <v>646</v>
      </c>
      <c r="S38" s="163">
        <f>XIRR(S39:S41,R39:R41)</f>
        <v>4.9961778521537797E-2</v>
      </c>
    </row>
    <row r="39" spans="1:19">
      <c r="E39" s="109">
        <f t="shared" si="2"/>
        <v>491.04545700000017</v>
      </c>
      <c r="O39" s="1">
        <v>45868</v>
      </c>
      <c r="P39">
        <v>-102.00000000000001</v>
      </c>
      <c r="R39" s="1">
        <v>45656</v>
      </c>
      <c r="S39">
        <v>-101.00000000000001</v>
      </c>
    </row>
    <row r="40" spans="1:19">
      <c r="A40" s="156">
        <v>46059</v>
      </c>
      <c r="B40" s="241" t="s">
        <v>1044</v>
      </c>
      <c r="C40" s="112"/>
      <c r="D40" s="116">
        <f>100*0.25</f>
        <v>25</v>
      </c>
      <c r="E40" s="113">
        <f t="shared" si="2"/>
        <v>466.04545700000017</v>
      </c>
      <c r="F40" t="s">
        <v>1068</v>
      </c>
      <c r="O40" s="117">
        <f>+Q27</f>
        <v>46052</v>
      </c>
      <c r="P40">
        <v>104.53749999999999</v>
      </c>
      <c r="R40" s="1">
        <v>46048</v>
      </c>
      <c r="S40">
        <v>80.89</v>
      </c>
    </row>
    <row r="41" spans="1:19">
      <c r="A41" s="156">
        <v>46059</v>
      </c>
      <c r="B41" s="112" t="s">
        <v>1027</v>
      </c>
      <c r="C41" s="112"/>
      <c r="D41" s="112">
        <v>249</v>
      </c>
      <c r="E41" s="113">
        <f t="shared" si="2"/>
        <v>217.04545700000017</v>
      </c>
      <c r="F41" t="s">
        <v>1048</v>
      </c>
      <c r="R41" s="1">
        <f>Q28</f>
        <v>46057</v>
      </c>
      <c r="S41">
        <v>25.57</v>
      </c>
    </row>
    <row r="42" spans="1:19">
      <c r="A42" s="156">
        <v>46077</v>
      </c>
      <c r="B42" s="112" t="s">
        <v>613</v>
      </c>
      <c r="C42" s="112">
        <v>121</v>
      </c>
      <c r="D42" s="112"/>
      <c r="E42" s="113">
        <f>+E41+C42-D42</f>
        <v>338.04545700000017</v>
      </c>
      <c r="R42" s="1"/>
    </row>
    <row r="43" spans="1:19">
      <c r="A43" s="156">
        <v>46079</v>
      </c>
      <c r="B43" s="112" t="s">
        <v>1164</v>
      </c>
      <c r="C43" s="112">
        <v>201</v>
      </c>
      <c r="D43" s="112"/>
      <c r="E43" s="113">
        <f>+E42+C43-D43</f>
        <v>539.04545700000017</v>
      </c>
      <c r="F43" s="217" t="s">
        <v>1168</v>
      </c>
      <c r="R43" s="1"/>
    </row>
    <row r="44" spans="1:19">
      <c r="A44" s="156">
        <v>46079</v>
      </c>
      <c r="B44" s="112" t="s">
        <v>613</v>
      </c>
      <c r="C44" s="112">
        <v>1252</v>
      </c>
      <c r="D44" s="112"/>
      <c r="E44" s="113">
        <f>+E43+C44-D44</f>
        <v>1791.0454570000002</v>
      </c>
      <c r="R44" s="1"/>
    </row>
    <row r="45" spans="1:19">
      <c r="A45" s="156">
        <v>46079</v>
      </c>
      <c r="B45" s="241" t="s">
        <v>1137</v>
      </c>
      <c r="C45" s="112"/>
      <c r="D45" s="116">
        <v>201.9</v>
      </c>
      <c r="E45" s="113">
        <f t="shared" si="2"/>
        <v>1589.1454570000001</v>
      </c>
      <c r="F45" t="s">
        <v>1138</v>
      </c>
    </row>
    <row r="46" spans="1:19">
      <c r="B46" s="128"/>
      <c r="D46" s="2"/>
      <c r="E46" s="109">
        <f t="shared" si="2"/>
        <v>1589.1454570000001</v>
      </c>
    </row>
    <row r="47" spans="1:19">
      <c r="B47" s="121"/>
      <c r="D47" s="250"/>
      <c r="E47" s="109">
        <v>1599</v>
      </c>
    </row>
    <row r="48" spans="1:19">
      <c r="A48" s="156">
        <v>46084</v>
      </c>
      <c r="B48" s="241" t="s">
        <v>1169</v>
      </c>
      <c r="C48" s="112"/>
      <c r="D48" s="116">
        <v>1205</v>
      </c>
      <c r="E48" s="113">
        <f t="shared" si="2"/>
        <v>394</v>
      </c>
    </row>
    <row r="49" spans="1:21">
      <c r="A49" s="156">
        <v>46084</v>
      </c>
      <c r="B49" s="241" t="s">
        <v>876</v>
      </c>
      <c r="C49" s="112"/>
      <c r="D49" s="116">
        <f>310*0.518511</f>
        <v>160.73841000000002</v>
      </c>
      <c r="E49" s="113">
        <f>+E48+C49-D49</f>
        <v>233.26158999999998</v>
      </c>
      <c r="F49" t="s">
        <v>1263</v>
      </c>
    </row>
    <row r="50" spans="1:21">
      <c r="B50" s="128"/>
      <c r="C50" s="165"/>
      <c r="D50" s="2"/>
      <c r="E50" s="109">
        <f>+E49+C50-D50</f>
        <v>233.26158999999998</v>
      </c>
    </row>
    <row r="51" spans="1:21">
      <c r="A51" s="156">
        <v>46093</v>
      </c>
      <c r="B51" s="241" t="s">
        <v>876</v>
      </c>
      <c r="C51" s="112">
        <f>310*51.915%</f>
        <v>160.9365</v>
      </c>
      <c r="D51" s="116"/>
      <c r="E51" s="109">
        <f>+E50+C51-D51</f>
        <v>394.19808999999998</v>
      </c>
      <c r="F51" t="s">
        <v>1434</v>
      </c>
    </row>
    <row r="52" spans="1:21">
      <c r="A52" s="156">
        <v>46094</v>
      </c>
      <c r="B52" s="241" t="s">
        <v>1006</v>
      </c>
      <c r="C52" s="112">
        <v>1737.8</v>
      </c>
      <c r="D52" s="116"/>
      <c r="E52" s="113">
        <f t="shared" si="2"/>
        <v>2131.99809</v>
      </c>
      <c r="F52" t="s">
        <v>1431</v>
      </c>
    </row>
    <row r="53" spans="1:21">
      <c r="A53" s="156">
        <v>46094</v>
      </c>
      <c r="B53" s="241" t="s">
        <v>570</v>
      </c>
      <c r="C53" s="213">
        <v>100</v>
      </c>
      <c r="D53" s="116"/>
      <c r="E53" s="113">
        <f>+E52+C53-D53</f>
        <v>2231.99809</v>
      </c>
    </row>
    <row r="54" spans="1:21">
      <c r="A54" s="156"/>
      <c r="B54" s="241"/>
      <c r="C54" s="112"/>
      <c r="D54" s="112"/>
      <c r="E54" s="113">
        <f>+E53+C54-D54</f>
        <v>2231.99809</v>
      </c>
      <c r="G54" s="128"/>
      <c r="H54" s="130"/>
      <c r="O54" t="s">
        <v>933</v>
      </c>
      <c r="P54" s="163">
        <f>XIRR(P55:P57,O55:O57)</f>
        <v>4.9957373738288888E-2</v>
      </c>
      <c r="Q54" s="163">
        <f>XIRR(Q55:Q57,O55:O57)</f>
        <v>3.9999750256538416E-2</v>
      </c>
      <c r="S54" t="s">
        <v>977</v>
      </c>
      <c r="T54" s="163">
        <f>XIRR(T55:T57,S55:S57)</f>
        <v>4.9985894560813898E-2</v>
      </c>
      <c r="U54" s="163">
        <f>XIRR(U55:U57,S55:S57)</f>
        <v>4.0009984374046334E-2</v>
      </c>
    </row>
    <row r="55" spans="1:21">
      <c r="A55" s="156">
        <v>46094</v>
      </c>
      <c r="B55" s="241" t="s">
        <v>1313</v>
      </c>
      <c r="C55" s="112"/>
      <c r="D55" s="112">
        <v>2198.8000000000002</v>
      </c>
      <c r="E55" s="113">
        <f>+E54+C55-D55</f>
        <v>33.198089999999866</v>
      </c>
      <c r="G55" s="128"/>
      <c r="H55" s="130"/>
      <c r="I55" s="128" t="s">
        <v>937</v>
      </c>
      <c r="K55" s="2">
        <f>510*0.37</f>
        <v>188.7</v>
      </c>
      <c r="O55" s="1">
        <v>45471</v>
      </c>
      <c r="P55">
        <v>-107</v>
      </c>
      <c r="Q55">
        <f>+P55</f>
        <v>-107</v>
      </c>
      <c r="S55" s="1">
        <v>45651</v>
      </c>
      <c r="T55">
        <v>-100</v>
      </c>
      <c r="U55">
        <f>+T55</f>
        <v>-100</v>
      </c>
    </row>
    <row r="56" spans="1:21">
      <c r="A56" s="156"/>
      <c r="B56" s="241"/>
      <c r="C56" s="112"/>
      <c r="D56" s="116"/>
      <c r="E56" s="113">
        <f>+E55+C56-D56</f>
        <v>33.198089999999866</v>
      </c>
      <c r="G56" s="128"/>
      <c r="H56" s="130"/>
      <c r="I56" s="128" t="s">
        <v>938</v>
      </c>
      <c r="K56" s="2">
        <f>6000*0.52</f>
        <v>3120</v>
      </c>
      <c r="O56" s="1">
        <v>46048</v>
      </c>
      <c r="P56">
        <v>6.93</v>
      </c>
      <c r="Q56">
        <f>+P56</f>
        <v>6.93</v>
      </c>
      <c r="S56" s="1">
        <v>46048</v>
      </c>
      <c r="T56">
        <v>7.1810999999999998</v>
      </c>
      <c r="U56">
        <f>+T56</f>
        <v>7.1810999999999998</v>
      </c>
    </row>
    <row r="57" spans="1:21">
      <c r="A57" s="156">
        <v>46101</v>
      </c>
      <c r="B57" s="241" t="s">
        <v>613</v>
      </c>
      <c r="C57" s="241">
        <v>33.700000000000003</v>
      </c>
      <c r="D57" s="116"/>
      <c r="E57" s="113">
        <f>+E56+C57-D57</f>
        <v>66.898089999999868</v>
      </c>
      <c r="G57" s="128"/>
      <c r="H57" s="130"/>
      <c r="I57" s="128" t="s">
        <v>939</v>
      </c>
      <c r="K57" s="2">
        <f>930*0.02</f>
        <v>18.600000000000001</v>
      </c>
      <c r="O57" s="1">
        <f>+Q29</f>
        <v>46052</v>
      </c>
      <c r="P57">
        <v>108.7</v>
      </c>
      <c r="Q57">
        <v>106.96</v>
      </c>
      <c r="S57" s="1">
        <f>+Q30</f>
        <v>46052</v>
      </c>
      <c r="T57">
        <v>98.32</v>
      </c>
      <c r="U57">
        <v>97.22</v>
      </c>
    </row>
    <row r="58" spans="1:21">
      <c r="A58" s="156">
        <v>46104</v>
      </c>
      <c r="B58" s="241" t="s">
        <v>613</v>
      </c>
      <c r="C58" s="112">
        <v>90</v>
      </c>
      <c r="D58" s="116"/>
      <c r="E58" s="113">
        <f t="shared" si="2"/>
        <v>156.89808999999985</v>
      </c>
      <c r="I58" s="128" t="s">
        <v>807</v>
      </c>
      <c r="K58" s="2">
        <f>1794*0.64</f>
        <v>1148.1600000000001</v>
      </c>
      <c r="O58" s="1"/>
    </row>
    <row r="59" spans="1:21">
      <c r="B59" s="128"/>
      <c r="D59" s="2"/>
      <c r="E59" s="109">
        <f t="shared" si="2"/>
        <v>156.89808999999985</v>
      </c>
      <c r="I59" s="128"/>
      <c r="K59" s="2"/>
      <c r="O59" s="1"/>
    </row>
    <row r="60" spans="1:21">
      <c r="B60" s="128"/>
      <c r="D60" s="2"/>
      <c r="E60" s="109">
        <f t="shared" si="2"/>
        <v>156.89808999999985</v>
      </c>
      <c r="I60" s="128"/>
      <c r="K60" s="2"/>
      <c r="O60" s="1"/>
    </row>
    <row r="61" spans="1:21">
      <c r="B61" s="128"/>
      <c r="D61" s="2"/>
      <c r="E61" s="109">
        <f t="shared" si="2"/>
        <v>156.89808999999985</v>
      </c>
      <c r="I61" s="128"/>
      <c r="K61" s="2"/>
      <c r="O61" s="1"/>
    </row>
    <row r="62" spans="1:21">
      <c r="A62" s="156">
        <v>46107</v>
      </c>
      <c r="B62" s="241" t="s">
        <v>613</v>
      </c>
      <c r="C62" s="112">
        <v>1648</v>
      </c>
      <c r="D62" s="112"/>
      <c r="E62" s="113">
        <f t="shared" si="2"/>
        <v>1804.8980899999999</v>
      </c>
      <c r="O62" t="s">
        <v>1006</v>
      </c>
      <c r="P62" s="163">
        <f>XIRR(P63:P64,O63:O64)</f>
        <v>5.1013603806495667E-2</v>
      </c>
      <c r="S62" t="s">
        <v>1017</v>
      </c>
      <c r="T62" s="163">
        <f>XIRR(T63:T64,S63:S64)</f>
        <v>5.1013603806495667E-2</v>
      </c>
    </row>
    <row r="63" spans="1:21">
      <c r="A63" s="156">
        <v>46107</v>
      </c>
      <c r="B63" s="112" t="s">
        <v>1658</v>
      </c>
      <c r="C63" s="112"/>
      <c r="D63" s="112">
        <f>74+43</f>
        <v>117</v>
      </c>
      <c r="E63" s="113">
        <f t="shared" si="2"/>
        <v>1687.8980899999999</v>
      </c>
      <c r="F63" t="s">
        <v>1659</v>
      </c>
      <c r="O63" s="131">
        <v>45986</v>
      </c>
      <c r="P63">
        <v>-111</v>
      </c>
      <c r="S63" s="131">
        <v>45986</v>
      </c>
      <c r="T63">
        <v>-116</v>
      </c>
    </row>
    <row r="64" spans="1:21">
      <c r="A64" s="156">
        <v>46111</v>
      </c>
      <c r="B64" s="112" t="s">
        <v>1675</v>
      </c>
      <c r="C64" s="112"/>
      <c r="D64" s="112">
        <v>1663</v>
      </c>
      <c r="E64" s="113">
        <f t="shared" ref="E64:E69" si="4">+E63+C64-D64</f>
        <v>24.898089999999911</v>
      </c>
      <c r="F64" t="s">
        <v>1660</v>
      </c>
      <c r="O64" s="1">
        <v>46058</v>
      </c>
      <c r="P64">
        <f>-P63*(1+5%/365*(O64-O63))</f>
        <v>112.09479452054795</v>
      </c>
      <c r="S64" s="1">
        <v>46058</v>
      </c>
      <c r="T64">
        <f>-T63*(1+5%/365*(S64-S63))</f>
        <v>117.14410958904111</v>
      </c>
    </row>
    <row r="65" spans="1:21">
      <c r="A65" s="156"/>
      <c r="B65" s="112"/>
      <c r="C65" s="112"/>
      <c r="D65" s="112"/>
      <c r="E65" s="113">
        <f t="shared" si="4"/>
        <v>24.898089999999911</v>
      </c>
    </row>
    <row r="66" spans="1:21">
      <c r="A66" s="156">
        <v>46122</v>
      </c>
      <c r="B66" s="112" t="s">
        <v>1917</v>
      </c>
      <c r="C66" s="112">
        <f>慧聚领航1号!D23</f>
        <v>30</v>
      </c>
      <c r="D66" s="112"/>
      <c r="E66" s="407">
        <v>53.3</v>
      </c>
      <c r="O66" t="s">
        <v>1311</v>
      </c>
      <c r="P66" s="163">
        <v>6.933268010616303E-2</v>
      </c>
      <c r="S66" s="1" t="s">
        <v>1312</v>
      </c>
    </row>
    <row r="67" spans="1:21">
      <c r="A67" s="156"/>
      <c r="B67" s="112"/>
      <c r="C67" s="112"/>
      <c r="D67" s="112"/>
      <c r="E67" s="109">
        <f t="shared" si="4"/>
        <v>53.3</v>
      </c>
      <c r="H67" s="128"/>
      <c r="I67" s="130"/>
      <c r="O67" s="1">
        <v>45618</v>
      </c>
      <c r="P67">
        <v>-103</v>
      </c>
      <c r="S67" s="1" t="s">
        <v>1311</v>
      </c>
      <c r="T67" s="163">
        <f>XIRR(T68:T71,S68:S71)</f>
        <v>0.13191702961921692</v>
      </c>
    </row>
    <row r="68" spans="1:21">
      <c r="A68" s="156">
        <v>46133</v>
      </c>
      <c r="B68" s="112" t="s">
        <v>1395</v>
      </c>
      <c r="C68" s="112">
        <v>600</v>
      </c>
      <c r="D68" s="112"/>
      <c r="E68" s="109">
        <f t="shared" si="4"/>
        <v>653.29999999999995</v>
      </c>
      <c r="H68" s="128"/>
      <c r="I68" s="197"/>
      <c r="O68" s="1">
        <v>46086</v>
      </c>
      <c r="P68" s="305">
        <f>-P67*(1+7%*(O68-O67)/365)</f>
        <v>112.24460273972602</v>
      </c>
      <c r="Q68">
        <v>113.53</v>
      </c>
      <c r="S68" s="1">
        <v>45905</v>
      </c>
      <c r="T68" s="109">
        <v>-16539225</v>
      </c>
    </row>
    <row r="69" spans="1:21">
      <c r="A69" s="156">
        <v>46133</v>
      </c>
      <c r="B69" s="112" t="s">
        <v>1995</v>
      </c>
      <c r="C69" s="112"/>
      <c r="D69" s="112">
        <v>540</v>
      </c>
      <c r="E69" s="113">
        <f t="shared" si="4"/>
        <v>113.29999999999995</v>
      </c>
      <c r="F69" s="399" t="s">
        <v>1998</v>
      </c>
      <c r="H69" s="128"/>
      <c r="I69" s="130"/>
      <c r="O69" s="1"/>
      <c r="S69" s="1">
        <v>45986</v>
      </c>
      <c r="T69" s="109">
        <v>16650000</v>
      </c>
    </row>
    <row r="70" spans="1:21">
      <c r="A70" s="156"/>
      <c r="B70" s="112"/>
      <c r="C70" s="112"/>
      <c r="D70" s="112"/>
      <c r="E70" s="113">
        <f t="shared" ref="E70:E88" si="5">+E69+C70-D70</f>
        <v>113.29999999999995</v>
      </c>
      <c r="H70" s="128"/>
      <c r="I70" s="130"/>
      <c r="O70" s="1"/>
      <c r="S70" s="1">
        <v>46058</v>
      </c>
      <c r="T70" s="109">
        <v>-16818720</v>
      </c>
      <c r="U70">
        <v>-112.12479999999999</v>
      </c>
    </row>
    <row r="71" spans="1:21">
      <c r="A71" s="156">
        <v>46134</v>
      </c>
      <c r="B71" s="112" t="s">
        <v>2038</v>
      </c>
      <c r="C71" s="112"/>
      <c r="D71" s="116">
        <f>40*105.7726/100</f>
        <v>42.309039999999996</v>
      </c>
      <c r="E71" s="113">
        <f t="shared" si="5"/>
        <v>70.990959999999959</v>
      </c>
      <c r="F71" s="399" t="s">
        <v>2050</v>
      </c>
      <c r="H71" s="128"/>
      <c r="I71" s="130"/>
      <c r="S71" s="1">
        <v>46086</v>
      </c>
      <c r="T71" s="109">
        <v>17341791.12328767</v>
      </c>
    </row>
    <row r="72" spans="1:21">
      <c r="A72" s="156"/>
      <c r="B72" s="112"/>
      <c r="C72" s="112"/>
      <c r="D72" s="112"/>
      <c r="E72" s="113">
        <f t="shared" si="5"/>
        <v>70.990959999999959</v>
      </c>
      <c r="H72" s="128"/>
      <c r="I72" s="130"/>
    </row>
    <row r="73" spans="1:21">
      <c r="A73" s="156">
        <v>46135</v>
      </c>
      <c r="B73" s="112" t="s">
        <v>613</v>
      </c>
      <c r="C73" s="112">
        <v>384.7</v>
      </c>
      <c r="D73" s="112"/>
      <c r="E73" s="113">
        <f t="shared" si="5"/>
        <v>455.69095999999996</v>
      </c>
    </row>
    <row r="74" spans="1:21">
      <c r="A74" s="156"/>
      <c r="B74" s="112"/>
      <c r="C74" s="112"/>
      <c r="D74" s="112"/>
      <c r="E74" s="113">
        <f t="shared" si="5"/>
        <v>455.69095999999996</v>
      </c>
      <c r="N74" t="s">
        <v>2028</v>
      </c>
    </row>
    <row r="75" spans="1:21">
      <c r="A75" s="156">
        <v>46135</v>
      </c>
      <c r="B75" s="112" t="s">
        <v>2025</v>
      </c>
      <c r="C75" s="112"/>
      <c r="D75" s="112">
        <v>20.556999999999999</v>
      </c>
      <c r="E75" s="113">
        <f t="shared" si="5"/>
        <v>435.13395999999995</v>
      </c>
      <c r="F75" s="399" t="s">
        <v>2035</v>
      </c>
      <c r="N75">
        <f>(100-99.85)*35/100+(100-99.813)*500/100</f>
        <v>0.98749999999999005</v>
      </c>
    </row>
    <row r="76" spans="1:21">
      <c r="A76" s="156">
        <v>46135</v>
      </c>
      <c r="B76" s="112" t="s">
        <v>2026</v>
      </c>
      <c r="C76" s="112"/>
      <c r="D76" s="112">
        <v>217.87</v>
      </c>
      <c r="E76" s="113">
        <f t="shared" si="5"/>
        <v>217.26395999999994</v>
      </c>
      <c r="F76" s="399" t="s">
        <v>2036</v>
      </c>
      <c r="L76" t="s">
        <v>1777</v>
      </c>
      <c r="P76" t="s">
        <v>2029</v>
      </c>
      <c r="Q76" t="s">
        <v>2030</v>
      </c>
    </row>
    <row r="77" spans="1:21">
      <c r="A77" s="156">
        <v>46135</v>
      </c>
      <c r="B77" s="112" t="s">
        <v>2027</v>
      </c>
      <c r="C77" s="112"/>
      <c r="D77" s="112">
        <v>110.575</v>
      </c>
      <c r="E77" s="113">
        <f t="shared" si="5"/>
        <v>106.68895999999994</v>
      </c>
      <c r="F77" s="399" t="s">
        <v>2037</v>
      </c>
      <c r="I77" t="s">
        <v>2031</v>
      </c>
      <c r="J77" t="s">
        <v>2025</v>
      </c>
      <c r="K77">
        <v>20</v>
      </c>
      <c r="L77" s="2">
        <f>+K88</f>
        <v>102.55</v>
      </c>
      <c r="M77" s="2">
        <f>+L77*K77/100</f>
        <v>20.51</v>
      </c>
      <c r="N77" s="155">
        <v>4.7023809523809051E-2</v>
      </c>
      <c r="O77" s="2">
        <f>+M77+N77</f>
        <v>20.557023809523809</v>
      </c>
      <c r="P77">
        <f>ROUND(+O77/K77*100,3)</f>
        <v>102.785</v>
      </c>
      <c r="Q77" s="2">
        <f>+P77*K77/100</f>
        <v>20.556999999999999</v>
      </c>
      <c r="R77" t="str">
        <f>"4/23, "&amp;J77&amp;"["&amp;I77&amp;"]，"&amp;K77&amp;"w，"&amp;P77&amp;"，国泰海通 冉雅婷 to 外贸信托朗瑞1号8期 孟亚琪2881131472"</f>
        <v>4/23, 25橙益22C[2589366.IB]，20w，102.785，国泰海通 冉雅婷 to 外贸信托朗瑞1号8期 孟亚琪2881131472</v>
      </c>
    </row>
    <row r="78" spans="1:21">
      <c r="A78" s="156"/>
      <c r="B78" s="112"/>
      <c r="C78" s="112"/>
      <c r="D78" s="112"/>
      <c r="E78" s="113">
        <f t="shared" si="5"/>
        <v>106.68895999999994</v>
      </c>
      <c r="I78" t="s">
        <v>2032</v>
      </c>
      <c r="J78" t="s">
        <v>2026</v>
      </c>
      <c r="K78">
        <v>200</v>
      </c>
      <c r="L78" s="2">
        <f>+M88</f>
        <v>108.7</v>
      </c>
      <c r="M78" s="2">
        <f>+L78*K78/100</f>
        <v>217.4</v>
      </c>
      <c r="N78" s="155">
        <v>0.47023809523809051</v>
      </c>
      <c r="O78" s="2">
        <f>+M78+N78</f>
        <v>217.87023809523811</v>
      </c>
      <c r="P78">
        <f>ROUND(+O78/K78*100,3)</f>
        <v>108.935</v>
      </c>
      <c r="Q78" s="2">
        <f>+P78*K78/100</f>
        <v>217.87</v>
      </c>
      <c r="R78" t="str">
        <f>"4/23, "&amp;J78&amp;"["&amp;I78&amp;"]，"&amp;K78&amp;"w，"&amp;P78&amp;"，国泰海通 冉雅婷 to 外贸信托朗瑞1号8期 孟亚琪2881131472"</f>
        <v>4/23, 25橙益23C[2589368.IB]，200w，108.935，国泰海通 冉雅婷 to 外贸信托朗瑞1号8期 孟亚琪2881131472</v>
      </c>
    </row>
    <row r="79" spans="1:21">
      <c r="A79" s="156">
        <v>46135</v>
      </c>
      <c r="B79" s="112" t="s">
        <v>2096</v>
      </c>
      <c r="C79" s="112"/>
      <c r="D79" s="112">
        <v>96.142300000000006</v>
      </c>
      <c r="E79" s="113">
        <f t="shared" si="5"/>
        <v>10.546659999999932</v>
      </c>
      <c r="F79" s="399" t="s">
        <v>2135</v>
      </c>
      <c r="I79" t="s">
        <v>2033</v>
      </c>
      <c r="J79" t="s">
        <v>2027</v>
      </c>
      <c r="K79">
        <v>100</v>
      </c>
      <c r="L79" s="2">
        <f>O88</f>
        <v>110.34</v>
      </c>
      <c r="M79" s="2">
        <f>+L79*K79/100</f>
        <v>110.34</v>
      </c>
      <c r="N79" s="155">
        <v>0.23511904761904526</v>
      </c>
      <c r="O79" s="2">
        <f>+M79+N79</f>
        <v>110.57511904761905</v>
      </c>
      <c r="P79">
        <f>ROUND(+O79/K79*100,3)</f>
        <v>110.575</v>
      </c>
      <c r="Q79" s="2">
        <f>+P79*K79/100</f>
        <v>110.575</v>
      </c>
      <c r="R79" t="str">
        <f>"4/23, "&amp;J79&amp;"["&amp;I79&amp;"]，"&amp;K79&amp;"w，"&amp;P79&amp;"，国泰海通 冉雅婷 to 外贸信托朗瑞1号8期 孟亚琪2881131472"</f>
        <v>4/23, 25工元至诚惠银2C[2589222.IB]，100w，110.575，国泰海通 冉雅婷 to 外贸信托朗瑞1号8期 孟亚琪2881131472</v>
      </c>
    </row>
    <row r="80" spans="1:21">
      <c r="A80" s="156"/>
      <c r="B80" s="112"/>
      <c r="C80" s="112"/>
      <c r="D80" s="112"/>
      <c r="E80" s="113">
        <f t="shared" si="5"/>
        <v>10.546659999999932</v>
      </c>
      <c r="I80" t="s">
        <v>2034</v>
      </c>
      <c r="J80" t="s">
        <v>348</v>
      </c>
      <c r="K80">
        <v>150</v>
      </c>
      <c r="L80" s="2">
        <f>+Q88</f>
        <v>102.59</v>
      </c>
      <c r="M80" s="2">
        <f>+L80*K80/100</f>
        <v>153.88499999999999</v>
      </c>
      <c r="N80" s="155">
        <f>(N75-SUM(N77:N79))</f>
        <v>0.23511904761904523</v>
      </c>
      <c r="O80" s="2">
        <f>+M80+N80</f>
        <v>154.12011904761903</v>
      </c>
      <c r="P80">
        <f>ROUND(+O80/K80*100,3)</f>
        <v>102.747</v>
      </c>
      <c r="Q80" s="2">
        <f>+P80*K80/100</f>
        <v>154.12049999999999</v>
      </c>
      <c r="R80" t="str">
        <f>"4/23, "&amp;J80&amp;"["&amp;I80&amp;"]，"&amp;K80&amp;"w，"&amp;P80&amp;"，国泰海通 冉雅婷 to 粤财鹏雅10号第120期 王同博 QT员工号：3004238546"</f>
        <v>4/23, 25浦鑫归航7C[2589350.IB]，150w，102.747，国泰海通 冉雅婷 to 粤财鹏雅10号第120期 王同博 QT员工号：3004238546</v>
      </c>
    </row>
    <row r="81" spans="1:18">
      <c r="A81" s="156"/>
      <c r="B81" s="112"/>
      <c r="C81" s="112"/>
      <c r="D81" s="112"/>
      <c r="E81" s="113">
        <f t="shared" si="5"/>
        <v>10.546659999999932</v>
      </c>
      <c r="I81" t="s">
        <v>2099</v>
      </c>
      <c r="J81" t="s">
        <v>2096</v>
      </c>
      <c r="K81">
        <v>80</v>
      </c>
      <c r="L81" s="2">
        <v>95.07</v>
      </c>
      <c r="M81" s="2"/>
      <c r="N81" s="155"/>
      <c r="O81" s="2"/>
      <c r="P81" s="165">
        <f>+L81</f>
        <v>95.07</v>
      </c>
      <c r="Q81" s="2">
        <f>+P81*K81/100</f>
        <v>76.055999999999997</v>
      </c>
      <c r="R81" t="str">
        <f>"4/23, "&amp;J81&amp;"["&amp;I81&amp;"]，"&amp;K81&amp;"w，"&amp;P81&amp;"，国泰海通 冉雅婷 to 外贸信托朗瑞1号8期 孟亚琪2881131472"</f>
        <v>4/23, 25浦鑫归航5优先[2589301.IB]，80w，95.07，国泰海通 冉雅婷 to 外贸信托朗瑞1号8期 孟亚琪2881131472</v>
      </c>
    </row>
    <row r="82" spans="1:18">
      <c r="A82" s="156">
        <v>46139</v>
      </c>
      <c r="B82" s="112" t="s">
        <v>613</v>
      </c>
      <c r="C82" s="112">
        <v>2465.6999999999998</v>
      </c>
      <c r="D82" s="112"/>
      <c r="E82" s="113">
        <f t="shared" si="5"/>
        <v>2476.2466599999998</v>
      </c>
      <c r="K82">
        <f>SUM(K77:K81)</f>
        <v>550</v>
      </c>
      <c r="M82" s="169">
        <f>SUM(M77:M80)</f>
        <v>502.13499999999999</v>
      </c>
      <c r="Q82" s="468">
        <f>SUM(Q77:Q81)</f>
        <v>579.17849999999999</v>
      </c>
    </row>
    <row r="83" spans="1:18">
      <c r="A83" s="156">
        <v>46140</v>
      </c>
      <c r="B83" s="112" t="s">
        <v>1313</v>
      </c>
      <c r="C83" s="112"/>
      <c r="D83" s="112">
        <v>2301.3000000000002</v>
      </c>
      <c r="E83" s="113">
        <f t="shared" si="5"/>
        <v>174.94665999999961</v>
      </c>
      <c r="F83" s="399" t="s">
        <v>2153</v>
      </c>
      <c r="I83" t="s">
        <v>2039</v>
      </c>
      <c r="J83" t="s">
        <v>2038</v>
      </c>
      <c r="K83">
        <v>40</v>
      </c>
      <c r="M83" s="2">
        <f>+L83*K83/100</f>
        <v>0</v>
      </c>
      <c r="N83">
        <v>0</v>
      </c>
      <c r="O83">
        <v>0</v>
      </c>
      <c r="P83" s="201">
        <f>ROUND(+O83/K83*100,3)</f>
        <v>0</v>
      </c>
      <c r="Q83" s="2">
        <f>+P83*K83/100</f>
        <v>0</v>
      </c>
      <c r="R83" t="str">
        <f>"4/23, "&amp;J83&amp;"["&amp;I83&amp;"]，"&amp;K83&amp;"w，"&amp;P83&amp;"，国泰海通 冉雅婷 to 外贸信托朗瑞1号8期 孟亚琪2881131472"</f>
        <v>4/23, 25福鑫4C[2589218.IB]，40w，0，国泰海通 冉雅婷 to 外贸信托朗瑞1号8期 孟亚琪2881131472</v>
      </c>
    </row>
    <row r="84" spans="1:18">
      <c r="A84" s="156">
        <v>46141</v>
      </c>
      <c r="B84" s="112" t="s">
        <v>1557</v>
      </c>
      <c r="C84" s="112">
        <v>30</v>
      </c>
      <c r="D84" s="112"/>
      <c r="E84" s="113">
        <f t="shared" si="5"/>
        <v>204.94665999999961</v>
      </c>
      <c r="F84" s="399" t="s">
        <v>816</v>
      </c>
    </row>
    <row r="85" spans="1:18">
      <c r="A85" s="156">
        <v>46142</v>
      </c>
      <c r="B85" s="112" t="s">
        <v>1390</v>
      </c>
      <c r="C85" s="112"/>
      <c r="D85" s="112">
        <v>82</v>
      </c>
      <c r="E85" s="113">
        <f t="shared" si="5"/>
        <v>122.94665999999961</v>
      </c>
    </row>
    <row r="86" spans="1:18">
      <c r="A86" s="156"/>
      <c r="B86" s="112"/>
      <c r="C86" s="112"/>
      <c r="D86" s="112"/>
      <c r="E86" s="113">
        <f t="shared" si="5"/>
        <v>122.94665999999961</v>
      </c>
      <c r="J86" t="s">
        <v>2025</v>
      </c>
      <c r="K86" s="163">
        <f>XIRR(K87:K88,J87:J88)</f>
        <v>4.4956400990486159E-2</v>
      </c>
      <c r="L86" t="s">
        <v>2026</v>
      </c>
      <c r="M86" s="163">
        <f>XIRR(M87:M88,L87:L88)</f>
        <v>4.4906035065650954E-2</v>
      </c>
      <c r="N86" t="s">
        <v>2027</v>
      </c>
      <c r="O86" s="163">
        <f>XIRR(O87:O88,N87:N88)</f>
        <v>5.0033101439476008E-2</v>
      </c>
      <c r="P86" t="s">
        <v>348</v>
      </c>
      <c r="Q86" s="163">
        <f>XIRR(Q87:Q88,P87:P88)</f>
        <v>4.5007744431495675E-2</v>
      </c>
    </row>
    <row r="87" spans="1:18">
      <c r="A87" s="156"/>
      <c r="B87" s="112"/>
      <c r="C87" s="112"/>
      <c r="D87" s="112"/>
      <c r="E87" s="113">
        <f t="shared" si="5"/>
        <v>122.94665999999961</v>
      </c>
      <c r="J87" s="1">
        <v>45926</v>
      </c>
      <c r="K87">
        <v>-100</v>
      </c>
      <c r="L87" s="1">
        <v>45926</v>
      </c>
      <c r="M87">
        <v>-106</v>
      </c>
      <c r="N87" s="1">
        <v>45835</v>
      </c>
      <c r="O87">
        <v>-106</v>
      </c>
      <c r="P87" s="1">
        <v>45923</v>
      </c>
      <c r="Q87">
        <v>-100</v>
      </c>
    </row>
    <row r="88" spans="1:18">
      <c r="A88" s="156">
        <v>46162</v>
      </c>
      <c r="B88" s="112" t="s">
        <v>613</v>
      </c>
      <c r="C88" s="112">
        <v>113.2</v>
      </c>
      <c r="D88" s="112"/>
      <c r="E88" s="113">
        <f t="shared" si="5"/>
        <v>236.1466599999996</v>
      </c>
      <c r="J88" s="117">
        <v>46135</v>
      </c>
      <c r="K88" s="169">
        <v>102.55</v>
      </c>
      <c r="L88" s="117">
        <v>46135</v>
      </c>
      <c r="M88" s="169">
        <v>108.7</v>
      </c>
      <c r="N88" s="117">
        <v>46135</v>
      </c>
      <c r="O88" s="248">
        <v>110.34</v>
      </c>
      <c r="P88" s="117">
        <v>46135</v>
      </c>
      <c r="Q88" s="248">
        <v>102.59</v>
      </c>
    </row>
    <row r="89" spans="1:18">
      <c r="E89" s="109">
        <f>+E88+C89-D89</f>
        <v>236.1466599999996</v>
      </c>
    </row>
    <row r="90" spans="1:18">
      <c r="E90" s="109">
        <f>+E89+C90-D90</f>
        <v>236.1466599999996</v>
      </c>
    </row>
    <row r="91" spans="1:18">
      <c r="E91" s="109">
        <f>+E90+C91-D91</f>
        <v>236.1466599999996</v>
      </c>
    </row>
    <row r="92" spans="1:18">
      <c r="E92" s="109">
        <f>+E91+C92-D92</f>
        <v>236.1466599999996</v>
      </c>
    </row>
    <row r="93" spans="1:18">
      <c r="E93" s="109">
        <f>+E92+C93-D93</f>
        <v>236.1466599999996</v>
      </c>
    </row>
    <row r="94" spans="1:18">
      <c r="E94" s="109">
        <f>+E93+C94-D94</f>
        <v>236.1466599999996</v>
      </c>
    </row>
    <row r="95" spans="1:18">
      <c r="E95" s="109">
        <f>+E94+C95-D95</f>
        <v>236.1466599999996</v>
      </c>
    </row>
    <row r="96" spans="1:18">
      <c r="E96" s="109">
        <f>+E95+C96-D96</f>
        <v>236.1466599999996</v>
      </c>
    </row>
    <row r="97" spans="5:5">
      <c r="E97" s="109">
        <f>+E96+C97-D97</f>
        <v>236.1466599999996</v>
      </c>
    </row>
    <row r="98" spans="5:5">
      <c r="E98" s="109">
        <f>+E97+C98-D98</f>
        <v>236.1466599999996</v>
      </c>
    </row>
    <row r="99" spans="5:5">
      <c r="E99" s="109">
        <f>+E98+C99-D99</f>
        <v>236.1466599999996</v>
      </c>
    </row>
    <row r="100" spans="5:5">
      <c r="E100" s="109">
        <f>+E99+C100-D100</f>
        <v>236.1466599999996</v>
      </c>
    </row>
    <row r="101" spans="5:5">
      <c r="E101" s="109">
        <f>+E100+C101-D101</f>
        <v>236.1466599999996</v>
      </c>
    </row>
  </sheetData>
  <phoneticPr fontId="6" type="noConversion"/>
  <conditionalFormatting sqref="E1:E1048576">
    <cfRule type="cellIs" dxfId="11" priority="1" operator="lessThan">
      <formula>0</formula>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78FA1-1AAF-45E2-9EDB-1C1748A96611}">
  <sheetPr codeName="Sheet20"/>
  <dimension ref="A1:F41"/>
  <sheetViews>
    <sheetView topLeftCell="A10" workbookViewId="0">
      <selection activeCell="E10" sqref="E1:E1048576"/>
    </sheetView>
  </sheetViews>
  <sheetFormatPr defaultRowHeight="16.5"/>
  <cols>
    <col min="1" max="1" width="10" style="4" bestFit="1" customWidth="1"/>
    <col min="2" max="2" width="16" customWidth="1"/>
    <col min="3" max="3" width="10.125" customWidth="1"/>
    <col min="4" max="4" width="10" customWidth="1"/>
    <col min="5" max="5" width="8.75" style="109" bestFit="1" customWidth="1"/>
  </cols>
  <sheetData>
    <row r="1" spans="1:6">
      <c r="A1" s="10"/>
      <c r="B1" s="10"/>
      <c r="C1" s="10"/>
      <c r="D1" s="10"/>
      <c r="E1" s="10"/>
    </row>
    <row r="2" spans="1:6">
      <c r="A2" s="4" t="s">
        <v>0</v>
      </c>
      <c r="B2" t="s">
        <v>1</v>
      </c>
      <c r="C2" t="s">
        <v>2</v>
      </c>
      <c r="D2" t="s">
        <v>3</v>
      </c>
      <c r="E2" s="109" t="s">
        <v>4</v>
      </c>
    </row>
    <row r="3" spans="1:6">
      <c r="A3" s="156">
        <v>46052</v>
      </c>
      <c r="B3" s="112" t="s">
        <v>931</v>
      </c>
      <c r="C3" s="112">
        <v>50</v>
      </c>
      <c r="D3" s="112"/>
      <c r="E3" s="113">
        <v>50</v>
      </c>
    </row>
    <row r="4" spans="1:6">
      <c r="A4" s="156"/>
      <c r="B4" s="112" t="s">
        <v>645</v>
      </c>
      <c r="C4" s="112">
        <v>150</v>
      </c>
      <c r="D4" s="112"/>
      <c r="E4" s="113">
        <f t="shared" ref="E4:E17" si="0">+E3+C4-D4</f>
        <v>200</v>
      </c>
    </row>
    <row r="5" spans="1:6">
      <c r="A5" s="156"/>
      <c r="B5" s="268"/>
      <c r="C5" s="269"/>
      <c r="D5" s="269"/>
      <c r="E5" s="113">
        <f t="shared" si="0"/>
        <v>200</v>
      </c>
    </row>
    <row r="6" spans="1:6">
      <c r="A6" s="156">
        <v>46056</v>
      </c>
      <c r="B6" s="268" t="s">
        <v>932</v>
      </c>
      <c r="C6" s="331"/>
      <c r="D6" s="331">
        <f>190*1.032454</f>
        <v>196.16625999999999</v>
      </c>
      <c r="E6" s="113">
        <v>3.8</v>
      </c>
      <c r="F6" t="s">
        <v>1018</v>
      </c>
    </row>
    <row r="7" spans="1:6">
      <c r="A7" s="156">
        <v>46080</v>
      </c>
      <c r="B7" s="268" t="s">
        <v>1143</v>
      </c>
      <c r="C7" s="269">
        <v>380</v>
      </c>
      <c r="D7" s="300"/>
      <c r="E7" s="113">
        <f t="shared" si="0"/>
        <v>383.8</v>
      </c>
    </row>
    <row r="8" spans="1:6">
      <c r="A8" s="156">
        <v>46083</v>
      </c>
      <c r="B8" s="268" t="s">
        <v>1193</v>
      </c>
      <c r="C8" s="269"/>
      <c r="D8" s="300">
        <v>381</v>
      </c>
      <c r="E8" s="332">
        <v>2.2999999999999998</v>
      </c>
      <c r="F8" s="64" t="s">
        <v>1192</v>
      </c>
    </row>
    <row r="9" spans="1:6">
      <c r="A9" s="156"/>
      <c r="B9" s="268"/>
      <c r="C9" s="269"/>
      <c r="D9" s="300"/>
      <c r="E9" s="113">
        <f t="shared" si="0"/>
        <v>2.2999999999999998</v>
      </c>
    </row>
    <row r="10" spans="1:6">
      <c r="A10" s="156"/>
      <c r="B10" s="301"/>
      <c r="C10" s="300"/>
      <c r="D10" s="300"/>
      <c r="E10" s="113">
        <f t="shared" si="0"/>
        <v>2.2999999999999998</v>
      </c>
    </row>
    <row r="11" spans="1:6">
      <c r="A11" s="156">
        <v>46104</v>
      </c>
      <c r="B11" s="112" t="s">
        <v>1404</v>
      </c>
      <c r="C11" s="112">
        <v>1000</v>
      </c>
      <c r="D11" s="112"/>
      <c r="E11" s="113">
        <f t="shared" si="0"/>
        <v>1002.3</v>
      </c>
    </row>
    <row r="12" spans="1:6">
      <c r="A12" s="156">
        <v>46105</v>
      </c>
      <c r="B12" s="112" t="s">
        <v>1324</v>
      </c>
      <c r="C12" s="112"/>
      <c r="D12" s="112">
        <v>1000</v>
      </c>
      <c r="E12" s="113">
        <f t="shared" si="0"/>
        <v>2.2999999999999545</v>
      </c>
      <c r="F12" t="s">
        <v>1551</v>
      </c>
    </row>
    <row r="13" spans="1:6">
      <c r="A13" s="156"/>
      <c r="B13" s="112"/>
      <c r="C13" s="112"/>
      <c r="D13" s="112"/>
      <c r="E13" s="113">
        <f t="shared" si="0"/>
        <v>2.2999999999999545</v>
      </c>
    </row>
    <row r="14" spans="1:6">
      <c r="A14" s="156">
        <v>46122</v>
      </c>
      <c r="B14" s="112" t="s">
        <v>1602</v>
      </c>
      <c r="C14" s="112">
        <v>475</v>
      </c>
      <c r="D14" s="112"/>
      <c r="E14" s="113">
        <f t="shared" si="0"/>
        <v>477.29999999999995</v>
      </c>
    </row>
    <row r="15" spans="1:6">
      <c r="A15" s="156">
        <v>46122</v>
      </c>
      <c r="B15" s="418" t="s">
        <v>1193</v>
      </c>
      <c r="C15" s="417"/>
      <c r="D15" s="112">
        <f>450*103.52/100</f>
        <v>465.84</v>
      </c>
      <c r="E15" s="113">
        <f t="shared" si="0"/>
        <v>11.45999999999998</v>
      </c>
      <c r="F15" t="s">
        <v>1836</v>
      </c>
    </row>
    <row r="16" spans="1:6">
      <c r="A16" s="156"/>
      <c r="B16" s="112"/>
      <c r="C16" s="112"/>
      <c r="D16" s="112"/>
      <c r="E16" s="113">
        <f t="shared" si="0"/>
        <v>11.45999999999998</v>
      </c>
    </row>
    <row r="17" spans="1:6">
      <c r="A17" s="156">
        <v>46127</v>
      </c>
      <c r="B17" s="112" t="s">
        <v>302</v>
      </c>
      <c r="C17" s="112">
        <v>8</v>
      </c>
      <c r="D17" s="112"/>
      <c r="E17" s="113">
        <f t="shared" si="0"/>
        <v>19.45999999999998</v>
      </c>
    </row>
    <row r="18" spans="1:6">
      <c r="A18" s="156"/>
      <c r="B18" s="112"/>
      <c r="C18" s="112"/>
      <c r="D18" s="112"/>
      <c r="E18" s="113">
        <f t="shared" ref="E18:E23" si="1">+E17+C18-D18</f>
        <v>19.45999999999998</v>
      </c>
    </row>
    <row r="19" spans="1:6">
      <c r="A19" s="156"/>
      <c r="B19" s="112" t="s">
        <v>1258</v>
      </c>
      <c r="C19" s="112"/>
      <c r="D19" s="112">
        <v>16</v>
      </c>
      <c r="E19" s="113">
        <f t="shared" si="1"/>
        <v>3.4599999999999795</v>
      </c>
    </row>
    <row r="20" spans="1:6">
      <c r="A20" s="156"/>
      <c r="B20" s="112"/>
      <c r="C20" s="112"/>
      <c r="D20" s="112"/>
      <c r="E20" s="113">
        <f>+E19+C20-D20</f>
        <v>3.4599999999999795</v>
      </c>
    </row>
    <row r="21" spans="1:6">
      <c r="A21" s="156"/>
      <c r="B21" s="112"/>
      <c r="C21" s="112"/>
      <c r="D21" s="112"/>
      <c r="E21" s="113">
        <f>+E20+C21-D21</f>
        <v>3.4599999999999795</v>
      </c>
    </row>
    <row r="22" spans="1:6">
      <c r="A22" s="156">
        <v>46140</v>
      </c>
      <c r="B22" s="112" t="s">
        <v>302</v>
      </c>
      <c r="C22" s="112">
        <v>700</v>
      </c>
      <c r="D22" s="112"/>
      <c r="E22" s="113">
        <f>+E21+C22-D22</f>
        <v>703.46</v>
      </c>
    </row>
    <row r="23" spans="1:6">
      <c r="A23" s="156">
        <v>46140</v>
      </c>
      <c r="B23" s="112" t="s">
        <v>1090</v>
      </c>
      <c r="C23" s="112">
        <v>3000</v>
      </c>
      <c r="D23" s="112"/>
      <c r="E23" s="113">
        <f t="shared" si="1"/>
        <v>3703.46</v>
      </c>
    </row>
    <row r="24" spans="1:6">
      <c r="A24" s="156"/>
      <c r="B24" s="112"/>
      <c r="C24" s="112"/>
      <c r="D24" s="112"/>
      <c r="E24" s="113">
        <f t="shared" ref="E24:E25" si="2">+E23+C24-D24</f>
        <v>3703.46</v>
      </c>
    </row>
    <row r="25" spans="1:6">
      <c r="A25" s="156">
        <v>46140</v>
      </c>
      <c r="B25" s="483" t="s">
        <v>2187</v>
      </c>
      <c r="C25" s="112"/>
      <c r="D25" s="113">
        <v>741.15719999999999</v>
      </c>
      <c r="E25" s="113">
        <f t="shared" si="2"/>
        <v>2962.3027999999999</v>
      </c>
      <c r="F25" s="399" t="s">
        <v>2238</v>
      </c>
    </row>
    <row r="26" spans="1:6">
      <c r="A26" s="156">
        <v>46140</v>
      </c>
      <c r="B26" s="483" t="s">
        <v>2186</v>
      </c>
      <c r="C26" s="112"/>
      <c r="D26" s="113">
        <v>2093.3320000000003</v>
      </c>
      <c r="E26" s="113">
        <f t="shared" ref="E26:E38" si="3">+E25+C26-D26</f>
        <v>868.9707999999996</v>
      </c>
      <c r="F26" s="399" t="s">
        <v>2239</v>
      </c>
    </row>
    <row r="27" spans="1:6">
      <c r="A27" s="156">
        <v>46141</v>
      </c>
      <c r="B27" s="484" t="s">
        <v>1808</v>
      </c>
      <c r="C27" s="112"/>
      <c r="D27" s="112">
        <v>804</v>
      </c>
      <c r="E27" s="113">
        <f t="shared" si="3"/>
        <v>64.970799999999599</v>
      </c>
      <c r="F27" s="399" t="s">
        <v>2243</v>
      </c>
    </row>
    <row r="28" spans="1:6">
      <c r="E28" s="109">
        <f t="shared" si="3"/>
        <v>64.970799999999599</v>
      </c>
    </row>
    <row r="29" spans="1:6">
      <c r="A29" s="4">
        <v>46164</v>
      </c>
      <c r="B29" t="s">
        <v>928</v>
      </c>
      <c r="C29">
        <v>1100</v>
      </c>
      <c r="E29" s="109">
        <f t="shared" si="3"/>
        <v>1164.9707999999996</v>
      </c>
    </row>
    <row r="30" spans="1:6">
      <c r="E30" s="109">
        <f t="shared" si="3"/>
        <v>1164.9707999999996</v>
      </c>
    </row>
    <row r="31" spans="1:6">
      <c r="A31" s="4">
        <v>46170</v>
      </c>
      <c r="B31" t="s">
        <v>1868</v>
      </c>
      <c r="C31">
        <v>200</v>
      </c>
      <c r="E31" s="109">
        <f t="shared" si="3"/>
        <v>1364.9707999999996</v>
      </c>
    </row>
    <row r="32" spans="1:6">
      <c r="E32" s="109">
        <f t="shared" si="3"/>
        <v>1364.9707999999996</v>
      </c>
    </row>
    <row r="33" spans="2:5">
      <c r="B33" t="s">
        <v>2527</v>
      </c>
      <c r="D33">
        <v>1000</v>
      </c>
      <c r="E33" s="109">
        <f t="shared" si="3"/>
        <v>364.9707999999996</v>
      </c>
    </row>
    <row r="34" spans="2:5">
      <c r="E34" s="109">
        <f t="shared" si="3"/>
        <v>364.9707999999996</v>
      </c>
    </row>
    <row r="35" spans="2:5">
      <c r="E35" s="109">
        <f t="shared" si="3"/>
        <v>364.9707999999996</v>
      </c>
    </row>
    <row r="36" spans="2:5">
      <c r="E36" s="109">
        <f t="shared" si="3"/>
        <v>364.9707999999996</v>
      </c>
    </row>
    <row r="37" spans="2:5">
      <c r="E37" s="109">
        <f t="shared" si="3"/>
        <v>364.9707999999996</v>
      </c>
    </row>
    <row r="38" spans="2:5">
      <c r="E38" s="109">
        <f t="shared" si="3"/>
        <v>364.9707999999996</v>
      </c>
    </row>
    <row r="39" spans="2:5">
      <c r="E39" s="109">
        <f>+E38+C39-D39</f>
        <v>364.9707999999996</v>
      </c>
    </row>
    <row r="40" spans="2:5">
      <c r="E40" s="109">
        <f>+E39+C40-D40</f>
        <v>364.9707999999996</v>
      </c>
    </row>
    <row r="41" spans="2:5">
      <c r="E41" s="109">
        <f>+E40+C41-D41</f>
        <v>364.9707999999996</v>
      </c>
    </row>
  </sheetData>
  <phoneticPr fontId="6" type="noConversion"/>
  <conditionalFormatting sqref="B25:B26">
    <cfRule type="duplicateValues" dxfId="10" priority="2"/>
  </conditionalFormatting>
  <conditionalFormatting sqref="E1:E1048576">
    <cfRule type="cellIs" dxfId="9" priority="1" operator="lessThan">
      <formula>0</formula>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08203-EB97-447F-AF36-E3CC681AE3DD}">
  <sheetPr codeName="Sheet21"/>
  <dimension ref="A1:AH83"/>
  <sheetViews>
    <sheetView workbookViewId="0">
      <pane ySplit="2" topLeftCell="A55" activePane="bottomLeft" state="frozen"/>
      <selection pane="bottomLeft" activeCell="I84" sqref="I84"/>
    </sheetView>
  </sheetViews>
  <sheetFormatPr defaultRowHeight="16.5"/>
  <cols>
    <col min="1" max="1" width="10" style="4" bestFit="1" customWidth="1"/>
    <col min="2" max="2" width="9.5" customWidth="1"/>
    <col min="3" max="3" width="9.375" customWidth="1"/>
    <col min="4" max="4" width="7.75" customWidth="1"/>
    <col min="5" max="5" width="8.75" style="109" bestFit="1" customWidth="1"/>
    <col min="6" max="6" width="12.625" bestFit="1" customWidth="1"/>
    <col min="7" max="7" width="13" customWidth="1"/>
    <col min="8" max="8" width="11.375" customWidth="1"/>
    <col min="9" max="9" width="10.75" customWidth="1"/>
    <col min="10" max="10" width="9.25" bestFit="1" customWidth="1"/>
    <col min="11" max="11" width="11.125" bestFit="1" customWidth="1"/>
    <col min="12" max="12" width="14.125" customWidth="1"/>
    <col min="13" max="13" width="8.75" customWidth="1"/>
    <col min="19" max="19" width="10" customWidth="1"/>
    <col min="21" max="21" width="10.25" customWidth="1"/>
    <col min="23" max="23" width="9.875" customWidth="1"/>
    <col min="25" max="25" width="10" customWidth="1"/>
    <col min="27" max="27" width="10.5" customWidth="1"/>
    <col min="29" max="29" width="10.5" customWidth="1"/>
    <col min="31" max="31" width="11.25" customWidth="1"/>
    <col min="33" max="33" width="11" customWidth="1"/>
  </cols>
  <sheetData>
    <row r="1" spans="1:15">
      <c r="A1" s="10"/>
      <c r="B1" s="10"/>
      <c r="C1" s="10"/>
      <c r="D1" s="10"/>
      <c r="E1" s="10"/>
    </row>
    <row r="2" spans="1:15">
      <c r="A2" s="4" t="s">
        <v>0</v>
      </c>
      <c r="B2" t="s">
        <v>1</v>
      </c>
      <c r="C2" t="s">
        <v>2</v>
      </c>
      <c r="D2" t="s">
        <v>3</v>
      </c>
      <c r="E2" s="109" t="s">
        <v>4</v>
      </c>
    </row>
    <row r="3" spans="1:15">
      <c r="A3" s="156">
        <v>46052</v>
      </c>
      <c r="B3" s="112" t="s">
        <v>788</v>
      </c>
      <c r="C3" s="112">
        <v>300</v>
      </c>
      <c r="D3" s="112"/>
      <c r="E3" s="113">
        <v>300</v>
      </c>
    </row>
    <row r="4" spans="1:15">
      <c r="A4" s="156">
        <v>46052</v>
      </c>
      <c r="B4" s="112" t="s">
        <v>1089</v>
      </c>
      <c r="C4" s="112">
        <v>30</v>
      </c>
      <c r="D4" s="112"/>
      <c r="E4" s="113">
        <f t="shared" ref="E4:E25" si="0">+E3+C4-D4</f>
        <v>330</v>
      </c>
      <c r="K4" s="1"/>
      <c r="M4" s="2"/>
    </row>
    <row r="5" spans="1:15">
      <c r="A5" s="267"/>
      <c r="B5" s="268"/>
      <c r="C5" s="269"/>
      <c r="D5" s="269"/>
      <c r="E5" s="113">
        <f t="shared" si="0"/>
        <v>330</v>
      </c>
    </row>
    <row r="6" spans="1:15">
      <c r="A6" s="270">
        <v>46056</v>
      </c>
      <c r="B6" s="241" t="s">
        <v>982</v>
      </c>
      <c r="C6" s="271"/>
      <c r="D6" s="271">
        <f>182*1.134147</f>
        <v>206.41475400000002</v>
      </c>
      <c r="E6" s="113">
        <f t="shared" si="0"/>
        <v>123.58524599999998</v>
      </c>
      <c r="F6" t="s">
        <v>992</v>
      </c>
    </row>
    <row r="7" spans="1:15">
      <c r="A7" s="270"/>
      <c r="B7" s="241"/>
      <c r="C7" s="271"/>
      <c r="D7" s="272"/>
      <c r="E7" s="113">
        <f t="shared" si="0"/>
        <v>123.58524599999998</v>
      </c>
    </row>
    <row r="8" spans="1:15">
      <c r="A8" s="270"/>
      <c r="B8" s="273"/>
      <c r="C8" s="271"/>
      <c r="D8" s="272"/>
      <c r="E8" s="113">
        <f t="shared" si="0"/>
        <v>123.58524599999998</v>
      </c>
    </row>
    <row r="9" spans="1:15">
      <c r="A9" s="270">
        <v>46062</v>
      </c>
      <c r="B9" s="241" t="s">
        <v>993</v>
      </c>
      <c r="C9" s="271">
        <v>1850</v>
      </c>
      <c r="D9" s="272"/>
      <c r="E9" s="113">
        <f t="shared" si="0"/>
        <v>1973.5852460000001</v>
      </c>
      <c r="F9" t="s">
        <v>1053</v>
      </c>
    </row>
    <row r="10" spans="1:15">
      <c r="A10" s="270"/>
      <c r="B10" s="241"/>
      <c r="C10" s="271"/>
      <c r="D10" s="272"/>
      <c r="E10" s="113">
        <f t="shared" si="0"/>
        <v>1973.5852460000001</v>
      </c>
      <c r="J10" s="163"/>
      <c r="K10" s="163"/>
    </row>
    <row r="11" spans="1:15">
      <c r="A11" s="270"/>
      <c r="B11" s="241"/>
      <c r="C11" s="271"/>
      <c r="D11" s="272"/>
      <c r="E11" s="113">
        <f t="shared" si="0"/>
        <v>1973.5852460000001</v>
      </c>
      <c r="J11" s="163"/>
      <c r="K11" s="163"/>
    </row>
    <row r="12" spans="1:15">
      <c r="A12" s="270"/>
      <c r="B12" s="241"/>
      <c r="C12" s="271"/>
      <c r="D12" s="272"/>
      <c r="E12" s="113">
        <f t="shared" si="0"/>
        <v>1973.5852460000001</v>
      </c>
      <c r="J12" s="163"/>
      <c r="K12" s="163"/>
    </row>
    <row r="13" spans="1:15">
      <c r="A13" s="270"/>
      <c r="B13" s="241"/>
      <c r="C13" s="271"/>
      <c r="D13" s="272"/>
      <c r="E13" s="113">
        <f t="shared" si="0"/>
        <v>1973.5852460000001</v>
      </c>
      <c r="F13" s="201"/>
      <c r="H13" t="s">
        <v>17</v>
      </c>
      <c r="I13" t="s">
        <v>874</v>
      </c>
      <c r="J13" s="163" t="s">
        <v>530</v>
      </c>
      <c r="K13" s="163" t="s">
        <v>978</v>
      </c>
      <c r="L13" t="s">
        <v>875</v>
      </c>
      <c r="M13" t="s">
        <v>979</v>
      </c>
    </row>
    <row r="14" spans="1:15">
      <c r="A14" s="270">
        <v>46063</v>
      </c>
      <c r="B14" s="241" t="s">
        <v>1005</v>
      </c>
      <c r="C14" s="242"/>
      <c r="D14" s="242">
        <f>L14/10000</f>
        <v>117.8</v>
      </c>
      <c r="E14" s="113">
        <f t="shared" si="0"/>
        <v>1855.7852460000001</v>
      </c>
      <c r="F14" t="s">
        <v>1084</v>
      </c>
      <c r="H14" t="s">
        <v>1005</v>
      </c>
      <c r="I14" s="2">
        <v>200</v>
      </c>
      <c r="J14" s="117">
        <v>46063</v>
      </c>
      <c r="K14" s="165">
        <f>M25</f>
        <v>58.9</v>
      </c>
      <c r="L14" s="2">
        <f>K14*I14*100</f>
        <v>1178000</v>
      </c>
      <c r="M14" s="2"/>
      <c r="N14" t="s">
        <v>1039</v>
      </c>
      <c r="O14" t="str">
        <f>H14&amp;","&amp;N14&amp;","&amp;I14&amp;"w"&amp;","&amp;K14&amp;","&amp;J14</f>
        <v>23工元至诚1C,2389064.IB,200w,58.9,46063</v>
      </c>
    </row>
    <row r="15" spans="1:15">
      <c r="A15" s="270">
        <v>46063</v>
      </c>
      <c r="B15" s="241" t="s">
        <v>876</v>
      </c>
      <c r="C15" s="242"/>
      <c r="D15" s="242">
        <f t="shared" ref="D15:D16" si="1">L15/10000</f>
        <v>556.12800000000004</v>
      </c>
      <c r="E15" s="113">
        <f t="shared" si="0"/>
        <v>1299.6572460000002</v>
      </c>
      <c r="F15" t="s">
        <v>1085</v>
      </c>
      <c r="H15" t="s">
        <v>876</v>
      </c>
      <c r="I15" s="2">
        <v>720</v>
      </c>
      <c r="J15" s="117">
        <v>46063</v>
      </c>
      <c r="K15">
        <f>P24</f>
        <v>77.239999999999995</v>
      </c>
      <c r="L15" s="2">
        <f>K15*I15*100</f>
        <v>5561280</v>
      </c>
      <c r="M15" s="2"/>
      <c r="N15" t="s">
        <v>1038</v>
      </c>
      <c r="O15" t="str">
        <f t="shared" ref="O15:O18" si="2">H15&amp;","&amp;N15&amp;","&amp;I15&amp;"w"&amp;","&amp;K15&amp;","&amp;J15</f>
        <v>25兴瑞1C,2589025.IB,720w,77.24,46063</v>
      </c>
    </row>
    <row r="16" spans="1:15">
      <c r="A16" s="270">
        <v>46063</v>
      </c>
      <c r="B16" s="241" t="s">
        <v>1035</v>
      </c>
      <c r="C16" s="242"/>
      <c r="D16" s="242">
        <f t="shared" si="1"/>
        <v>1243.6715999999999</v>
      </c>
      <c r="E16" s="113">
        <f t="shared" si="0"/>
        <v>55.985646000000315</v>
      </c>
      <c r="F16" t="s">
        <v>1086</v>
      </c>
      <c r="H16" t="s">
        <v>1035</v>
      </c>
      <c r="I16" s="2">
        <v>1200</v>
      </c>
      <c r="J16" s="117">
        <v>46063</v>
      </c>
      <c r="K16">
        <f>J29</f>
        <v>103.63930000000001</v>
      </c>
      <c r="L16" s="2">
        <f>K16*I16*100</f>
        <v>12436716</v>
      </c>
      <c r="M16" s="2">
        <f>(I29-J29)*I16*100</f>
        <v>88883.999999998763</v>
      </c>
      <c r="N16" t="s">
        <v>1037</v>
      </c>
      <c r="O16" t="str">
        <f t="shared" si="2"/>
        <v>25浦鑫归航1C,2589031.IB,1200w,103.6393,46063</v>
      </c>
    </row>
    <row r="17" spans="1:34">
      <c r="A17" s="270"/>
      <c r="B17" s="241"/>
      <c r="C17" s="242"/>
      <c r="D17" s="242"/>
      <c r="E17" s="113">
        <f t="shared" si="0"/>
        <v>55.985646000000315</v>
      </c>
      <c r="I17" s="2"/>
      <c r="J17" s="117"/>
      <c r="L17" s="2"/>
      <c r="M17" s="2"/>
    </row>
    <row r="18" spans="1:34">
      <c r="A18" s="156"/>
      <c r="B18" s="112"/>
      <c r="C18" s="112"/>
      <c r="D18" s="112"/>
      <c r="E18" s="113">
        <f t="shared" si="0"/>
        <v>55.985646000000315</v>
      </c>
      <c r="G18" s="128"/>
      <c r="H18" s="130" t="s">
        <v>364</v>
      </c>
      <c r="I18" s="2">
        <v>238</v>
      </c>
      <c r="J18" s="117">
        <v>46059</v>
      </c>
      <c r="K18">
        <f>M29</f>
        <v>104.458</v>
      </c>
      <c r="L18" s="2">
        <f>K18*I18*100</f>
        <v>2486100.4</v>
      </c>
      <c r="N18" t="s">
        <v>1036</v>
      </c>
      <c r="O18" t="str">
        <f t="shared" si="2"/>
        <v>25中誉至诚3C,2589127.IB,238w,104.458,46059</v>
      </c>
    </row>
    <row r="19" spans="1:34">
      <c r="A19" s="156">
        <v>46079</v>
      </c>
      <c r="B19" s="241" t="s">
        <v>613</v>
      </c>
      <c r="C19" s="112">
        <v>624</v>
      </c>
      <c r="D19" s="112"/>
      <c r="E19" s="113">
        <f t="shared" si="0"/>
        <v>679.98564600000032</v>
      </c>
      <c r="G19" s="128"/>
      <c r="H19" s="130"/>
      <c r="L19" s="248">
        <f>SUM(L10:L18)</f>
        <v>21662096.399999999</v>
      </c>
      <c r="O19" t="s">
        <v>1047</v>
      </c>
    </row>
    <row r="20" spans="1:34">
      <c r="A20" s="156"/>
      <c r="B20" s="241"/>
      <c r="C20" s="112"/>
      <c r="D20" s="112"/>
      <c r="E20" s="113">
        <f t="shared" si="0"/>
        <v>679.98564600000032</v>
      </c>
      <c r="G20" s="128"/>
      <c r="H20" s="130"/>
    </row>
    <row r="21" spans="1:34">
      <c r="A21" s="286">
        <v>46084</v>
      </c>
      <c r="B21" s="287" t="s">
        <v>1135</v>
      </c>
      <c r="C21" s="274"/>
      <c r="D21" s="274">
        <v>660</v>
      </c>
      <c r="E21" s="113">
        <v>17</v>
      </c>
      <c r="G21" s="128"/>
      <c r="H21" s="254" t="s">
        <v>935</v>
      </c>
      <c r="I21" s="255">
        <f>XIRR(I22:I24,$H$22:$H$24)</f>
        <v>5.003810822963714E-2</v>
      </c>
      <c r="J21" s="163"/>
      <c r="L21" t="s">
        <v>1005</v>
      </c>
      <c r="M21" s="163">
        <f>XIRR(M22:M25,$L$22:$L$25)</f>
        <v>4.9973705410957345E-2</v>
      </c>
      <c r="N21" s="163"/>
      <c r="O21" t="s">
        <v>876</v>
      </c>
      <c r="P21" s="163">
        <f>XIRR(P22:P24,$O$22:$O$24)</f>
        <v>4.9964055418968215E-2</v>
      </c>
      <c r="Q21" s="163"/>
    </row>
    <row r="22" spans="1:34">
      <c r="A22" s="156">
        <v>46094</v>
      </c>
      <c r="B22" s="112" t="s">
        <v>1395</v>
      </c>
      <c r="C22" s="112">
        <v>300</v>
      </c>
      <c r="D22" s="112"/>
      <c r="E22" s="113">
        <f>+E21+C22-D22</f>
        <v>317</v>
      </c>
      <c r="H22" s="256">
        <v>45744</v>
      </c>
      <c r="I22" s="257">
        <v>-103</v>
      </c>
      <c r="L22" s="1">
        <v>45008</v>
      </c>
      <c r="M22">
        <v>-105</v>
      </c>
      <c r="O22" s="1">
        <v>45741</v>
      </c>
      <c r="P22">
        <v>-105</v>
      </c>
    </row>
    <row r="23" spans="1:34">
      <c r="A23" s="156"/>
      <c r="B23" s="112"/>
      <c r="C23" s="112"/>
      <c r="D23" s="112"/>
      <c r="E23" s="113">
        <f t="shared" si="0"/>
        <v>317</v>
      </c>
      <c r="H23" s="256">
        <v>46048</v>
      </c>
      <c r="I23" s="257">
        <v>100.90179999999999</v>
      </c>
      <c r="L23" s="1">
        <v>45866</v>
      </c>
      <c r="M23">
        <v>26.841799999999999</v>
      </c>
      <c r="O23" s="1">
        <v>46048</v>
      </c>
      <c r="P23">
        <v>32.31</v>
      </c>
    </row>
    <row r="24" spans="1:34">
      <c r="A24" s="156">
        <v>46099</v>
      </c>
      <c r="B24" s="112" t="s">
        <v>1396</v>
      </c>
      <c r="C24" s="112"/>
      <c r="D24" s="112">
        <f>30*1.045</f>
        <v>31.349999999999998</v>
      </c>
      <c r="E24" s="113">
        <f t="shared" si="0"/>
        <v>285.64999999999998</v>
      </c>
      <c r="H24" s="256">
        <v>46056</v>
      </c>
      <c r="I24" s="258">
        <v>6.38</v>
      </c>
      <c r="J24" s="2"/>
      <c r="L24" s="1">
        <v>46048</v>
      </c>
      <c r="M24">
        <v>34.367100000000001</v>
      </c>
      <c r="O24" s="1">
        <f>J15</f>
        <v>46063</v>
      </c>
      <c r="P24">
        <v>77.239999999999995</v>
      </c>
    </row>
    <row r="25" spans="1:34">
      <c r="A25" s="156">
        <v>46099</v>
      </c>
      <c r="B25" s="112" t="s">
        <v>1470</v>
      </c>
      <c r="C25" s="112"/>
      <c r="D25" s="112">
        <v>276.64</v>
      </c>
      <c r="E25" s="113">
        <f t="shared" si="0"/>
        <v>9.0099999999999909</v>
      </c>
      <c r="H25" s="1"/>
      <c r="L25" s="1">
        <f>J14</f>
        <v>46063</v>
      </c>
      <c r="M25" s="2">
        <v>58.9</v>
      </c>
      <c r="N25" s="2"/>
    </row>
    <row r="26" spans="1:34">
      <c r="A26" s="156"/>
      <c r="B26" s="112"/>
      <c r="C26" s="112"/>
      <c r="D26" s="112"/>
      <c r="E26" s="113">
        <f t="shared" ref="E26:E33" si="3">+E25+C26-D26</f>
        <v>9.0099999999999909</v>
      </c>
      <c r="L26" s="1"/>
    </row>
    <row r="27" spans="1:34">
      <c r="A27" s="156">
        <v>46105</v>
      </c>
      <c r="B27" s="112" t="s">
        <v>993</v>
      </c>
      <c r="C27" s="112">
        <v>1030</v>
      </c>
      <c r="D27" s="112"/>
      <c r="E27" s="113">
        <f t="shared" si="3"/>
        <v>1039.01</v>
      </c>
      <c r="G27" s="2">
        <v>2800000</v>
      </c>
      <c r="H27" s="1" t="s">
        <v>1035</v>
      </c>
      <c r="I27" s="163">
        <f>XIRR(I28:I29,$H$28:$H$29)</f>
        <v>4.9951395392417913E-2</v>
      </c>
      <c r="J27" s="163">
        <f>XIRR(J28:J29,$H$28:$H$29)</f>
        <v>4.1483601927757269E-2</v>
      </c>
      <c r="L27" t="s">
        <v>1027</v>
      </c>
      <c r="M27" s="163">
        <f>XIRR(M28:M29,$L$28:$L$29)</f>
        <v>4.9968513846397403E-2</v>
      </c>
    </row>
    <row r="28" spans="1:34">
      <c r="A28" s="156"/>
      <c r="B28" s="112"/>
      <c r="C28" s="112"/>
      <c r="D28" s="112"/>
      <c r="E28" s="113">
        <f t="shared" si="3"/>
        <v>1039.01</v>
      </c>
      <c r="G28">
        <v>1.0431999999999999</v>
      </c>
      <c r="H28" s="1">
        <v>45742</v>
      </c>
      <c r="I28">
        <v>-100</v>
      </c>
      <c r="J28">
        <f>I28</f>
        <v>-100</v>
      </c>
      <c r="L28" s="1">
        <v>45807</v>
      </c>
      <c r="M28">
        <v>-101</v>
      </c>
    </row>
    <row r="29" spans="1:34">
      <c r="A29" s="156">
        <v>46105</v>
      </c>
      <c r="B29" s="112" t="s">
        <v>1558</v>
      </c>
      <c r="C29" s="112"/>
      <c r="D29" s="112">
        <f>490*1.069</f>
        <v>523.80999999999995</v>
      </c>
      <c r="E29" s="113">
        <f t="shared" si="3"/>
        <v>515.20000000000005</v>
      </c>
      <c r="F29" t="s">
        <v>1565</v>
      </c>
      <c r="G29" s="165">
        <f>G27/G28</f>
        <v>2684049.0797546017</v>
      </c>
      <c r="H29" s="117">
        <f>J16</f>
        <v>46063</v>
      </c>
      <c r="I29">
        <v>104.38</v>
      </c>
      <c r="J29">
        <v>103.63930000000001</v>
      </c>
      <c r="L29" s="117">
        <v>46059</v>
      </c>
      <c r="M29">
        <v>104.458</v>
      </c>
    </row>
    <row r="30" spans="1:34">
      <c r="A30" s="156"/>
      <c r="B30" s="112"/>
      <c r="C30" s="112"/>
      <c r="D30" s="112"/>
      <c r="E30" s="113">
        <f t="shared" si="3"/>
        <v>515.20000000000005</v>
      </c>
      <c r="G30" s="2">
        <v>2660000</v>
      </c>
    </row>
    <row r="31" spans="1:34">
      <c r="A31" s="156">
        <v>46106</v>
      </c>
      <c r="B31" s="112" t="s">
        <v>1592</v>
      </c>
      <c r="C31" s="112"/>
      <c r="D31" s="112">
        <v>200</v>
      </c>
      <c r="E31" s="113">
        <f t="shared" si="3"/>
        <v>315.20000000000005</v>
      </c>
      <c r="G31" s="2">
        <f>G30*G28</f>
        <v>2774911.9999999995</v>
      </c>
      <c r="R31" s="405">
        <f>R37-T37</f>
        <v>-9.099839999999972</v>
      </c>
    </row>
    <row r="32" spans="1:34">
      <c r="A32" s="156">
        <v>46106</v>
      </c>
      <c r="B32" s="112" t="s">
        <v>1593</v>
      </c>
      <c r="C32" s="112"/>
      <c r="D32" s="112">
        <v>300</v>
      </c>
      <c r="E32" s="113">
        <f t="shared" si="3"/>
        <v>15.200000000000045</v>
      </c>
      <c r="H32" s="169" t="s">
        <v>1690</v>
      </c>
      <c r="I32" t="s">
        <v>649</v>
      </c>
      <c r="J32" t="s">
        <v>768</v>
      </c>
      <c r="K32" t="s">
        <v>1691</v>
      </c>
      <c r="L32" t="s">
        <v>1692</v>
      </c>
      <c r="M32" t="s">
        <v>1693</v>
      </c>
      <c r="N32" t="s">
        <v>1695</v>
      </c>
      <c r="O32" t="s">
        <v>1694</v>
      </c>
      <c r="P32" t="s">
        <v>530</v>
      </c>
      <c r="Q32" t="s">
        <v>978</v>
      </c>
      <c r="R32" t="s">
        <v>1696</v>
      </c>
      <c r="U32" s="169" t="s">
        <v>1688</v>
      </c>
      <c r="V32" s="163">
        <f>XIRR(V33:V37,U33:U37)</f>
        <v>4.9950459599494942E-2</v>
      </c>
      <c r="W32" s="169" t="s">
        <v>354</v>
      </c>
      <c r="X32" s="163">
        <f>XIRR(X33:X35,W33:W35)</f>
        <v>4.9955293536186232E-2</v>
      </c>
      <c r="Y32" s="379" t="s">
        <v>357</v>
      </c>
      <c r="Z32" s="163">
        <f>XIRR(Z33:Z35,Y33:Y35)</f>
        <v>4.9953171610832223E-2</v>
      </c>
      <c r="AA32" s="379" t="s">
        <v>358</v>
      </c>
      <c r="AB32" s="163">
        <f>XIRR(AB33:AB35,AA33:AA35)</f>
        <v>5.0011542439460752E-2</v>
      </c>
      <c r="AC32" s="169" t="s">
        <v>1689</v>
      </c>
      <c r="AD32" s="163">
        <f>XIRR(AD33:AD35,AC33:AC35)</f>
        <v>4.9952939152717604E-2</v>
      </c>
      <c r="AE32" s="169" t="s">
        <v>357</v>
      </c>
      <c r="AF32" s="163">
        <f>XIRR(AF33:AF35,AE33:AE35)</f>
        <v>4.9971988797187797E-2</v>
      </c>
      <c r="AH32" s="163">
        <f>XIRR(AH33:AH35,AG33:AG35)</f>
        <v>5.0817969441413868E-2</v>
      </c>
    </row>
    <row r="33" spans="1:34">
      <c r="E33" s="113">
        <f t="shared" si="3"/>
        <v>15.200000000000045</v>
      </c>
      <c r="G33" t="s">
        <v>1218</v>
      </c>
      <c r="H33" s="398" t="s">
        <v>357</v>
      </c>
      <c r="I33" s="399" t="s">
        <v>708</v>
      </c>
      <c r="J33" s="400">
        <v>55800</v>
      </c>
      <c r="K33" s="401">
        <v>0.05</v>
      </c>
      <c r="L33" s="398">
        <v>45743</v>
      </c>
      <c r="M33" s="399">
        <v>105</v>
      </c>
      <c r="N33" s="402">
        <v>579.03660000000002</v>
      </c>
      <c r="O33" s="399">
        <v>98.77</v>
      </c>
      <c r="P33" s="403">
        <v>46113</v>
      </c>
      <c r="Q33" s="399">
        <v>109.078</v>
      </c>
      <c r="R33" s="404">
        <f t="shared" ref="R33:R43" si="4">+Q33*J33/10000</f>
        <v>608.65524000000005</v>
      </c>
      <c r="S33" s="399" t="s">
        <v>1757</v>
      </c>
      <c r="T33" s="399" t="s">
        <v>849</v>
      </c>
      <c r="U33" s="1">
        <v>45027</v>
      </c>
      <c r="V33">
        <f>-M37</f>
        <v>-107</v>
      </c>
      <c r="W33" s="1">
        <f>+L41</f>
        <v>45653</v>
      </c>
      <c r="X33">
        <f>-M41</f>
        <v>-100</v>
      </c>
      <c r="Y33" s="1">
        <f>L33</f>
        <v>45743</v>
      </c>
      <c r="Z33">
        <f>-M33</f>
        <v>-105</v>
      </c>
      <c r="AA33" s="1">
        <f>L34</f>
        <v>45772</v>
      </c>
      <c r="AB33">
        <f>-M34</f>
        <v>-105</v>
      </c>
      <c r="AC33" s="1">
        <f>L35</f>
        <v>45805</v>
      </c>
      <c r="AD33">
        <f>-M35</f>
        <v>-108</v>
      </c>
      <c r="AE33" s="1">
        <f>L36</f>
        <v>45743</v>
      </c>
      <c r="AF33">
        <f>-M36</f>
        <v>-105</v>
      </c>
      <c r="AG33" s="1">
        <v>45986</v>
      </c>
      <c r="AH33">
        <v>-112</v>
      </c>
    </row>
    <row r="34" spans="1:34">
      <c r="A34" s="156">
        <v>46107</v>
      </c>
      <c r="B34" s="112" t="s">
        <v>613</v>
      </c>
      <c r="C34" s="112">
        <v>258</v>
      </c>
      <c r="D34" s="112"/>
      <c r="E34" s="113">
        <f>+E33+C34-D34</f>
        <v>273.20000000000005</v>
      </c>
      <c r="G34" t="s">
        <v>1218</v>
      </c>
      <c r="H34" s="398" t="s">
        <v>358</v>
      </c>
      <c r="I34" s="399" t="s">
        <v>710</v>
      </c>
      <c r="J34" s="400">
        <v>42000</v>
      </c>
      <c r="K34" s="401">
        <v>0.05</v>
      </c>
      <c r="L34" s="398">
        <v>45772</v>
      </c>
      <c r="M34" s="399">
        <v>105</v>
      </c>
      <c r="N34" s="402">
        <v>436.94400000000002</v>
      </c>
      <c r="O34" s="399">
        <v>100</v>
      </c>
      <c r="P34" s="403">
        <v>46113</v>
      </c>
      <c r="Q34" s="399">
        <v>109.898</v>
      </c>
      <c r="R34" s="404">
        <f t="shared" si="4"/>
        <v>461.57159999999999</v>
      </c>
      <c r="S34" s="399" t="s">
        <v>1758</v>
      </c>
      <c r="T34" s="399" t="s">
        <v>849</v>
      </c>
      <c r="U34" s="1">
        <v>45714</v>
      </c>
      <c r="V34">
        <v>5.44</v>
      </c>
      <c r="W34" s="117">
        <v>46107</v>
      </c>
      <c r="X34">
        <v>33.58</v>
      </c>
      <c r="Y34" s="117">
        <v>46048</v>
      </c>
      <c r="Z34">
        <v>1.23</v>
      </c>
      <c r="AA34" s="117">
        <f>+P34</f>
        <v>46113</v>
      </c>
      <c r="AB34">
        <v>109.898</v>
      </c>
      <c r="AC34" s="117">
        <f>+P35</f>
        <v>46113</v>
      </c>
      <c r="AD34">
        <v>112.535</v>
      </c>
      <c r="AE34" s="117">
        <v>46048</v>
      </c>
      <c r="AF34">
        <v>1.23</v>
      </c>
      <c r="AG34" s="117">
        <f>AE34</f>
        <v>46048</v>
      </c>
      <c r="AH34">
        <v>1.23</v>
      </c>
    </row>
    <row r="35" spans="1:34">
      <c r="A35" s="156">
        <v>46107</v>
      </c>
      <c r="B35" s="112" t="s">
        <v>1657</v>
      </c>
      <c r="C35" s="112"/>
      <c r="D35" s="112">
        <v>169.6</v>
      </c>
      <c r="E35" s="113">
        <f t="shared" ref="E35:E36" si="5">+E34+C35-D35</f>
        <v>103.60000000000005</v>
      </c>
      <c r="G35" t="s">
        <v>1218</v>
      </c>
      <c r="H35" s="398" t="s">
        <v>1689</v>
      </c>
      <c r="I35" s="399" t="s">
        <v>711</v>
      </c>
      <c r="J35" s="400">
        <v>28500</v>
      </c>
      <c r="K35" s="401">
        <v>0.05</v>
      </c>
      <c r="L35" s="398">
        <v>45805</v>
      </c>
      <c r="M35" s="399">
        <v>108</v>
      </c>
      <c r="N35" s="402">
        <v>307.8</v>
      </c>
      <c r="O35" s="399">
        <v>100</v>
      </c>
      <c r="P35" s="403">
        <v>46113</v>
      </c>
      <c r="Q35" s="399">
        <v>112.535</v>
      </c>
      <c r="R35" s="404">
        <f t="shared" si="4"/>
        <v>320.72474999999997</v>
      </c>
      <c r="S35" s="399" t="s">
        <v>1759</v>
      </c>
      <c r="T35" s="399" t="s">
        <v>849</v>
      </c>
      <c r="U35" s="1">
        <v>45895</v>
      </c>
      <c r="V35">
        <v>24.19</v>
      </c>
      <c r="W35" s="117">
        <f>+P41</f>
        <v>46121</v>
      </c>
      <c r="X35">
        <v>72.807000000000002</v>
      </c>
      <c r="Y35" s="117">
        <f>P33</f>
        <v>46113</v>
      </c>
      <c r="Z35">
        <v>109.078</v>
      </c>
      <c r="AE35" s="117">
        <f>+P36</f>
        <v>46113</v>
      </c>
      <c r="AF35">
        <v>109.08</v>
      </c>
      <c r="AG35" s="117">
        <f>AE35</f>
        <v>46113</v>
      </c>
      <c r="AH35">
        <f>-AH33*5%/365*(AG34-AG33)+(-AH33-AH34)*5%/365*(AG35-AG34)+-AH33-AH34</f>
        <v>112.70754109589041</v>
      </c>
    </row>
    <row r="36" spans="1:34">
      <c r="A36" s="156">
        <v>46112</v>
      </c>
      <c r="B36" s="112" t="s">
        <v>1557</v>
      </c>
      <c r="C36" s="112">
        <v>2150</v>
      </c>
      <c r="D36" s="112"/>
      <c r="E36" s="113">
        <f t="shared" si="5"/>
        <v>2253.6</v>
      </c>
      <c r="G36" t="s">
        <v>1715</v>
      </c>
      <c r="H36" s="399" t="s">
        <v>357</v>
      </c>
      <c r="I36" s="399" t="s">
        <v>708</v>
      </c>
      <c r="J36" s="400">
        <v>71600</v>
      </c>
      <c r="K36" s="401">
        <v>0.05</v>
      </c>
      <c r="L36" s="398">
        <v>45743</v>
      </c>
      <c r="M36" s="399">
        <v>105</v>
      </c>
      <c r="N36" s="402">
        <v>793.11320000000001</v>
      </c>
      <c r="O36" s="399">
        <v>98.77</v>
      </c>
      <c r="P36" s="403">
        <v>46113</v>
      </c>
      <c r="Q36" s="399">
        <v>112.70754109589041</v>
      </c>
      <c r="R36" s="404">
        <f t="shared" si="4"/>
        <v>806.98599424657527</v>
      </c>
      <c r="S36" s="399" t="s">
        <v>1760</v>
      </c>
      <c r="T36" s="399" t="s">
        <v>849</v>
      </c>
      <c r="U36" s="1">
        <v>46079</v>
      </c>
      <c r="V36">
        <v>22.18</v>
      </c>
    </row>
    <row r="37" spans="1:34">
      <c r="A37" s="156">
        <v>46113</v>
      </c>
      <c r="B37" s="112" t="s">
        <v>1682</v>
      </c>
      <c r="C37" s="112"/>
      <c r="D37" s="219">
        <v>2198</v>
      </c>
      <c r="E37" s="113">
        <f t="shared" ref="E37:E49" si="6">+E36+C37-D37</f>
        <v>55.599999999999909</v>
      </c>
      <c r="F37" t="s">
        <v>1745</v>
      </c>
      <c r="G37" t="s">
        <v>1218</v>
      </c>
      <c r="H37" s="399" t="s">
        <v>1521</v>
      </c>
      <c r="I37" s="399" t="s">
        <v>654</v>
      </c>
      <c r="J37" s="400">
        <v>107100</v>
      </c>
      <c r="K37" s="401">
        <v>0.05</v>
      </c>
      <c r="L37" s="398">
        <v>45027</v>
      </c>
      <c r="M37" s="399">
        <v>107</v>
      </c>
      <c r="N37" s="402">
        <v>516.11490000000003</v>
      </c>
      <c r="O37" s="399">
        <v>48.19</v>
      </c>
      <c r="P37" s="403">
        <v>46121</v>
      </c>
      <c r="Q37" s="412">
        <v>70.002341736694689</v>
      </c>
      <c r="R37" s="404">
        <f>+Q37*J37/10000</f>
        <v>749.72508000000005</v>
      </c>
      <c r="S37" s="399" t="s">
        <v>1761</v>
      </c>
      <c r="T37" s="413">
        <f>V37*J37/10000</f>
        <v>758.82492000000002</v>
      </c>
      <c r="U37" s="1">
        <f>P37</f>
        <v>46121</v>
      </c>
      <c r="V37" s="345">
        <v>70.852000000000004</v>
      </c>
    </row>
    <row r="38" spans="1:34">
      <c r="A38" s="156">
        <v>46119</v>
      </c>
      <c r="B38" s="112" t="s">
        <v>993</v>
      </c>
      <c r="C38" s="112">
        <v>750</v>
      </c>
      <c r="D38" s="112"/>
      <c r="E38" s="113">
        <f t="shared" si="6"/>
        <v>805.59999999999991</v>
      </c>
      <c r="G38" t="s">
        <v>1218</v>
      </c>
      <c r="H38" s="399" t="s">
        <v>982</v>
      </c>
      <c r="I38" s="399" t="s">
        <v>1746</v>
      </c>
      <c r="J38" s="400">
        <v>35100</v>
      </c>
      <c r="K38" s="401">
        <v>0.05</v>
      </c>
      <c r="L38" s="398">
        <v>45832</v>
      </c>
      <c r="M38" s="414">
        <v>110</v>
      </c>
      <c r="N38" s="402">
        <v>381.89580000000018</v>
      </c>
      <c r="O38" s="399">
        <v>100</v>
      </c>
      <c r="P38" s="403">
        <v>46121</v>
      </c>
      <c r="Q38" s="399">
        <v>114.33</v>
      </c>
      <c r="R38" s="404">
        <f>+Q38*J38/10000</f>
        <v>401.29829999999998</v>
      </c>
      <c r="S38" s="399" t="s">
        <v>1750</v>
      </c>
      <c r="T38" s="399" t="s">
        <v>849</v>
      </c>
    </row>
    <row r="39" spans="1:34">
      <c r="A39" s="156">
        <v>46119</v>
      </c>
      <c r="B39" s="112" t="s">
        <v>1769</v>
      </c>
      <c r="C39" s="112"/>
      <c r="D39" s="219">
        <v>140.4</v>
      </c>
      <c r="E39" s="113">
        <f t="shared" si="6"/>
        <v>665.19999999999993</v>
      </c>
      <c r="G39" t="s">
        <v>1497</v>
      </c>
      <c r="H39" s="399" t="s">
        <v>1730</v>
      </c>
      <c r="I39" s="399" t="s">
        <v>1621</v>
      </c>
      <c r="J39" s="400">
        <v>76800</v>
      </c>
      <c r="K39" s="401">
        <v>0.05</v>
      </c>
      <c r="L39" s="398">
        <v>46008</v>
      </c>
      <c r="M39" s="414">
        <v>104</v>
      </c>
      <c r="N39" s="402">
        <v>797.68575999999996</v>
      </c>
      <c r="O39" s="399">
        <v>100</v>
      </c>
      <c r="P39" s="403">
        <v>46121</v>
      </c>
      <c r="Q39" s="399">
        <v>105.58199999999999</v>
      </c>
      <c r="R39" s="404">
        <f t="shared" si="4"/>
        <v>810.86975999999993</v>
      </c>
      <c r="S39" s="399" t="s">
        <v>1818</v>
      </c>
      <c r="T39" s="399" t="s">
        <v>849</v>
      </c>
      <c r="U39" s="169" t="s">
        <v>1749</v>
      </c>
      <c r="V39" s="163">
        <f>XIRR(V40:V41,U40:U41)</f>
        <v>4.9973216652870189E-2</v>
      </c>
      <c r="W39" s="169" t="s">
        <v>982</v>
      </c>
      <c r="X39" s="163">
        <f>XIRR(X40:X41,W40:W41)</f>
        <v>4.9970188736915597E-2</v>
      </c>
      <c r="Y39" s="169" t="s">
        <v>362</v>
      </c>
      <c r="Z39" s="163">
        <f>XIRR(Z40:Z41,Y40:Y41)</f>
        <v>5.002191364765167E-2</v>
      </c>
      <c r="AA39" s="169" t="s">
        <v>370</v>
      </c>
      <c r="AB39" s="163">
        <f>XIRR(AB40:AB41,AA40:AA41)</f>
        <v>4.4965752959251412E-2</v>
      </c>
      <c r="AC39" s="169" t="s">
        <v>975</v>
      </c>
      <c r="AD39" s="163">
        <f>XIRR(AD40:AD41,AC40:AC41)</f>
        <v>4.9962410330772408E-2</v>
      </c>
    </row>
    <row r="40" spans="1:34">
      <c r="A40" s="156">
        <v>46120</v>
      </c>
      <c r="B40" s="112" t="s">
        <v>1395</v>
      </c>
      <c r="C40" s="112">
        <f>慧聚领航1号!D16</f>
        <v>2364</v>
      </c>
      <c r="D40" s="219"/>
      <c r="E40" s="113">
        <f t="shared" si="6"/>
        <v>3029.2</v>
      </c>
      <c r="G40" t="s">
        <v>1497</v>
      </c>
      <c r="H40" s="399" t="s">
        <v>975</v>
      </c>
      <c r="I40" s="399" t="s">
        <v>1792</v>
      </c>
      <c r="J40" s="400">
        <v>3000</v>
      </c>
      <c r="K40" s="401">
        <v>0.05</v>
      </c>
      <c r="L40" s="398">
        <v>45867</v>
      </c>
      <c r="M40" s="414">
        <v>102</v>
      </c>
      <c r="N40" s="402">
        <v>12.7</v>
      </c>
      <c r="O40" s="399">
        <v>100</v>
      </c>
      <c r="P40" s="403">
        <v>46121</v>
      </c>
      <c r="Q40" s="399">
        <f>AD41</f>
        <v>105.52</v>
      </c>
      <c r="R40" s="404">
        <f t="shared" si="4"/>
        <v>31.655999999999999</v>
      </c>
      <c r="S40" s="399" t="s">
        <v>1793</v>
      </c>
      <c r="T40" s="399" t="s">
        <v>849</v>
      </c>
      <c r="U40" s="1">
        <f>L39</f>
        <v>46008</v>
      </c>
      <c r="V40">
        <f>-M39</f>
        <v>-104</v>
      </c>
      <c r="W40" s="1">
        <f>+L38</f>
        <v>45832</v>
      </c>
      <c r="X40">
        <f>-M38</f>
        <v>-110</v>
      </c>
      <c r="Y40" s="1">
        <f>+L42</f>
        <v>45834</v>
      </c>
      <c r="Z40">
        <f>-M42</f>
        <v>-103</v>
      </c>
      <c r="AA40" s="1">
        <f>L43</f>
        <v>45925</v>
      </c>
      <c r="AB40">
        <f>-M43</f>
        <v>-100</v>
      </c>
      <c r="AC40" s="1">
        <f>L40</f>
        <v>45867</v>
      </c>
      <c r="AD40">
        <f>-M40</f>
        <v>-102</v>
      </c>
    </row>
    <row r="41" spans="1:34">
      <c r="A41" s="156"/>
      <c r="B41" s="112"/>
      <c r="C41" s="112"/>
      <c r="D41" s="219"/>
      <c r="E41" s="113">
        <f t="shared" si="6"/>
        <v>3029.2</v>
      </c>
      <c r="G41" t="s">
        <v>1218</v>
      </c>
      <c r="H41" t="s">
        <v>877</v>
      </c>
      <c r="I41" t="s">
        <v>703</v>
      </c>
      <c r="J41" s="109">
        <v>50000</v>
      </c>
      <c r="K41" s="163">
        <v>0.05</v>
      </c>
      <c r="L41" s="1">
        <v>45653</v>
      </c>
      <c r="M41">
        <v>100</v>
      </c>
      <c r="N41" s="2">
        <v>478.55</v>
      </c>
      <c r="O41">
        <v>66.42</v>
      </c>
      <c r="P41" s="117">
        <v>46121</v>
      </c>
      <c r="Q41">
        <v>72.807000000000002</v>
      </c>
      <c r="R41" s="347">
        <f>+Q41*J41/10000</f>
        <v>364.03500000000003</v>
      </c>
      <c r="S41" t="s">
        <v>1762</v>
      </c>
      <c r="T41" t="s">
        <v>1794</v>
      </c>
      <c r="U41" s="117">
        <f>+P39</f>
        <v>46121</v>
      </c>
      <c r="V41" s="406">
        <v>105.58199999999999</v>
      </c>
      <c r="W41" s="117">
        <f>+P38</f>
        <v>46121</v>
      </c>
      <c r="X41">
        <v>114.33</v>
      </c>
      <c r="Y41" s="117">
        <f>P42</f>
        <v>46121</v>
      </c>
      <c r="Z41">
        <v>107.03</v>
      </c>
      <c r="AA41" s="117">
        <f>+P43</f>
        <v>46121</v>
      </c>
      <c r="AB41">
        <v>102.39</v>
      </c>
      <c r="AC41" s="117">
        <f>+P40</f>
        <v>46121</v>
      </c>
      <c r="AD41">
        <v>105.52</v>
      </c>
    </row>
    <row r="42" spans="1:34">
      <c r="A42" s="156">
        <v>46121</v>
      </c>
      <c r="B42" s="112" t="s">
        <v>1521</v>
      </c>
      <c r="C42" s="112"/>
      <c r="D42" s="219">
        <v>750</v>
      </c>
      <c r="E42" s="113">
        <f t="shared" si="6"/>
        <v>2279.1999999999998</v>
      </c>
      <c r="F42" s="399" t="s">
        <v>1815</v>
      </c>
      <c r="G42" t="s">
        <v>1218</v>
      </c>
      <c r="H42" t="s">
        <v>1763</v>
      </c>
      <c r="I42" t="s">
        <v>1747</v>
      </c>
      <c r="J42" s="109">
        <v>41300</v>
      </c>
      <c r="K42" s="163">
        <v>0.05</v>
      </c>
      <c r="L42" s="1">
        <v>45834</v>
      </c>
      <c r="M42" s="348">
        <v>103</v>
      </c>
      <c r="N42" s="2">
        <v>425.39</v>
      </c>
      <c r="O42">
        <v>100</v>
      </c>
      <c r="P42" s="117">
        <v>46121</v>
      </c>
      <c r="Q42">
        <v>107.03</v>
      </c>
      <c r="R42" s="347">
        <f t="shared" si="4"/>
        <v>442.03390000000002</v>
      </c>
      <c r="S42" t="s">
        <v>1751</v>
      </c>
      <c r="T42" t="s">
        <v>1794</v>
      </c>
      <c r="U42" s="1"/>
    </row>
    <row r="43" spans="1:34">
      <c r="A43" s="156">
        <v>46121</v>
      </c>
      <c r="B43" s="241" t="s">
        <v>1712</v>
      </c>
      <c r="C43" s="112"/>
      <c r="D43" s="219">
        <v>810.86975999999993</v>
      </c>
      <c r="E43" s="113">
        <f t="shared" si="6"/>
        <v>1468.3302399999998</v>
      </c>
      <c r="F43" s="399" t="s">
        <v>1795</v>
      </c>
      <c r="G43" t="s">
        <v>1218</v>
      </c>
      <c r="H43" t="s">
        <v>1764</v>
      </c>
      <c r="I43" t="s">
        <v>1748</v>
      </c>
      <c r="J43" s="109">
        <v>9000</v>
      </c>
      <c r="K43" s="163">
        <v>4.4999999999999998E-2</v>
      </c>
      <c r="L43" s="1">
        <v>45925</v>
      </c>
      <c r="M43" s="348">
        <v>100</v>
      </c>
      <c r="N43" s="2">
        <v>90</v>
      </c>
      <c r="O43">
        <v>100</v>
      </c>
      <c r="P43" s="117">
        <v>46121</v>
      </c>
      <c r="Q43">
        <v>102.39</v>
      </c>
      <c r="R43" s="347">
        <f t="shared" si="4"/>
        <v>92.150999999999996</v>
      </c>
      <c r="S43" t="s">
        <v>1752</v>
      </c>
      <c r="T43" t="s">
        <v>1794</v>
      </c>
      <c r="U43" s="117"/>
    </row>
    <row r="44" spans="1:34">
      <c r="A44" s="156">
        <v>46121</v>
      </c>
      <c r="B44" s="241" t="s">
        <v>975</v>
      </c>
      <c r="C44" s="410"/>
      <c r="D44" s="219">
        <v>31.655999999999999</v>
      </c>
      <c r="E44" s="113">
        <f t="shared" si="6"/>
        <v>1436.6742399999998</v>
      </c>
      <c r="F44" s="399" t="s">
        <v>1793</v>
      </c>
      <c r="R44" s="378">
        <f>SUM(R37:R43)</f>
        <v>2891.7690399999997</v>
      </c>
      <c r="U44" s="117"/>
    </row>
    <row r="45" spans="1:34">
      <c r="A45" s="156">
        <v>46121</v>
      </c>
      <c r="B45" s="241" t="s">
        <v>363</v>
      </c>
      <c r="C45" s="410"/>
      <c r="D45" s="219">
        <v>401.29829999999998</v>
      </c>
      <c r="E45" s="113">
        <f t="shared" si="6"/>
        <v>1035.3759399999999</v>
      </c>
      <c r="F45" s="399" t="s">
        <v>1750</v>
      </c>
    </row>
    <row r="46" spans="1:34">
      <c r="A46" s="156"/>
      <c r="B46" s="241"/>
      <c r="C46" s="410"/>
      <c r="D46" s="219"/>
      <c r="E46" s="113">
        <f t="shared" si="6"/>
        <v>1035.3759399999999</v>
      </c>
      <c r="J46" t="s">
        <v>1751</v>
      </c>
    </row>
    <row r="47" spans="1:34">
      <c r="A47" s="156">
        <v>46121</v>
      </c>
      <c r="B47" s="241" t="s">
        <v>1814</v>
      </c>
      <c r="C47" s="112">
        <v>150</v>
      </c>
      <c r="D47" s="112"/>
      <c r="E47" s="113">
        <f t="shared" si="6"/>
        <v>1185.3759399999999</v>
      </c>
      <c r="J47" t="s">
        <v>1752</v>
      </c>
    </row>
    <row r="48" spans="1:34">
      <c r="A48" s="156">
        <v>46122</v>
      </c>
      <c r="B48" s="241" t="s">
        <v>1765</v>
      </c>
      <c r="C48" s="112"/>
      <c r="D48" s="219">
        <v>1120</v>
      </c>
      <c r="E48" s="113">
        <f t="shared" si="6"/>
        <v>65.3759399999999</v>
      </c>
      <c r="F48" s="399" t="s">
        <v>1848</v>
      </c>
    </row>
    <row r="49" spans="1:17">
      <c r="A49" s="156"/>
      <c r="B49" s="112"/>
      <c r="C49" s="112"/>
      <c r="D49" s="112"/>
      <c r="E49" s="113">
        <f t="shared" si="6"/>
        <v>65.3759399999999</v>
      </c>
    </row>
    <row r="50" spans="1:17">
      <c r="A50" s="156"/>
      <c r="B50" s="112"/>
      <c r="C50" s="112"/>
      <c r="D50" s="112"/>
      <c r="E50" s="113">
        <f t="shared" ref="E50:E58" si="7">+E49+C50-D50</f>
        <v>65.3759399999999</v>
      </c>
    </row>
    <row r="51" spans="1:17">
      <c r="A51" s="156"/>
      <c r="B51" s="112"/>
      <c r="C51" s="112"/>
      <c r="D51" s="112"/>
      <c r="E51" s="113">
        <f t="shared" si="7"/>
        <v>65.3759399999999</v>
      </c>
    </row>
    <row r="52" spans="1:17">
      <c r="A52" s="156"/>
      <c r="B52" s="112"/>
      <c r="C52" s="112"/>
      <c r="D52" s="112"/>
      <c r="E52" s="113">
        <f t="shared" si="7"/>
        <v>65.3759399999999</v>
      </c>
    </row>
    <row r="53" spans="1:17">
      <c r="A53" s="156">
        <v>46134</v>
      </c>
      <c r="B53" s="112" t="s">
        <v>1814</v>
      </c>
      <c r="C53" s="112">
        <v>210</v>
      </c>
      <c r="D53" s="112"/>
      <c r="E53" s="113">
        <f t="shared" si="7"/>
        <v>275.3759399999999</v>
      </c>
    </row>
    <row r="54" spans="1:17">
      <c r="A54" s="156">
        <v>46135</v>
      </c>
      <c r="B54" s="112" t="s">
        <v>2082</v>
      </c>
      <c r="C54" s="112"/>
      <c r="D54" s="112">
        <v>154.12049999999999</v>
      </c>
      <c r="E54" s="113">
        <f t="shared" si="7"/>
        <v>121.25543999999991</v>
      </c>
      <c r="F54" s="399" t="s">
        <v>2081</v>
      </c>
    </row>
    <row r="55" spans="1:17">
      <c r="A55" s="156"/>
      <c r="B55" s="112"/>
      <c r="C55" s="112"/>
      <c r="D55" s="112"/>
      <c r="E55" s="113">
        <f t="shared" si="7"/>
        <v>121.25543999999991</v>
      </c>
    </row>
    <row r="56" spans="1:17">
      <c r="A56" s="156">
        <v>46135</v>
      </c>
      <c r="B56" s="112" t="s">
        <v>2102</v>
      </c>
      <c r="C56" s="112"/>
      <c r="D56" s="112">
        <v>7.7129649999999996</v>
      </c>
      <c r="E56" s="113">
        <f t="shared" si="7"/>
        <v>113.54247499999991</v>
      </c>
      <c r="F56" s="399" t="s">
        <v>2133</v>
      </c>
      <c r="L56" t="s">
        <v>527</v>
      </c>
      <c r="M56" t="s">
        <v>528</v>
      </c>
    </row>
    <row r="57" spans="1:17">
      <c r="A57" s="156">
        <v>46135</v>
      </c>
      <c r="B57" s="112" t="s">
        <v>2103</v>
      </c>
      <c r="C57" s="112"/>
      <c r="D57" s="112">
        <v>56.27</v>
      </c>
      <c r="E57" s="113">
        <f t="shared" si="7"/>
        <v>57.272474999999908</v>
      </c>
      <c r="F57" s="399" t="s">
        <v>2134</v>
      </c>
      <c r="I57" t="s">
        <v>2084</v>
      </c>
      <c r="J57">
        <v>20</v>
      </c>
      <c r="K57" s="2">
        <f>20*L57/100</f>
        <v>19.013999999999999</v>
      </c>
      <c r="L57">
        <f>100-4.93</f>
        <v>95.07</v>
      </c>
      <c r="M57">
        <v>96.142300000000006</v>
      </c>
      <c r="N57">
        <f>+M57*J57/100</f>
        <v>19.228459999999998</v>
      </c>
      <c r="Q57" t="s">
        <v>2131</v>
      </c>
    </row>
    <row r="58" spans="1:17">
      <c r="A58" s="156"/>
      <c r="B58" s="112"/>
      <c r="C58" s="112"/>
      <c r="D58" s="112"/>
      <c r="E58" s="113">
        <f t="shared" si="7"/>
        <v>57.272474999999908</v>
      </c>
      <c r="I58" t="s">
        <v>2101</v>
      </c>
      <c r="J58">
        <v>65</v>
      </c>
      <c r="K58" s="2">
        <f>J58*L58/100</f>
        <v>7.7010050000000012</v>
      </c>
      <c r="L58">
        <f>2381.3877/201</f>
        <v>11.847700000000001</v>
      </c>
      <c r="M58">
        <v>11.866099999999999</v>
      </c>
      <c r="N58">
        <f>+M58*J58/100</f>
        <v>7.7129649999999996</v>
      </c>
    </row>
    <row r="59" spans="1:17">
      <c r="A59" s="156">
        <v>46136</v>
      </c>
      <c r="B59" s="112" t="s">
        <v>357</v>
      </c>
      <c r="C59" s="112">
        <v>857.46825000000001</v>
      </c>
      <c r="D59" s="112"/>
      <c r="E59" s="113">
        <f>+E58+C59-D59</f>
        <v>914.74072499999988</v>
      </c>
      <c r="F59" t="s">
        <v>2140</v>
      </c>
      <c r="I59" t="s">
        <v>2100</v>
      </c>
      <c r="J59">
        <v>50</v>
      </c>
      <c r="K59" s="2">
        <v>55</v>
      </c>
      <c r="L59">
        <v>112.54</v>
      </c>
      <c r="M59">
        <f>+L59</f>
        <v>112.54</v>
      </c>
      <c r="N59">
        <f>+M59*J59/100</f>
        <v>56.27</v>
      </c>
    </row>
    <row r="60" spans="1:17">
      <c r="A60" s="156">
        <v>46136</v>
      </c>
      <c r="B60" s="112" t="s">
        <v>347</v>
      </c>
      <c r="C60" s="112"/>
      <c r="D60" s="112">
        <v>821.4</v>
      </c>
      <c r="E60" s="113">
        <f>+E59+C60-D60</f>
        <v>93.340724999999907</v>
      </c>
      <c r="F60" t="s">
        <v>2141</v>
      </c>
      <c r="N60">
        <f>SUM(N57:N59)</f>
        <v>83.211425000000006</v>
      </c>
    </row>
    <row r="61" spans="1:17">
      <c r="A61" s="156">
        <v>46136</v>
      </c>
      <c r="B61" s="112" t="s">
        <v>1258</v>
      </c>
      <c r="C61" s="112"/>
      <c r="D61" s="112">
        <v>25.2</v>
      </c>
      <c r="E61" s="113">
        <f>+E60+C61-D61</f>
        <v>68.140724999999904</v>
      </c>
      <c r="K61">
        <f>SUM(K57:K59)</f>
        <v>81.715005000000005</v>
      </c>
    </row>
    <row r="62" spans="1:17">
      <c r="A62" s="156">
        <v>46139</v>
      </c>
      <c r="B62" s="112" t="s">
        <v>613</v>
      </c>
      <c r="C62" s="112">
        <v>1298.8</v>
      </c>
      <c r="D62" s="112"/>
      <c r="E62" s="113">
        <f>+E61+C62-D62</f>
        <v>1366.9407249999999</v>
      </c>
    </row>
    <row r="63" spans="1:17">
      <c r="A63" s="156">
        <v>46140</v>
      </c>
      <c r="B63" s="112" t="s">
        <v>1275</v>
      </c>
      <c r="C63" s="112">
        <v>1500</v>
      </c>
      <c r="D63" s="112"/>
      <c r="E63" s="113">
        <f>+E62+C63-D63</f>
        <v>2866.9407249999999</v>
      </c>
      <c r="H63" t="s">
        <v>2098</v>
      </c>
      <c r="I63" t="s">
        <v>2097</v>
      </c>
      <c r="J63">
        <v>80</v>
      </c>
      <c r="K63">
        <f>J63*L63/100</f>
        <v>76.055999999999997</v>
      </c>
      <c r="L63">
        <f>100-4.93</f>
        <v>95.07</v>
      </c>
      <c r="M63">
        <v>96.142300000000006</v>
      </c>
      <c r="N63">
        <f>+M63*J63/100</f>
        <v>76.913839999999993</v>
      </c>
    </row>
    <row r="64" spans="1:17">
      <c r="A64" s="156">
        <v>46141</v>
      </c>
      <c r="B64" s="241" t="s">
        <v>2173</v>
      </c>
      <c r="C64" s="112"/>
      <c r="D64" s="112">
        <f>841*119.02%</f>
        <v>1000.9581999999999</v>
      </c>
      <c r="E64" s="113">
        <f t="shared" ref="E64:E66" si="8">+E63+C64-D64</f>
        <v>1865.9825249999999</v>
      </c>
      <c r="F64" s="399" t="s">
        <v>2207</v>
      </c>
    </row>
    <row r="65" spans="1:17">
      <c r="A65" s="156">
        <v>46141</v>
      </c>
      <c r="B65" s="241" t="s">
        <v>345</v>
      </c>
      <c r="C65" s="112"/>
      <c r="D65" s="112">
        <f>1400*131.12%</f>
        <v>1835.6800000000003</v>
      </c>
      <c r="E65" s="113">
        <f t="shared" si="8"/>
        <v>30.302524999999605</v>
      </c>
      <c r="F65" s="399" t="s">
        <v>2221</v>
      </c>
      <c r="K65" t="s">
        <v>1777</v>
      </c>
      <c r="L65" t="s">
        <v>1778</v>
      </c>
      <c r="N65" t="s">
        <v>1770</v>
      </c>
    </row>
    <row r="66" spans="1:17">
      <c r="A66" s="156"/>
      <c r="B66" s="112"/>
      <c r="C66" s="112"/>
      <c r="D66" s="112"/>
      <c r="E66" s="113">
        <f t="shared" si="8"/>
        <v>30.302524999999605</v>
      </c>
      <c r="I66" t="s">
        <v>357</v>
      </c>
      <c r="J66">
        <v>750</v>
      </c>
      <c r="K66">
        <f>+N66</f>
        <v>114.45569999999999</v>
      </c>
      <c r="L66" s="2">
        <f>+K66*J66/100</f>
        <v>858.41774999999996</v>
      </c>
      <c r="N66">
        <v>114.45569999999999</v>
      </c>
    </row>
    <row r="67" spans="1:17">
      <c r="A67" s="156"/>
      <c r="B67" s="112"/>
      <c r="C67" s="112"/>
      <c r="D67" s="112"/>
      <c r="E67" s="113">
        <f t="shared" ref="E67:E78" si="9">+E66+C67-D67</f>
        <v>30.302524999999605</v>
      </c>
      <c r="I67" t="s">
        <v>2137</v>
      </c>
      <c r="J67">
        <v>800</v>
      </c>
      <c r="K67" s="421">
        <f>+M71</f>
        <v>102.675</v>
      </c>
      <c r="L67" s="2">
        <f>+K67*J67/100</f>
        <v>821.4</v>
      </c>
    </row>
    <row r="68" spans="1:17">
      <c r="A68" s="156">
        <v>46156</v>
      </c>
      <c r="B68" s="112" t="s">
        <v>788</v>
      </c>
      <c r="C68" s="112">
        <v>4800</v>
      </c>
      <c r="D68" s="112"/>
      <c r="E68" s="113">
        <f t="shared" si="9"/>
        <v>4830.3025249999992</v>
      </c>
      <c r="L68" s="2">
        <f>+L66-L67</f>
        <v>37.017749999999978</v>
      </c>
    </row>
    <row r="69" spans="1:17">
      <c r="A69" s="156"/>
      <c r="B69" s="112"/>
      <c r="C69" s="112"/>
      <c r="D69" s="112"/>
      <c r="E69" s="113">
        <f t="shared" ref="E69:E71" si="10">+E68+C69-D69</f>
        <v>4830.3025249999992</v>
      </c>
      <c r="G69" s="163"/>
      <c r="I69" t="s">
        <v>357</v>
      </c>
      <c r="J69" s="163">
        <f>XIRR(J70:J73,I70:I73)</f>
        <v>9.4424679875373826E-2</v>
      </c>
      <c r="K69" s="163">
        <f>XIRR(K72:K73,I72:I73)</f>
        <v>1.1462387442588811</v>
      </c>
      <c r="L69" t="s">
        <v>2137</v>
      </c>
      <c r="M69" s="163">
        <f>XIRR(M70:M71,L70:L71)</f>
        <v>4.4979694485664384E-2</v>
      </c>
    </row>
    <row r="70" spans="1:17">
      <c r="A70" s="156">
        <v>46157</v>
      </c>
      <c r="B70" s="112" t="s">
        <v>2308</v>
      </c>
      <c r="C70" s="112"/>
      <c r="D70" s="112">
        <f>640*108.146%</f>
        <v>692.13440000000003</v>
      </c>
      <c r="E70" s="113">
        <f t="shared" si="10"/>
        <v>4138.1681249999992</v>
      </c>
      <c r="F70" s="399" t="s">
        <v>2372</v>
      </c>
      <c r="I70" s="1">
        <v>45743</v>
      </c>
      <c r="J70">
        <v>-105</v>
      </c>
      <c r="L70" s="1">
        <v>45917</v>
      </c>
      <c r="M70">
        <v>-100</v>
      </c>
    </row>
    <row r="71" spans="1:17">
      <c r="A71" s="156">
        <v>46157</v>
      </c>
      <c r="B71" s="112" t="s">
        <v>1005</v>
      </c>
      <c r="C71" s="112"/>
      <c r="D71" s="112">
        <f>3200*73.552%</f>
        <v>2353.6640000000002</v>
      </c>
      <c r="E71" s="113">
        <f t="shared" si="10"/>
        <v>1784.504124999999</v>
      </c>
      <c r="F71" s="399" t="s">
        <v>2373</v>
      </c>
      <c r="I71" s="117">
        <v>46048</v>
      </c>
      <c r="J71">
        <v>1.23</v>
      </c>
      <c r="L71" s="1">
        <v>46136</v>
      </c>
      <c r="M71" s="282">
        <v>102.675</v>
      </c>
    </row>
    <row r="72" spans="1:17">
      <c r="A72" s="156"/>
      <c r="B72" s="112"/>
      <c r="C72" s="112"/>
      <c r="D72" s="112"/>
      <c r="E72" s="113">
        <f t="shared" si="9"/>
        <v>1784.504124999999</v>
      </c>
      <c r="F72" s="1"/>
      <c r="I72" s="1">
        <v>46113</v>
      </c>
      <c r="K72">
        <v>-109.078</v>
      </c>
    </row>
    <row r="73" spans="1:17">
      <c r="A73" s="156">
        <v>46160</v>
      </c>
      <c r="B73" s="112" t="s">
        <v>1701</v>
      </c>
      <c r="C73" s="112"/>
      <c r="D73" s="112">
        <f>1000*1.03</f>
        <v>1030</v>
      </c>
      <c r="E73" s="113">
        <f t="shared" si="9"/>
        <v>754.50412499999902</v>
      </c>
      <c r="F73" s="399" t="s">
        <v>2473</v>
      </c>
      <c r="I73" s="117">
        <v>46136</v>
      </c>
      <c r="J73">
        <f>N66</f>
        <v>114.45569999999999</v>
      </c>
      <c r="K73">
        <f>+J73</f>
        <v>114.45569999999999</v>
      </c>
    </row>
    <row r="74" spans="1:17">
      <c r="A74" s="156">
        <v>46160</v>
      </c>
      <c r="B74" s="112" t="s">
        <v>1702</v>
      </c>
      <c r="C74" s="112"/>
      <c r="D74" s="112">
        <f>600*1.02</f>
        <v>612</v>
      </c>
      <c r="E74" s="113">
        <f t="shared" si="9"/>
        <v>142.50412499999902</v>
      </c>
      <c r="F74" s="399" t="s">
        <v>2474</v>
      </c>
      <c r="K74" t="s">
        <v>930</v>
      </c>
    </row>
    <row r="75" spans="1:17">
      <c r="A75" s="156"/>
      <c r="B75" s="112"/>
      <c r="C75" s="112"/>
      <c r="D75" s="112"/>
      <c r="E75" s="113">
        <f t="shared" si="9"/>
        <v>142.50412499999902</v>
      </c>
    </row>
    <row r="76" spans="1:17">
      <c r="A76" s="156">
        <v>46161</v>
      </c>
      <c r="B76" s="112" t="s">
        <v>2551</v>
      </c>
      <c r="C76" s="112"/>
      <c r="D76" s="112">
        <v>110</v>
      </c>
      <c r="E76" s="113">
        <f t="shared" si="9"/>
        <v>32.504124999999021</v>
      </c>
      <c r="F76" s="399" t="s">
        <v>2553</v>
      </c>
    </row>
    <row r="77" spans="1:17">
      <c r="E77" s="109">
        <f t="shared" si="9"/>
        <v>32.504124999999021</v>
      </c>
      <c r="I77" t="s">
        <v>2173</v>
      </c>
      <c r="J77" s="163">
        <f>XIRR(J78:J79,I78:I79)</f>
        <v>4.9981924891471866E-2</v>
      </c>
      <c r="L77" t="s">
        <v>873</v>
      </c>
      <c r="M77" s="163">
        <f>XIRR(M78:M79,L78:L79)</f>
        <v>4.996273219585419E-2</v>
      </c>
    </row>
    <row r="78" spans="1:17">
      <c r="E78" s="109">
        <f t="shared" si="9"/>
        <v>32.504124999999021</v>
      </c>
      <c r="I78" s="1">
        <v>45274</v>
      </c>
      <c r="J78">
        <v>-106</v>
      </c>
      <c r="L78" s="1">
        <v>45288</v>
      </c>
      <c r="M78">
        <v>-117</v>
      </c>
    </row>
    <row r="79" spans="1:17">
      <c r="E79" s="109">
        <f t="shared" ref="E79:E83" si="11">+E78+C79-D79</f>
        <v>32.504124999999021</v>
      </c>
      <c r="I79" s="1">
        <v>46141</v>
      </c>
      <c r="J79">
        <v>119.02</v>
      </c>
      <c r="L79" s="1">
        <v>46141</v>
      </c>
      <c r="M79">
        <v>131.12</v>
      </c>
      <c r="O79" s="478">
        <v>130.82069999999999</v>
      </c>
      <c r="P79" s="2">
        <v>130.83750000000001</v>
      </c>
      <c r="Q79" s="481">
        <f>+P79-O79</f>
        <v>1.680000000001769E-2</v>
      </c>
    </row>
    <row r="80" spans="1:17">
      <c r="E80" s="109">
        <f t="shared" si="11"/>
        <v>32.504124999999021</v>
      </c>
      <c r="N80">
        <f>O79*(1+4.89%/365*6)</f>
        <v>130.92585833802738</v>
      </c>
      <c r="Q80">
        <f>+Q79*365</f>
        <v>6.1320000000064567</v>
      </c>
    </row>
    <row r="81" spans="5:13">
      <c r="E81" s="109">
        <f t="shared" si="11"/>
        <v>32.504124999999021</v>
      </c>
    </row>
    <row r="82" spans="5:13">
      <c r="E82" s="109">
        <f t="shared" si="11"/>
        <v>32.504124999999021</v>
      </c>
      <c r="M82" s="2">
        <f>+M78*(1+5.1%*(L79-L78)/365)</f>
        <v>-130.94479726027399</v>
      </c>
    </row>
    <row r="83" spans="5:13">
      <c r="E83" s="109">
        <f t="shared" si="11"/>
        <v>32.504124999999021</v>
      </c>
    </row>
  </sheetData>
  <phoneticPr fontId="6" type="noConversion"/>
  <conditionalFormatting sqref="E1:E1048576">
    <cfRule type="cellIs" dxfId="8" priority="1" operator="lessThan">
      <formula>0</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FF55A-A2F7-4AF5-9A45-DF241312F933}">
  <sheetPr codeName="Sheet16"/>
  <dimension ref="A1:H23"/>
  <sheetViews>
    <sheetView workbookViewId="0">
      <pane ySplit="2" topLeftCell="A3" activePane="bottomLeft" state="frozen"/>
      <selection pane="bottomLeft" activeCell="E1" sqref="E1:E1048576"/>
    </sheetView>
  </sheetViews>
  <sheetFormatPr defaultRowHeight="16.5"/>
  <cols>
    <col min="1" max="1" width="10" style="4" bestFit="1" customWidth="1"/>
    <col min="2" max="2" width="9.5" customWidth="1"/>
    <col min="3" max="4" width="7.75" customWidth="1"/>
    <col min="5" max="5" width="8.75" style="109" bestFit="1" customWidth="1"/>
  </cols>
  <sheetData>
    <row r="1" spans="1:8">
      <c r="A1" s="10"/>
      <c r="B1" s="10"/>
      <c r="C1" s="10"/>
      <c r="D1" s="10"/>
      <c r="E1" s="10"/>
    </row>
    <row r="2" spans="1:8">
      <c r="A2" s="4" t="s">
        <v>0</v>
      </c>
      <c r="B2" t="s">
        <v>1</v>
      </c>
      <c r="C2" t="s">
        <v>2</v>
      </c>
      <c r="D2" t="s">
        <v>3</v>
      </c>
      <c r="E2" s="109" t="s">
        <v>4</v>
      </c>
    </row>
    <row r="3" spans="1:8">
      <c r="A3" s="156">
        <v>46023</v>
      </c>
      <c r="B3" s="112"/>
      <c r="C3" s="112"/>
      <c r="D3" s="112"/>
      <c r="E3" s="113"/>
    </row>
    <row r="4" spans="1:8">
      <c r="A4" s="156"/>
      <c r="B4" s="112"/>
      <c r="C4" s="112"/>
      <c r="D4" s="112"/>
      <c r="E4" s="113">
        <v>502</v>
      </c>
    </row>
    <row r="5" spans="1:8">
      <c r="A5" s="156">
        <v>46031</v>
      </c>
      <c r="B5" s="112" t="s">
        <v>570</v>
      </c>
      <c r="C5" s="112">
        <v>374</v>
      </c>
      <c r="D5" s="112"/>
      <c r="E5" s="113">
        <f t="shared" ref="E5:E23" si="0">+E4+C5-D5</f>
        <v>876</v>
      </c>
    </row>
    <row r="6" spans="1:8">
      <c r="A6" s="156"/>
      <c r="B6" s="112"/>
      <c r="C6" s="112"/>
      <c r="D6" s="112"/>
      <c r="E6" s="113">
        <f t="shared" si="0"/>
        <v>876</v>
      </c>
    </row>
    <row r="7" spans="1:8">
      <c r="A7" s="156">
        <v>46035</v>
      </c>
      <c r="B7" s="112" t="s">
        <v>571</v>
      </c>
      <c r="C7" s="112"/>
      <c r="D7" s="112">
        <v>500</v>
      </c>
      <c r="E7" s="113">
        <f t="shared" si="0"/>
        <v>376</v>
      </c>
    </row>
    <row r="8" spans="1:8">
      <c r="A8" s="156">
        <v>46035</v>
      </c>
      <c r="B8" s="112" t="s">
        <v>570</v>
      </c>
      <c r="C8" s="112">
        <v>1608</v>
      </c>
      <c r="D8" s="112"/>
      <c r="E8" s="113">
        <f t="shared" si="0"/>
        <v>1984</v>
      </c>
    </row>
    <row r="9" spans="1:8">
      <c r="A9" s="156">
        <v>46036</v>
      </c>
      <c r="B9" s="112" t="s">
        <v>570</v>
      </c>
      <c r="C9" s="112">
        <v>1945</v>
      </c>
      <c r="D9" s="112"/>
      <c r="E9" s="113">
        <f t="shared" si="0"/>
        <v>3929</v>
      </c>
    </row>
    <row r="10" spans="1:8">
      <c r="A10" s="156"/>
      <c r="B10" s="112"/>
      <c r="C10" s="112"/>
      <c r="D10" s="112"/>
      <c r="E10" s="113">
        <f t="shared" si="0"/>
        <v>3929</v>
      </c>
      <c r="G10">
        <v>4023</v>
      </c>
      <c r="H10">
        <f>D11-G10</f>
        <v>-95</v>
      </c>
    </row>
    <row r="11" spans="1:8">
      <c r="A11" s="156">
        <v>46036</v>
      </c>
      <c r="B11" s="112" t="s">
        <v>614</v>
      </c>
      <c r="C11" s="112"/>
      <c r="D11" s="112">
        <v>3928</v>
      </c>
      <c r="E11" s="113">
        <v>2.5</v>
      </c>
      <c r="G11" t="s">
        <v>615</v>
      </c>
      <c r="H11" t="s">
        <v>616</v>
      </c>
    </row>
    <row r="12" spans="1:8">
      <c r="A12" s="156">
        <v>46141</v>
      </c>
      <c r="B12" s="112" t="s">
        <v>614</v>
      </c>
      <c r="C12" s="112"/>
      <c r="D12" s="112">
        <v>2</v>
      </c>
      <c r="E12" s="113">
        <f t="shared" si="0"/>
        <v>0.5</v>
      </c>
    </row>
    <row r="13" spans="1:8">
      <c r="E13" s="109">
        <f t="shared" si="0"/>
        <v>0.5</v>
      </c>
    </row>
    <row r="14" spans="1:8">
      <c r="E14" s="109">
        <f t="shared" si="0"/>
        <v>0.5</v>
      </c>
    </row>
    <row r="15" spans="1:8">
      <c r="E15" s="109">
        <f t="shared" si="0"/>
        <v>0.5</v>
      </c>
    </row>
    <row r="16" spans="1:8">
      <c r="E16" s="109">
        <f t="shared" si="0"/>
        <v>0.5</v>
      </c>
    </row>
    <row r="17" spans="5:5">
      <c r="E17" s="109">
        <f t="shared" si="0"/>
        <v>0.5</v>
      </c>
    </row>
    <row r="18" spans="5:5">
      <c r="E18" s="109">
        <f t="shared" si="0"/>
        <v>0.5</v>
      </c>
    </row>
    <row r="19" spans="5:5">
      <c r="E19" s="109">
        <f t="shared" si="0"/>
        <v>0.5</v>
      </c>
    </row>
    <row r="20" spans="5:5">
      <c r="E20" s="109">
        <f t="shared" si="0"/>
        <v>0.5</v>
      </c>
    </row>
    <row r="21" spans="5:5">
      <c r="E21" s="109">
        <f t="shared" si="0"/>
        <v>0.5</v>
      </c>
    </row>
    <row r="22" spans="5:5">
      <c r="E22" s="109">
        <f t="shared" si="0"/>
        <v>0.5</v>
      </c>
    </row>
    <row r="23" spans="5:5">
      <c r="E23" s="109">
        <f t="shared" si="0"/>
        <v>0.5</v>
      </c>
    </row>
  </sheetData>
  <phoneticPr fontId="6" type="noConversion"/>
  <conditionalFormatting sqref="E1:E1048576">
    <cfRule type="cellIs" dxfId="7" priority="1" operator="lessThan">
      <formula>0</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AB5F-02C9-406B-8A20-13AD621825B6}">
  <sheetPr codeName="Sheet17"/>
  <dimension ref="A1:AJ111"/>
  <sheetViews>
    <sheetView zoomScale="90" zoomScaleNormal="90" workbookViewId="0">
      <pane ySplit="1" topLeftCell="A50" activePane="bottomLeft" state="frozen"/>
      <selection pane="bottomLeft" activeCell="E1" sqref="E1:E1048576"/>
    </sheetView>
  </sheetViews>
  <sheetFormatPr defaultRowHeight="16.5"/>
  <cols>
    <col min="1" max="1" width="9.875" bestFit="1" customWidth="1"/>
    <col min="2" max="2" width="13.75" customWidth="1"/>
    <col min="3" max="3" width="10.375" bestFit="1" customWidth="1"/>
    <col min="4" max="4" width="13.125" bestFit="1" customWidth="1"/>
    <col min="5" max="5" width="13.125" customWidth="1"/>
    <col min="6" max="6" width="18.75" customWidth="1"/>
    <col min="9" max="9" width="9.375" bestFit="1" customWidth="1"/>
    <col min="10" max="10" width="10.375" bestFit="1" customWidth="1"/>
    <col min="11" max="11" width="10.5" customWidth="1"/>
    <col min="12" max="12" width="10" bestFit="1" customWidth="1"/>
    <col min="13" max="13" width="10.75" bestFit="1" customWidth="1"/>
    <col min="15" max="15" width="12.5" customWidth="1"/>
    <col min="16" max="16" width="9.875" bestFit="1" customWidth="1"/>
    <col min="17" max="17" width="11" bestFit="1" customWidth="1"/>
    <col min="18" max="18" width="10.375" customWidth="1"/>
    <col min="19" max="19" width="11" bestFit="1" customWidth="1"/>
    <col min="22" max="22" width="10" bestFit="1" customWidth="1"/>
  </cols>
  <sheetData>
    <row r="1" spans="1:18">
      <c r="A1" s="4" t="s">
        <v>0</v>
      </c>
      <c r="B1" t="s">
        <v>1</v>
      </c>
      <c r="C1" t="s">
        <v>2</v>
      </c>
      <c r="D1" t="s">
        <v>3</v>
      </c>
      <c r="E1" s="109" t="s">
        <v>4</v>
      </c>
    </row>
    <row r="2" spans="1:18">
      <c r="A2" s="4"/>
      <c r="E2" s="109"/>
      <c r="Q2" s="146">
        <v>0.2</v>
      </c>
      <c r="R2" s="263">
        <v>0.02</v>
      </c>
    </row>
    <row r="3" spans="1:18">
      <c r="A3" s="4"/>
      <c r="E3" s="109"/>
      <c r="Q3" s="146">
        <v>0.3</v>
      </c>
      <c r="R3" s="263">
        <v>0.03</v>
      </c>
    </row>
    <row r="4" spans="1:18">
      <c r="A4" s="156">
        <v>46086</v>
      </c>
      <c r="B4" s="112" t="s">
        <v>570</v>
      </c>
      <c r="C4" s="112">
        <v>5720</v>
      </c>
      <c r="D4" s="112"/>
      <c r="E4" s="113">
        <f t="shared" ref="E4:E8" si="0">+E3+C4-D4</f>
        <v>5720</v>
      </c>
      <c r="Q4" s="146">
        <v>0.2</v>
      </c>
      <c r="R4" s="263">
        <v>3.5000000000000003E-2</v>
      </c>
    </row>
    <row r="5" spans="1:18">
      <c r="A5" s="156">
        <v>46087</v>
      </c>
      <c r="B5" s="112" t="s">
        <v>1301</v>
      </c>
      <c r="C5" s="112"/>
      <c r="D5" s="112"/>
      <c r="E5" s="113">
        <f t="shared" si="0"/>
        <v>5720</v>
      </c>
      <c r="I5" s="184" t="s">
        <v>561</v>
      </c>
      <c r="Q5" s="146">
        <v>0.3</v>
      </c>
      <c r="R5" s="263">
        <v>5.5E-2</v>
      </c>
    </row>
    <row r="6" spans="1:18">
      <c r="A6" s="112"/>
      <c r="B6" s="112" t="s">
        <v>860</v>
      </c>
      <c r="C6" s="112"/>
      <c r="D6" s="112">
        <f>1820*1.0763</f>
        <v>1958.866</v>
      </c>
      <c r="E6" s="113">
        <f t="shared" si="0"/>
        <v>3761.134</v>
      </c>
      <c r="F6" t="s">
        <v>1310</v>
      </c>
      <c r="I6" s="184" t="s">
        <v>579</v>
      </c>
      <c r="M6" s="1"/>
      <c r="R6" s="163">
        <f>SUMPRODUCT(R2:R5,Q2:Q5)</f>
        <v>3.6500000000000005E-2</v>
      </c>
    </row>
    <row r="7" spans="1:18">
      <c r="A7" s="112"/>
      <c r="B7" s="112" t="s">
        <v>857</v>
      </c>
      <c r="C7" s="112"/>
      <c r="D7" s="213">
        <f>2000*102.85/100</f>
        <v>2057</v>
      </c>
      <c r="E7" s="113">
        <f t="shared" si="0"/>
        <v>1704.134</v>
      </c>
      <c r="F7" t="s">
        <v>1306</v>
      </c>
      <c r="I7" s="184" t="s">
        <v>579</v>
      </c>
      <c r="M7" s="1"/>
    </row>
    <row r="8" spans="1:18">
      <c r="A8" s="110">
        <v>46090</v>
      </c>
      <c r="B8" s="112" t="s">
        <v>1302</v>
      </c>
      <c r="C8" s="112"/>
      <c r="D8" s="112">
        <v>1000</v>
      </c>
      <c r="E8" s="113">
        <f t="shared" si="0"/>
        <v>704.13400000000001</v>
      </c>
      <c r="F8" t="s">
        <v>1345</v>
      </c>
      <c r="M8" s="1"/>
    </row>
    <row r="9" spans="1:18">
      <c r="A9" s="110">
        <v>46094</v>
      </c>
      <c r="B9" s="112" t="s">
        <v>1126</v>
      </c>
      <c r="C9" s="112"/>
      <c r="D9" s="112">
        <v>693</v>
      </c>
      <c r="E9" s="113">
        <f t="shared" ref="E9:E12" si="1">+E8+C9-D9</f>
        <v>11.134000000000015</v>
      </c>
      <c r="F9" t="s">
        <v>1440</v>
      </c>
      <c r="M9" s="1"/>
    </row>
    <row r="10" spans="1:18">
      <c r="A10" s="112"/>
      <c r="B10" s="112"/>
      <c r="C10" s="112"/>
      <c r="D10" s="112"/>
      <c r="E10" s="113">
        <f t="shared" si="1"/>
        <v>11.134000000000015</v>
      </c>
    </row>
    <row r="11" spans="1:18">
      <c r="A11" s="110">
        <v>46100</v>
      </c>
      <c r="B11" s="112" t="s">
        <v>570</v>
      </c>
      <c r="C11" s="112">
        <v>2900</v>
      </c>
      <c r="D11" s="112"/>
      <c r="E11" s="113">
        <f t="shared" si="1"/>
        <v>2911.134</v>
      </c>
      <c r="H11" t="s">
        <v>1380</v>
      </c>
      <c r="I11" s="318" t="s">
        <v>1429</v>
      </c>
    </row>
    <row r="12" spans="1:18">
      <c r="A12" s="110">
        <v>46105</v>
      </c>
      <c r="B12" s="112" t="s">
        <v>1549</v>
      </c>
      <c r="C12" s="112"/>
      <c r="D12" s="112">
        <v>609.29999999999995</v>
      </c>
      <c r="E12" s="113">
        <f t="shared" si="1"/>
        <v>2301.8339999999998</v>
      </c>
      <c r="F12" t="s">
        <v>1584</v>
      </c>
      <c r="I12" s="318" t="s">
        <v>1416</v>
      </c>
    </row>
    <row r="13" spans="1:18">
      <c r="A13" s="110">
        <v>46106</v>
      </c>
      <c r="B13" s="112" t="s">
        <v>1582</v>
      </c>
      <c r="C13" s="112"/>
      <c r="D13" s="112">
        <f>1000*104.719%</f>
        <v>1047.1899999999998</v>
      </c>
      <c r="E13" s="113">
        <f t="shared" ref="E13:E23" si="2">+E12+C13-D13</f>
        <v>1254.644</v>
      </c>
      <c r="F13" t="s">
        <v>1613</v>
      </c>
      <c r="I13" s="319" t="s">
        <v>1417</v>
      </c>
      <c r="K13" s="150"/>
      <c r="L13" s="1"/>
      <c r="M13" s="1"/>
    </row>
    <row r="14" spans="1:18">
      <c r="A14" s="110">
        <v>46108</v>
      </c>
      <c r="B14" s="112" t="s">
        <v>613</v>
      </c>
      <c r="C14" s="112">
        <v>94</v>
      </c>
      <c r="D14" s="112"/>
      <c r="E14" s="113">
        <f t="shared" si="2"/>
        <v>1348.644</v>
      </c>
      <c r="F14" s="243"/>
    </row>
    <row r="15" spans="1:18">
      <c r="A15" s="112"/>
      <c r="B15" s="112"/>
      <c r="C15" s="112"/>
      <c r="D15" s="112"/>
      <c r="E15" s="113">
        <f t="shared" si="2"/>
        <v>1348.644</v>
      </c>
      <c r="H15" t="s">
        <v>1419</v>
      </c>
      <c r="I15" t="s">
        <v>1418</v>
      </c>
    </row>
    <row r="16" spans="1:18">
      <c r="A16" s="112"/>
      <c r="B16" s="112"/>
      <c r="C16" s="112"/>
      <c r="D16" s="112"/>
      <c r="E16" s="113">
        <f t="shared" si="2"/>
        <v>1348.644</v>
      </c>
      <c r="H16" t="s">
        <v>1422</v>
      </c>
      <c r="I16" t="s">
        <v>1420</v>
      </c>
      <c r="K16" s="150"/>
    </row>
    <row r="17" spans="1:16">
      <c r="A17" s="110">
        <v>46113</v>
      </c>
      <c r="B17" s="112" t="s">
        <v>1555</v>
      </c>
      <c r="C17" s="112"/>
      <c r="D17" s="112">
        <f>(4.4%*91.84*(46113-46097+1)/365+92.077)*1100/100</f>
        <v>1014.9173000547945</v>
      </c>
      <c r="E17" s="113">
        <f t="shared" si="2"/>
        <v>333.7266999452055</v>
      </c>
      <c r="F17" t="s">
        <v>1727</v>
      </c>
      <c r="H17" t="s">
        <v>1423</v>
      </c>
      <c r="I17" t="s">
        <v>1421</v>
      </c>
    </row>
    <row r="18" spans="1:16">
      <c r="A18" s="112"/>
      <c r="B18" s="172"/>
      <c r="C18" s="172"/>
      <c r="D18" s="172"/>
      <c r="E18" s="113">
        <f t="shared" si="2"/>
        <v>333.7266999452055</v>
      </c>
      <c r="H18" t="s">
        <v>1360</v>
      </c>
      <c r="I18" t="s">
        <v>1424</v>
      </c>
    </row>
    <row r="19" spans="1:16">
      <c r="A19" s="110">
        <v>46127</v>
      </c>
      <c r="B19" s="112" t="s">
        <v>1846</v>
      </c>
      <c r="C19" s="112">
        <v>111</v>
      </c>
      <c r="D19" s="112"/>
      <c r="E19" s="113">
        <f t="shared" si="2"/>
        <v>444.7266999452055</v>
      </c>
    </row>
    <row r="20" spans="1:16">
      <c r="A20" s="110">
        <v>46128</v>
      </c>
      <c r="B20" s="112" t="s">
        <v>531</v>
      </c>
      <c r="C20" s="112">
        <v>6930</v>
      </c>
      <c r="D20" s="112"/>
      <c r="E20" s="113">
        <f t="shared" si="2"/>
        <v>7374.7266999452058</v>
      </c>
      <c r="H20" s="456" t="s">
        <v>1425</v>
      </c>
      <c r="I20" s="457">
        <v>3.0000000000000001E-3</v>
      </c>
    </row>
    <row r="21" spans="1:16">
      <c r="A21" s="110">
        <v>46128</v>
      </c>
      <c r="B21" s="112" t="s">
        <v>2283</v>
      </c>
      <c r="C21" s="112"/>
      <c r="D21" s="112">
        <v>2</v>
      </c>
      <c r="E21" s="113">
        <f t="shared" si="2"/>
        <v>7372.7266999452058</v>
      </c>
      <c r="H21" s="456" t="s">
        <v>1426</v>
      </c>
      <c r="I21" s="457">
        <v>2E-3</v>
      </c>
    </row>
    <row r="22" spans="1:16">
      <c r="A22" s="110">
        <v>46129</v>
      </c>
      <c r="B22" s="112" t="s">
        <v>1499</v>
      </c>
      <c r="C22" s="112"/>
      <c r="D22" s="112">
        <v>506</v>
      </c>
      <c r="E22" s="113">
        <f t="shared" si="2"/>
        <v>6866.7266999452058</v>
      </c>
      <c r="F22" s="399" t="s">
        <v>1940</v>
      </c>
      <c r="H22" s="456" t="s">
        <v>1427</v>
      </c>
      <c r="I22" s="456" t="s">
        <v>1428</v>
      </c>
      <c r="J22" s="456"/>
    </row>
    <row r="23" spans="1:16">
      <c r="A23" s="110">
        <v>46129</v>
      </c>
      <c r="B23" s="112" t="s">
        <v>1828</v>
      </c>
      <c r="C23" s="112"/>
      <c r="D23" s="112">
        <v>507</v>
      </c>
      <c r="E23" s="113">
        <f t="shared" si="2"/>
        <v>6359.7266999452058</v>
      </c>
      <c r="F23" s="399" t="s">
        <v>1919</v>
      </c>
      <c r="H23" t="s">
        <v>1366</v>
      </c>
      <c r="I23" t="s">
        <v>1430</v>
      </c>
    </row>
    <row r="24" spans="1:16">
      <c r="A24" s="110"/>
      <c r="B24" s="112"/>
      <c r="C24" s="112"/>
      <c r="D24" s="112"/>
      <c r="E24" s="113">
        <f t="shared" ref="E24:E68" si="3">+E23+C24-D24</f>
        <v>6359.7266999452058</v>
      </c>
      <c r="I24">
        <f>SUM(I26:I37)</f>
        <v>12065.874</v>
      </c>
      <c r="J24">
        <f>SUMPRODUCT(J26:J37,I26:I37)</f>
        <v>504.17538199999996</v>
      </c>
    </row>
    <row r="25" spans="1:16">
      <c r="A25" s="112"/>
      <c r="B25" s="112"/>
      <c r="C25" s="112"/>
      <c r="D25" s="112"/>
      <c r="E25" s="113">
        <f t="shared" si="3"/>
        <v>6359.7266999452058</v>
      </c>
      <c r="I25" t="s">
        <v>1236</v>
      </c>
      <c r="J25" s="151">
        <f>J24/C4</f>
        <v>8.8142549300699299E-2</v>
      </c>
    </row>
    <row r="26" spans="1:16">
      <c r="A26" s="112"/>
      <c r="B26" s="112"/>
      <c r="C26" s="112"/>
      <c r="D26" s="112"/>
      <c r="E26" s="113">
        <f t="shared" si="3"/>
        <v>6359.7266999452058</v>
      </c>
      <c r="H26" s="399" t="s">
        <v>860</v>
      </c>
      <c r="I26" s="399">
        <v>1958.866</v>
      </c>
      <c r="J26" s="447">
        <v>5.8999999999999997E-2</v>
      </c>
      <c r="K26" s="399" t="s">
        <v>486</v>
      </c>
    </row>
    <row r="27" spans="1:16">
      <c r="A27" s="110">
        <v>46134</v>
      </c>
      <c r="B27" s="112" t="s">
        <v>1991</v>
      </c>
      <c r="C27" s="112"/>
      <c r="D27" s="112">
        <v>1000</v>
      </c>
      <c r="E27" s="113">
        <f t="shared" si="3"/>
        <v>5359.7266999452058</v>
      </c>
      <c r="F27" s="399" t="s">
        <v>2007</v>
      </c>
      <c r="H27" s="399" t="s">
        <v>1575</v>
      </c>
      <c r="I27" s="399">
        <v>1050</v>
      </c>
      <c r="J27" s="447">
        <v>5.5E-2</v>
      </c>
      <c r="K27" s="399" t="s">
        <v>486</v>
      </c>
    </row>
    <row r="28" spans="1:16">
      <c r="A28" s="110">
        <v>46134</v>
      </c>
      <c r="B28" s="112" t="s">
        <v>1826</v>
      </c>
      <c r="C28" s="112"/>
      <c r="D28" s="112">
        <v>2200</v>
      </c>
      <c r="E28" s="113">
        <f t="shared" si="3"/>
        <v>3159.7266999452058</v>
      </c>
      <c r="F28" s="399" t="s">
        <v>2024</v>
      </c>
      <c r="J28" s="150"/>
      <c r="M28">
        <f>SUM(I26:I39)</f>
        <v>14603.408682191781</v>
      </c>
      <c r="N28" s="150">
        <f>SUMPRODUCT(J26:J39,I26:I39)/SUM(M28)</f>
        <v>4.1282427846880861E-2</v>
      </c>
    </row>
    <row r="29" spans="1:16">
      <c r="A29" s="110">
        <v>46135</v>
      </c>
      <c r="B29" s="112" t="s">
        <v>531</v>
      </c>
      <c r="C29" s="112">
        <v>4500</v>
      </c>
      <c r="D29" s="112"/>
      <c r="E29" s="113">
        <f t="shared" si="3"/>
        <v>7659.7266999452058</v>
      </c>
      <c r="H29" t="s">
        <v>1508</v>
      </c>
      <c r="I29">
        <v>1500</v>
      </c>
      <c r="J29" s="150">
        <v>3.2000000000000001E-2</v>
      </c>
      <c r="K29" t="s">
        <v>495</v>
      </c>
    </row>
    <row r="30" spans="1:16">
      <c r="A30" s="110"/>
      <c r="B30" s="112"/>
      <c r="C30" s="112"/>
      <c r="D30" s="112"/>
      <c r="E30" s="113">
        <f t="shared" si="3"/>
        <v>7659.7266999452058</v>
      </c>
      <c r="H30" t="s">
        <v>1326</v>
      </c>
      <c r="I30">
        <v>1000</v>
      </c>
      <c r="J30" s="150">
        <v>4.4999999999999998E-2</v>
      </c>
      <c r="K30" t="s">
        <v>495</v>
      </c>
      <c r="M30" t="s">
        <v>1648</v>
      </c>
      <c r="P30" t="s">
        <v>1548</v>
      </c>
    </row>
    <row r="31" spans="1:16">
      <c r="A31" s="110">
        <v>46135</v>
      </c>
      <c r="B31" s="112" t="s">
        <v>1499</v>
      </c>
      <c r="C31" s="112"/>
      <c r="D31" s="112">
        <f>1950*101.068%</f>
        <v>1970.826</v>
      </c>
      <c r="E31" s="113">
        <f t="shared" si="3"/>
        <v>5688.9006999452058</v>
      </c>
      <c r="F31" s="399" t="s">
        <v>2136</v>
      </c>
      <c r="H31" t="s">
        <v>1499</v>
      </c>
      <c r="I31">
        <v>800</v>
      </c>
      <c r="J31" s="150">
        <v>6.5000000000000002E-2</v>
      </c>
      <c r="K31" t="s">
        <v>1603</v>
      </c>
      <c r="L31" t="s">
        <v>1542</v>
      </c>
      <c r="M31">
        <f>M28*20%</f>
        <v>2920.6817364383564</v>
      </c>
      <c r="N31" t="s">
        <v>1544</v>
      </c>
      <c r="O31" t="s">
        <v>1547</v>
      </c>
    </row>
    <row r="32" spans="1:16">
      <c r="A32" s="117">
        <v>46136</v>
      </c>
      <c r="B32" s="172" t="s">
        <v>1258</v>
      </c>
      <c r="C32" s="172"/>
      <c r="D32" s="172">
        <v>86.13</v>
      </c>
      <c r="E32" s="109">
        <f t="shared" si="3"/>
        <v>5602.7706999452057</v>
      </c>
      <c r="F32" s="347">
        <f>E32+C41+C42</f>
        <v>8630.9606999452062</v>
      </c>
      <c r="J32" s="150"/>
      <c r="L32" t="s">
        <v>1543</v>
      </c>
      <c r="M32">
        <f>M28*30%</f>
        <v>4381.0226046575344</v>
      </c>
      <c r="N32" t="s">
        <v>1544</v>
      </c>
      <c r="O32">
        <f>I26+I27+I28+I31</f>
        <v>3808.866</v>
      </c>
      <c r="P32">
        <f>M32-O32</f>
        <v>572.15660465753444</v>
      </c>
    </row>
    <row r="33" spans="1:16">
      <c r="A33" s="110"/>
      <c r="B33" s="112"/>
      <c r="C33" s="112"/>
      <c r="D33" s="112"/>
      <c r="E33" s="113">
        <f t="shared" si="3"/>
        <v>5602.7706999452057</v>
      </c>
      <c r="H33" t="s">
        <v>1643</v>
      </c>
      <c r="I33">
        <v>2000</v>
      </c>
      <c r="J33" s="150">
        <v>0.03</v>
      </c>
      <c r="K33" t="s">
        <v>1643</v>
      </c>
      <c r="L33" t="s">
        <v>1545</v>
      </c>
      <c r="M33">
        <f>M28*50%</f>
        <v>7301.7043410958904</v>
      </c>
      <c r="N33" t="s">
        <v>1546</v>
      </c>
      <c r="O33">
        <f>I36+I37+I39+I29+I38+I30+I32+I33</f>
        <v>8737.534682191781</v>
      </c>
      <c r="P33">
        <f>M33-O33</f>
        <v>-1435.8303410958906</v>
      </c>
    </row>
    <row r="34" spans="1:16">
      <c r="A34" s="110">
        <v>46139</v>
      </c>
      <c r="B34" s="112" t="s">
        <v>1829</v>
      </c>
      <c r="C34" s="112"/>
      <c r="D34" s="112">
        <v>1419.9723999999999</v>
      </c>
      <c r="E34" s="113">
        <f t="shared" si="3"/>
        <v>4182.7982999452061</v>
      </c>
      <c r="F34" s="399" t="s">
        <v>2189</v>
      </c>
      <c r="L34" t="s">
        <v>1647</v>
      </c>
      <c r="M34">
        <f>M28*25%</f>
        <v>3650.8521705479452</v>
      </c>
      <c r="N34" t="s">
        <v>1544</v>
      </c>
      <c r="O34" t="s">
        <v>1547</v>
      </c>
    </row>
    <row r="35" spans="1:16">
      <c r="A35" s="110">
        <v>46139</v>
      </c>
      <c r="B35" s="112" t="s">
        <v>2001</v>
      </c>
      <c r="C35" s="112"/>
      <c r="D35" s="112">
        <v>601.50287671232877</v>
      </c>
      <c r="E35" s="113">
        <f t="shared" si="3"/>
        <v>3581.2954232328775</v>
      </c>
      <c r="F35" s="399" t="s">
        <v>2190</v>
      </c>
      <c r="H35" s="399" t="s">
        <v>857</v>
      </c>
      <c r="I35" s="399">
        <v>2057.0079999999998</v>
      </c>
      <c r="J35" s="447">
        <v>3.5999999999999997E-2</v>
      </c>
      <c r="K35" s="399" t="s">
        <v>1540</v>
      </c>
    </row>
    <row r="36" spans="1:16">
      <c r="A36" s="110">
        <v>46139</v>
      </c>
      <c r="B36" s="112" t="s">
        <v>1569</v>
      </c>
      <c r="C36" s="112"/>
      <c r="D36" s="112">
        <v>200.18381260273972</v>
      </c>
      <c r="E36" s="113">
        <f t="shared" si="3"/>
        <v>3381.1116106301379</v>
      </c>
      <c r="F36" s="399" t="s">
        <v>2191</v>
      </c>
      <c r="H36" s="399" t="s">
        <v>1302</v>
      </c>
      <c r="I36" s="399">
        <v>1000</v>
      </c>
      <c r="J36" s="447">
        <v>3.15E-2</v>
      </c>
      <c r="K36" s="399" t="s">
        <v>1541</v>
      </c>
    </row>
    <row r="37" spans="1:16">
      <c r="A37" s="110"/>
      <c r="B37" s="112"/>
      <c r="C37" s="112"/>
      <c r="D37" s="112"/>
      <c r="E37" s="113">
        <f t="shared" si="3"/>
        <v>3381.1116106301379</v>
      </c>
      <c r="F37" s="1"/>
      <c r="H37" s="399" t="s">
        <v>1126</v>
      </c>
      <c r="I37" s="399">
        <v>700</v>
      </c>
      <c r="J37" s="447">
        <v>2.9000000000000001E-2</v>
      </c>
      <c r="K37" s="399" t="s">
        <v>1541</v>
      </c>
    </row>
    <row r="38" spans="1:16">
      <c r="A38" s="110"/>
      <c r="B38" s="112"/>
      <c r="C38" s="112"/>
      <c r="D38" s="112"/>
      <c r="E38" s="113">
        <f t="shared" si="3"/>
        <v>3381.1116106301379</v>
      </c>
      <c r="F38" s="1"/>
      <c r="H38" s="399" t="s">
        <v>1549</v>
      </c>
      <c r="I38" s="399">
        <v>600</v>
      </c>
      <c r="J38" s="447">
        <v>4.4999999999999998E-2</v>
      </c>
      <c r="K38" s="399" t="s">
        <v>1541</v>
      </c>
    </row>
    <row r="39" spans="1:16">
      <c r="A39" s="110"/>
      <c r="B39" s="112"/>
      <c r="C39" s="112"/>
      <c r="D39" s="112"/>
      <c r="E39" s="113">
        <f t="shared" si="3"/>
        <v>3381.1116106301379</v>
      </c>
      <c r="H39" s="399" t="s">
        <v>1555</v>
      </c>
      <c r="I39" s="399">
        <f>1100-111+D54</f>
        <v>1937.5346821917806</v>
      </c>
      <c r="J39" s="447">
        <v>3.6999999999999998E-2</v>
      </c>
      <c r="K39" s="399" t="s">
        <v>1644</v>
      </c>
    </row>
    <row r="40" spans="1:16">
      <c r="A40" s="110">
        <v>46139</v>
      </c>
      <c r="B40" s="112" t="s">
        <v>2339</v>
      </c>
      <c r="C40" s="112">
        <v>6.37</v>
      </c>
      <c r="D40" s="112"/>
      <c r="E40" s="113">
        <f t="shared" si="3"/>
        <v>3387.4816106301378</v>
      </c>
    </row>
    <row r="41" spans="1:16">
      <c r="A41" s="110">
        <v>46139</v>
      </c>
      <c r="B41" s="112" t="s">
        <v>1886</v>
      </c>
      <c r="C41" s="112">
        <v>1976</v>
      </c>
      <c r="D41" s="112"/>
      <c r="E41" s="113">
        <f t="shared" si="3"/>
        <v>5363.4816106301378</v>
      </c>
    </row>
    <row r="42" spans="1:16">
      <c r="A42" s="110">
        <v>46139</v>
      </c>
      <c r="B42" s="112" t="s">
        <v>1887</v>
      </c>
      <c r="C42" s="112">
        <v>1052.19</v>
      </c>
      <c r="D42" s="112"/>
      <c r="E42" s="113">
        <f t="shared" si="3"/>
        <v>6415.6716106301374</v>
      </c>
      <c r="H42" s="399" t="s">
        <v>1250</v>
      </c>
      <c r="I42" s="399">
        <v>500</v>
      </c>
      <c r="J42" s="401">
        <v>6.5000000000000002E-2</v>
      </c>
      <c r="K42" s="399" t="s">
        <v>1603</v>
      </c>
    </row>
    <row r="43" spans="1:16">
      <c r="A43" s="112"/>
      <c r="B43" s="112"/>
      <c r="C43" s="112"/>
      <c r="D43" s="112"/>
      <c r="E43" s="113">
        <f t="shared" si="3"/>
        <v>6415.6716106301374</v>
      </c>
      <c r="H43" s="399" t="s">
        <v>1828</v>
      </c>
      <c r="I43" s="399">
        <v>500</v>
      </c>
      <c r="J43" s="401">
        <v>2.75E-2</v>
      </c>
      <c r="K43" s="399" t="s">
        <v>1603</v>
      </c>
    </row>
    <row r="44" spans="1:16">
      <c r="A44" s="110"/>
      <c r="B44" s="112"/>
      <c r="C44" s="112"/>
      <c r="D44" s="112"/>
      <c r="E44" s="113">
        <f t="shared" si="3"/>
        <v>6415.6716106301374</v>
      </c>
      <c r="J44" s="163"/>
      <c r="M44" t="s">
        <v>1648</v>
      </c>
    </row>
    <row r="45" spans="1:16">
      <c r="A45" s="110"/>
      <c r="B45" s="112"/>
      <c r="C45" s="112"/>
      <c r="D45" s="112"/>
      <c r="E45" s="113">
        <f>+E44+C45-D45</f>
        <v>6415.6716106301374</v>
      </c>
      <c r="G45" t="s">
        <v>479</v>
      </c>
      <c r="H45" s="399" t="s">
        <v>1991</v>
      </c>
      <c r="I45" s="399">
        <v>1000</v>
      </c>
      <c r="J45" s="447">
        <v>2.8000000000000001E-2</v>
      </c>
      <c r="K45" s="399" t="s">
        <v>1992</v>
      </c>
      <c r="L45" t="s">
        <v>1542</v>
      </c>
      <c r="M45" s="109">
        <f>M52*20%</f>
        <v>5010</v>
      </c>
      <c r="N45" t="s">
        <v>1544</v>
      </c>
      <c r="O45" s="109">
        <f>+I49</f>
        <v>3500</v>
      </c>
    </row>
    <row r="46" spans="1:16">
      <c r="A46" s="110">
        <v>46140</v>
      </c>
      <c r="B46" s="112" t="s">
        <v>1831</v>
      </c>
      <c r="C46" s="112"/>
      <c r="D46" s="116">
        <v>272.84460000000001</v>
      </c>
      <c r="E46" s="113">
        <f t="shared" si="3"/>
        <v>6142.827010630137</v>
      </c>
      <c r="F46" s="399" t="s">
        <v>2229</v>
      </c>
      <c r="G46" t="s">
        <v>479</v>
      </c>
      <c r="H46" s="399" t="s">
        <v>1839</v>
      </c>
      <c r="I46" s="399">
        <v>1200</v>
      </c>
      <c r="J46" s="401">
        <v>0.03</v>
      </c>
      <c r="K46" s="399" t="s">
        <v>1541</v>
      </c>
      <c r="L46" t="s">
        <v>1543</v>
      </c>
      <c r="M46" s="109">
        <f>M52*30%</f>
        <v>7515</v>
      </c>
      <c r="N46" t="s">
        <v>1544</v>
      </c>
      <c r="O46" s="109">
        <f>+D22+D31+D34+D46+D47+D48+D50-C57+I60+I61+I62+I63</f>
        <v>8819.0837481506842</v>
      </c>
    </row>
    <row r="47" spans="1:16">
      <c r="A47" s="110">
        <v>46140</v>
      </c>
      <c r="B47" s="112" t="s">
        <v>1832</v>
      </c>
      <c r="C47" s="112"/>
      <c r="D47" s="116">
        <v>271.60000000000002</v>
      </c>
      <c r="E47" s="113">
        <f t="shared" si="3"/>
        <v>5871.2270106301366</v>
      </c>
      <c r="F47" s="399" t="s">
        <v>2230</v>
      </c>
      <c r="G47" t="s">
        <v>621</v>
      </c>
      <c r="H47" s="399" t="s">
        <v>1250</v>
      </c>
      <c r="I47" s="399">
        <v>2300</v>
      </c>
      <c r="J47" s="401">
        <v>6.5000000000000002E-2</v>
      </c>
      <c r="K47" s="399" t="s">
        <v>1603</v>
      </c>
      <c r="L47" t="s">
        <v>1545</v>
      </c>
      <c r="M47" s="109">
        <f>M52*50%</f>
        <v>12525</v>
      </c>
      <c r="N47" t="s">
        <v>1546</v>
      </c>
      <c r="O47" s="109">
        <f>+I44+I46+I48+I49+D7+D8+D9+D12+D17+I43+D23+D27+D28+D35+D36+D49+D52</f>
        <v>19189.854340054793</v>
      </c>
    </row>
    <row r="48" spans="1:16">
      <c r="A48" s="110">
        <v>46140</v>
      </c>
      <c r="B48" s="112" t="s">
        <v>1830</v>
      </c>
      <c r="C48" s="112"/>
      <c r="D48" s="116">
        <v>131.87486000000001</v>
      </c>
      <c r="E48" s="113">
        <f t="shared" si="3"/>
        <v>5739.3521506301367</v>
      </c>
      <c r="F48" s="399" t="s">
        <v>2231</v>
      </c>
      <c r="G48" t="s">
        <v>479</v>
      </c>
      <c r="H48" s="399" t="s">
        <v>1840</v>
      </c>
      <c r="I48" s="399"/>
      <c r="J48" s="401"/>
      <c r="K48" s="399" t="s">
        <v>495</v>
      </c>
      <c r="L48" t="s">
        <v>2244</v>
      </c>
      <c r="M48" s="109">
        <f>M52*20%</f>
        <v>5010</v>
      </c>
      <c r="N48" t="s">
        <v>1544</v>
      </c>
      <c r="O48" s="109">
        <f>MAX(M58:M67)</f>
        <v>5400</v>
      </c>
    </row>
    <row r="49" spans="1:14">
      <c r="A49" s="110">
        <v>46140</v>
      </c>
      <c r="B49" s="112" t="str">
        <f>H56</f>
        <v>小鹏4B</v>
      </c>
      <c r="C49" s="112"/>
      <c r="D49" s="116">
        <v>606.95035068493144</v>
      </c>
      <c r="E49" s="113">
        <f t="shared" si="3"/>
        <v>5132.4017999452053</v>
      </c>
      <c r="F49" s="399" t="s">
        <v>2232</v>
      </c>
      <c r="G49" t="s">
        <v>479</v>
      </c>
      <c r="H49" s="399" t="s">
        <v>1841</v>
      </c>
      <c r="I49" s="399">
        <v>3500</v>
      </c>
      <c r="J49" s="401">
        <v>3.7999999999999999E-2</v>
      </c>
      <c r="K49" s="399" t="s">
        <v>495</v>
      </c>
      <c r="L49" t="s">
        <v>1647</v>
      </c>
      <c r="M49">
        <f>+M52*27%</f>
        <v>6763.5</v>
      </c>
      <c r="N49" t="s">
        <v>1544</v>
      </c>
    </row>
    <row r="50" spans="1:14">
      <c r="A50" s="110">
        <v>46140</v>
      </c>
      <c r="B50" s="112" t="s">
        <v>1250</v>
      </c>
      <c r="C50" s="112"/>
      <c r="D50" s="116">
        <v>354.06700000000006</v>
      </c>
      <c r="E50" s="113">
        <f t="shared" si="3"/>
        <v>4778.3347999452053</v>
      </c>
      <c r="F50" s="399" t="s">
        <v>2233</v>
      </c>
      <c r="G50" t="s">
        <v>849</v>
      </c>
      <c r="H50" s="399"/>
      <c r="I50" s="399"/>
      <c r="J50" s="447"/>
      <c r="K50" s="399"/>
    </row>
    <row r="51" spans="1:14">
      <c r="A51" s="112"/>
      <c r="B51" s="112"/>
      <c r="C51" s="112"/>
      <c r="D51" s="112"/>
      <c r="E51" s="113">
        <f t="shared" si="3"/>
        <v>4778.3347999452053</v>
      </c>
      <c r="G51" t="s">
        <v>1943</v>
      </c>
      <c r="H51" s="399" t="s">
        <v>1829</v>
      </c>
      <c r="I51" s="399">
        <v>1400</v>
      </c>
      <c r="J51" s="401">
        <v>6.5000000000000002E-2</v>
      </c>
      <c r="K51" s="399" t="s">
        <v>1603</v>
      </c>
    </row>
    <row r="52" spans="1:14">
      <c r="A52" s="110">
        <v>46141</v>
      </c>
      <c r="B52" s="112" t="s">
        <v>1326</v>
      </c>
      <c r="C52" s="112"/>
      <c r="D52" s="112">
        <v>3500</v>
      </c>
      <c r="E52" s="113">
        <f t="shared" si="3"/>
        <v>1278.3347999452053</v>
      </c>
      <c r="G52" t="s">
        <v>1943</v>
      </c>
      <c r="H52" s="399" t="s">
        <v>1831</v>
      </c>
      <c r="I52" s="399">
        <v>350</v>
      </c>
      <c r="J52" s="401">
        <v>7.0000000000000007E-2</v>
      </c>
      <c r="K52" s="399" t="s">
        <v>618</v>
      </c>
      <c r="L52" t="s">
        <v>813</v>
      </c>
      <c r="M52">
        <f>20050+C62</f>
        <v>25050</v>
      </c>
    </row>
    <row r="53" spans="1:14">
      <c r="A53" s="112"/>
      <c r="B53" s="112"/>
      <c r="C53" s="112"/>
      <c r="D53" s="112"/>
      <c r="E53" s="113">
        <f t="shared" si="3"/>
        <v>1278.3347999452053</v>
      </c>
      <c r="G53" t="s">
        <v>1943</v>
      </c>
      <c r="H53" s="399" t="s">
        <v>1832</v>
      </c>
      <c r="I53" s="399">
        <v>360</v>
      </c>
      <c r="J53" s="401">
        <v>7.0000000000000007E-2</v>
      </c>
      <c r="K53" s="399" t="s">
        <v>618</v>
      </c>
      <c r="L53" t="s">
        <v>1916</v>
      </c>
      <c r="M53" s="163">
        <f>SUMPRODUCT(I35:I67,J35:J67)/SUM(I35:I67)</f>
        <v>4.2524832111051035E-2</v>
      </c>
    </row>
    <row r="54" spans="1:14">
      <c r="A54" s="110">
        <v>46142</v>
      </c>
      <c r="B54" s="112" t="s">
        <v>1617</v>
      </c>
      <c r="C54" s="112"/>
      <c r="D54" s="112">
        <v>948.53468219178069</v>
      </c>
      <c r="E54" s="113">
        <f t="shared" si="3"/>
        <v>329.80011775342462</v>
      </c>
      <c r="F54" s="399" t="s">
        <v>2262</v>
      </c>
      <c r="G54" t="s">
        <v>919</v>
      </c>
      <c r="H54" s="399" t="s">
        <v>2001</v>
      </c>
      <c r="I54" s="399">
        <v>600</v>
      </c>
      <c r="J54" s="447">
        <v>3.2000000000000001E-2</v>
      </c>
      <c r="K54" s="399" t="s">
        <v>2002</v>
      </c>
    </row>
    <row r="55" spans="1:14">
      <c r="A55" s="110">
        <v>46142</v>
      </c>
      <c r="B55" s="112" t="s">
        <v>2245</v>
      </c>
      <c r="C55" s="112"/>
      <c r="D55" s="213">
        <v>305.214</v>
      </c>
      <c r="E55" s="113">
        <f t="shared" si="3"/>
        <v>24.586117753424617</v>
      </c>
      <c r="F55" s="399" t="s">
        <v>2279</v>
      </c>
      <c r="G55" t="s">
        <v>919</v>
      </c>
      <c r="H55" s="399" t="s">
        <v>1569</v>
      </c>
      <c r="I55" s="399">
        <v>200</v>
      </c>
      <c r="J55" s="447">
        <v>2.8000000000000001E-2</v>
      </c>
      <c r="K55" s="399" t="s">
        <v>2002</v>
      </c>
    </row>
    <row r="56" spans="1:14">
      <c r="A56" s="110">
        <v>46142</v>
      </c>
      <c r="B56" s="112" t="s">
        <v>2367</v>
      </c>
      <c r="C56" s="112">
        <v>1.58</v>
      </c>
      <c r="D56" s="112"/>
      <c r="E56" s="113">
        <f t="shared" si="3"/>
        <v>26.166117753424615</v>
      </c>
      <c r="G56" t="s">
        <v>919</v>
      </c>
      <c r="H56" s="399" t="s">
        <v>1999</v>
      </c>
      <c r="I56" s="399">
        <v>700</v>
      </c>
      <c r="J56" s="447">
        <v>2.9000000000000001E-2</v>
      </c>
      <c r="K56" s="399" t="s">
        <v>1603</v>
      </c>
    </row>
    <row r="57" spans="1:14">
      <c r="A57" s="156">
        <v>46153</v>
      </c>
      <c r="B57" s="112" t="s">
        <v>1830</v>
      </c>
      <c r="C57" s="112">
        <f>15*101.1307%</f>
        <v>15.169604999999999</v>
      </c>
      <c r="D57" s="112"/>
      <c r="E57" s="113">
        <f t="shared" si="3"/>
        <v>41.335722753424612</v>
      </c>
      <c r="F57" s="399" t="s">
        <v>2380</v>
      </c>
      <c r="G57" t="s">
        <v>621</v>
      </c>
      <c r="H57" s="399" t="s">
        <v>2245</v>
      </c>
      <c r="I57" s="399">
        <v>300</v>
      </c>
      <c r="J57" s="447">
        <v>4.4999999999999998E-2</v>
      </c>
      <c r="K57" s="399" t="s">
        <v>486</v>
      </c>
    </row>
    <row r="58" spans="1:14">
      <c r="E58" s="109">
        <f t="shared" si="3"/>
        <v>41.335722753424612</v>
      </c>
      <c r="L58" t="s">
        <v>1992</v>
      </c>
      <c r="M58" s="2" cm="1">
        <f t="array" ref="M58">IFERROR(SUM(_xlfn._xlws.FILTER($I$35:$I$69,$K$35:$K$69=L58)),0)</f>
        <v>1000</v>
      </c>
    </row>
    <row r="59" spans="1:14">
      <c r="A59" s="117">
        <v>46157</v>
      </c>
      <c r="B59" s="112" t="s">
        <v>613</v>
      </c>
      <c r="C59">
        <v>300</v>
      </c>
      <c r="E59" s="109">
        <f>+E58+C59-D59</f>
        <v>341.33572275342459</v>
      </c>
      <c r="I59" s="109"/>
      <c r="J59" s="150"/>
      <c r="L59" t="s">
        <v>1603</v>
      </c>
      <c r="M59" s="2" cm="1">
        <f t="array" ref="M59">IFERROR(SUM(_xlfn._xlws.FILTER($I$35:$I$69,$K$35:$K$69=L59)),0)</f>
        <v>5400</v>
      </c>
    </row>
    <row r="60" spans="1:14">
      <c r="E60" s="109">
        <f>+E59+C60-D60</f>
        <v>341.33572275342459</v>
      </c>
      <c r="G60" t="s">
        <v>2400</v>
      </c>
      <c r="H60" t="s">
        <v>2398</v>
      </c>
      <c r="I60" s="109">
        <v>1002.2</v>
      </c>
      <c r="J60" s="150">
        <v>4.7E-2</v>
      </c>
      <c r="K60" t="s">
        <v>486</v>
      </c>
      <c r="L60" t="s">
        <v>618</v>
      </c>
      <c r="M60" s="2" cm="1">
        <f t="array" ref="M60">IFERROR(SUM(_xlfn._xlws.FILTER($I$35:$I$69,$K$35:$K$69=L60)),0)</f>
        <v>710</v>
      </c>
    </row>
    <row r="61" spans="1:14">
      <c r="E61" s="109">
        <f>+E60+C61-D61</f>
        <v>341.33572275342459</v>
      </c>
      <c r="H61" t="s">
        <v>2245</v>
      </c>
      <c r="I61" s="109">
        <v>50.9</v>
      </c>
      <c r="J61" s="150">
        <v>4.8000000000000001E-2</v>
      </c>
      <c r="K61" t="s">
        <v>486</v>
      </c>
      <c r="L61" t="s">
        <v>1643</v>
      </c>
      <c r="M61" s="2" cm="1">
        <f t="array" ref="M61">IFERROR(SUM(_xlfn._xlws.FILTER($I$35:$I$69,$K$35:$K$69=L61)),0)</f>
        <v>0</v>
      </c>
    </row>
    <row r="62" spans="1:14">
      <c r="A62" s="117">
        <v>46163</v>
      </c>
      <c r="B62" s="112" t="s">
        <v>531</v>
      </c>
      <c r="C62">
        <v>5000</v>
      </c>
      <c r="E62" s="109">
        <f>+E61+C62-D62</f>
        <v>5341.3357227534243</v>
      </c>
      <c r="H62" t="s">
        <v>2401</v>
      </c>
      <c r="I62" s="109">
        <v>1040</v>
      </c>
      <c r="J62" s="150">
        <v>5.7000000000000002E-2</v>
      </c>
      <c r="K62" t="s">
        <v>491</v>
      </c>
      <c r="L62" t="s">
        <v>495</v>
      </c>
      <c r="M62" s="2" cm="1">
        <f t="array" ref="M62">IFERROR(SUM(_xlfn._xlws.FILTER($I$35:$I$69,$K$35:$K$69=L62)),0)</f>
        <v>3500</v>
      </c>
    </row>
    <row r="63" spans="1:14">
      <c r="B63" s="9"/>
      <c r="C63" s="2"/>
      <c r="D63" s="2"/>
      <c r="E63" s="109">
        <f t="shared" si="3"/>
        <v>5341.3357227534243</v>
      </c>
      <c r="H63" t="s">
        <v>14</v>
      </c>
      <c r="I63" s="109">
        <v>1813.9684931506852</v>
      </c>
      <c r="J63" s="150">
        <v>3.5999999999999997E-2</v>
      </c>
      <c r="K63" t="s">
        <v>1644</v>
      </c>
      <c r="L63" t="s">
        <v>1541</v>
      </c>
      <c r="M63" s="2" cm="1">
        <f t="array" ref="M63">IFERROR(SUM(_xlfn._xlws.FILTER($I$35:$I$69,$K$35:$K$69=L63)),0)</f>
        <v>3500</v>
      </c>
    </row>
    <row r="64" spans="1:14">
      <c r="A64" s="117">
        <v>46167</v>
      </c>
      <c r="E64" s="109">
        <f t="shared" si="3"/>
        <v>5341.3357227534243</v>
      </c>
      <c r="H64" t="s">
        <v>2405</v>
      </c>
      <c r="I64" s="109">
        <v>1211.2421917808219</v>
      </c>
      <c r="J64" s="163">
        <v>3.5999999999999997E-2</v>
      </c>
      <c r="K64" t="s">
        <v>1644</v>
      </c>
      <c r="L64" t="s">
        <v>486</v>
      </c>
      <c r="M64" s="2" cm="1">
        <f t="array" ref="M64">IFERROR(SUM(_xlfn._xlws.FILTER($I$35:$I$69,$K$35:$K$69=L64)),0)</f>
        <v>1353.1000000000001</v>
      </c>
    </row>
    <row r="65" spans="2:17">
      <c r="E65" s="109">
        <f t="shared" si="3"/>
        <v>5341.3357227534243</v>
      </c>
      <c r="I65" s="109"/>
      <c r="J65" s="163"/>
      <c r="L65" t="s">
        <v>1540</v>
      </c>
      <c r="M65" s="2" cm="1">
        <f t="array" ref="M65">IFERROR(SUM(_xlfn._xlws.FILTER($I$35:$I$69,$K$35:$K$69=L65)),0)</f>
        <v>2057.0079999999998</v>
      </c>
    </row>
    <row r="66" spans="2:17">
      <c r="E66" s="109">
        <f t="shared" si="3"/>
        <v>5341.3357227534243</v>
      </c>
      <c r="I66" s="109"/>
      <c r="J66" s="163"/>
      <c r="L66" t="s">
        <v>1644</v>
      </c>
      <c r="M66" s="2" cm="1">
        <f t="array" ref="M66">IFERROR(SUM(_xlfn._xlws.FILTER($I$35:$I$69,$K$35:$K$69=L66)),0)</f>
        <v>4962.745367123287</v>
      </c>
    </row>
    <row r="67" spans="2:17">
      <c r="E67" s="109">
        <f t="shared" si="3"/>
        <v>5341.3357227534243</v>
      </c>
      <c r="J67" s="163"/>
      <c r="L67" t="s">
        <v>2002</v>
      </c>
      <c r="M67" s="2" cm="1">
        <f t="array" ref="M67">IFERROR(SUM(_xlfn._xlws.FILTER($I$35:$I$69,$K$35:$K$69=L67)),0)</f>
        <v>800</v>
      </c>
    </row>
    <row r="68" spans="2:17">
      <c r="E68" s="109">
        <f t="shared" si="3"/>
        <v>5341.3357227534243</v>
      </c>
      <c r="L68" t="s">
        <v>2399</v>
      </c>
      <c r="M68" s="2" cm="1">
        <f t="array" ref="M68">IFERROR(SUM(_xlfn._xlws.FILTER($I$35:$I$69,$K$35:$K$69=L68)),0)</f>
        <v>0</v>
      </c>
    </row>
    <row r="69" spans="2:17">
      <c r="E69" s="109">
        <f t="shared" ref="E69:E77" si="4">+E68+C69-D69</f>
        <v>5341.3357227534243</v>
      </c>
      <c r="L69" t="s">
        <v>491</v>
      </c>
      <c r="M69" s="2" cm="1">
        <f t="array" ref="M69">IFERROR(SUM(_xlfn._xlws.FILTER($I$35:$I$69,$K$35:$K$69=L69)),0)</f>
        <v>1040</v>
      </c>
    </row>
    <row r="70" spans="2:17">
      <c r="E70" s="109">
        <f t="shared" si="4"/>
        <v>5341.3357227534243</v>
      </c>
      <c r="O70" s="146">
        <v>0.02</v>
      </c>
      <c r="P70" s="146">
        <v>0.2</v>
      </c>
      <c r="Q70" s="117"/>
    </row>
    <row r="71" spans="2:17">
      <c r="E71" s="109">
        <f t="shared" si="4"/>
        <v>5341.3357227534243</v>
      </c>
      <c r="I71" s="531">
        <f>SUM(I59:I70)</f>
        <v>5118.3106849315081</v>
      </c>
      <c r="M71" s="186">
        <f>SUM(M58:M70)</f>
        <v>24322.853367123287</v>
      </c>
      <c r="O71" s="146">
        <v>0.03</v>
      </c>
      <c r="P71" s="146">
        <v>0.4</v>
      </c>
      <c r="Q71" s="117"/>
    </row>
    <row r="72" spans="2:17">
      <c r="E72" s="109">
        <f t="shared" si="4"/>
        <v>5341.3357227534243</v>
      </c>
      <c r="J72" s="405"/>
      <c r="O72" s="146">
        <v>0.05</v>
      </c>
      <c r="P72" s="146">
        <v>0.4</v>
      </c>
      <c r="Q72" s="117"/>
    </row>
    <row r="73" spans="2:17">
      <c r="E73" s="109">
        <f t="shared" si="4"/>
        <v>5341.3357227534243</v>
      </c>
      <c r="P73">
        <f>SUMPRODUCT(P70:P72,O70:O72)</f>
        <v>3.6000000000000004E-2</v>
      </c>
      <c r="Q73" s="117"/>
    </row>
    <row r="74" spans="2:17">
      <c r="E74" s="109">
        <f t="shared" si="4"/>
        <v>5341.3357227534243</v>
      </c>
      <c r="Q74" s="117"/>
    </row>
    <row r="75" spans="2:17">
      <c r="B75" s="9" t="s">
        <v>1643</v>
      </c>
      <c r="C75" s="2"/>
      <c r="D75" s="2">
        <v>2000</v>
      </c>
      <c r="E75" s="109">
        <f t="shared" si="4"/>
        <v>3341.3357227534243</v>
      </c>
      <c r="Q75" s="117"/>
    </row>
    <row r="76" spans="2:17">
      <c r="E76" s="109">
        <f t="shared" si="4"/>
        <v>3341.3357227534243</v>
      </c>
      <c r="Q76" s="117"/>
    </row>
    <row r="77" spans="2:17">
      <c r="E77" s="109">
        <f t="shared" si="4"/>
        <v>3341.3357227534243</v>
      </c>
      <c r="Q77" s="117"/>
    </row>
    <row r="78" spans="2:17">
      <c r="Q78" s="117"/>
    </row>
    <row r="81" spans="6:36">
      <c r="H81" s="276" t="s">
        <v>2177</v>
      </c>
      <c r="I81" s="276" t="s">
        <v>525</v>
      </c>
      <c r="J81" s="276" t="s">
        <v>2176</v>
      </c>
      <c r="K81" s="276" t="s">
        <v>2178</v>
      </c>
      <c r="L81" s="276" t="s">
        <v>530</v>
      </c>
      <c r="M81" s="276" t="s">
        <v>527</v>
      </c>
      <c r="N81" s="276" t="s">
        <v>528</v>
      </c>
      <c r="O81" s="276" t="s">
        <v>2179</v>
      </c>
      <c r="P81" s="276" t="s">
        <v>555</v>
      </c>
      <c r="Q81" s="276" t="s">
        <v>2067</v>
      </c>
      <c r="R81" s="276" t="s">
        <v>2063</v>
      </c>
      <c r="S81" s="276" t="s">
        <v>2069</v>
      </c>
      <c r="T81" s="276" t="s">
        <v>2180</v>
      </c>
      <c r="U81" s="276" t="s">
        <v>2107</v>
      </c>
      <c r="V81" s="276" t="s">
        <v>2088</v>
      </c>
      <c r="Z81" s="518" t="s">
        <v>1499</v>
      </c>
      <c r="AA81" s="519"/>
      <c r="AB81" s="520"/>
      <c r="AD81" t="s">
        <v>1830</v>
      </c>
      <c r="AE81" s="151">
        <f>XIRR(AE82:AE84,AD82:AD84)</f>
        <v>4.3660899996757513E-2</v>
      </c>
      <c r="AF81" s="263"/>
      <c r="AH81">
        <v>101.46769999999999</v>
      </c>
    </row>
    <row r="82" spans="6:36">
      <c r="F82" t="s">
        <v>2188</v>
      </c>
      <c r="G82" t="s">
        <v>2165</v>
      </c>
      <c r="H82" t="s">
        <v>1829</v>
      </c>
      <c r="I82" t="s">
        <v>2174</v>
      </c>
      <c r="J82" s="150">
        <v>6.8000000000000005E-2</v>
      </c>
      <c r="K82">
        <v>1400</v>
      </c>
      <c r="L82" s="1">
        <v>46139</v>
      </c>
      <c r="M82" s="155">
        <f>ROUND(100*(1+J82*(L82-S82)/365)-U82,4)+0.003</f>
        <v>101.42659999999999</v>
      </c>
      <c r="N82">
        <f>+M82+T82</f>
        <v>101.42659999999999</v>
      </c>
      <c r="O82" s="2">
        <f>+N82*K82/100</f>
        <v>1419.9723999999999</v>
      </c>
      <c r="P82">
        <v>101.31829999999999</v>
      </c>
      <c r="R82" s="1">
        <v>46176</v>
      </c>
      <c r="S82" s="1">
        <v>45917</v>
      </c>
      <c r="T82" s="155">
        <v>0</v>
      </c>
      <c r="U82">
        <v>2.712328297</v>
      </c>
      <c r="W82" t="str">
        <f>H82&amp;"["&amp;I82&amp;"]，"&amp;K82&amp;"w，"&amp;M82&amp;"，"&amp;TEXT(L82,"m月d日")&amp;"，"&amp;"粤开证券"&amp;" to "&amp;"中建投"</f>
        <v>小鹏4次[146862.SZ]，1400w，101.4266，4月27日，粤开证券 to 中建投</v>
      </c>
      <c r="Z82" s="521" t="s">
        <v>2069</v>
      </c>
      <c r="AA82" s="117">
        <v>46066</v>
      </c>
      <c r="AB82" s="522"/>
      <c r="AD82" s="117">
        <v>46140</v>
      </c>
      <c r="AE82" s="510">
        <f>-M88</f>
        <v>-101.4422</v>
      </c>
      <c r="AH82">
        <f>+AH81-0.4658</f>
        <v>101.00189999999999</v>
      </c>
    </row>
    <row r="83" spans="6:36">
      <c r="F83" t="s">
        <v>2188</v>
      </c>
      <c r="G83" t="s">
        <v>919</v>
      </c>
      <c r="H83" t="s">
        <v>2001</v>
      </c>
      <c r="I83" t="s">
        <v>2175</v>
      </c>
      <c r="J83" s="150">
        <v>3.2000000000000001E-2</v>
      </c>
      <c r="K83">
        <v>600</v>
      </c>
      <c r="L83" s="1">
        <v>46139</v>
      </c>
      <c r="M83" s="155">
        <v>100.005</v>
      </c>
      <c r="N83">
        <f>+M83+T83</f>
        <v>100.25047945205479</v>
      </c>
      <c r="O83" s="2">
        <f>+N83*K83/100</f>
        <v>601.50287671232877</v>
      </c>
      <c r="P83">
        <v>100.19110000000001</v>
      </c>
      <c r="R83" s="1">
        <v>46112</v>
      </c>
      <c r="S83" s="1">
        <v>45609</v>
      </c>
      <c r="T83" s="155">
        <f>+J83*(L83-R83+1)/365*100</f>
        <v>0.24547945205479452</v>
      </c>
      <c r="W83" t="str">
        <f>H83&amp;"["&amp;I83&amp;"]，"&amp;K83&amp;"w，"&amp;M83&amp;"，"&amp;TEXT(L83,"m月d日")&amp;"，"&amp;"粤开证券"&amp;" to "&amp;"中建投"</f>
        <v>德银03B[263516.SH]，600w，100.005，4月27日，粤开证券 to 中建投</v>
      </c>
      <c r="Z83" s="521" t="s">
        <v>2070</v>
      </c>
      <c r="AA83" s="150">
        <v>6.8000000000000005E-2</v>
      </c>
      <c r="AB83" s="522"/>
      <c r="AD83" s="117">
        <v>46149</v>
      </c>
      <c r="AE83" s="2">
        <v>0.46579999999999999</v>
      </c>
      <c r="AH83">
        <f>+AH82+6.8*11/365</f>
        <v>101.20683150684931</v>
      </c>
    </row>
    <row r="84" spans="6:36">
      <c r="F84" t="s">
        <v>2188</v>
      </c>
      <c r="G84" t="s">
        <v>919</v>
      </c>
      <c r="H84" t="s">
        <v>1569</v>
      </c>
      <c r="I84" t="s">
        <v>1229</v>
      </c>
      <c r="J84" s="150">
        <v>4.2999999999999997E-2</v>
      </c>
      <c r="K84">
        <v>380</v>
      </c>
      <c r="L84" s="1">
        <v>46139</v>
      </c>
      <c r="M84" s="155">
        <f>P84+0.004</f>
        <v>52.526799999999994</v>
      </c>
      <c r="N84">
        <f>+M84+T84</f>
        <v>52.679950684931498</v>
      </c>
      <c r="O84" s="2">
        <f>+N84*K84/100</f>
        <v>200.18381260273972</v>
      </c>
      <c r="P84">
        <v>52.522799999999997</v>
      </c>
      <c r="R84" s="1">
        <v>46127</v>
      </c>
      <c r="S84" s="1">
        <v>45559</v>
      </c>
      <c r="T84" s="155">
        <f>+J84*(L84-R84+1)/365*100</f>
        <v>0.15315068493150683</v>
      </c>
      <c r="W84" t="str">
        <f>H84&amp;"["&amp;I84&amp;"]，"&amp;K84&amp;"w，"&amp;M84&amp;"，"&amp;TEXT(L84,"m月d日")&amp;"，"&amp;"粤开证券"&amp;" to "&amp;"中建投"</f>
        <v>熠安02A3[144651.SZ]，380w，52.5268，4月27日，粤开证券 to 中建投</v>
      </c>
      <c r="Z84" s="521"/>
      <c r="AB84" s="522"/>
      <c r="AD84" s="117">
        <v>46153</v>
      </c>
      <c r="AE84" s="510">
        <v>101.1307</v>
      </c>
      <c r="AF84" s="165"/>
      <c r="AH84" s="421">
        <f>+AH83-AE84</f>
        <v>7.6131506849307584E-2</v>
      </c>
      <c r="AI84">
        <f>+AH84*1500</f>
        <v>114.19726027396138</v>
      </c>
      <c r="AJ84" s="511">
        <f>+AI84/200000000</f>
        <v>5.7098630136980684E-7</v>
      </c>
    </row>
    <row r="85" spans="6:36">
      <c r="M85" s="155"/>
      <c r="O85" s="186">
        <f>SUM(O82:O84)</f>
        <v>2221.6590893150683</v>
      </c>
      <c r="Z85" s="521" t="s">
        <v>874</v>
      </c>
      <c r="AA85">
        <v>1950</v>
      </c>
      <c r="AB85" s="522">
        <v>350</v>
      </c>
    </row>
    <row r="86" spans="6:36">
      <c r="G86" t="s">
        <v>2165</v>
      </c>
      <c r="H86" t="s">
        <v>1831</v>
      </c>
      <c r="I86" t="s">
        <v>2182</v>
      </c>
      <c r="J86" s="150">
        <v>7.4999999999999997E-2</v>
      </c>
      <c r="K86">
        <v>600</v>
      </c>
      <c r="L86" s="1">
        <v>46140</v>
      </c>
      <c r="M86">
        <v>45.4741</v>
      </c>
      <c r="N86">
        <f>+M86+T86</f>
        <v>45.4741</v>
      </c>
      <c r="O86" s="2">
        <f>+N86*K86/100</f>
        <v>272.84460000000001</v>
      </c>
      <c r="P86">
        <v>45.4741</v>
      </c>
      <c r="Q86" s="150">
        <v>0.06</v>
      </c>
      <c r="R86" s="1">
        <v>46134</v>
      </c>
      <c r="S86" s="1">
        <v>45471</v>
      </c>
      <c r="T86">
        <v>0</v>
      </c>
      <c r="W86" t="str">
        <f>H86&amp;"["&amp;I86&amp;"]，"&amp;K86&amp;"w，"&amp;M86&amp;"，"&amp;TEXT(L86,"m月d日")&amp;"，"&amp;"粤开证券 许逸潇2881647849"&amp;" to "&amp;"中建投信托 李思韵 3003354775"</f>
        <v>玮盈2次[144378.SZ]，600w，45.4741，4月28日，粤开证券 许逸潇2881647849 to 中建投信托 李思韵 3003354775</v>
      </c>
      <c r="Z86" s="521" t="s">
        <v>2068</v>
      </c>
      <c r="AA86">
        <v>101.23909999999999</v>
      </c>
      <c r="AB86" s="522"/>
    </row>
    <row r="87" spans="6:36">
      <c r="F87" s="208"/>
      <c r="G87" t="s">
        <v>2165</v>
      </c>
      <c r="H87" t="s">
        <v>1832</v>
      </c>
      <c r="I87" t="s">
        <v>2184</v>
      </c>
      <c r="J87" s="150">
        <v>7.4999999999999997E-2</v>
      </c>
      <c r="K87">
        <v>400</v>
      </c>
      <c r="L87" s="1">
        <v>46140</v>
      </c>
      <c r="M87" s="155">
        <v>67.900000000000006</v>
      </c>
      <c r="N87">
        <f>+M87+T87</f>
        <v>67.900000000000006</v>
      </c>
      <c r="O87" s="2">
        <f>+N87*K87/100</f>
        <v>271.60000000000002</v>
      </c>
      <c r="P87">
        <v>67.762500000000003</v>
      </c>
      <c r="Q87" s="150">
        <v>6.3E-2</v>
      </c>
      <c r="R87" s="1">
        <v>46134</v>
      </c>
      <c r="S87" s="1">
        <v>45504</v>
      </c>
      <c r="T87">
        <v>0</v>
      </c>
      <c r="W87" t="str">
        <f>H87&amp;"["&amp;I87&amp;"]，"&amp;K87&amp;"w，"&amp;M87&amp;"，"&amp;TEXT(L87,"m月d日")&amp;"，"&amp;"粤开证券 许逸潇2881647849"&amp;" to "&amp;"中建投信托 李思韵 3003354775"</f>
        <v>玮盈3次[144479.SZ]，400w，67.9，4月28日，粤开证券 许逸潇2881647849 to 中建投信托 李思韵 3003354775</v>
      </c>
      <c r="Z87" s="521"/>
      <c r="AB87" s="522"/>
    </row>
    <row r="88" spans="6:36">
      <c r="G88" t="s">
        <v>2165</v>
      </c>
      <c r="H88" t="s">
        <v>1829</v>
      </c>
      <c r="I88" t="s">
        <v>2174</v>
      </c>
      <c r="J88" s="150">
        <v>6.8000000000000005E-2</v>
      </c>
      <c r="K88">
        <v>130</v>
      </c>
      <c r="L88" s="1">
        <v>46140</v>
      </c>
      <c r="M88" s="155">
        <f>ROUND(100*(1+J88*(L88-S88)/365)-U88,4)</f>
        <v>101.4422</v>
      </c>
      <c r="N88">
        <f>+M88+T88</f>
        <v>101.4422</v>
      </c>
      <c r="O88" s="2">
        <f>+N88*K88/100</f>
        <v>131.87486000000001</v>
      </c>
      <c r="P88">
        <v>101.31829999999999</v>
      </c>
      <c r="Q88" s="150">
        <v>6.8000000000000005E-2</v>
      </c>
      <c r="R88" s="1">
        <v>46176</v>
      </c>
      <c r="S88" s="1">
        <v>45917</v>
      </c>
      <c r="T88">
        <v>0</v>
      </c>
      <c r="U88">
        <v>2.712328297</v>
      </c>
      <c r="W88" t="str">
        <f>H88&amp;"["&amp;I88&amp;"]，"&amp;K88&amp;"w，"&amp;M88&amp;"，"&amp;TEXT(L88,"m月d日")&amp;"，"&amp;"粤开证券 许逸潇2881647849"&amp;" to "&amp;"中建投信托 李思韵 3003354775"</f>
        <v>小鹏4次[146862.SZ]，130w，101.4422，4月28日，粤开证券 许逸潇2881647849 to 中建投信托 李思韵 3003354775</v>
      </c>
      <c r="Z88" s="521" t="s">
        <v>530</v>
      </c>
      <c r="AA88" s="117">
        <v>46135</v>
      </c>
      <c r="AB88" s="523">
        <v>46140</v>
      </c>
    </row>
    <row r="89" spans="6:36">
      <c r="G89" t="s">
        <v>919</v>
      </c>
      <c r="H89" t="s">
        <v>2167</v>
      </c>
      <c r="I89" t="s">
        <v>2181</v>
      </c>
      <c r="J89" s="150">
        <v>3.4000000000000002E-2</v>
      </c>
      <c r="K89">
        <v>600</v>
      </c>
      <c r="L89" s="1">
        <v>46140</v>
      </c>
      <c r="M89" s="155">
        <f>+P89</f>
        <v>100.9162</v>
      </c>
      <c r="N89">
        <f>+M89+T89</f>
        <v>101.15839178082192</v>
      </c>
      <c r="O89" s="2">
        <f>+N89*K89/100</f>
        <v>606.95035068493144</v>
      </c>
      <c r="P89">
        <v>100.9162</v>
      </c>
      <c r="Q89" s="150">
        <v>2.9000000000000001E-2</v>
      </c>
      <c r="R89" s="1">
        <v>46115</v>
      </c>
      <c r="S89" s="1">
        <v>45917</v>
      </c>
      <c r="T89">
        <f>+J89*(L89-R89+1)/365*100</f>
        <v>0.24219178082191783</v>
      </c>
      <c r="W89" t="str">
        <f>H89&amp;"["&amp;I89&amp;"]，"&amp;K89&amp;"w，"&amp;M89&amp;"，"&amp;TEXT(L89,"m月d日")&amp;"，"&amp;"粤开证券 许逸潇2881647849"&amp;" to "&amp;"中建投信托 李思韵 3003354775"</f>
        <v>小鹏4B[146861.SZ]，600w，100.9162，4月28日，粤开证券 许逸潇2881647849 to 中建投信托 李思韵 3003354775</v>
      </c>
      <c r="Z89" s="521" t="s">
        <v>2071</v>
      </c>
      <c r="AA89" s="290">
        <f>100*(1+AA83*(AA88-AA82)/365)</f>
        <v>101.2854794520548</v>
      </c>
      <c r="AB89" s="524">
        <f>100*(1+AA83*(AB88-AA82)/365)</f>
        <v>101.37863013698629</v>
      </c>
    </row>
    <row r="90" spans="6:36">
      <c r="G90" t="s">
        <v>41</v>
      </c>
      <c r="H90" t="s">
        <v>1250</v>
      </c>
      <c r="I90" t="s">
        <v>1571</v>
      </c>
      <c r="J90" s="150">
        <v>6.8000000000000005E-2</v>
      </c>
      <c r="K90">
        <v>350</v>
      </c>
      <c r="L90" s="1">
        <v>46140</v>
      </c>
      <c r="M90" s="155">
        <v>101.16200000000001</v>
      </c>
      <c r="N90">
        <f>+M90+T90</f>
        <v>101.16200000000001</v>
      </c>
      <c r="O90" s="2">
        <f>+N90*K90/100</f>
        <v>354.06700000000006</v>
      </c>
      <c r="P90">
        <v>101.3172</v>
      </c>
      <c r="Q90" s="150">
        <v>6.8000000000000005E-2</v>
      </c>
      <c r="R90" s="1">
        <v>46066</v>
      </c>
      <c r="S90" s="1">
        <v>46066</v>
      </c>
      <c r="T90">
        <v>0</v>
      </c>
      <c r="W90" t="str">
        <f>H90&amp;"["&amp;I90&amp;"]，"&amp;K90&amp;"w，"&amp;M90&amp;"，"&amp;TEXT(L90,"m月d日")&amp;"，"&amp;"粤开证券 许逸潇2881647849"&amp;" to "&amp;"中建投信托 李思韵 3003354775"</f>
        <v>小鹏5次[500447.SZ]，350w，101.162，4月28日，粤开证券 许逸潇2881647849 to 中建投信托 李思韵 3003354775</v>
      </c>
      <c r="Z90" s="521" t="s">
        <v>2072</v>
      </c>
      <c r="AA90" s="223">
        <f>+AA89*AA85/100</f>
        <v>1975.0668493150688</v>
      </c>
      <c r="AB90" s="522">
        <f>+AB89*AB85/100</f>
        <v>354.82520547945199</v>
      </c>
    </row>
    <row r="91" spans="6:36">
      <c r="O91" s="186">
        <f>SUM(O86:O90)</f>
        <v>1637.3368106849316</v>
      </c>
      <c r="Z91" s="521" t="s">
        <v>2073</v>
      </c>
      <c r="AA91" s="525">
        <f>+AA90-AA92</f>
        <v>4.2408493150687718</v>
      </c>
      <c r="AB91" s="526">
        <f>5-AA91</f>
        <v>0.75915068493122817</v>
      </c>
    </row>
    <row r="92" spans="6:36">
      <c r="G92" t="s">
        <v>621</v>
      </c>
      <c r="H92" t="s">
        <v>1617</v>
      </c>
      <c r="I92" t="s">
        <v>2248</v>
      </c>
      <c r="J92" s="150">
        <v>4.3999999999999997E-2</v>
      </c>
      <c r="K92">
        <v>1150</v>
      </c>
      <c r="L92" s="1">
        <v>46142</v>
      </c>
      <c r="M92" s="155">
        <f>+P92+0.002</f>
        <v>82.288399999999996</v>
      </c>
      <c r="N92">
        <f>+M92+T92</f>
        <v>82.481276712328764</v>
      </c>
      <c r="O92" s="2">
        <f>+N92*K92/100</f>
        <v>948.53468219178069</v>
      </c>
      <c r="P92">
        <v>82.2864</v>
      </c>
      <c r="Q92" s="150">
        <v>3.5999999999999997E-2</v>
      </c>
      <c r="R92" s="1">
        <v>46127</v>
      </c>
      <c r="S92" s="1">
        <v>45645</v>
      </c>
      <c r="T92">
        <f>+J92*(L92-R92+1)/365*100</f>
        <v>0.1928767123287671</v>
      </c>
      <c r="W92" t="str">
        <f>H92&amp;"["&amp;I92&amp;"]，"&amp;K92&amp;"w，"&amp;M92&amp;"，"&amp;TEXT(L92,"m月d日")&amp;"，"&amp;"粤开证券 许逸潇2881647849"&amp;" to "&amp;"中建投信托 李思韵 3003354775"</f>
        <v>熠然03A3[144938.SZ]，1150w，82.2884，4月30日，粤开证券 许逸潇2881647849 to 中建投信托 李思韵 3003354775</v>
      </c>
      <c r="Z92" s="521" t="s">
        <v>2074</v>
      </c>
      <c r="AA92" s="223">
        <f>AA93*AA85/100</f>
        <v>1970.826</v>
      </c>
      <c r="AB92" s="527">
        <f>+AB90-AB91</f>
        <v>354.06605479452077</v>
      </c>
    </row>
    <row r="93" spans="6:36">
      <c r="G93" t="s">
        <v>621</v>
      </c>
      <c r="H93" t="s">
        <v>2245</v>
      </c>
      <c r="I93" t="s">
        <v>2249</v>
      </c>
      <c r="J93" s="150">
        <v>4.8000000000000001E-2</v>
      </c>
      <c r="K93">
        <v>300</v>
      </c>
      <c r="L93" s="1">
        <v>46142</v>
      </c>
      <c r="M93">
        <f>ROUND(100*(1+J93*(L93-R93)/365),3)+0.002</f>
        <v>101.738</v>
      </c>
      <c r="N93">
        <f>+M93+T93</f>
        <v>101.738</v>
      </c>
      <c r="O93" s="2">
        <f>+N93*K93/100</f>
        <v>305.214</v>
      </c>
      <c r="P93">
        <v>101.6384</v>
      </c>
      <c r="R93" s="1">
        <v>46010</v>
      </c>
      <c r="S93" s="1">
        <v>46010</v>
      </c>
      <c r="T93">
        <v>0</v>
      </c>
      <c r="W93" t="str">
        <f>H93&amp;"["&amp;I93&amp;"]，"&amp;K93&amp;"w，"&amp;M93&amp;"，"&amp;TEXT(L93,"m月d日")&amp;"，"&amp;"粤开证券 许逸潇2881647849"&amp;" to "&amp;"中建投信托 李思韵 3003354775"</f>
        <v>美歆6C[267135.SH]，300w，101.738，4月30日，粤开证券 许逸潇2881647849 to 中建投信托 李思韵 3003354775</v>
      </c>
      <c r="Z93" s="521" t="s">
        <v>2075</v>
      </c>
      <c r="AA93" s="290">
        <f>+AA97</f>
        <v>101.068</v>
      </c>
      <c r="AB93" s="522">
        <f>ROUND(+AB92/AB85*100,3)</f>
        <v>101.16200000000001</v>
      </c>
    </row>
    <row r="94" spans="6:36">
      <c r="O94" s="186">
        <f>SUM(O92:O93)</f>
        <v>1253.7486821917807</v>
      </c>
      <c r="Z94" s="521"/>
      <c r="AB94" s="522"/>
    </row>
    <row r="95" spans="6:36">
      <c r="Z95" s="521"/>
      <c r="AA95" s="464" t="e">
        <f>XIRR(AA96:AA97,Z96:Z97)</f>
        <v>#NUM!</v>
      </c>
      <c r="AB95" s="528" t="e">
        <f>XIRR(AB96:AB98,Z96:Z98)</f>
        <v>#NUM!</v>
      </c>
    </row>
    <row r="96" spans="6:36">
      <c r="H96" s="276" t="s">
        <v>2177</v>
      </c>
      <c r="I96" s="276" t="s">
        <v>525</v>
      </c>
      <c r="J96" s="276" t="s">
        <v>2176</v>
      </c>
      <c r="K96" s="276" t="s">
        <v>2178</v>
      </c>
      <c r="L96" s="276" t="s">
        <v>530</v>
      </c>
      <c r="M96" s="276" t="s">
        <v>527</v>
      </c>
      <c r="N96" s="276" t="s">
        <v>528</v>
      </c>
      <c r="O96" s="276" t="s">
        <v>2179</v>
      </c>
      <c r="P96" s="276" t="s">
        <v>555</v>
      </c>
      <c r="Q96" s="276" t="s">
        <v>2067</v>
      </c>
      <c r="R96" s="276" t="s">
        <v>2063</v>
      </c>
      <c r="S96" s="276" t="s">
        <v>2069</v>
      </c>
      <c r="T96" s="276" t="s">
        <v>2180</v>
      </c>
      <c r="U96" s="276" t="s">
        <v>2107</v>
      </c>
      <c r="V96" s="276" t="s">
        <v>2088</v>
      </c>
      <c r="Z96" s="529"/>
      <c r="AB96" s="522"/>
    </row>
    <row r="97" spans="8:28">
      <c r="H97" t="s">
        <v>2398</v>
      </c>
      <c r="I97" t="s">
        <v>2482</v>
      </c>
      <c r="J97" s="150">
        <v>4.7E-2</v>
      </c>
      <c r="K97">
        <v>1000</v>
      </c>
      <c r="L97" s="1">
        <v>46167</v>
      </c>
      <c r="M97">
        <f>ROUND(100*(1+J97*(L97-R97)/365),3)+0.003</f>
        <v>100.441</v>
      </c>
      <c r="N97">
        <f t="shared" ref="N97:N101" si="5">+M97+T97</f>
        <v>100.441</v>
      </c>
      <c r="O97" s="2">
        <f t="shared" ref="O97:O101" si="6">+N97*K97/100</f>
        <v>1004.41</v>
      </c>
      <c r="Q97" s="163">
        <v>4.7E-2</v>
      </c>
      <c r="R97" s="1">
        <v>46133</v>
      </c>
      <c r="S97" s="1">
        <v>46133</v>
      </c>
      <c r="T97">
        <v>0</v>
      </c>
      <c r="W97" t="str">
        <f>H97&amp;"["&amp;I97&amp;"]，"&amp;K97&amp;"w，"&amp;M97&amp;"，"&amp;TEXT(L97,"m月d日")&amp;"，"&amp;"粤开证券 许逸潇2881647849"&amp;" to "&amp;"中建投信托 李思韵 3003354775"</f>
        <v>惠鑫壹6C[268307.SH]，1000w，100.441，5月25日，粤开证券 许逸潇2881647849 to 中建投信托 李思韵 3003354775</v>
      </c>
      <c r="Z97" s="529">
        <v>46135</v>
      </c>
      <c r="AA97" s="421">
        <v>101.068</v>
      </c>
      <c r="AB97" s="530"/>
    </row>
    <row r="98" spans="8:28">
      <c r="H98" t="s">
        <v>2245</v>
      </c>
      <c r="I98" t="s">
        <v>2249</v>
      </c>
      <c r="J98" s="150">
        <v>4.8000000000000001E-2</v>
      </c>
      <c r="K98">
        <v>50</v>
      </c>
      <c r="L98" s="1">
        <v>46167</v>
      </c>
      <c r="M98">
        <f>ROUND(100*(1+J98*(L98-R98)/365),3)+0.003</f>
        <v>102.068</v>
      </c>
      <c r="N98">
        <f t="shared" si="5"/>
        <v>102.068</v>
      </c>
      <c r="O98" s="2">
        <f t="shared" si="6"/>
        <v>51.033999999999999</v>
      </c>
      <c r="Q98" s="163">
        <v>4.8000000000000001E-2</v>
      </c>
      <c r="R98" s="1">
        <v>46010</v>
      </c>
      <c r="S98" s="1">
        <v>46010</v>
      </c>
      <c r="T98">
        <v>0</v>
      </c>
      <c r="W98" t="str">
        <f>H98&amp;"["&amp;I98&amp;"]，"&amp;K98&amp;"w，"&amp;M98&amp;"，"&amp;TEXT(L98,"m月d日")&amp;"，"&amp;"粤开证券 许逸潇2881647849"&amp;" to "&amp;"中建投信托 李思韵 3003354775"</f>
        <v>美歆6C[267135.SH]，50w，102.068，5月25日，粤开证券 许逸潇2881647849 to 中建投信托 李思韵 3003354775</v>
      </c>
      <c r="Z98" s="529"/>
      <c r="AA98" s="421"/>
      <c r="AB98" s="530"/>
    </row>
    <row r="99" spans="8:28">
      <c r="H99" t="s">
        <v>2401</v>
      </c>
      <c r="I99" t="s">
        <v>2483</v>
      </c>
      <c r="J99" s="150">
        <v>5.7000000000000002E-2</v>
      </c>
      <c r="K99">
        <v>1000</v>
      </c>
      <c r="L99" s="1">
        <v>46167</v>
      </c>
      <c r="M99">
        <f>ROUND(100*(1+J99*(L99-R99)/365),3)+0.003</f>
        <v>104.32899999999999</v>
      </c>
      <c r="N99">
        <f t="shared" si="5"/>
        <v>104.32899999999999</v>
      </c>
      <c r="O99" s="2">
        <f t="shared" si="6"/>
        <v>1043.29</v>
      </c>
      <c r="Q99" s="163">
        <v>5.7000000000000002E-2</v>
      </c>
      <c r="R99" s="1">
        <v>45890</v>
      </c>
      <c r="S99" s="1">
        <v>45890</v>
      </c>
      <c r="T99">
        <v>0</v>
      </c>
      <c r="W99" t="str">
        <f>H99&amp;"["&amp;I99&amp;"]，"&amp;K99&amp;"w，"&amp;M99&amp;"，"&amp;TEXT(L99,"m月d日")&amp;"，"&amp;"粤开证券 许逸潇2881647849"&amp;" to "&amp;"中建投信托 李思韵 3003354775"</f>
        <v>锦盛1次[266097.SH]，1000w，104.329，5月25日，粤开证券 许逸潇2881647849 to 中建投信托 李思韵 3003354775</v>
      </c>
    </row>
    <row r="100" spans="8:28">
      <c r="H100" t="s">
        <v>14</v>
      </c>
      <c r="I100" t="s">
        <v>578</v>
      </c>
      <c r="J100" s="150">
        <v>3.9E-2</v>
      </c>
      <c r="K100">
        <v>1800</v>
      </c>
      <c r="L100" s="1">
        <v>46167</v>
      </c>
      <c r="M100">
        <f>+P100+0.003</f>
        <v>100.399</v>
      </c>
      <c r="N100">
        <f t="shared" si="5"/>
        <v>100.83708219178082</v>
      </c>
      <c r="O100" s="2">
        <f t="shared" si="6"/>
        <v>1815.0674794520548</v>
      </c>
      <c r="P100">
        <v>100.396</v>
      </c>
      <c r="Q100" s="163">
        <v>3.5999999999999997E-2</v>
      </c>
      <c r="R100" s="1">
        <v>46127</v>
      </c>
      <c r="S100" s="1">
        <v>45891</v>
      </c>
      <c r="T100" s="155">
        <f>+J100*(L100-R100+1)/365*100</f>
        <v>0.43808219178082192</v>
      </c>
      <c r="W100" t="str">
        <f>H100&amp;"["&amp;I100&amp;"]，"&amp;K100&amp;"w，"&amp;M100&amp;"，"&amp;TEXT(L100,"m月d日")&amp;"，"&amp;"粤开证券 许逸潇2881647849"&amp;" to "&amp;"中建投信托 李思韵 3003354775"</f>
        <v>DY03优3[266192.SH]，1800w，100.399，5月25日，粤开证券 许逸潇2881647849 to 中建投信托 李思韵 3003354775</v>
      </c>
    </row>
    <row r="101" spans="8:28">
      <c r="H101" t="s">
        <v>2458</v>
      </c>
      <c r="I101" t="s">
        <v>2484</v>
      </c>
      <c r="J101" s="150">
        <v>2.7999999999999997E-2</v>
      </c>
      <c r="K101">
        <v>1200</v>
      </c>
      <c r="L101" s="1">
        <v>46167</v>
      </c>
      <c r="M101">
        <v>100.003</v>
      </c>
      <c r="N101">
        <f t="shared" si="5"/>
        <v>100.43258904109589</v>
      </c>
      <c r="O101" s="2">
        <f t="shared" si="6"/>
        <v>1205.1910684931506</v>
      </c>
      <c r="P101">
        <v>100.119</v>
      </c>
      <c r="Q101" s="163">
        <v>2.8000000000000001E-2</v>
      </c>
      <c r="R101" s="1">
        <v>46112</v>
      </c>
      <c r="S101" s="1">
        <v>46112</v>
      </c>
      <c r="T101" s="155">
        <f>+J101*(L101-R101+1)/365*100</f>
        <v>0.42958904109589036</v>
      </c>
      <c r="W101" t="str">
        <f>H101&amp;"["&amp;I101&amp;"]，"&amp;K101&amp;"w，"&amp;M101&amp;"，"&amp;TEXT(L101,"m月d日")&amp;"，"&amp;"粤开证券 许逸潇2881647849"&amp;" to "&amp;"中建投信托 李思韵 3003354775"</f>
        <v>奇消22B[500577.SZ]，1200w，100.003，5月25日，粤开证券 许逸潇2881647849 to 中建投信托 李思韵 3003354775</v>
      </c>
    </row>
    <row r="102" spans="8:28">
      <c r="J102" s="163"/>
      <c r="O102" s="186">
        <f>SUM(O97:O101)</f>
        <v>5118.9925479452058</v>
      </c>
      <c r="Q102" s="163"/>
    </row>
    <row r="103" spans="8:28">
      <c r="Q103" s="163"/>
    </row>
    <row r="104" spans="8:28">
      <c r="Q104" s="163"/>
    </row>
    <row r="105" spans="8:28">
      <c r="M105">
        <v>25000</v>
      </c>
      <c r="Q105" s="163"/>
    </row>
    <row r="106" spans="8:28">
      <c r="M106">
        <f>+M105*0.2</f>
        <v>5000</v>
      </c>
    </row>
    <row r="110" spans="8:28">
      <c r="J110">
        <f>9.7%*2250</f>
        <v>218.24999999999997</v>
      </c>
      <c r="K110">
        <f>1900-J110-J111</f>
        <v>1652.0340000000001</v>
      </c>
      <c r="L110">
        <f>1900-250</f>
        <v>1650</v>
      </c>
      <c r="M110">
        <f>+M106-L110</f>
        <v>3350</v>
      </c>
    </row>
    <row r="111" spans="8:28">
      <c r="J111">
        <f>7.82%*380</f>
        <v>29.716000000000001</v>
      </c>
      <c r="K111">
        <f>+M106-K110</f>
        <v>3347.9659999999999</v>
      </c>
    </row>
  </sheetData>
  <phoneticPr fontId="6" type="noConversion"/>
  <conditionalFormatting sqref="E1:E1048576">
    <cfRule type="cellIs" dxfId="6" priority="1" operator="lessThan">
      <formula>0</formula>
    </cfRule>
  </conditionalFormatting>
  <conditionalFormatting sqref="H38">
    <cfRule type="duplicateValues" dxfId="5" priority="38"/>
    <cfRule type="duplicateValues" dxfId="4" priority="39"/>
    <cfRule type="duplicateValues" dxfId="3" priority="40"/>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05231-83BD-4005-A998-3B2F1DC2369D}">
  <sheetPr codeName="Sheet8">
    <tabColor theme="4" tint="0.79998168889431442"/>
  </sheetPr>
  <dimension ref="A1:X269"/>
  <sheetViews>
    <sheetView zoomScale="106" zoomScaleNormal="106" workbookViewId="0">
      <selection activeCell="J113" sqref="J113"/>
    </sheetView>
  </sheetViews>
  <sheetFormatPr defaultColWidth="8.5" defaultRowHeight="16.5"/>
  <cols>
    <col min="1" max="1" width="4.625" style="15" customWidth="1"/>
    <col min="2" max="2" width="19.5" style="15" customWidth="1"/>
    <col min="3" max="3" width="10.5" style="15" customWidth="1"/>
    <col min="4" max="4" width="11.125" style="15" customWidth="1"/>
    <col min="5" max="5" width="9.625" style="15" customWidth="1"/>
    <col min="6" max="6" width="14" style="15" customWidth="1"/>
    <col min="7" max="7" width="10.25" style="15" customWidth="1"/>
    <col min="8" max="8" width="11.625" style="15" customWidth="1"/>
    <col min="9" max="9" width="11.75" style="15" customWidth="1"/>
    <col min="10" max="10" width="10.25" style="15" customWidth="1"/>
    <col min="11" max="12" width="12.25" style="15" customWidth="1"/>
    <col min="13" max="13" width="12.625" style="15" customWidth="1"/>
    <col min="14" max="14" width="14.625" style="15" customWidth="1"/>
    <col min="15" max="15" width="10.5" style="15" customWidth="1"/>
    <col min="16" max="16" width="12.125" style="15" customWidth="1"/>
    <col min="17" max="18" width="12.375" style="15" customWidth="1"/>
    <col min="19" max="19" width="11.75" style="15" customWidth="1"/>
    <col min="20" max="21" width="8.625" style="15" customWidth="1"/>
    <col min="22" max="22" width="12" style="15" customWidth="1"/>
    <col min="23" max="23" width="11" style="15" bestFit="1" customWidth="1"/>
    <col min="24" max="16384" width="8.5" style="15"/>
  </cols>
  <sheetData>
    <row r="1" spans="1:20">
      <c r="A1" s="11"/>
      <c r="B1" s="12" t="s">
        <v>16</v>
      </c>
      <c r="C1" s="12" t="s">
        <v>20</v>
      </c>
      <c r="D1" s="12" t="s">
        <v>21</v>
      </c>
      <c r="E1" s="12" t="s">
        <v>22</v>
      </c>
      <c r="F1" s="12" t="s">
        <v>23</v>
      </c>
      <c r="G1" s="12" t="s">
        <v>24</v>
      </c>
      <c r="H1" s="12" t="s">
        <v>25</v>
      </c>
      <c r="I1" s="12" t="s">
        <v>26</v>
      </c>
      <c r="J1" s="13" t="s">
        <v>27</v>
      </c>
      <c r="K1" s="14" t="s">
        <v>28</v>
      </c>
      <c r="L1" s="14" t="s">
        <v>29</v>
      </c>
      <c r="M1" s="14" t="s">
        <v>30</v>
      </c>
      <c r="N1" s="11" t="s">
        <v>31</v>
      </c>
      <c r="O1" s="11" t="s">
        <v>32</v>
      </c>
      <c r="P1" s="11" t="s">
        <v>29</v>
      </c>
      <c r="Q1" s="11" t="s">
        <v>33</v>
      </c>
      <c r="R1" s="11"/>
      <c r="S1" s="11" t="s">
        <v>34</v>
      </c>
    </row>
    <row r="2" spans="1:20" ht="17.25" hidden="1">
      <c r="B2" s="16" t="s">
        <v>35</v>
      </c>
      <c r="C2" s="17" t="s">
        <v>36</v>
      </c>
      <c r="D2" s="18">
        <v>4.3999999999999997E-2</v>
      </c>
      <c r="E2" s="19" t="s">
        <v>37</v>
      </c>
      <c r="F2" s="17">
        <v>45531</v>
      </c>
      <c r="G2" s="20">
        <v>900</v>
      </c>
      <c r="H2" s="21">
        <v>100</v>
      </c>
      <c r="I2" s="22"/>
      <c r="J2" s="23">
        <v>0</v>
      </c>
      <c r="K2" s="24"/>
      <c r="L2" s="24"/>
      <c r="M2" s="24"/>
      <c r="Q2" s="25"/>
      <c r="R2" s="25"/>
    </row>
    <row r="3" spans="1:20" ht="17.25" hidden="1">
      <c r="B3" s="16" t="s">
        <v>38</v>
      </c>
      <c r="C3" s="17" t="s">
        <v>36</v>
      </c>
      <c r="D3" s="18">
        <v>0.05</v>
      </c>
      <c r="E3" s="19" t="s">
        <v>39</v>
      </c>
      <c r="F3" s="17">
        <v>45547</v>
      </c>
      <c r="G3" s="20">
        <f>8550-3800</f>
        <v>4750</v>
      </c>
      <c r="H3" s="21" t="s">
        <v>40</v>
      </c>
      <c r="I3" s="22">
        <v>127.82899999999999</v>
      </c>
      <c r="J3" s="23">
        <v>0</v>
      </c>
      <c r="K3" s="24" t="s">
        <v>41</v>
      </c>
      <c r="L3" s="24"/>
      <c r="M3" s="24" t="s">
        <v>42</v>
      </c>
      <c r="N3" s="15">
        <v>1400</v>
      </c>
      <c r="O3" s="15">
        <v>130.4</v>
      </c>
      <c r="P3" s="26">
        <v>45699</v>
      </c>
      <c r="Q3" s="25">
        <f>N3*(O3-I3)/100</f>
        <v>35.99400000000017</v>
      </c>
      <c r="R3" s="25"/>
      <c r="S3" s="27">
        <v>4.9000000000000002E-2</v>
      </c>
      <c r="T3" s="15">
        <f>O3*N3/100</f>
        <v>1825.6</v>
      </c>
    </row>
    <row r="4" spans="1:20" ht="17.25" hidden="1">
      <c r="B4" s="16"/>
      <c r="C4" s="17"/>
      <c r="D4" s="18"/>
      <c r="E4" s="19"/>
      <c r="F4" s="17"/>
      <c r="G4" s="20"/>
      <c r="H4" s="21"/>
      <c r="I4" s="22"/>
      <c r="J4" s="23"/>
      <c r="K4" s="24" t="s">
        <v>41</v>
      </c>
      <c r="L4" s="24"/>
      <c r="M4" s="24"/>
      <c r="N4" s="15">
        <v>2400</v>
      </c>
      <c r="O4" s="15">
        <v>130.553</v>
      </c>
      <c r="P4" s="26">
        <v>45708</v>
      </c>
      <c r="Q4" s="25">
        <f>N4*(O4-I3)/100</f>
        <v>65.37600000000009</v>
      </c>
      <c r="R4" s="25"/>
      <c r="S4" s="27">
        <v>4.9000000000000002E-2</v>
      </c>
      <c r="T4" s="15">
        <f>O4*N4/100</f>
        <v>3133.2719999999999</v>
      </c>
    </row>
    <row r="5" spans="1:20" ht="17.25" hidden="1">
      <c r="B5" s="16"/>
      <c r="C5" s="17"/>
      <c r="D5" s="18"/>
      <c r="E5" s="19"/>
      <c r="F5" s="17"/>
      <c r="G5" s="20"/>
      <c r="H5" s="21"/>
      <c r="I5" s="22"/>
      <c r="J5" s="23"/>
      <c r="K5" s="24" t="s">
        <v>43</v>
      </c>
      <c r="L5" s="24"/>
      <c r="M5" s="24" t="s">
        <v>44</v>
      </c>
      <c r="N5" s="15">
        <v>950</v>
      </c>
      <c r="O5" s="15">
        <v>131.5889</v>
      </c>
      <c r="P5" s="26">
        <v>45770</v>
      </c>
      <c r="Q5" s="25">
        <f>N5*(O5-I3)/100</f>
        <v>35.719050000000017</v>
      </c>
      <c r="R5" s="25"/>
      <c r="S5" s="27">
        <v>4.9000000000000002E-2</v>
      </c>
      <c r="T5" s="15">
        <f>O5*N5/100</f>
        <v>1250.09455</v>
      </c>
    </row>
    <row r="6" spans="1:20" ht="17.25" hidden="1">
      <c r="B6" s="16" t="s">
        <v>45</v>
      </c>
      <c r="C6" s="17" t="s">
        <v>46</v>
      </c>
      <c r="D6" s="17" t="s">
        <v>47</v>
      </c>
      <c r="E6" s="19" t="s">
        <v>48</v>
      </c>
      <c r="F6" s="17">
        <v>45559</v>
      </c>
      <c r="G6" s="20">
        <v>2500</v>
      </c>
      <c r="H6" s="21" t="s">
        <v>40</v>
      </c>
      <c r="I6" s="22">
        <v>92</v>
      </c>
      <c r="J6" s="23">
        <f>G6-N6</f>
        <v>0</v>
      </c>
      <c r="K6" s="24" t="s">
        <v>49</v>
      </c>
      <c r="L6" s="24" t="s">
        <v>50</v>
      </c>
      <c r="M6" s="24" t="s">
        <v>44</v>
      </c>
      <c r="N6" s="15">
        <v>2500</v>
      </c>
      <c r="O6" s="15">
        <v>80.168000000000006</v>
      </c>
      <c r="P6" s="26">
        <v>45709</v>
      </c>
      <c r="Q6" s="25">
        <f>(3.56+2.51+2.36+2.64+2.29+O6-I6)*N6/100</f>
        <v>38.200000000000145</v>
      </c>
      <c r="R6" s="25"/>
      <c r="S6" s="27">
        <v>4.4999999999999998E-2</v>
      </c>
      <c r="T6" s="15">
        <f>O6*N6/100</f>
        <v>2004.2000000000003</v>
      </c>
    </row>
    <row r="7" spans="1:20" ht="17.25" hidden="1">
      <c r="B7" s="16"/>
      <c r="C7" s="17"/>
      <c r="D7" s="17"/>
      <c r="E7" s="19"/>
      <c r="F7" s="17"/>
      <c r="G7" s="20"/>
      <c r="H7" s="21"/>
      <c r="I7" s="22"/>
      <c r="J7" s="23"/>
      <c r="K7" s="24"/>
      <c r="L7" s="24"/>
      <c r="M7" s="24"/>
      <c r="P7" s="26"/>
      <c r="Q7" s="25"/>
      <c r="R7" s="25"/>
      <c r="S7" s="27"/>
    </row>
    <row r="8" spans="1:20" ht="18" hidden="1" customHeight="1">
      <c r="B8" s="28" t="s">
        <v>51</v>
      </c>
      <c r="C8" s="17" t="s">
        <v>36</v>
      </c>
      <c r="D8" s="18">
        <v>5.8000000000000003E-2</v>
      </c>
      <c r="E8" s="19" t="s">
        <v>37</v>
      </c>
      <c r="F8" s="17">
        <v>45597</v>
      </c>
      <c r="G8" s="20">
        <v>2500</v>
      </c>
      <c r="H8" s="21">
        <v>102.5</v>
      </c>
      <c r="I8" s="22"/>
      <c r="J8" s="23">
        <v>0</v>
      </c>
      <c r="K8" s="24" t="s">
        <v>41</v>
      </c>
      <c r="L8" s="24"/>
      <c r="M8" s="24" t="s">
        <v>52</v>
      </c>
      <c r="N8" s="15">
        <v>1500</v>
      </c>
      <c r="O8" s="15">
        <v>102.5</v>
      </c>
      <c r="P8" s="26">
        <v>45763</v>
      </c>
      <c r="Q8" s="25"/>
      <c r="R8" s="25"/>
      <c r="S8" s="27">
        <v>5.8000000000000003E-2</v>
      </c>
    </row>
    <row r="9" spans="1:20" ht="17.25" hidden="1">
      <c r="B9" s="16"/>
      <c r="C9" s="17"/>
      <c r="D9" s="18"/>
      <c r="E9" s="19"/>
      <c r="F9" s="17"/>
      <c r="G9" s="20"/>
      <c r="H9" s="21"/>
      <c r="I9" s="22"/>
      <c r="J9" s="23"/>
      <c r="K9" s="24" t="s">
        <v>49</v>
      </c>
      <c r="L9" s="24"/>
      <c r="M9" s="24"/>
      <c r="N9" s="15">
        <v>1000</v>
      </c>
      <c r="O9" s="15">
        <v>102.5</v>
      </c>
      <c r="P9" s="26">
        <v>45776</v>
      </c>
      <c r="Q9" s="25"/>
      <c r="R9" s="25"/>
    </row>
    <row r="10" spans="1:20" ht="17.25" hidden="1">
      <c r="B10" s="28" t="s">
        <v>53</v>
      </c>
      <c r="C10" s="17" t="s">
        <v>36</v>
      </c>
      <c r="D10" s="18">
        <v>4.2000000000000003E-2</v>
      </c>
      <c r="E10" s="19" t="s">
        <v>37</v>
      </c>
      <c r="F10" s="17">
        <v>45602</v>
      </c>
      <c r="G10" s="20">
        <v>2500</v>
      </c>
      <c r="H10" s="21">
        <v>100</v>
      </c>
      <c r="I10" s="22"/>
      <c r="J10" s="23">
        <v>0</v>
      </c>
      <c r="K10" s="24" t="s">
        <v>54</v>
      </c>
      <c r="L10" s="24"/>
      <c r="M10" s="24" t="s">
        <v>44</v>
      </c>
      <c r="N10" s="15">
        <v>2500</v>
      </c>
      <c r="O10" s="15">
        <v>100</v>
      </c>
      <c r="P10" s="26">
        <v>45776</v>
      </c>
      <c r="Q10" s="25"/>
      <c r="R10" s="25"/>
    </row>
    <row r="11" spans="1:20" s="29" customFormat="1" ht="17.25" hidden="1">
      <c r="B11" s="30" t="s">
        <v>55</v>
      </c>
      <c r="C11" s="31" t="s">
        <v>36</v>
      </c>
      <c r="D11" s="32">
        <v>5.7000000000000002E-2</v>
      </c>
      <c r="E11" s="33" t="s">
        <v>56</v>
      </c>
      <c r="F11" s="31">
        <v>45621</v>
      </c>
      <c r="G11" s="34">
        <v>2000</v>
      </c>
      <c r="H11" s="30" t="s">
        <v>40</v>
      </c>
      <c r="I11" s="35">
        <v>101.15560000000001</v>
      </c>
      <c r="J11" s="36">
        <v>0</v>
      </c>
      <c r="K11" s="37" t="s">
        <v>49</v>
      </c>
      <c r="L11" s="37" t="s">
        <v>50</v>
      </c>
      <c r="M11" s="37" t="s">
        <v>44</v>
      </c>
      <c r="N11" s="29">
        <v>1500</v>
      </c>
      <c r="O11" s="29">
        <v>102.325</v>
      </c>
      <c r="P11" s="38">
        <v>45707</v>
      </c>
      <c r="Q11" s="39">
        <f>N11*(O11-I11)/100</f>
        <v>17.54099999999994</v>
      </c>
      <c r="R11" s="39"/>
      <c r="S11" s="40">
        <v>0.05</v>
      </c>
      <c r="T11" s="29">
        <f>O11*N11/100</f>
        <v>1534.875</v>
      </c>
    </row>
    <row r="12" spans="1:20" s="29" customFormat="1" hidden="1">
      <c r="D12" s="41"/>
      <c r="F12" s="38"/>
      <c r="N12" s="29">
        <v>500</v>
      </c>
      <c r="O12" s="29">
        <v>102.33799999999999</v>
      </c>
      <c r="P12" s="38">
        <v>45708</v>
      </c>
      <c r="Q12" s="39">
        <f>N12*(O12-I11)/100</f>
        <v>5.9119999999999342</v>
      </c>
      <c r="R12" s="39"/>
      <c r="S12" s="40">
        <v>0.05</v>
      </c>
      <c r="T12" s="29">
        <f>O12*N12/100</f>
        <v>511.69</v>
      </c>
    </row>
    <row r="13" spans="1:20" ht="17.25" hidden="1">
      <c r="B13" s="21" t="s">
        <v>57</v>
      </c>
      <c r="C13" s="17" t="s">
        <v>36</v>
      </c>
      <c r="D13" s="18">
        <v>3.5999999999999997E-2</v>
      </c>
      <c r="E13" s="19" t="s">
        <v>37</v>
      </c>
      <c r="F13" s="17">
        <v>45712</v>
      </c>
      <c r="G13" s="20">
        <v>1000</v>
      </c>
      <c r="H13" s="21">
        <v>100</v>
      </c>
      <c r="I13" s="22">
        <v>100</v>
      </c>
      <c r="J13" s="23">
        <f>G13-N13</f>
        <v>0</v>
      </c>
      <c r="K13" s="24" t="s">
        <v>58</v>
      </c>
      <c r="L13" s="24"/>
      <c r="M13" s="24" t="s">
        <v>44</v>
      </c>
      <c r="N13" s="15">
        <v>1000</v>
      </c>
      <c r="O13" s="15">
        <v>100</v>
      </c>
      <c r="P13" s="26">
        <v>45828</v>
      </c>
      <c r="Q13" s="25"/>
      <c r="R13" s="25"/>
    </row>
    <row r="14" spans="1:20" ht="17.25" hidden="1">
      <c r="B14" s="16" t="s">
        <v>59</v>
      </c>
      <c r="C14" s="17" t="s">
        <v>36</v>
      </c>
      <c r="D14" s="18">
        <v>3.5000000000000003E-2</v>
      </c>
      <c r="E14" s="19" t="s">
        <v>37</v>
      </c>
      <c r="F14" s="17">
        <v>45726</v>
      </c>
      <c r="G14" s="20">
        <v>700</v>
      </c>
      <c r="H14" s="21">
        <v>100</v>
      </c>
      <c r="I14" s="22"/>
      <c r="J14" s="23">
        <v>0</v>
      </c>
      <c r="K14" s="24"/>
      <c r="L14" s="24"/>
      <c r="M14" s="24" t="s">
        <v>44</v>
      </c>
      <c r="N14" s="15">
        <v>700</v>
      </c>
      <c r="O14" s="15">
        <v>100</v>
      </c>
      <c r="P14" s="26">
        <v>45981</v>
      </c>
      <c r="Q14" s="25" t="s">
        <v>60</v>
      </c>
      <c r="R14" s="25"/>
    </row>
    <row r="15" spans="1:20" ht="17.25" hidden="1">
      <c r="B15" s="16" t="s">
        <v>61</v>
      </c>
      <c r="C15" s="17" t="s">
        <v>36</v>
      </c>
      <c r="D15" s="18">
        <v>3.4000000000000002E-2</v>
      </c>
      <c r="E15" s="19" t="s">
        <v>37</v>
      </c>
      <c r="F15" s="17">
        <v>45728</v>
      </c>
      <c r="G15" s="20">
        <v>1900</v>
      </c>
      <c r="H15" s="21">
        <v>100</v>
      </c>
      <c r="I15" s="22"/>
      <c r="J15" s="23">
        <v>0</v>
      </c>
      <c r="K15" s="24"/>
      <c r="L15" s="24"/>
      <c r="M15" s="24" t="s">
        <v>44</v>
      </c>
      <c r="P15" s="15" t="s">
        <v>62</v>
      </c>
      <c r="Q15" s="25"/>
      <c r="R15" s="25"/>
    </row>
    <row r="16" spans="1:20" ht="17.25" hidden="1">
      <c r="B16" s="16" t="s">
        <v>63</v>
      </c>
      <c r="C16" s="17" t="s">
        <v>64</v>
      </c>
      <c r="D16" s="18">
        <v>3.5999999999999997E-2</v>
      </c>
      <c r="E16" s="19" t="s">
        <v>37</v>
      </c>
      <c r="F16" s="17">
        <v>38425</v>
      </c>
      <c r="G16" s="20">
        <v>1000</v>
      </c>
      <c r="H16" s="21">
        <v>100</v>
      </c>
      <c r="I16" s="22"/>
      <c r="J16" s="20">
        <v>0</v>
      </c>
      <c r="K16" s="24" t="s">
        <v>41</v>
      </c>
      <c r="L16" s="24"/>
      <c r="M16" s="24"/>
      <c r="N16" s="15">
        <v>1000</v>
      </c>
      <c r="O16" s="15">
        <v>100</v>
      </c>
      <c r="P16" s="26">
        <v>45793</v>
      </c>
      <c r="Q16" s="25"/>
      <c r="R16" s="25"/>
    </row>
    <row r="17" spans="2:21" ht="17.25" hidden="1">
      <c r="B17" s="16" t="s">
        <v>65</v>
      </c>
      <c r="C17" s="17" t="s">
        <v>64</v>
      </c>
      <c r="D17" s="18">
        <v>3.5999999999999997E-2</v>
      </c>
      <c r="E17" s="19" t="s">
        <v>37</v>
      </c>
      <c r="F17" s="17">
        <v>38425</v>
      </c>
      <c r="G17" s="20">
        <v>1000</v>
      </c>
      <c r="H17" s="21">
        <v>100</v>
      </c>
      <c r="I17" s="22"/>
      <c r="J17" s="20">
        <v>0</v>
      </c>
      <c r="K17" s="24" t="s">
        <v>41</v>
      </c>
      <c r="N17" s="15">
        <v>1000</v>
      </c>
      <c r="O17" s="15">
        <v>100</v>
      </c>
      <c r="P17" s="26">
        <v>45793</v>
      </c>
      <c r="Q17" s="25"/>
      <c r="R17" s="25"/>
    </row>
    <row r="18" spans="2:21" ht="17.25" hidden="1">
      <c r="B18" s="42" t="s">
        <v>66</v>
      </c>
      <c r="C18" s="17" t="s">
        <v>64</v>
      </c>
      <c r="D18" s="18">
        <v>3.7999999999999999E-2</v>
      </c>
      <c r="E18" s="19" t="s">
        <v>37</v>
      </c>
      <c r="F18" s="17">
        <v>38425</v>
      </c>
      <c r="G18" s="20">
        <v>800</v>
      </c>
      <c r="H18" s="21">
        <v>100</v>
      </c>
      <c r="I18" s="22"/>
      <c r="J18" s="20">
        <v>0</v>
      </c>
      <c r="K18" s="24" t="s">
        <v>67</v>
      </c>
      <c r="Q18" s="25"/>
      <c r="R18" s="25"/>
    </row>
    <row r="19" spans="2:21" ht="17.25" hidden="1">
      <c r="B19" s="16" t="s">
        <v>38</v>
      </c>
      <c r="C19" s="17" t="s">
        <v>36</v>
      </c>
      <c r="D19" s="18">
        <v>0.05</v>
      </c>
      <c r="E19" s="19" t="s">
        <v>39</v>
      </c>
      <c r="F19" s="17">
        <v>45735</v>
      </c>
      <c r="G19" s="20">
        <v>200</v>
      </c>
      <c r="H19" s="21"/>
      <c r="I19" s="22">
        <v>131.13800000000001</v>
      </c>
      <c r="J19" s="20">
        <v>0</v>
      </c>
      <c r="K19" s="24" t="s">
        <v>43</v>
      </c>
      <c r="N19" s="15">
        <v>200</v>
      </c>
      <c r="O19" s="15">
        <v>131.5889</v>
      </c>
      <c r="P19" s="26">
        <v>45770</v>
      </c>
      <c r="Q19" s="25">
        <f>N19*(O19-I19)/100</f>
        <v>0.90179999999998017</v>
      </c>
      <c r="R19" s="25"/>
    </row>
    <row r="20" spans="2:21" ht="17.25" hidden="1">
      <c r="B20" s="16" t="s">
        <v>68</v>
      </c>
      <c r="C20" s="17" t="s">
        <v>69</v>
      </c>
      <c r="D20" s="18">
        <v>3.6999999999999998E-2</v>
      </c>
      <c r="E20" s="19" t="s">
        <v>70</v>
      </c>
      <c r="F20" s="17">
        <v>45742</v>
      </c>
      <c r="G20" s="20">
        <v>1000</v>
      </c>
      <c r="H20" s="21">
        <v>100.1</v>
      </c>
      <c r="I20" s="22"/>
      <c r="J20" s="20">
        <v>0</v>
      </c>
      <c r="K20" s="24" t="s">
        <v>71</v>
      </c>
      <c r="N20" s="15">
        <v>1000</v>
      </c>
      <c r="O20" s="43">
        <f>H20-0.328</f>
        <v>99.771999999999991</v>
      </c>
      <c r="P20" s="26">
        <v>45763</v>
      </c>
      <c r="Q20" s="25"/>
      <c r="R20" s="25"/>
      <c r="U20" s="15">
        <v>0.87780800000000003</v>
      </c>
    </row>
    <row r="21" spans="2:21" ht="17.25" hidden="1">
      <c r="B21" s="16" t="s">
        <v>72</v>
      </c>
      <c r="C21" s="17" t="s">
        <v>36</v>
      </c>
      <c r="D21" s="18">
        <v>3.7999999999999999E-2</v>
      </c>
      <c r="E21" s="19" t="s">
        <v>37</v>
      </c>
      <c r="F21" s="17">
        <v>45744</v>
      </c>
      <c r="G21" s="20">
        <v>2000</v>
      </c>
      <c r="H21" s="21">
        <v>100</v>
      </c>
      <c r="I21" s="22"/>
      <c r="J21" s="20">
        <v>0</v>
      </c>
      <c r="K21" s="24" t="s">
        <v>73</v>
      </c>
      <c r="Q21" s="25"/>
      <c r="R21" s="25"/>
    </row>
    <row r="22" spans="2:21" ht="17.25" hidden="1">
      <c r="B22" s="16" t="s">
        <v>74</v>
      </c>
      <c r="C22" s="17" t="s">
        <v>36</v>
      </c>
      <c r="D22" s="18">
        <v>3.5999999999999997E-2</v>
      </c>
      <c r="E22" s="19" t="s">
        <v>37</v>
      </c>
      <c r="F22" s="17">
        <v>45798</v>
      </c>
      <c r="G22" s="20">
        <v>2000</v>
      </c>
      <c r="H22" s="21">
        <v>100</v>
      </c>
      <c r="I22" s="22"/>
      <c r="J22" s="20">
        <v>0</v>
      </c>
      <c r="K22" s="24" t="s">
        <v>75</v>
      </c>
      <c r="N22" s="15">
        <v>550</v>
      </c>
      <c r="O22" s="15">
        <v>100</v>
      </c>
      <c r="P22" s="26">
        <v>45854</v>
      </c>
      <c r="Q22" s="25"/>
      <c r="R22" s="25"/>
    </row>
    <row r="23" spans="2:21" ht="17.25" hidden="1">
      <c r="B23" s="16"/>
      <c r="C23" s="17"/>
      <c r="D23" s="18"/>
      <c r="E23" s="19"/>
      <c r="F23" s="17"/>
      <c r="G23" s="20"/>
      <c r="H23" s="21"/>
      <c r="I23" s="22"/>
      <c r="J23" s="20"/>
      <c r="K23" s="24" t="s">
        <v>76</v>
      </c>
      <c r="N23" s="15">
        <v>1450</v>
      </c>
      <c r="O23" s="15">
        <v>100</v>
      </c>
      <c r="P23" s="26">
        <v>45853</v>
      </c>
      <c r="Q23" s="25"/>
      <c r="R23" s="25"/>
    </row>
    <row r="24" spans="2:21" ht="17.25" hidden="1">
      <c r="B24" s="16" t="s">
        <v>77</v>
      </c>
      <c r="C24" s="17" t="s">
        <v>36</v>
      </c>
      <c r="D24" s="18">
        <v>3.6999999999999998E-2</v>
      </c>
      <c r="E24" s="19" t="s">
        <v>37</v>
      </c>
      <c r="F24" s="17">
        <v>45763</v>
      </c>
      <c r="G24" s="20">
        <v>500</v>
      </c>
      <c r="H24" s="21">
        <v>100</v>
      </c>
      <c r="I24" s="22"/>
      <c r="J24" s="20">
        <v>0</v>
      </c>
      <c r="K24" s="24" t="s">
        <v>78</v>
      </c>
      <c r="N24" s="15">
        <v>500</v>
      </c>
      <c r="O24" s="15">
        <v>100</v>
      </c>
      <c r="P24" s="26">
        <v>45866</v>
      </c>
      <c r="Q24" s="25"/>
      <c r="R24" s="25"/>
    </row>
    <row r="25" spans="2:21" ht="17.25" hidden="1">
      <c r="B25" s="16" t="s">
        <v>79</v>
      </c>
      <c r="C25" s="17" t="s">
        <v>36</v>
      </c>
      <c r="D25" s="18">
        <v>3.6999999999999998E-2</v>
      </c>
      <c r="E25" s="19" t="s">
        <v>37</v>
      </c>
      <c r="F25" s="17">
        <v>45805</v>
      </c>
      <c r="G25" s="20">
        <v>1000</v>
      </c>
      <c r="H25" s="21">
        <v>100</v>
      </c>
      <c r="I25" s="22"/>
      <c r="J25" s="20">
        <v>0</v>
      </c>
      <c r="K25" s="24"/>
      <c r="N25" s="15">
        <v>1000</v>
      </c>
      <c r="O25" s="15">
        <v>100</v>
      </c>
      <c r="P25" s="26">
        <v>45981</v>
      </c>
      <c r="Q25" s="25" t="s">
        <v>80</v>
      </c>
      <c r="R25" s="25"/>
    </row>
    <row r="26" spans="2:21" ht="17.25" hidden="1">
      <c r="B26" s="16" t="s">
        <v>81</v>
      </c>
      <c r="C26" s="17" t="s">
        <v>36</v>
      </c>
      <c r="D26" s="18">
        <v>3.5000000000000003E-2</v>
      </c>
      <c r="E26" s="19" t="s">
        <v>37</v>
      </c>
      <c r="F26" s="17">
        <v>45814</v>
      </c>
      <c r="G26" s="20">
        <v>2000</v>
      </c>
      <c r="H26" s="21">
        <v>99.5</v>
      </c>
      <c r="I26" s="22"/>
      <c r="J26" s="20">
        <v>0</v>
      </c>
      <c r="K26" s="24" t="s">
        <v>82</v>
      </c>
      <c r="N26" s="44">
        <v>2000</v>
      </c>
      <c r="O26" s="15">
        <f t="shared" ref="O26:O33" si="0">H26</f>
        <v>99.5</v>
      </c>
      <c r="P26" s="45">
        <v>45862</v>
      </c>
      <c r="Q26" s="25"/>
      <c r="R26" s="25"/>
    </row>
    <row r="27" spans="2:21" ht="17.25" hidden="1">
      <c r="B27" s="16" t="s">
        <v>83</v>
      </c>
      <c r="C27" s="17" t="s">
        <v>84</v>
      </c>
      <c r="D27" s="18">
        <v>3.5999999999999997E-2</v>
      </c>
      <c r="E27" s="19" t="s">
        <v>37</v>
      </c>
      <c r="F27" s="17">
        <v>45817</v>
      </c>
      <c r="G27" s="20">
        <v>800</v>
      </c>
      <c r="H27" s="21">
        <v>100</v>
      </c>
      <c r="I27" s="22"/>
      <c r="J27" s="20">
        <v>0</v>
      </c>
      <c r="K27" s="24" t="s">
        <v>82</v>
      </c>
      <c r="N27" s="44">
        <v>800</v>
      </c>
      <c r="O27" s="15">
        <f t="shared" si="0"/>
        <v>100</v>
      </c>
      <c r="P27" s="45">
        <v>45862</v>
      </c>
      <c r="Q27" s="25"/>
      <c r="R27" s="25"/>
    </row>
    <row r="28" spans="2:21" ht="17.25" hidden="1">
      <c r="B28" s="16" t="s">
        <v>85</v>
      </c>
      <c r="C28" s="17" t="s">
        <v>84</v>
      </c>
      <c r="D28" s="18">
        <v>3.3000000000000002E-2</v>
      </c>
      <c r="E28" s="19" t="s">
        <v>37</v>
      </c>
      <c r="F28" s="17">
        <v>45817</v>
      </c>
      <c r="G28" s="20">
        <v>800</v>
      </c>
      <c r="H28" s="21">
        <v>100</v>
      </c>
      <c r="I28" s="22"/>
      <c r="J28" s="20">
        <v>0</v>
      </c>
      <c r="K28" s="24" t="s">
        <v>82</v>
      </c>
      <c r="N28" s="44">
        <v>800</v>
      </c>
      <c r="O28" s="15">
        <f t="shared" si="0"/>
        <v>100</v>
      </c>
      <c r="P28" s="45">
        <v>45862</v>
      </c>
      <c r="Q28" s="25"/>
      <c r="R28" s="25"/>
    </row>
    <row r="29" spans="2:21" ht="17.25" hidden="1">
      <c r="B29" s="16" t="s">
        <v>86</v>
      </c>
      <c r="C29" s="17" t="s">
        <v>84</v>
      </c>
      <c r="D29" s="18">
        <v>4.2999999999999997E-2</v>
      </c>
      <c r="E29" s="19" t="s">
        <v>37</v>
      </c>
      <c r="F29" s="17">
        <v>45817</v>
      </c>
      <c r="G29" s="20">
        <v>2500</v>
      </c>
      <c r="H29" s="21">
        <v>100</v>
      </c>
      <c r="I29" s="22"/>
      <c r="J29" s="20">
        <v>0</v>
      </c>
      <c r="K29" s="24" t="s">
        <v>82</v>
      </c>
      <c r="N29" s="44">
        <v>2500</v>
      </c>
      <c r="O29" s="15">
        <f t="shared" si="0"/>
        <v>100</v>
      </c>
      <c r="P29" s="45">
        <v>45862</v>
      </c>
      <c r="Q29" s="25"/>
      <c r="R29" s="25"/>
    </row>
    <row r="30" spans="2:21" ht="17.25" hidden="1">
      <c r="B30" s="16" t="s">
        <v>87</v>
      </c>
      <c r="C30" s="17" t="s">
        <v>88</v>
      </c>
      <c r="D30" s="18">
        <v>4.3999999999999997E-2</v>
      </c>
      <c r="E30" s="19" t="s">
        <v>37</v>
      </c>
      <c r="F30" s="17">
        <v>45827</v>
      </c>
      <c r="G30" s="20">
        <v>1500</v>
      </c>
      <c r="H30" s="21">
        <v>101.65</v>
      </c>
      <c r="I30" s="22"/>
      <c r="J30" s="20">
        <v>0</v>
      </c>
      <c r="K30" s="24" t="s">
        <v>82</v>
      </c>
      <c r="N30" s="44">
        <v>1500</v>
      </c>
      <c r="O30" s="15">
        <f t="shared" si="0"/>
        <v>101.65</v>
      </c>
      <c r="P30" s="45">
        <v>45862</v>
      </c>
      <c r="Q30" s="25"/>
      <c r="R30" s="25"/>
    </row>
    <row r="31" spans="2:21" ht="17.25" hidden="1">
      <c r="B31" s="16" t="s">
        <v>89</v>
      </c>
      <c r="C31" s="17" t="s">
        <v>84</v>
      </c>
      <c r="D31" s="18">
        <v>4.2999999999999997E-2</v>
      </c>
      <c r="E31" s="19" t="s">
        <v>37</v>
      </c>
      <c r="F31" s="17">
        <v>45826</v>
      </c>
      <c r="G31" s="20">
        <v>1000</v>
      </c>
      <c r="H31" s="21">
        <v>100</v>
      </c>
      <c r="I31" s="22"/>
      <c r="J31" s="20">
        <v>0</v>
      </c>
      <c r="K31" s="24" t="s">
        <v>82</v>
      </c>
      <c r="N31" s="44">
        <v>1000</v>
      </c>
      <c r="O31" s="15">
        <f t="shared" si="0"/>
        <v>100</v>
      </c>
      <c r="P31" s="45">
        <v>45862</v>
      </c>
      <c r="Q31" s="25"/>
      <c r="R31" s="25"/>
    </row>
    <row r="32" spans="2:21" ht="17.25" hidden="1">
      <c r="B32" s="16" t="s">
        <v>90</v>
      </c>
      <c r="C32" s="17" t="s">
        <v>36</v>
      </c>
      <c r="D32" s="18">
        <v>3.6999999999999998E-2</v>
      </c>
      <c r="E32" s="19" t="s">
        <v>37</v>
      </c>
      <c r="F32" s="17">
        <v>45831</v>
      </c>
      <c r="G32" s="20">
        <v>1000</v>
      </c>
      <c r="H32" s="21">
        <v>100.5</v>
      </c>
      <c r="I32" s="22"/>
      <c r="J32" s="20">
        <v>0</v>
      </c>
      <c r="K32" s="24" t="s">
        <v>82</v>
      </c>
      <c r="N32" s="44">
        <v>1000</v>
      </c>
      <c r="O32" s="15">
        <f t="shared" si="0"/>
        <v>100.5</v>
      </c>
      <c r="P32" s="45">
        <v>45862</v>
      </c>
      <c r="Q32" s="25"/>
      <c r="R32" s="25"/>
    </row>
    <row r="33" spans="2:20" ht="17.25" hidden="1">
      <c r="B33" s="16" t="s">
        <v>65</v>
      </c>
      <c r="C33" s="17" t="s">
        <v>36</v>
      </c>
      <c r="D33" s="18">
        <v>3.5999999999999997E-2</v>
      </c>
      <c r="E33" s="19" t="s">
        <v>37</v>
      </c>
      <c r="F33" s="17">
        <v>45831</v>
      </c>
      <c r="G33" s="20">
        <v>1000</v>
      </c>
      <c r="H33" s="21">
        <v>100.5</v>
      </c>
      <c r="I33" s="22"/>
      <c r="J33" s="20">
        <v>0</v>
      </c>
      <c r="K33" s="24" t="s">
        <v>82</v>
      </c>
      <c r="N33" s="44">
        <v>1000</v>
      </c>
      <c r="O33" s="15">
        <f t="shared" si="0"/>
        <v>100.5</v>
      </c>
      <c r="P33" s="45">
        <v>45862</v>
      </c>
      <c r="Q33" s="25"/>
      <c r="R33" s="25"/>
    </row>
    <row r="34" spans="2:20" ht="17.25">
      <c r="B34" s="16" t="s">
        <v>91</v>
      </c>
      <c r="C34" s="17" t="s">
        <v>36</v>
      </c>
      <c r="D34" s="18">
        <v>4.3999999999999997E-2</v>
      </c>
      <c r="E34" s="46">
        <v>0.04</v>
      </c>
      <c r="F34" s="17">
        <v>45831</v>
      </c>
      <c r="G34" s="20">
        <v>4220</v>
      </c>
      <c r="H34" s="21">
        <v>100</v>
      </c>
      <c r="I34" s="22"/>
      <c r="J34" s="20">
        <v>3220</v>
      </c>
      <c r="K34" s="24" t="s">
        <v>76</v>
      </c>
      <c r="N34" s="15">
        <v>1220</v>
      </c>
      <c r="O34" s="15">
        <v>100</v>
      </c>
      <c r="P34" s="26">
        <v>45854</v>
      </c>
      <c r="Q34" s="25"/>
      <c r="R34" s="25"/>
    </row>
    <row r="35" spans="2:20" ht="17.25">
      <c r="B35" s="16" t="s">
        <v>92</v>
      </c>
      <c r="C35" s="17" t="s">
        <v>36</v>
      </c>
      <c r="D35" s="18">
        <v>4.3999999999999997E-2</v>
      </c>
      <c r="E35" s="46">
        <v>0.04</v>
      </c>
      <c r="F35" s="17">
        <v>45833</v>
      </c>
      <c r="G35" s="20">
        <v>1200</v>
      </c>
      <c r="H35" s="21">
        <v>100.12</v>
      </c>
      <c r="I35" s="22"/>
      <c r="J35" s="20">
        <v>1200</v>
      </c>
      <c r="K35" s="24"/>
      <c r="Q35" s="25"/>
      <c r="R35" s="25"/>
    </row>
    <row r="36" spans="2:20" ht="19.5" hidden="1" customHeight="1">
      <c r="B36" s="28" t="s">
        <v>93</v>
      </c>
      <c r="C36" s="47" t="s">
        <v>36</v>
      </c>
      <c r="D36" s="48"/>
      <c r="E36" s="49">
        <v>3.5000000000000003E-2</v>
      </c>
      <c r="F36" s="50">
        <v>45835</v>
      </c>
      <c r="G36" s="51">
        <v>2500</v>
      </c>
      <c r="H36" s="28">
        <v>101.07599999999999</v>
      </c>
      <c r="I36" s="52"/>
      <c r="J36" s="51">
        <v>0</v>
      </c>
      <c r="K36" s="24"/>
      <c r="Q36" s="25"/>
      <c r="R36" s="25"/>
    </row>
    <row r="37" spans="2:20" ht="17.25" hidden="1">
      <c r="B37" s="16" t="s">
        <v>94</v>
      </c>
      <c r="C37" s="17" t="s">
        <v>36</v>
      </c>
      <c r="D37" s="18">
        <v>6.5000000000000002E-2</v>
      </c>
      <c r="E37" s="46">
        <v>0.05</v>
      </c>
      <c r="F37" s="17">
        <v>45832</v>
      </c>
      <c r="G37" s="20">
        <v>4200</v>
      </c>
      <c r="H37" s="21">
        <v>100</v>
      </c>
      <c r="I37" s="22"/>
      <c r="J37" s="53">
        <v>0</v>
      </c>
      <c r="K37" s="24"/>
      <c r="N37" s="15">
        <v>700</v>
      </c>
      <c r="O37" s="15">
        <v>100.11</v>
      </c>
      <c r="P37" s="26">
        <v>45966</v>
      </c>
      <c r="Q37" s="25" t="s">
        <v>95</v>
      </c>
      <c r="R37" s="25"/>
    </row>
    <row r="38" spans="2:20" ht="17.25" hidden="1">
      <c r="B38" s="16"/>
      <c r="C38" s="17"/>
      <c r="D38" s="18"/>
      <c r="E38" s="46"/>
      <c r="F38" s="17"/>
      <c r="G38" s="20"/>
      <c r="H38" s="21"/>
      <c r="I38" s="22"/>
      <c r="J38" s="53"/>
      <c r="K38" s="24"/>
      <c r="N38" s="15">
        <v>2000</v>
      </c>
      <c r="O38" s="15">
        <v>100.11</v>
      </c>
      <c r="P38" s="26">
        <v>45966</v>
      </c>
      <c r="Q38" s="25" t="s">
        <v>96</v>
      </c>
      <c r="R38" s="25"/>
    </row>
    <row r="39" spans="2:20" ht="17.25" hidden="1">
      <c r="B39" s="16"/>
      <c r="C39" s="17"/>
      <c r="D39" s="18"/>
      <c r="E39" s="46"/>
      <c r="F39" s="17"/>
      <c r="G39" s="20"/>
      <c r="H39" s="21"/>
      <c r="I39" s="22"/>
      <c r="J39" s="53"/>
      <c r="K39" s="24"/>
      <c r="N39" s="15">
        <v>1500</v>
      </c>
      <c r="O39" s="15">
        <v>100.02</v>
      </c>
      <c r="P39" s="26">
        <v>46050</v>
      </c>
      <c r="Q39" s="25" t="s">
        <v>923</v>
      </c>
      <c r="R39" s="25"/>
    </row>
    <row r="40" spans="2:20" ht="17.25" hidden="1">
      <c r="B40" s="16" t="s">
        <v>97</v>
      </c>
      <c r="C40" s="17" t="s">
        <v>36</v>
      </c>
      <c r="D40" s="18">
        <v>8.5000000000000006E-2</v>
      </c>
      <c r="E40" s="46">
        <v>0.06</v>
      </c>
      <c r="F40" s="17">
        <v>45882</v>
      </c>
      <c r="G40" s="20">
        <v>5800</v>
      </c>
      <c r="H40" s="21">
        <v>109</v>
      </c>
      <c r="I40" s="22"/>
      <c r="J40" s="20">
        <f>5800-1000-285-910-1000-360-540-1705</f>
        <v>0</v>
      </c>
      <c r="K40" s="24"/>
      <c r="P40" s="26">
        <v>45891</v>
      </c>
      <c r="Q40" s="25"/>
      <c r="R40" s="25"/>
      <c r="T40" s="15" t="s">
        <v>98</v>
      </c>
    </row>
    <row r="41" spans="2:20" ht="17.25" hidden="1">
      <c r="B41" s="16"/>
      <c r="C41" s="17"/>
      <c r="D41" s="18"/>
      <c r="E41" s="46"/>
      <c r="F41" s="17"/>
      <c r="G41" s="20"/>
      <c r="H41" s="21"/>
      <c r="I41" s="22"/>
      <c r="J41" s="20"/>
      <c r="K41" s="24"/>
      <c r="P41" s="26">
        <v>45905</v>
      </c>
      <c r="Q41" s="25"/>
      <c r="R41" s="25"/>
      <c r="T41" s="15" t="s">
        <v>99</v>
      </c>
    </row>
    <row r="42" spans="2:20" ht="17.25" hidden="1">
      <c r="B42" s="16"/>
      <c r="C42" s="17"/>
      <c r="D42" s="18"/>
      <c r="E42" s="46"/>
      <c r="F42" s="17"/>
      <c r="G42" s="20"/>
      <c r="H42" s="21"/>
      <c r="I42" s="22"/>
      <c r="J42" s="20"/>
      <c r="K42" s="24"/>
      <c r="P42" s="26">
        <v>45916</v>
      </c>
      <c r="Q42" s="25"/>
      <c r="R42" s="25"/>
      <c r="T42" s="15" t="s">
        <v>100</v>
      </c>
    </row>
    <row r="43" spans="2:20" ht="17.25" hidden="1">
      <c r="B43" s="16"/>
      <c r="C43" s="17"/>
      <c r="D43" s="18"/>
      <c r="E43" s="46"/>
      <c r="F43" s="17"/>
      <c r="G43" s="20"/>
      <c r="H43" s="21"/>
      <c r="I43" s="22"/>
      <c r="J43" s="20"/>
      <c r="K43" s="54"/>
      <c r="P43" s="26">
        <v>45926</v>
      </c>
      <c r="Q43" s="25"/>
      <c r="R43" s="25"/>
      <c r="T43" s="15" t="s">
        <v>101</v>
      </c>
    </row>
    <row r="44" spans="2:20" ht="17.25" hidden="1">
      <c r="B44" s="16"/>
      <c r="C44" s="17"/>
      <c r="D44" s="18"/>
      <c r="E44" s="46"/>
      <c r="F44" s="17"/>
      <c r="G44" s="20"/>
      <c r="H44" s="21"/>
      <c r="I44" s="22"/>
      <c r="J44" s="20"/>
      <c r="K44" s="24"/>
      <c r="P44" s="26">
        <v>45946</v>
      </c>
      <c r="Q44" s="25"/>
      <c r="R44" s="25"/>
      <c r="T44" s="15" t="s">
        <v>102</v>
      </c>
    </row>
    <row r="45" spans="2:20" ht="17.25" hidden="1">
      <c r="B45" s="16"/>
      <c r="C45" s="17"/>
      <c r="D45" s="18"/>
      <c r="E45" s="46"/>
      <c r="F45" s="17"/>
      <c r="G45" s="20"/>
      <c r="H45" s="21"/>
      <c r="I45" s="22"/>
      <c r="J45" s="20"/>
      <c r="K45" s="24"/>
      <c r="P45" s="26">
        <v>45947</v>
      </c>
      <c r="Q45" s="25"/>
      <c r="R45" s="25"/>
      <c r="T45" s="43" t="s">
        <v>103</v>
      </c>
    </row>
    <row r="46" spans="2:20" ht="17.25" hidden="1">
      <c r="B46" s="16"/>
      <c r="C46" s="17"/>
      <c r="D46" s="18"/>
      <c r="E46" s="46"/>
      <c r="F46" s="17"/>
      <c r="G46" s="20"/>
      <c r="H46" s="21"/>
      <c r="I46" s="22"/>
      <c r="J46" s="20"/>
      <c r="K46" s="24"/>
      <c r="P46" s="26">
        <v>45953</v>
      </c>
      <c r="Q46" s="25"/>
      <c r="R46" s="25"/>
      <c r="T46" s="43" t="s">
        <v>104</v>
      </c>
    </row>
    <row r="47" spans="2:20" ht="17.25" hidden="1">
      <c r="B47" s="16"/>
      <c r="C47" s="17"/>
      <c r="D47" s="18"/>
      <c r="E47" s="46"/>
      <c r="F47" s="17"/>
      <c r="G47" s="20"/>
      <c r="H47" s="21"/>
      <c r="I47" s="22"/>
      <c r="J47" s="20"/>
      <c r="K47" s="24"/>
      <c r="P47" s="26"/>
      <c r="Q47" s="25"/>
      <c r="R47" s="25"/>
      <c r="T47" s="43"/>
    </row>
    <row r="48" spans="2:20" ht="17.25">
      <c r="B48" s="28" t="s">
        <v>105</v>
      </c>
      <c r="C48" s="47" t="s">
        <v>36</v>
      </c>
      <c r="D48" s="48">
        <v>5.1499999999999997E-2</v>
      </c>
      <c r="E48" s="49">
        <v>3.5000000000000003E-2</v>
      </c>
      <c r="F48" s="47">
        <v>45881</v>
      </c>
      <c r="G48" s="51">
        <v>1700</v>
      </c>
      <c r="H48" s="28">
        <v>102.7024</v>
      </c>
      <c r="I48" s="52">
        <v>102.9281534117647</v>
      </c>
      <c r="J48" s="51">
        <v>1700</v>
      </c>
      <c r="K48" s="24" t="s">
        <v>1742</v>
      </c>
      <c r="P48" s="26"/>
      <c r="Q48" s="55"/>
      <c r="R48" s="25"/>
    </row>
    <row r="49" spans="2:20" ht="17.25">
      <c r="B49" s="16" t="s">
        <v>92</v>
      </c>
      <c r="C49" s="17" t="s">
        <v>36</v>
      </c>
      <c r="D49" s="18">
        <v>0.04</v>
      </c>
      <c r="E49" s="46">
        <v>0.04</v>
      </c>
      <c r="F49" s="17">
        <v>45881</v>
      </c>
      <c r="G49" s="20" t="s">
        <v>1025</v>
      </c>
      <c r="H49" s="21">
        <v>94.270499999999998</v>
      </c>
      <c r="I49" s="22"/>
      <c r="J49" s="20">
        <v>1100</v>
      </c>
      <c r="K49" s="24"/>
      <c r="P49" s="26"/>
      <c r="Q49" s="25"/>
      <c r="R49" s="25"/>
    </row>
    <row r="50" spans="2:20" ht="17.25">
      <c r="B50" s="28" t="s">
        <v>106</v>
      </c>
      <c r="C50" s="47" t="s">
        <v>36</v>
      </c>
      <c r="D50" s="48">
        <v>4.2000000000000003E-2</v>
      </c>
      <c r="E50" s="49">
        <v>3.5000000000000003E-2</v>
      </c>
      <c r="F50" s="47">
        <v>45867</v>
      </c>
      <c r="G50" s="51">
        <v>2400</v>
      </c>
      <c r="H50" s="28">
        <v>101.85</v>
      </c>
      <c r="I50" s="52">
        <v>101.88451999999999</v>
      </c>
      <c r="J50" s="51">
        <v>2000</v>
      </c>
      <c r="K50" s="24"/>
      <c r="P50" s="26"/>
      <c r="Q50" s="56"/>
      <c r="R50" s="25"/>
    </row>
    <row r="51" spans="2:20" ht="17.25" hidden="1">
      <c r="B51" s="28" t="s">
        <v>107</v>
      </c>
      <c r="C51" s="47" t="s">
        <v>36</v>
      </c>
      <c r="D51" s="48">
        <v>5.1999999999999998E-2</v>
      </c>
      <c r="E51" s="49">
        <v>4.4999999999999998E-2</v>
      </c>
      <c r="F51" s="47">
        <v>45896</v>
      </c>
      <c r="G51" s="51">
        <v>1400</v>
      </c>
      <c r="H51" s="28">
        <v>100.3819</v>
      </c>
      <c r="I51" s="52"/>
      <c r="J51" s="51">
        <v>0</v>
      </c>
      <c r="K51" s="24"/>
      <c r="O51" s="57">
        <f>H51*(1+4.5%/365*(P51-F51))</f>
        <v>101.01306838493151</v>
      </c>
      <c r="P51" s="26">
        <v>45947</v>
      </c>
      <c r="Q51" s="25"/>
      <c r="R51" s="55"/>
      <c r="T51" s="15" t="s">
        <v>108</v>
      </c>
    </row>
    <row r="52" spans="2:20" ht="17.25">
      <c r="B52" s="28" t="s">
        <v>72</v>
      </c>
      <c r="C52" s="47" t="s">
        <v>36</v>
      </c>
      <c r="D52" s="48">
        <v>3.7999999999999999E-2</v>
      </c>
      <c r="E52" s="49">
        <v>3.5000000000000003E-2</v>
      </c>
      <c r="F52" s="47">
        <v>45904</v>
      </c>
      <c r="G52" s="51">
        <v>600</v>
      </c>
      <c r="H52" s="28">
        <v>100.2872</v>
      </c>
      <c r="I52" s="52">
        <v>100.37049</v>
      </c>
      <c r="J52" s="51">
        <v>600</v>
      </c>
      <c r="K52" s="24"/>
      <c r="O52" s="15">
        <v>101.36</v>
      </c>
      <c r="P52" s="26">
        <v>46105</v>
      </c>
      <c r="Q52" s="58"/>
      <c r="R52" s="25"/>
    </row>
    <row r="53" spans="2:20" ht="17.25" hidden="1">
      <c r="B53" s="16" t="s">
        <v>109</v>
      </c>
      <c r="C53" s="17" t="s">
        <v>36</v>
      </c>
      <c r="D53" s="18">
        <v>8.5000000000000006E-2</v>
      </c>
      <c r="E53" s="59">
        <v>0.06</v>
      </c>
      <c r="F53" s="17">
        <v>45903</v>
      </c>
      <c r="G53" s="20">
        <v>1550</v>
      </c>
      <c r="H53" s="21">
        <v>100.16289999999999</v>
      </c>
      <c r="I53" s="22"/>
      <c r="J53" s="53">
        <f>1550-1550</f>
        <v>0</v>
      </c>
      <c r="K53" s="24"/>
      <c r="N53" s="15">
        <v>1550</v>
      </c>
      <c r="O53" s="15">
        <v>101.078</v>
      </c>
      <c r="P53" s="26">
        <v>45960</v>
      </c>
      <c r="Q53" s="55" t="s">
        <v>110</v>
      </c>
      <c r="R53" s="56"/>
      <c r="T53" s="44"/>
    </row>
    <row r="54" spans="2:20" ht="17.25" hidden="1">
      <c r="B54" s="16"/>
      <c r="C54" s="17"/>
      <c r="D54" s="18"/>
      <c r="E54" s="59"/>
      <c r="F54" s="17"/>
      <c r="G54" s="20"/>
      <c r="H54" s="21"/>
      <c r="I54" s="22"/>
      <c r="J54" s="53"/>
      <c r="K54" s="24"/>
      <c r="P54" s="26"/>
      <c r="Q54" s="55"/>
      <c r="R54" s="56"/>
      <c r="T54" s="44"/>
    </row>
    <row r="55" spans="2:20" ht="17.25" hidden="1">
      <c r="B55" s="16" t="s">
        <v>111</v>
      </c>
      <c r="C55" s="17" t="s">
        <v>36</v>
      </c>
      <c r="D55" s="18"/>
      <c r="E55" s="59">
        <v>1.8800000000000001E-2</v>
      </c>
      <c r="F55" s="17">
        <v>45911</v>
      </c>
      <c r="G55" s="20">
        <v>430</v>
      </c>
      <c r="H55" s="21">
        <v>100</v>
      </c>
      <c r="I55" s="22"/>
      <c r="J55" s="20">
        <v>0</v>
      </c>
      <c r="K55" s="24"/>
      <c r="N55" s="15">
        <v>430</v>
      </c>
      <c r="O55" s="15">
        <v>100</v>
      </c>
      <c r="P55" s="26">
        <v>45980</v>
      </c>
      <c r="Q55" s="25" t="s">
        <v>112</v>
      </c>
      <c r="R55" s="25"/>
      <c r="T55" s="44"/>
    </row>
    <row r="56" spans="2:20" ht="17.25" hidden="1">
      <c r="B56" s="16" t="s">
        <v>113</v>
      </c>
      <c r="C56" s="17" t="s">
        <v>36</v>
      </c>
      <c r="D56" s="18"/>
      <c r="E56" s="59">
        <v>2.8000000000000001E-2</v>
      </c>
      <c r="F56" s="17">
        <v>45911</v>
      </c>
      <c r="G56" s="20">
        <v>535</v>
      </c>
      <c r="H56" s="21">
        <v>100</v>
      </c>
      <c r="I56" s="22"/>
      <c r="J56" s="20">
        <v>0</v>
      </c>
      <c r="K56" s="24"/>
      <c r="N56" s="15">
        <v>535</v>
      </c>
      <c r="O56" s="15">
        <v>100</v>
      </c>
      <c r="P56" s="26">
        <v>45980</v>
      </c>
      <c r="Q56" s="25" t="s">
        <v>114</v>
      </c>
      <c r="R56" s="25"/>
      <c r="S56" s="44"/>
      <c r="T56" s="60"/>
    </row>
    <row r="57" spans="2:20" ht="17.25" hidden="1">
      <c r="B57" s="16" t="s">
        <v>115</v>
      </c>
      <c r="C57" s="17" t="s">
        <v>36</v>
      </c>
      <c r="D57" s="18"/>
      <c r="E57" s="59">
        <v>0.05</v>
      </c>
      <c r="F57" s="17">
        <v>45911</v>
      </c>
      <c r="G57" s="20">
        <v>915</v>
      </c>
      <c r="H57" s="21">
        <v>100</v>
      </c>
      <c r="I57" s="22"/>
      <c r="J57" s="20">
        <f>915-915</f>
        <v>0</v>
      </c>
      <c r="K57" s="24"/>
      <c r="O57" s="56">
        <f>100*(1+4.5%/365*(P57-F57-1))</f>
        <v>-466.03835616438357</v>
      </c>
      <c r="P57" s="26"/>
      <c r="Q57" s="25"/>
      <c r="R57" s="25"/>
      <c r="T57" s="15" t="s">
        <v>116</v>
      </c>
    </row>
    <row r="58" spans="2:20" ht="17.25" hidden="1">
      <c r="B58" s="16" t="s">
        <v>109</v>
      </c>
      <c r="C58" s="17" t="s">
        <v>36</v>
      </c>
      <c r="D58" s="18">
        <v>8.5000000000000006E-2</v>
      </c>
      <c r="E58" s="59" t="s">
        <v>117</v>
      </c>
      <c r="F58" s="17">
        <v>45908</v>
      </c>
      <c r="G58" s="20">
        <v>1000</v>
      </c>
      <c r="H58" s="21">
        <v>100.12</v>
      </c>
      <c r="I58" s="22"/>
      <c r="J58" s="53">
        <v>0</v>
      </c>
      <c r="K58" s="24" t="s">
        <v>819</v>
      </c>
      <c r="N58" s="15">
        <v>1000</v>
      </c>
      <c r="O58" s="15">
        <v>100.12</v>
      </c>
      <c r="P58" s="26">
        <v>46063</v>
      </c>
      <c r="Q58" s="25" t="s">
        <v>1088</v>
      </c>
      <c r="R58" s="25"/>
    </row>
    <row r="59" spans="2:20" ht="17.25" hidden="1">
      <c r="B59" s="16" t="s">
        <v>118</v>
      </c>
      <c r="C59" s="17" t="s">
        <v>36</v>
      </c>
      <c r="D59" s="18">
        <v>4.8000000000000001E-2</v>
      </c>
      <c r="E59" s="59">
        <v>4.4999999999999998E-2</v>
      </c>
      <c r="F59" s="17">
        <v>45924</v>
      </c>
      <c r="G59" s="20">
        <v>1400</v>
      </c>
      <c r="H59" s="21">
        <v>100.5523</v>
      </c>
      <c r="I59" s="22"/>
      <c r="J59" s="53">
        <v>0</v>
      </c>
      <c r="K59" s="24"/>
      <c r="O59" s="57">
        <f>H59*(1+4.5%/365*(P59-F59))</f>
        <v>101.04817435616438</v>
      </c>
      <c r="P59" s="26">
        <v>45964</v>
      </c>
      <c r="Q59" s="25" t="s">
        <v>119</v>
      </c>
      <c r="R59" s="25"/>
    </row>
    <row r="60" spans="2:20" s="62" customFormat="1" ht="17.25" hidden="1">
      <c r="B60" s="28" t="s">
        <v>120</v>
      </c>
      <c r="C60" s="47" t="s">
        <v>121</v>
      </c>
      <c r="D60" s="48">
        <v>0.06</v>
      </c>
      <c r="E60" s="49">
        <v>3.5000000000000003E-2</v>
      </c>
      <c r="F60" s="47">
        <v>45926</v>
      </c>
      <c r="G60" s="51">
        <v>1000</v>
      </c>
      <c r="H60" s="28">
        <v>101.7329</v>
      </c>
      <c r="I60" s="52"/>
      <c r="J60" s="51">
        <v>0</v>
      </c>
      <c r="K60" s="61"/>
      <c r="O60" s="62">
        <v>101.5385</v>
      </c>
      <c r="P60" s="26">
        <v>45952</v>
      </c>
      <c r="Q60" s="63"/>
      <c r="R60" s="63"/>
    </row>
    <row r="61" spans="2:20" ht="17.25">
      <c r="B61" s="16" t="s">
        <v>122</v>
      </c>
      <c r="C61" s="17" t="s">
        <v>121</v>
      </c>
      <c r="D61" s="18">
        <v>0.05</v>
      </c>
      <c r="E61" s="59">
        <v>0.05</v>
      </c>
      <c r="F61" s="17">
        <v>45868</v>
      </c>
      <c r="G61" s="20">
        <v>5000</v>
      </c>
      <c r="H61" s="21">
        <v>100</v>
      </c>
      <c r="I61" s="22"/>
      <c r="J61" s="20">
        <v>2500</v>
      </c>
      <c r="K61" s="24"/>
      <c r="N61" s="15">
        <v>2500</v>
      </c>
      <c r="O61" s="15">
        <v>100</v>
      </c>
      <c r="P61" s="26">
        <v>46031</v>
      </c>
      <c r="Q61" s="25" t="s">
        <v>475</v>
      </c>
      <c r="R61" s="25"/>
    </row>
    <row r="62" spans="2:20" ht="17.25">
      <c r="B62" s="16"/>
      <c r="C62" s="17"/>
      <c r="D62" s="18"/>
      <c r="E62" s="59"/>
      <c r="F62" s="17"/>
      <c r="G62" s="20"/>
      <c r="H62" s="21"/>
      <c r="I62" s="22"/>
      <c r="J62" s="20"/>
      <c r="K62" s="24"/>
      <c r="P62" s="26"/>
      <c r="Q62" s="25"/>
      <c r="R62" s="25"/>
    </row>
    <row r="63" spans="2:20" ht="17.25">
      <c r="B63" s="16" t="s">
        <v>122</v>
      </c>
      <c r="C63" s="17" t="s">
        <v>123</v>
      </c>
      <c r="D63" s="18">
        <v>0.05</v>
      </c>
      <c r="E63" s="59">
        <v>0.05</v>
      </c>
      <c r="F63" s="17">
        <v>45868</v>
      </c>
      <c r="G63" s="20">
        <v>10000</v>
      </c>
      <c r="H63" s="21">
        <v>100</v>
      </c>
      <c r="I63" s="22"/>
      <c r="J63" s="20">
        <v>10000</v>
      </c>
      <c r="K63" s="24"/>
      <c r="P63" s="26"/>
      <c r="Q63" s="25"/>
      <c r="R63" s="25"/>
    </row>
    <row r="64" spans="2:20" ht="17.25" hidden="1">
      <c r="B64" s="16" t="s">
        <v>124</v>
      </c>
      <c r="C64" s="17" t="s">
        <v>36</v>
      </c>
      <c r="D64" s="18">
        <v>4.9000000000000002E-2</v>
      </c>
      <c r="E64" s="59">
        <v>4.4999999999999998E-2</v>
      </c>
      <c r="F64" s="17">
        <v>45944</v>
      </c>
      <c r="G64" s="20">
        <v>600</v>
      </c>
      <c r="H64" s="21">
        <v>101.83920000000001</v>
      </c>
      <c r="I64" s="22"/>
      <c r="J64" s="53">
        <v>0</v>
      </c>
      <c r="K64" s="24"/>
      <c r="N64" s="15">
        <v>190</v>
      </c>
      <c r="O64" s="106">
        <f>H64*(1+E64/365*(P64-F64))</f>
        <v>103.24541799452055</v>
      </c>
      <c r="P64" s="26">
        <v>46056</v>
      </c>
      <c r="Q64" t="s">
        <v>1018</v>
      </c>
      <c r="R64" s="25"/>
    </row>
    <row r="65" spans="2:21" ht="17.25" hidden="1">
      <c r="B65" s="16"/>
      <c r="C65" s="17"/>
      <c r="D65" s="18"/>
      <c r="E65" s="59"/>
      <c r="F65" s="17"/>
      <c r="G65" s="20"/>
      <c r="H65" s="21"/>
      <c r="I65" s="22"/>
      <c r="J65" s="53"/>
      <c r="K65" s="24"/>
      <c r="N65" s="15">
        <v>410</v>
      </c>
      <c r="O65" s="106">
        <f>H64*(1+E64/365*(P65-F64))</f>
        <v>103.33330661917807</v>
      </c>
      <c r="P65" s="26">
        <v>46063</v>
      </c>
      <c r="Q65" t="s">
        <v>1077</v>
      </c>
      <c r="R65" s="25"/>
    </row>
    <row r="66" spans="2:21" ht="17.25" hidden="1">
      <c r="B66" s="16" t="s">
        <v>125</v>
      </c>
      <c r="C66" s="17" t="s">
        <v>121</v>
      </c>
      <c r="D66" s="18">
        <v>2.5000000000000001E-2</v>
      </c>
      <c r="E66" s="59">
        <v>2.5000000000000001E-2</v>
      </c>
      <c r="F66" s="17">
        <v>45940</v>
      </c>
      <c r="G66" s="20">
        <v>800</v>
      </c>
      <c r="H66" s="21">
        <v>100</v>
      </c>
      <c r="I66" s="22"/>
      <c r="J66" s="20">
        <v>0</v>
      </c>
      <c r="K66" s="24"/>
      <c r="N66" s="15">
        <v>800</v>
      </c>
      <c r="O66" s="15">
        <v>100.001</v>
      </c>
      <c r="P66" s="26">
        <v>45980</v>
      </c>
      <c r="Q66" s="25" t="s">
        <v>126</v>
      </c>
      <c r="R66" s="25"/>
    </row>
    <row r="67" spans="2:21" ht="17.25" hidden="1">
      <c r="B67" s="16" t="s">
        <v>127</v>
      </c>
      <c r="C67" s="17" t="s">
        <v>121</v>
      </c>
      <c r="D67" s="18">
        <v>0.04</v>
      </c>
      <c r="E67" s="59">
        <v>0.04</v>
      </c>
      <c r="F67" s="17">
        <v>45940</v>
      </c>
      <c r="G67" s="20">
        <v>1500</v>
      </c>
      <c r="H67" s="21">
        <v>100</v>
      </c>
      <c r="I67" s="22"/>
      <c r="J67" s="20">
        <v>0</v>
      </c>
      <c r="N67" s="15">
        <v>1500</v>
      </c>
      <c r="O67" s="64">
        <v>100.001</v>
      </c>
      <c r="P67" s="26">
        <v>45980</v>
      </c>
      <c r="Q67" s="64" t="s">
        <v>128</v>
      </c>
      <c r="R67" s="64"/>
      <c r="S67" s="64"/>
      <c r="T67" s="64"/>
      <c r="U67" s="64"/>
    </row>
    <row r="68" spans="2:21" ht="17.25" hidden="1">
      <c r="B68" s="16" t="s">
        <v>129</v>
      </c>
      <c r="C68" s="17" t="s">
        <v>130</v>
      </c>
      <c r="D68" s="18">
        <v>3.3000000000000002E-2</v>
      </c>
      <c r="E68" s="59">
        <v>3.3000000000000002E-2</v>
      </c>
      <c r="F68" s="17">
        <v>45958</v>
      </c>
      <c r="G68" s="20">
        <v>1000</v>
      </c>
      <c r="H68" s="21">
        <v>100</v>
      </c>
      <c r="I68" s="22"/>
      <c r="J68" s="20">
        <v>0</v>
      </c>
      <c r="N68" s="15">
        <v>1000</v>
      </c>
      <c r="O68" s="64">
        <v>100.001</v>
      </c>
      <c r="P68" s="26">
        <v>45985</v>
      </c>
      <c r="Q68" s="64" t="s">
        <v>131</v>
      </c>
      <c r="R68" s="64"/>
      <c r="S68" s="64"/>
      <c r="T68" s="64"/>
      <c r="U68" s="64"/>
    </row>
    <row r="69" spans="2:21" ht="17.25" hidden="1">
      <c r="B69" s="16" t="s">
        <v>132</v>
      </c>
      <c r="C69" s="17" t="s">
        <v>133</v>
      </c>
      <c r="D69" s="18">
        <v>2.9000000000000001E-2</v>
      </c>
      <c r="E69" s="59">
        <v>2.9000000000000001E-2</v>
      </c>
      <c r="F69" s="17">
        <v>45959</v>
      </c>
      <c r="G69" s="20">
        <v>2900</v>
      </c>
      <c r="H69" s="21">
        <v>100</v>
      </c>
      <c r="I69" s="22"/>
      <c r="J69" s="20">
        <v>0</v>
      </c>
      <c r="O69" s="64"/>
      <c r="P69" s="26"/>
      <c r="Q69" s="64" t="s">
        <v>134</v>
      </c>
      <c r="R69" s="64"/>
      <c r="S69" s="64"/>
      <c r="T69" s="64"/>
      <c r="U69" s="64"/>
    </row>
    <row r="70" spans="2:21" ht="17.25">
      <c r="B70" s="16" t="s">
        <v>135</v>
      </c>
      <c r="C70" s="17" t="s">
        <v>136</v>
      </c>
      <c r="D70" s="18">
        <v>8.5000000000000006E-2</v>
      </c>
      <c r="E70" s="59" t="s">
        <v>1680</v>
      </c>
      <c r="F70" s="17">
        <v>45971</v>
      </c>
      <c r="G70" s="20">
        <v>5000</v>
      </c>
      <c r="H70" s="21">
        <v>100</v>
      </c>
      <c r="I70" s="22"/>
      <c r="J70" s="20">
        <v>2000</v>
      </c>
      <c r="N70" s="15">
        <v>3000</v>
      </c>
      <c r="O70" s="64">
        <v>99.825000000000003</v>
      </c>
      <c r="P70" s="26">
        <v>46154</v>
      </c>
      <c r="Q70" s="64" t="s">
        <v>2418</v>
      </c>
      <c r="R70" s="64"/>
      <c r="S70" s="64"/>
      <c r="T70" s="64"/>
      <c r="U70" s="64"/>
    </row>
    <row r="71" spans="2:21" ht="17.25" hidden="1">
      <c r="B71" s="16" t="s">
        <v>137</v>
      </c>
      <c r="C71" s="17" t="s">
        <v>136</v>
      </c>
      <c r="D71" s="18"/>
      <c r="E71" s="59">
        <v>4.4999999999999998E-2</v>
      </c>
      <c r="F71" s="17">
        <v>45964</v>
      </c>
      <c r="G71" s="20">
        <v>1000</v>
      </c>
      <c r="H71" s="21">
        <v>112.18300000000001</v>
      </c>
      <c r="I71" s="22"/>
      <c r="J71" s="20">
        <v>0</v>
      </c>
      <c r="O71" s="64"/>
      <c r="P71" s="26">
        <v>45985</v>
      </c>
      <c r="Q71" s="65" t="s">
        <v>138</v>
      </c>
      <c r="R71" s="64"/>
      <c r="S71" s="64"/>
      <c r="T71" s="64"/>
      <c r="U71" s="64"/>
    </row>
    <row r="72" spans="2:21" ht="17.25" hidden="1">
      <c r="B72" s="16" t="s">
        <v>139</v>
      </c>
      <c r="C72" s="17" t="s">
        <v>136</v>
      </c>
      <c r="D72" s="18"/>
      <c r="E72" s="59">
        <v>4.4999999999999998E-2</v>
      </c>
      <c r="F72" s="17">
        <v>45964</v>
      </c>
      <c r="G72" s="20">
        <v>1000</v>
      </c>
      <c r="H72" s="21">
        <v>101.92100000000001</v>
      </c>
      <c r="I72" s="22"/>
      <c r="J72" s="20">
        <v>0</v>
      </c>
      <c r="O72" s="64"/>
      <c r="P72" s="26">
        <v>45985</v>
      </c>
      <c r="Q72" s="65" t="s">
        <v>140</v>
      </c>
      <c r="R72" s="64"/>
      <c r="S72" s="64"/>
      <c r="T72" s="64"/>
      <c r="U72" s="64"/>
    </row>
    <row r="73" spans="2:21" ht="17.25" hidden="1">
      <c r="B73" s="16" t="s">
        <v>141</v>
      </c>
      <c r="C73" s="17" t="s">
        <v>136</v>
      </c>
      <c r="D73" s="18"/>
      <c r="E73" s="59">
        <v>4.4999999999999998E-2</v>
      </c>
      <c r="F73" s="17">
        <v>45964</v>
      </c>
      <c r="G73" s="20">
        <v>1150</v>
      </c>
      <c r="H73" s="21">
        <v>135.01</v>
      </c>
      <c r="I73" s="22"/>
      <c r="J73" s="20">
        <v>0</v>
      </c>
      <c r="O73" s="64"/>
      <c r="P73" s="26">
        <v>45985</v>
      </c>
      <c r="Q73" s="65" t="s">
        <v>142</v>
      </c>
      <c r="R73" s="64"/>
      <c r="S73" s="64"/>
      <c r="T73" s="64"/>
      <c r="U73" s="64"/>
    </row>
    <row r="74" spans="2:21" ht="17.25" hidden="1">
      <c r="B74" s="16" t="s">
        <v>143</v>
      </c>
      <c r="C74" s="17" t="s">
        <v>130</v>
      </c>
      <c r="D74" s="18">
        <v>3.5999999999999997E-2</v>
      </c>
      <c r="E74" s="59">
        <v>3.5999999999999997E-2</v>
      </c>
      <c r="F74" s="17">
        <v>45979</v>
      </c>
      <c r="G74" s="20">
        <v>1000</v>
      </c>
      <c r="H74" s="21">
        <v>100</v>
      </c>
      <c r="I74" s="22"/>
      <c r="J74" s="20">
        <v>0</v>
      </c>
      <c r="N74" s="15">
        <v>1000</v>
      </c>
      <c r="O74" s="64">
        <v>100.001</v>
      </c>
      <c r="P74" s="66">
        <v>45994</v>
      </c>
      <c r="Q74" s="64" t="s">
        <v>144</v>
      </c>
      <c r="R74" s="64"/>
      <c r="S74" s="64"/>
      <c r="T74" s="64"/>
      <c r="U74" s="64"/>
    </row>
    <row r="75" spans="2:21" ht="17.25" hidden="1">
      <c r="B75" s="16" t="s">
        <v>141</v>
      </c>
      <c r="C75" s="17" t="s">
        <v>136</v>
      </c>
      <c r="D75" s="18">
        <v>0.05</v>
      </c>
      <c r="E75" s="59">
        <v>0.04</v>
      </c>
      <c r="F75" s="17">
        <v>45994</v>
      </c>
      <c r="G75" s="20">
        <v>1600</v>
      </c>
      <c r="H75" s="21">
        <v>135.58000000000001</v>
      </c>
      <c r="I75" s="22"/>
      <c r="J75" s="20">
        <v>0</v>
      </c>
      <c r="K75" s="15" t="s">
        <v>145</v>
      </c>
      <c r="N75" s="15">
        <v>1600</v>
      </c>
      <c r="O75" s="67">
        <f>H75*(1+4.5%/365*(P75-F75))</f>
        <v>135.89759150684932</v>
      </c>
      <c r="P75" s="66">
        <v>46013</v>
      </c>
      <c r="Q75" s="64" t="s">
        <v>146</v>
      </c>
      <c r="R75" s="64"/>
      <c r="S75" s="64"/>
      <c r="T75" s="64"/>
      <c r="U75" s="64"/>
    </row>
    <row r="76" spans="2:21" ht="17.25" hidden="1">
      <c r="B76" s="431" t="s">
        <v>118</v>
      </c>
      <c r="C76" s="432" t="s">
        <v>136</v>
      </c>
      <c r="D76" s="433">
        <v>4.8000000000000001E-2</v>
      </c>
      <c r="E76" s="434">
        <v>0.04</v>
      </c>
      <c r="F76" s="432">
        <v>45994</v>
      </c>
      <c r="G76" s="435">
        <v>1400</v>
      </c>
      <c r="H76" s="436">
        <v>102.105</v>
      </c>
      <c r="I76" s="437"/>
      <c r="J76" s="435">
        <v>0</v>
      </c>
      <c r="K76" s="15" t="s">
        <v>1800</v>
      </c>
      <c r="M76" s="15">
        <f>N76*O76/100</f>
        <v>381.47323167123284</v>
      </c>
      <c r="N76" s="15">
        <v>370</v>
      </c>
      <c r="O76" s="438">
        <f>H76*(1+E76/365*(P76-F76))</f>
        <v>103.10087342465752</v>
      </c>
      <c r="P76" s="439">
        <v>46083</v>
      </c>
      <c r="Q76" s="440" t="s">
        <v>1192</v>
      </c>
      <c r="R76" s="440"/>
      <c r="S76" s="440"/>
      <c r="T76" s="440"/>
      <c r="U76" s="440"/>
    </row>
    <row r="77" spans="2:21" ht="17.25" hidden="1">
      <c r="B77" s="431"/>
      <c r="C77" s="432"/>
      <c r="D77" s="433"/>
      <c r="E77" s="434"/>
      <c r="F77" s="432"/>
      <c r="G77" s="435"/>
      <c r="H77" s="436"/>
      <c r="I77" s="437"/>
      <c r="J77" s="435"/>
      <c r="N77" s="15">
        <v>580</v>
      </c>
      <c r="O77" s="438">
        <v>103.52</v>
      </c>
      <c r="P77" s="439">
        <v>46122</v>
      </c>
      <c r="Q77" t="s">
        <v>1835</v>
      </c>
      <c r="R77" s="440"/>
      <c r="S77" s="440"/>
      <c r="T77" s="440"/>
      <c r="U77" s="440"/>
    </row>
    <row r="78" spans="2:21" ht="17.25" hidden="1">
      <c r="B78" s="16"/>
      <c r="C78" s="17"/>
      <c r="D78" s="18"/>
      <c r="E78" s="59"/>
      <c r="F78" s="17"/>
      <c r="G78" s="20"/>
      <c r="H78" s="21"/>
      <c r="I78" s="22"/>
      <c r="J78" s="20"/>
      <c r="N78" s="15">
        <v>450</v>
      </c>
      <c r="O78" s="264">
        <v>103.52</v>
      </c>
      <c r="P78" s="66">
        <v>46122</v>
      </c>
      <c r="Q78" t="s">
        <v>1836</v>
      </c>
      <c r="R78" s="64"/>
      <c r="S78" s="64"/>
      <c r="T78" s="64"/>
      <c r="U78" s="64"/>
    </row>
    <row r="79" spans="2:21" ht="17.25" hidden="1">
      <c r="B79" s="16" t="s">
        <v>147</v>
      </c>
      <c r="C79" s="17" t="s">
        <v>130</v>
      </c>
      <c r="D79" s="18">
        <v>3.2000000000000001E-2</v>
      </c>
      <c r="E79" s="59">
        <v>3.2000000000000001E-2</v>
      </c>
      <c r="F79" s="17">
        <v>45995</v>
      </c>
      <c r="G79" s="20">
        <v>600</v>
      </c>
      <c r="H79" s="21">
        <v>100</v>
      </c>
      <c r="I79" s="22"/>
      <c r="J79" s="20">
        <v>600</v>
      </c>
      <c r="K79" s="15" t="s">
        <v>145</v>
      </c>
      <c r="N79" s="15">
        <v>600</v>
      </c>
      <c r="O79" s="64">
        <v>100.003</v>
      </c>
      <c r="P79" s="66">
        <v>46041</v>
      </c>
      <c r="Q79" s="64" t="s">
        <v>858</v>
      </c>
      <c r="R79" s="64"/>
      <c r="S79" s="64"/>
      <c r="T79" s="64"/>
      <c r="U79" s="64"/>
    </row>
    <row r="80" spans="2:21" ht="17.25" hidden="1">
      <c r="B80" s="16" t="s">
        <v>74</v>
      </c>
      <c r="C80" s="17" t="s">
        <v>136</v>
      </c>
      <c r="D80" s="18">
        <v>3.5000000000000003E-2</v>
      </c>
      <c r="E80" s="59">
        <v>3.5000000000000003E-2</v>
      </c>
      <c r="F80" s="17">
        <v>46000</v>
      </c>
      <c r="G80" s="20">
        <v>1450</v>
      </c>
      <c r="H80" s="21">
        <v>100</v>
      </c>
      <c r="I80" s="22"/>
      <c r="J80" s="20">
        <v>0</v>
      </c>
      <c r="K80" s="15" t="s">
        <v>951</v>
      </c>
      <c r="O80" s="64">
        <v>100</v>
      </c>
      <c r="P80" s="66">
        <v>46087</v>
      </c>
      <c r="Q80" s="64"/>
      <c r="R80" s="64"/>
      <c r="S80" s="64"/>
      <c r="T80" s="64"/>
      <c r="U80" s="64"/>
    </row>
    <row r="81" spans="1:21" ht="17.25" hidden="1">
      <c r="B81" s="16" t="s">
        <v>148</v>
      </c>
      <c r="C81" s="17" t="s">
        <v>121</v>
      </c>
      <c r="D81" s="18">
        <v>0.04</v>
      </c>
      <c r="E81" s="59">
        <v>0.04</v>
      </c>
      <c r="F81" s="17">
        <v>46000</v>
      </c>
      <c r="G81" s="20">
        <v>1000</v>
      </c>
      <c r="H81" s="21">
        <v>100</v>
      </c>
      <c r="I81" s="22"/>
      <c r="J81" s="20">
        <v>0</v>
      </c>
      <c r="N81" s="15">
        <v>1000</v>
      </c>
      <c r="O81" s="64">
        <v>100</v>
      </c>
      <c r="P81" s="66">
        <v>46030</v>
      </c>
      <c r="Q81" s="64" t="s">
        <v>474</v>
      </c>
      <c r="R81" s="64"/>
      <c r="S81" s="64"/>
      <c r="T81" s="64"/>
      <c r="U81" s="64"/>
    </row>
    <row r="82" spans="1:21" ht="17.25" hidden="1">
      <c r="B82" s="16" t="s">
        <v>149</v>
      </c>
      <c r="C82" s="17" t="s">
        <v>150</v>
      </c>
      <c r="D82" s="18">
        <v>0.05</v>
      </c>
      <c r="E82" s="59">
        <v>4.4999999999999998E-2</v>
      </c>
      <c r="F82" s="17">
        <v>46006</v>
      </c>
      <c r="G82" s="20">
        <v>3000</v>
      </c>
      <c r="H82" s="21">
        <v>100.8082</v>
      </c>
      <c r="I82" s="22"/>
      <c r="J82" s="20">
        <v>0</v>
      </c>
      <c r="K82" s="15" t="s">
        <v>950</v>
      </c>
      <c r="M82" s="15">
        <f>6408000/657000000*100</f>
        <v>0.97534246575342465</v>
      </c>
      <c r="O82" s="264">
        <f>H82*(1+4.5%/365*(P82-F82))-M82</f>
        <v>100.7898449671233</v>
      </c>
      <c r="P82" s="66">
        <v>46083</v>
      </c>
      <c r="Q82" s="64" t="s">
        <v>1248</v>
      </c>
      <c r="R82" s="64"/>
      <c r="S82" s="64"/>
      <c r="T82" s="64"/>
      <c r="U82" s="64"/>
    </row>
    <row r="83" spans="1:21" ht="17.25" hidden="1">
      <c r="B83" s="16" t="s">
        <v>149</v>
      </c>
      <c r="C83" s="17" t="s">
        <v>121</v>
      </c>
      <c r="D83" s="18">
        <v>0.05</v>
      </c>
      <c r="E83" s="59">
        <v>4.4999999999999998E-2</v>
      </c>
      <c r="F83" s="17">
        <v>46083</v>
      </c>
      <c r="G83" s="20">
        <v>3000</v>
      </c>
      <c r="H83" s="21">
        <v>100.8098</v>
      </c>
      <c r="I83" s="22"/>
      <c r="J83" s="20">
        <v>0</v>
      </c>
      <c r="N83" s="15">
        <v>3000</v>
      </c>
      <c r="O83" s="264">
        <v>100.4935</v>
      </c>
      <c r="P83" s="66">
        <v>46139</v>
      </c>
      <c r="Q83" s="64"/>
      <c r="R83" s="64"/>
      <c r="S83" s="64"/>
      <c r="T83" s="64"/>
      <c r="U83" s="64"/>
    </row>
    <row r="84" spans="1:21" ht="17.25" hidden="1">
      <c r="B84" s="16" t="s">
        <v>544</v>
      </c>
      <c r="C84" s="17" t="s">
        <v>136</v>
      </c>
      <c r="D84" s="18">
        <v>5.5E-2</v>
      </c>
      <c r="E84" s="59">
        <v>4.4999999999999998E-2</v>
      </c>
      <c r="F84" s="17">
        <v>46006</v>
      </c>
      <c r="G84" s="20">
        <v>2860</v>
      </c>
      <c r="H84" s="21">
        <v>100</v>
      </c>
      <c r="I84" s="22"/>
      <c r="J84" s="20">
        <v>0</v>
      </c>
      <c r="K84" s="15" t="s">
        <v>145</v>
      </c>
      <c r="N84" s="15">
        <v>2860</v>
      </c>
      <c r="O84" s="288">
        <f>100*(1+E84/365*(P84-F84))</f>
        <v>100.96164383561643</v>
      </c>
      <c r="P84" s="66">
        <v>46084</v>
      </c>
      <c r="Q84" t="s">
        <v>1238</v>
      </c>
      <c r="R84" s="64"/>
      <c r="S84" s="64"/>
      <c r="T84" s="64"/>
      <c r="U84" s="64"/>
    </row>
    <row r="85" spans="1:21" ht="17.25" hidden="1">
      <c r="B85" s="16" t="s">
        <v>151</v>
      </c>
      <c r="C85" s="17" t="s">
        <v>136</v>
      </c>
      <c r="D85" s="18">
        <v>0.08</v>
      </c>
      <c r="E85" s="59">
        <v>7.0000000000000007E-2</v>
      </c>
      <c r="F85" s="17">
        <v>46007</v>
      </c>
      <c r="G85" s="20">
        <v>4000</v>
      </c>
      <c r="H85" s="21">
        <v>100</v>
      </c>
      <c r="I85" s="22"/>
      <c r="J85" s="20">
        <v>0</v>
      </c>
      <c r="K85" s="45">
        <v>46036</v>
      </c>
      <c r="L85" s="44">
        <f>O85*N85/100</f>
        <v>3926.7196100000001</v>
      </c>
      <c r="N85" s="15">
        <v>3905</v>
      </c>
      <c r="O85" s="64">
        <f>ROUND((1+7%*(K85-F85)/365)*100,4)</f>
        <v>100.5562</v>
      </c>
      <c r="P85" s="66">
        <v>46036</v>
      </c>
      <c r="Q85" s="64" t="s">
        <v>616</v>
      </c>
      <c r="R85" s="64"/>
      <c r="S85" s="64"/>
      <c r="T85" s="64"/>
      <c r="U85" s="64"/>
    </row>
    <row r="86" spans="1:21" ht="17.25" hidden="1">
      <c r="B86" s="16"/>
      <c r="C86" s="17"/>
      <c r="D86" s="18"/>
      <c r="E86" s="59"/>
      <c r="F86" s="17"/>
      <c r="G86" s="20"/>
      <c r="H86" s="21"/>
      <c r="I86" s="22"/>
      <c r="J86" s="20"/>
      <c r="K86" s="45"/>
      <c r="L86" s="44">
        <f>O86*N86/100</f>
        <v>95.528390000000002</v>
      </c>
      <c r="N86" s="15">
        <f>4000-N85</f>
        <v>95</v>
      </c>
      <c r="O86" s="64">
        <f>O85</f>
        <v>100.5562</v>
      </c>
      <c r="P86" s="66">
        <v>46036</v>
      </c>
      <c r="Q86" s="64" t="s">
        <v>617</v>
      </c>
      <c r="R86" s="64"/>
      <c r="S86" s="64"/>
      <c r="T86" s="64"/>
      <c r="U86" s="64"/>
    </row>
    <row r="87" spans="1:21" ht="17.25" hidden="1">
      <c r="A87" s="15" t="s">
        <v>1293</v>
      </c>
      <c r="B87" s="16" t="s">
        <v>107</v>
      </c>
      <c r="C87" s="17" t="s">
        <v>136</v>
      </c>
      <c r="D87" s="18">
        <v>5.1999999999999998E-2</v>
      </c>
      <c r="E87" s="59">
        <v>4.4999999999999998E-2</v>
      </c>
      <c r="F87" s="17">
        <v>46007</v>
      </c>
      <c r="G87" s="20">
        <v>400</v>
      </c>
      <c r="H87" s="21">
        <v>101.1721</v>
      </c>
      <c r="I87" s="22"/>
      <c r="J87" s="20">
        <v>0</v>
      </c>
      <c r="N87" s="15">
        <v>1200</v>
      </c>
      <c r="O87" s="264">
        <f>H87*(1+E87/365*(P87-F87))</f>
        <v>101.82071017534248</v>
      </c>
      <c r="P87" s="66">
        <v>46059</v>
      </c>
      <c r="Q87" s="64" t="s">
        <v>1055</v>
      </c>
      <c r="R87" s="64"/>
      <c r="S87" s="64"/>
      <c r="T87" s="64"/>
      <c r="U87" s="64"/>
    </row>
    <row r="88" spans="1:21" ht="17.25" hidden="1">
      <c r="A88" s="15" t="s">
        <v>1293</v>
      </c>
      <c r="B88" s="16" t="s">
        <v>107</v>
      </c>
      <c r="C88" s="17" t="s">
        <v>136</v>
      </c>
      <c r="D88" s="18">
        <v>5.1999999999999998E-2</v>
      </c>
      <c r="E88" s="59">
        <v>4.4999999999999998E-2</v>
      </c>
      <c r="F88" s="17">
        <v>46009</v>
      </c>
      <c r="G88" s="20">
        <f>2200+1400</f>
        <v>3600</v>
      </c>
      <c r="H88" s="21">
        <v>101.1998</v>
      </c>
      <c r="I88" s="22"/>
      <c r="J88" s="20">
        <v>0</v>
      </c>
      <c r="O88" s="264">
        <f>H88*(1+E88/365*(P88-F88))</f>
        <v>101.82363438356164</v>
      </c>
      <c r="P88" s="66">
        <v>46059</v>
      </c>
      <c r="Q88" s="64"/>
      <c r="R88" s="64"/>
      <c r="S88" s="64"/>
      <c r="T88" s="64"/>
      <c r="U88" s="64"/>
    </row>
    <row r="89" spans="1:21" ht="17.25" hidden="1">
      <c r="B89" s="424"/>
      <c r="C89" s="425"/>
      <c r="D89" s="426"/>
      <c r="E89" s="427"/>
      <c r="F89" s="425"/>
      <c r="G89" s="428"/>
      <c r="H89" s="429"/>
      <c r="I89" s="430"/>
      <c r="J89" s="428"/>
      <c r="N89" s="15">
        <v>400</v>
      </c>
      <c r="O89" s="264">
        <v>101.827</v>
      </c>
      <c r="P89" s="66">
        <v>46122</v>
      </c>
      <c r="Q89" t="s">
        <v>1817</v>
      </c>
      <c r="R89" s="64"/>
      <c r="S89" s="64"/>
      <c r="T89" s="64"/>
      <c r="U89" s="64"/>
    </row>
    <row r="90" spans="1:21" ht="17.25" hidden="1">
      <c r="B90" s="424"/>
      <c r="C90" s="425"/>
      <c r="D90" s="426"/>
      <c r="E90" s="427"/>
      <c r="F90" s="425"/>
      <c r="G90" s="428"/>
      <c r="H90" s="429"/>
      <c r="I90" s="430"/>
      <c r="J90" s="428"/>
      <c r="N90" s="15">
        <v>2400</v>
      </c>
      <c r="O90" s="264">
        <v>101.827</v>
      </c>
      <c r="P90" s="66">
        <v>46122</v>
      </c>
      <c r="Q90" t="s">
        <v>1809</v>
      </c>
      <c r="R90" s="64"/>
      <c r="S90" s="64"/>
      <c r="T90" s="64"/>
      <c r="U90" s="64"/>
    </row>
    <row r="91" spans="1:21" ht="17.25" hidden="1">
      <c r="B91" s="16"/>
      <c r="C91" s="17"/>
      <c r="D91" s="18"/>
      <c r="E91" s="59"/>
      <c r="F91" s="17"/>
      <c r="G91" s="20"/>
      <c r="H91" s="21"/>
      <c r="I91" s="22"/>
      <c r="J91" s="20"/>
      <c r="O91" s="264"/>
      <c r="P91" s="66"/>
      <c r="Q91" s="64"/>
      <c r="R91" s="64"/>
      <c r="S91" s="64"/>
      <c r="T91" s="64"/>
      <c r="U91" s="64"/>
    </row>
    <row r="92" spans="1:21" ht="17.25" hidden="1">
      <c r="B92" s="16" t="s">
        <v>152</v>
      </c>
      <c r="C92" s="17" t="s">
        <v>123</v>
      </c>
      <c r="D92" s="18">
        <v>0.05</v>
      </c>
      <c r="E92" s="59">
        <v>0.05</v>
      </c>
      <c r="F92" s="17">
        <v>46010</v>
      </c>
      <c r="G92" s="20">
        <v>4000</v>
      </c>
      <c r="H92" s="21">
        <v>100</v>
      </c>
      <c r="I92" s="22"/>
      <c r="J92" s="20">
        <v>0</v>
      </c>
      <c r="O92" s="64"/>
      <c r="P92" s="64"/>
      <c r="Q92" s="64"/>
      <c r="R92" s="64"/>
      <c r="S92" s="64"/>
      <c r="T92" s="64"/>
      <c r="U92" s="64"/>
    </row>
    <row r="93" spans="1:21" ht="17.25">
      <c r="B93" s="28" t="s">
        <v>72</v>
      </c>
      <c r="C93" s="47" t="s">
        <v>136</v>
      </c>
      <c r="D93" s="48">
        <v>3.7999999999999999E-2</v>
      </c>
      <c r="E93" s="49">
        <v>3.5000000000000003E-2</v>
      </c>
      <c r="F93" s="47">
        <v>46010</v>
      </c>
      <c r="G93" s="51">
        <v>1400</v>
      </c>
      <c r="H93" s="28">
        <v>101.4</v>
      </c>
      <c r="I93" s="52">
        <v>101.62904</v>
      </c>
      <c r="J93" s="51">
        <v>1400</v>
      </c>
      <c r="O93" s="64"/>
      <c r="P93" s="64"/>
      <c r="Q93" s="64"/>
      <c r="R93" s="64"/>
      <c r="S93" s="64"/>
      <c r="T93" s="64"/>
      <c r="U93" s="64"/>
    </row>
    <row r="94" spans="1:21" ht="17.25" hidden="1">
      <c r="B94" s="16" t="s">
        <v>153</v>
      </c>
      <c r="C94" s="17" t="s">
        <v>134</v>
      </c>
      <c r="D94" s="18">
        <v>0.03</v>
      </c>
      <c r="E94" s="59">
        <v>0.03</v>
      </c>
      <c r="F94" s="17">
        <v>46003</v>
      </c>
      <c r="G94" s="20">
        <v>1500</v>
      </c>
      <c r="H94" s="21">
        <v>100</v>
      </c>
      <c r="I94" s="22"/>
      <c r="J94" s="20">
        <v>0</v>
      </c>
      <c r="K94" s="15" t="s">
        <v>145</v>
      </c>
      <c r="N94" s="15">
        <v>1500</v>
      </c>
      <c r="O94" s="64">
        <v>100</v>
      </c>
      <c r="P94" s="66">
        <v>46038</v>
      </c>
      <c r="Q94" s="64"/>
      <c r="R94" s="64"/>
      <c r="S94" s="64"/>
      <c r="T94" s="64"/>
      <c r="U94" s="64"/>
    </row>
    <row r="95" spans="1:21" ht="17.25" hidden="1">
      <c r="B95" s="16" t="s">
        <v>154</v>
      </c>
      <c r="C95" s="17" t="s">
        <v>133</v>
      </c>
      <c r="D95" s="18">
        <v>6.5000000000000002E-2</v>
      </c>
      <c r="E95" s="59">
        <v>5.5E-2</v>
      </c>
      <c r="F95" s="17">
        <v>46008</v>
      </c>
      <c r="G95" s="20">
        <v>1100</v>
      </c>
      <c r="H95" s="21">
        <v>102.845</v>
      </c>
      <c r="I95" s="22"/>
      <c r="J95" s="20">
        <v>0</v>
      </c>
      <c r="K95" s="15" t="s">
        <v>145</v>
      </c>
      <c r="O95" s="64">
        <f>ROUND(H95*(1+E95/365*(P95-F95)),3)</f>
        <v>103.41800000000001</v>
      </c>
      <c r="P95" s="66">
        <v>46045</v>
      </c>
      <c r="Q95" s="9" t="s">
        <v>836</v>
      </c>
      <c r="R95" s="64"/>
      <c r="S95" s="64"/>
      <c r="T95" s="64"/>
      <c r="U95" s="64"/>
    </row>
    <row r="96" spans="1:21" ht="17.25" hidden="1">
      <c r="B96" s="16" t="s">
        <v>155</v>
      </c>
      <c r="C96" s="17" t="s">
        <v>133</v>
      </c>
      <c r="D96" s="18">
        <v>6.5000000000000002E-2</v>
      </c>
      <c r="E96" s="59">
        <v>5.5E-2</v>
      </c>
      <c r="F96" s="17">
        <v>46008</v>
      </c>
      <c r="G96" s="20">
        <v>1260</v>
      </c>
      <c r="H96" s="21">
        <v>102.255</v>
      </c>
      <c r="I96" s="22"/>
      <c r="J96" s="20">
        <v>0</v>
      </c>
      <c r="K96" s="15" t="s">
        <v>145</v>
      </c>
      <c r="O96" s="64">
        <f>ROUND(H96*(1+E96/365*(P96-F96)),3)</f>
        <v>102.825</v>
      </c>
      <c r="P96" s="66">
        <v>46045</v>
      </c>
      <c r="Q96" s="9" t="s">
        <v>837</v>
      </c>
      <c r="R96" s="64"/>
      <c r="S96" s="64"/>
      <c r="T96" s="64"/>
      <c r="U96" s="64"/>
    </row>
    <row r="97" spans="2:21" ht="17.25" hidden="1">
      <c r="B97" s="16" t="s">
        <v>109</v>
      </c>
      <c r="C97" s="17" t="s">
        <v>36</v>
      </c>
      <c r="D97" s="18">
        <v>8.5000000000000006E-2</v>
      </c>
      <c r="E97" s="59" t="s">
        <v>117</v>
      </c>
      <c r="F97" s="17">
        <v>46021</v>
      </c>
      <c r="G97" s="20">
        <v>100</v>
      </c>
      <c r="H97" s="21">
        <v>100</v>
      </c>
      <c r="I97" s="22"/>
      <c r="J97" s="20">
        <v>0</v>
      </c>
      <c r="N97" s="15">
        <v>1000</v>
      </c>
      <c r="O97" s="15">
        <v>100.12</v>
      </c>
      <c r="P97" s="26">
        <v>46063</v>
      </c>
      <c r="Q97" s="25" t="s">
        <v>1088</v>
      </c>
      <c r="R97" s="64"/>
      <c r="S97" s="64"/>
      <c r="T97" s="64"/>
      <c r="U97" s="64"/>
    </row>
    <row r="98" spans="2:21" ht="17.25" hidden="1">
      <c r="B98" s="16" t="s">
        <v>74</v>
      </c>
      <c r="C98" s="17" t="s">
        <v>136</v>
      </c>
      <c r="D98" s="18">
        <v>3.5000000000000003E-2</v>
      </c>
      <c r="E98" s="59">
        <v>3.5000000000000003E-2</v>
      </c>
      <c r="F98" s="17">
        <v>46029</v>
      </c>
      <c r="G98" s="20">
        <v>550</v>
      </c>
      <c r="H98" s="21">
        <v>100</v>
      </c>
      <c r="I98" s="22"/>
      <c r="J98" s="20">
        <v>0</v>
      </c>
      <c r="K98" s="15" t="s">
        <v>951</v>
      </c>
      <c r="O98" s="64">
        <v>100</v>
      </c>
      <c r="P98" s="66">
        <v>46087</v>
      </c>
      <c r="Q98" s="64"/>
      <c r="R98" s="64"/>
      <c r="S98" s="64"/>
      <c r="T98" s="64"/>
      <c r="U98" s="64"/>
    </row>
    <row r="99" spans="2:21" ht="17.25" hidden="1">
      <c r="B99" s="16" t="s">
        <v>1253</v>
      </c>
      <c r="C99" s="17" t="s">
        <v>1254</v>
      </c>
      <c r="D99" s="18">
        <v>0.06</v>
      </c>
      <c r="E99" s="59">
        <v>0.06</v>
      </c>
      <c r="F99" s="17">
        <v>46064</v>
      </c>
      <c r="G99" s="20">
        <v>5000</v>
      </c>
      <c r="H99" s="21">
        <v>100</v>
      </c>
      <c r="I99" s="22"/>
      <c r="J99" s="20">
        <v>0</v>
      </c>
      <c r="O99" s="288">
        <f>100*(1+6%/365*(P99-F99+1))</f>
        <v>100.7068493150685</v>
      </c>
      <c r="P99" s="66">
        <v>46106</v>
      </c>
      <c r="Q99" s="64" t="s">
        <v>1611</v>
      </c>
      <c r="R99" s="64"/>
      <c r="S99" s="64"/>
      <c r="T99" s="64"/>
      <c r="U99" s="64"/>
    </row>
    <row r="100" spans="2:21" ht="17.25" hidden="1">
      <c r="B100" s="322" t="s">
        <v>1304</v>
      </c>
      <c r="C100" s="17" t="s">
        <v>1305</v>
      </c>
      <c r="D100" s="18">
        <v>3.7999999999999999E-2</v>
      </c>
      <c r="E100" s="59">
        <v>3.7999999999999999E-2</v>
      </c>
      <c r="F100" s="304">
        <v>46079</v>
      </c>
      <c r="G100" s="20">
        <v>800</v>
      </c>
      <c r="H100" s="21">
        <v>101.5</v>
      </c>
      <c r="I100" s="22"/>
      <c r="J100" s="20">
        <v>0</v>
      </c>
      <c r="N100" s="15">
        <v>800</v>
      </c>
      <c r="O100" s="64">
        <v>101.5</v>
      </c>
      <c r="P100" s="66">
        <v>46094</v>
      </c>
      <c r="Q100" s="64"/>
      <c r="R100" s="64"/>
      <c r="S100" s="64"/>
      <c r="T100" s="64"/>
      <c r="U100" s="64"/>
    </row>
    <row r="101" spans="2:21" ht="17.25" hidden="1">
      <c r="B101" s="16" t="s">
        <v>1302</v>
      </c>
      <c r="C101" s="17" t="s">
        <v>1254</v>
      </c>
      <c r="D101" s="18">
        <v>3.15E-2</v>
      </c>
      <c r="E101" s="59">
        <v>3.15E-2</v>
      </c>
      <c r="F101" s="17">
        <v>46090</v>
      </c>
      <c r="G101" s="20">
        <v>1000</v>
      </c>
      <c r="H101" s="21">
        <v>100</v>
      </c>
      <c r="I101" s="22"/>
      <c r="J101" s="20">
        <v>1000</v>
      </c>
      <c r="N101" s="15">
        <v>1000</v>
      </c>
      <c r="O101" s="64">
        <v>100</v>
      </c>
      <c r="P101" s="66">
        <v>46108</v>
      </c>
      <c r="Q101" s="64" t="s">
        <v>1610</v>
      </c>
      <c r="R101" s="64"/>
      <c r="S101" s="64"/>
      <c r="T101" s="64"/>
      <c r="U101" s="64"/>
    </row>
    <row r="102" spans="2:21" ht="17.25">
      <c r="B102" s="323"/>
      <c r="C102" s="17"/>
      <c r="D102" s="18"/>
      <c r="E102" s="59"/>
      <c r="F102" s="17"/>
      <c r="G102" s="20"/>
      <c r="H102" s="21"/>
      <c r="I102" s="22"/>
      <c r="J102" s="20"/>
      <c r="O102" s="64"/>
      <c r="P102" s="66"/>
      <c r="Q102" s="64"/>
      <c r="R102" s="64"/>
      <c r="S102" s="64"/>
      <c r="T102" s="64"/>
      <c r="U102" s="64"/>
    </row>
    <row r="103" spans="2:21" ht="17.25" hidden="1">
      <c r="B103" s="323" t="s">
        <v>1808</v>
      </c>
      <c r="C103" s="17" t="s">
        <v>136</v>
      </c>
      <c r="D103" s="18">
        <v>4.9000000000000002E-2</v>
      </c>
      <c r="E103" s="59">
        <v>0.04</v>
      </c>
      <c r="F103" s="17">
        <v>46097</v>
      </c>
      <c r="G103" s="20">
        <v>800</v>
      </c>
      <c r="H103" s="21">
        <v>100</v>
      </c>
      <c r="I103" s="22"/>
      <c r="J103" s="20">
        <v>0</v>
      </c>
      <c r="K103" s="15" t="s">
        <v>1960</v>
      </c>
      <c r="N103" s="15">
        <v>800</v>
      </c>
      <c r="O103" s="64">
        <v>100.4635</v>
      </c>
      <c r="P103" s="66">
        <v>46140</v>
      </c>
      <c r="Q103" s="64"/>
      <c r="R103" s="64"/>
      <c r="S103" s="64"/>
      <c r="T103" s="64"/>
      <c r="U103" s="64"/>
    </row>
    <row r="104" spans="2:21" ht="17.25">
      <c r="B104" s="16" t="s">
        <v>1679</v>
      </c>
      <c r="C104" s="17" t="s">
        <v>1445</v>
      </c>
      <c r="D104" s="18">
        <v>7.0000000000000007E-2</v>
      </c>
      <c r="E104" s="59">
        <v>7.0000000000000007E-2</v>
      </c>
      <c r="F104" s="17">
        <v>46098</v>
      </c>
      <c r="G104" s="20">
        <v>2000</v>
      </c>
      <c r="H104" s="21">
        <v>100</v>
      </c>
      <c r="I104" s="22"/>
      <c r="J104" s="20">
        <v>0</v>
      </c>
      <c r="O104" s="64"/>
      <c r="P104" s="66"/>
      <c r="Q104" s="64"/>
      <c r="R104" s="64"/>
      <c r="S104" s="64"/>
      <c r="T104" s="64"/>
      <c r="U104" s="64"/>
    </row>
    <row r="105" spans="2:21" ht="17.25">
      <c r="B105" s="16" t="s">
        <v>1294</v>
      </c>
      <c r="C105" s="17" t="s">
        <v>1492</v>
      </c>
      <c r="D105" s="18">
        <v>0.05</v>
      </c>
      <c r="E105" s="59">
        <v>0.05</v>
      </c>
      <c r="F105" s="17">
        <v>46098</v>
      </c>
      <c r="G105" s="20">
        <v>2500</v>
      </c>
      <c r="H105" s="21">
        <v>100.3</v>
      </c>
      <c r="I105" s="22"/>
      <c r="J105" s="20">
        <v>2500</v>
      </c>
      <c r="O105" s="64"/>
      <c r="P105" s="66"/>
      <c r="Q105" s="64"/>
      <c r="R105" s="64"/>
      <c r="S105" s="64"/>
      <c r="T105" s="64"/>
      <c r="U105" s="64"/>
    </row>
    <row r="106" spans="2:21" ht="17.25">
      <c r="B106" s="16" t="s">
        <v>1294</v>
      </c>
      <c r="C106" s="17" t="s">
        <v>1493</v>
      </c>
      <c r="D106" s="18">
        <v>0.05</v>
      </c>
      <c r="E106" s="59">
        <v>0.05</v>
      </c>
      <c r="F106" s="17">
        <v>46098</v>
      </c>
      <c r="G106" s="20">
        <v>1500</v>
      </c>
      <c r="H106" s="21">
        <v>100.3</v>
      </c>
      <c r="I106" s="22"/>
      <c r="J106" s="20">
        <v>1500</v>
      </c>
      <c r="O106" s="64"/>
      <c r="P106" s="66"/>
      <c r="Q106" s="64"/>
      <c r="R106" s="64"/>
      <c r="S106" s="64"/>
      <c r="T106" s="64"/>
      <c r="U106" s="64"/>
    </row>
    <row r="107" spans="2:21" ht="17.25">
      <c r="B107" s="16" t="s">
        <v>1536</v>
      </c>
      <c r="C107" s="17" t="s">
        <v>1537</v>
      </c>
      <c r="D107" s="18">
        <v>6.5000000000000002E-2</v>
      </c>
      <c r="E107" s="59">
        <v>4.4999999999999998E-2</v>
      </c>
      <c r="F107" s="17">
        <v>46100</v>
      </c>
      <c r="G107" s="20">
        <v>2675</v>
      </c>
      <c r="H107" s="21">
        <v>103.101</v>
      </c>
      <c r="I107" s="22"/>
      <c r="J107" s="20">
        <v>2675</v>
      </c>
      <c r="O107" s="64"/>
      <c r="P107" s="66"/>
      <c r="Q107" s="64"/>
      <c r="R107" s="64"/>
      <c r="S107" s="64"/>
      <c r="T107" s="64"/>
      <c r="U107" s="64"/>
    </row>
    <row r="108" spans="2:21" ht="17.25">
      <c r="B108" s="16" t="s">
        <v>1538</v>
      </c>
      <c r="C108" s="17" t="s">
        <v>1537</v>
      </c>
      <c r="D108" s="18">
        <v>6.5000000000000002E-2</v>
      </c>
      <c r="E108" s="59">
        <v>4.4999999999999998E-2</v>
      </c>
      <c r="F108" s="17">
        <v>46100</v>
      </c>
      <c r="G108" s="20">
        <v>620</v>
      </c>
      <c r="H108" s="21">
        <v>102.483</v>
      </c>
      <c r="I108" s="22"/>
      <c r="J108" s="20">
        <v>620</v>
      </c>
      <c r="O108" s="64"/>
      <c r="P108" s="458"/>
      <c r="Q108" s="64"/>
      <c r="R108" s="64"/>
      <c r="S108" s="64"/>
      <c r="T108" s="64"/>
      <c r="U108" s="64"/>
    </row>
    <row r="109" spans="2:21" ht="17.25">
      <c r="B109" s="16" t="s">
        <v>1217</v>
      </c>
      <c r="C109" s="17" t="s">
        <v>429</v>
      </c>
      <c r="D109" s="18">
        <v>6.5000000000000002E-2</v>
      </c>
      <c r="E109" s="59" t="s">
        <v>2252</v>
      </c>
      <c r="F109" s="17">
        <v>46111</v>
      </c>
      <c r="G109" s="20">
        <v>2500</v>
      </c>
      <c r="H109" s="21">
        <v>100</v>
      </c>
      <c r="I109" s="22"/>
      <c r="J109" s="20">
        <v>0</v>
      </c>
      <c r="N109" s="15">
        <v>550</v>
      </c>
      <c r="O109" s="64">
        <v>100.363</v>
      </c>
      <c r="P109" s="26">
        <v>46141</v>
      </c>
      <c r="Q109" s="64" t="s">
        <v>2493</v>
      </c>
      <c r="R109" s="64"/>
      <c r="S109" s="64"/>
      <c r="T109" s="64"/>
      <c r="U109" s="64"/>
    </row>
    <row r="110" spans="2:21" ht="17.25">
      <c r="B110" s="424"/>
      <c r="C110" s="425"/>
      <c r="D110" s="426"/>
      <c r="E110" s="427"/>
      <c r="F110" s="425"/>
      <c r="G110" s="428"/>
      <c r="H110" s="429"/>
      <c r="I110" s="430"/>
      <c r="J110" s="428"/>
      <c r="N110" s="15">
        <v>1950</v>
      </c>
      <c r="O110" s="64"/>
      <c r="P110" s="26">
        <v>46157</v>
      </c>
      <c r="Q110" s="64" t="s">
        <v>2494</v>
      </c>
      <c r="R110" s="64"/>
      <c r="S110" s="64"/>
      <c r="T110" s="64"/>
      <c r="U110" s="64"/>
    </row>
    <row r="111" spans="2:21" ht="17.25">
      <c r="B111" s="16" t="s">
        <v>1899</v>
      </c>
      <c r="C111" s="17" t="s">
        <v>429</v>
      </c>
      <c r="D111" s="18">
        <v>8.5000000000000006E-2</v>
      </c>
      <c r="E111" s="59">
        <v>5.5E-2</v>
      </c>
      <c r="F111" s="17">
        <v>46122</v>
      </c>
      <c r="G111" s="20">
        <v>500</v>
      </c>
      <c r="H111" s="21">
        <v>99.3</v>
      </c>
      <c r="I111" s="22"/>
      <c r="J111" s="20">
        <v>500</v>
      </c>
      <c r="O111" s="64"/>
      <c r="P111" s="66"/>
      <c r="Q111" s="64"/>
      <c r="R111" s="64"/>
      <c r="S111" s="64"/>
      <c r="T111" s="64"/>
      <c r="U111" s="64"/>
    </row>
    <row r="112" spans="2:21" ht="17.25" hidden="1">
      <c r="B112" s="16" t="s">
        <v>1907</v>
      </c>
      <c r="C112" s="17" t="s">
        <v>1254</v>
      </c>
      <c r="D112" s="18">
        <v>3.1E-2</v>
      </c>
      <c r="E112" s="59">
        <v>3.1E-2</v>
      </c>
      <c r="F112" s="17">
        <v>46129</v>
      </c>
      <c r="G112" s="20">
        <v>1500</v>
      </c>
      <c r="H112" s="21">
        <v>100</v>
      </c>
      <c r="I112" s="22"/>
      <c r="J112" s="20">
        <v>0</v>
      </c>
      <c r="N112" s="15">
        <v>1500</v>
      </c>
      <c r="O112" s="64">
        <v>100</v>
      </c>
      <c r="P112" s="66">
        <v>46154</v>
      </c>
      <c r="Q112" s="64" t="s">
        <v>2424</v>
      </c>
      <c r="R112" s="64"/>
      <c r="S112" s="64"/>
      <c r="T112" s="64"/>
      <c r="U112" s="64"/>
    </row>
    <row r="113" spans="2:24" ht="17.25">
      <c r="B113" s="550" t="s">
        <v>2538</v>
      </c>
      <c r="C113" s="17" t="s">
        <v>429</v>
      </c>
      <c r="D113" s="18">
        <v>8.5000000000000006E-2</v>
      </c>
      <c r="E113" s="553">
        <v>5.5E-2</v>
      </c>
      <c r="F113" s="551">
        <v>46160</v>
      </c>
      <c r="G113" s="554">
        <v>2010</v>
      </c>
      <c r="H113" s="555">
        <v>101.2342</v>
      </c>
      <c r="I113" s="556"/>
      <c r="J113" s="554">
        <v>2010</v>
      </c>
      <c r="O113" s="64"/>
      <c r="P113" s="66"/>
      <c r="Q113" s="64"/>
      <c r="R113" s="64"/>
      <c r="S113" s="64"/>
      <c r="T113" s="64"/>
      <c r="U113" s="64"/>
    </row>
    <row r="114" spans="2:24" ht="17.25">
      <c r="B114" s="550"/>
      <c r="C114" s="551"/>
      <c r="D114" s="552"/>
      <c r="E114" s="553"/>
      <c r="F114" s="551"/>
      <c r="G114" s="554"/>
      <c r="H114" s="555"/>
      <c r="I114" s="556"/>
      <c r="J114" s="554"/>
      <c r="O114" s="64"/>
      <c r="P114" s="66"/>
      <c r="Q114" s="64"/>
      <c r="R114" s="64"/>
      <c r="S114" s="64"/>
      <c r="T114" s="64"/>
      <c r="U114" s="64"/>
    </row>
    <row r="115" spans="2:24" ht="17.25">
      <c r="B115" s="424" t="s">
        <v>1955</v>
      </c>
      <c r="C115" s="17" t="s">
        <v>1254</v>
      </c>
      <c r="D115" s="426">
        <v>7.2999999999999995E-2</v>
      </c>
      <c r="E115" s="427">
        <v>7.2999999999999995E-2</v>
      </c>
      <c r="F115" s="425">
        <v>46127</v>
      </c>
      <c r="G115" s="428">
        <v>1700</v>
      </c>
      <c r="H115" s="429">
        <v>100</v>
      </c>
      <c r="I115" s="430"/>
      <c r="J115" s="428">
        <v>1700</v>
      </c>
      <c r="O115" s="64"/>
      <c r="P115" s="66"/>
      <c r="Q115" s="64"/>
      <c r="R115" s="64"/>
      <c r="S115" s="64"/>
      <c r="T115" s="64"/>
      <c r="U115" s="64"/>
    </row>
    <row r="116" spans="2:24" ht="17.25">
      <c r="B116" s="424" t="s">
        <v>1989</v>
      </c>
      <c r="C116" s="459" t="s">
        <v>1254</v>
      </c>
      <c r="D116" s="426">
        <v>3.15E-2</v>
      </c>
      <c r="E116" s="427">
        <v>3.15E-2</v>
      </c>
      <c r="F116" s="425">
        <v>46135</v>
      </c>
      <c r="G116" s="428">
        <v>2000</v>
      </c>
      <c r="H116" s="429">
        <v>100</v>
      </c>
      <c r="I116" s="430"/>
      <c r="J116" s="428">
        <v>0</v>
      </c>
      <c r="N116" s="15">
        <v>2000</v>
      </c>
      <c r="O116" s="64">
        <v>100</v>
      </c>
      <c r="P116" s="66">
        <v>46161</v>
      </c>
      <c r="Q116" s="64"/>
      <c r="R116" s="64"/>
      <c r="S116" s="64"/>
      <c r="T116" s="64"/>
      <c r="U116" s="64"/>
    </row>
    <row r="117" spans="2:24" ht="17.25">
      <c r="B117" s="16" t="s">
        <v>2166</v>
      </c>
      <c r="C117" s="459" t="s">
        <v>1254</v>
      </c>
      <c r="D117" s="18">
        <v>3.3000000000000002E-2</v>
      </c>
      <c r="E117" s="59">
        <v>3.3000000000000002E-2</v>
      </c>
      <c r="F117" s="17">
        <v>46140</v>
      </c>
      <c r="G117" s="20">
        <v>900</v>
      </c>
      <c r="H117" s="21">
        <v>100</v>
      </c>
      <c r="I117" s="22"/>
      <c r="J117" s="20">
        <v>0</v>
      </c>
      <c r="N117" s="15">
        <v>900</v>
      </c>
      <c r="O117" s="64">
        <v>100</v>
      </c>
      <c r="P117" s="66">
        <v>46161</v>
      </c>
      <c r="Q117" s="64"/>
      <c r="R117" s="64"/>
      <c r="S117" s="64"/>
      <c r="T117" s="64"/>
      <c r="U117" s="64"/>
    </row>
    <row r="118" spans="2:24" ht="17.25">
      <c r="B118" s="16" t="s">
        <v>2253</v>
      </c>
      <c r="C118" s="459" t="s">
        <v>1254</v>
      </c>
      <c r="D118" s="18">
        <v>5.6000000000000001E-2</v>
      </c>
      <c r="E118" s="59">
        <v>5.6000000000000001E-2</v>
      </c>
      <c r="F118" s="17">
        <v>46142</v>
      </c>
      <c r="G118" s="20">
        <v>2500</v>
      </c>
      <c r="H118" s="21">
        <v>100</v>
      </c>
      <c r="I118" s="22"/>
      <c r="J118" s="20">
        <v>2500</v>
      </c>
      <c r="O118" s="64"/>
      <c r="P118" s="66"/>
      <c r="Q118" s="64"/>
      <c r="R118" s="64"/>
      <c r="S118" s="64"/>
      <c r="T118" s="64"/>
      <c r="U118" s="64"/>
    </row>
    <row r="119" spans="2:24" ht="17.25">
      <c r="B119" s="424" t="s">
        <v>2522</v>
      </c>
      <c r="C119" s="549" t="s">
        <v>1254</v>
      </c>
      <c r="D119" s="426">
        <v>0.03</v>
      </c>
      <c r="E119" s="427">
        <v>0.03</v>
      </c>
      <c r="F119" s="425">
        <v>46131</v>
      </c>
      <c r="G119" s="428">
        <v>1000</v>
      </c>
      <c r="H119" s="429">
        <v>100</v>
      </c>
      <c r="I119" s="430"/>
      <c r="J119" s="428">
        <v>1000</v>
      </c>
      <c r="O119" s="64"/>
      <c r="P119" s="66"/>
      <c r="Q119" s="64"/>
      <c r="R119" s="64"/>
      <c r="S119" s="64"/>
      <c r="T119" s="64"/>
      <c r="U119" s="64"/>
    </row>
    <row r="120" spans="2:24" ht="17.25">
      <c r="B120" s="424"/>
      <c r="C120" s="432"/>
      <c r="D120" s="426"/>
      <c r="E120" s="427"/>
      <c r="F120" s="425"/>
      <c r="G120" s="428"/>
      <c r="H120" s="429"/>
      <c r="I120" s="430"/>
      <c r="J120" s="428"/>
      <c r="O120" s="64"/>
      <c r="P120" s="66"/>
      <c r="Q120" s="64"/>
      <c r="R120" s="64"/>
      <c r="S120" s="64"/>
      <c r="T120" s="64"/>
      <c r="U120" s="64"/>
    </row>
    <row r="121" spans="2:24" ht="17.25">
      <c r="B121" s="16"/>
      <c r="C121" s="17"/>
      <c r="D121" s="18"/>
      <c r="E121" s="59"/>
      <c r="F121" s="17"/>
      <c r="G121" s="20"/>
      <c r="H121" s="21"/>
      <c r="I121" s="22"/>
      <c r="J121" s="20"/>
      <c r="N121" s="205">
        <f>XIRR(N195:N197,M195:M197)</f>
        <v>4.6082320809364322E-2</v>
      </c>
      <c r="O121" s="64"/>
      <c r="P121" s="64"/>
      <c r="Q121" s="64"/>
      <c r="R121" s="64"/>
      <c r="S121" s="64"/>
      <c r="T121" s="64"/>
      <c r="U121" s="64"/>
    </row>
    <row r="122" spans="2:24" ht="17.25" hidden="1">
      <c r="B122" s="24" t="s">
        <v>156</v>
      </c>
      <c r="D122" s="24"/>
      <c r="E122" s="24" t="s">
        <v>157</v>
      </c>
      <c r="F122" s="68" t="s">
        <v>16</v>
      </c>
      <c r="G122" s="68" t="s">
        <v>158</v>
      </c>
      <c r="H122" s="68" t="s">
        <v>159</v>
      </c>
      <c r="I122" s="68" t="s">
        <v>160</v>
      </c>
      <c r="J122" s="68" t="s">
        <v>161</v>
      </c>
      <c r="K122" s="68" t="s">
        <v>162</v>
      </c>
      <c r="L122" s="68" t="s">
        <v>163</v>
      </c>
      <c r="M122" s="68" t="s">
        <v>164</v>
      </c>
      <c r="N122" s="68" t="s">
        <v>165</v>
      </c>
      <c r="O122" s="68" t="s">
        <v>166</v>
      </c>
      <c r="P122" s="68" t="s">
        <v>167</v>
      </c>
      <c r="Q122" s="68" t="s">
        <v>168</v>
      </c>
      <c r="R122" s="68" t="s">
        <v>169</v>
      </c>
      <c r="S122" s="68" t="s">
        <v>170</v>
      </c>
      <c r="T122" s="68" t="s">
        <v>171</v>
      </c>
      <c r="U122" s="69" t="s">
        <v>172</v>
      </c>
      <c r="V122" s="68" t="s">
        <v>173</v>
      </c>
    </row>
    <row r="123" spans="2:24" ht="17.25" hidden="1">
      <c r="B123" s="24" t="s">
        <v>174</v>
      </c>
      <c r="C123" s="15" t="s">
        <v>175</v>
      </c>
      <c r="D123" s="70"/>
      <c r="E123" s="24"/>
      <c r="F123" s="68" t="s">
        <v>176</v>
      </c>
      <c r="G123" s="68" t="s">
        <v>177</v>
      </c>
      <c r="H123" s="71">
        <v>800</v>
      </c>
      <c r="I123" s="68">
        <v>100</v>
      </c>
      <c r="J123" s="68" t="s">
        <v>178</v>
      </c>
      <c r="K123" s="72">
        <v>3.5999999999999997E-2</v>
      </c>
      <c r="L123" s="72">
        <v>3.5999999999999997E-2</v>
      </c>
      <c r="M123" s="68" t="s">
        <v>179</v>
      </c>
      <c r="N123" s="68" t="s">
        <v>180</v>
      </c>
      <c r="O123" s="73">
        <v>46752</v>
      </c>
      <c r="P123" s="74">
        <v>45862</v>
      </c>
      <c r="Q123" s="75">
        <v>100.005</v>
      </c>
      <c r="R123" s="75">
        <v>0.97643800000000003</v>
      </c>
      <c r="S123" s="76">
        <f>Q123+R123</f>
        <v>100.981438</v>
      </c>
      <c r="T123" s="77">
        <f>S123*H123/100</f>
        <v>807.85150399999998</v>
      </c>
      <c r="U123" s="69" t="s">
        <v>178</v>
      </c>
      <c r="V123" s="75">
        <f>Q123-I123</f>
        <v>4.9999999999954525E-3</v>
      </c>
      <c r="W123" s="44">
        <f>V123*H123*100</f>
        <v>399.9999999996362</v>
      </c>
      <c r="X123" s="44"/>
    </row>
    <row r="124" spans="2:24" ht="17.25" hidden="1">
      <c r="B124" s="24" t="s">
        <v>181</v>
      </c>
      <c r="C124" s="15" t="s">
        <v>175</v>
      </c>
      <c r="D124" s="70"/>
      <c r="E124" s="24"/>
      <c r="F124" s="68" t="s">
        <v>182</v>
      </c>
      <c r="G124" s="68" t="s">
        <v>177</v>
      </c>
      <c r="H124" s="71">
        <v>800</v>
      </c>
      <c r="I124" s="68">
        <v>100</v>
      </c>
      <c r="J124" s="68" t="s">
        <v>178</v>
      </c>
      <c r="K124" s="72">
        <v>3.3000000000000002E-2</v>
      </c>
      <c r="L124" s="72">
        <v>3.3000000000000002E-2</v>
      </c>
      <c r="M124" s="68" t="s">
        <v>183</v>
      </c>
      <c r="N124" s="68" t="s">
        <v>184</v>
      </c>
      <c r="O124" s="73">
        <v>46256</v>
      </c>
      <c r="P124" s="74">
        <v>45862</v>
      </c>
      <c r="Q124" s="75">
        <v>100.005</v>
      </c>
      <c r="R124" s="75">
        <v>2.7123000000000001E-2</v>
      </c>
      <c r="S124" s="76">
        <f>Q124+R124</f>
        <v>100.032123</v>
      </c>
      <c r="T124" s="77">
        <f>S124*H124/100</f>
        <v>800.25698399999999</v>
      </c>
      <c r="U124" s="69" t="s">
        <v>178</v>
      </c>
      <c r="V124" s="75">
        <f>Q124-I124</f>
        <v>4.9999999999954525E-3</v>
      </c>
      <c r="W124" s="44">
        <f>V124*H124*100</f>
        <v>399.9999999996362</v>
      </c>
      <c r="X124" s="44"/>
    </row>
    <row r="125" spans="2:24" ht="17.25" hidden="1">
      <c r="B125" s="24"/>
      <c r="C125" s="24" t="s">
        <v>175</v>
      </c>
      <c r="D125" s="70"/>
      <c r="E125" s="24"/>
      <c r="F125" s="68" t="s">
        <v>185</v>
      </c>
      <c r="G125" s="68" t="s">
        <v>186</v>
      </c>
      <c r="H125" s="71">
        <v>820</v>
      </c>
      <c r="I125" s="68">
        <v>100</v>
      </c>
      <c r="J125" s="68" t="s">
        <v>178</v>
      </c>
      <c r="K125" s="72">
        <v>4.2999999999999997E-2</v>
      </c>
      <c r="L125" s="72">
        <v>4.2999999999999997E-2</v>
      </c>
      <c r="M125" s="68" t="s">
        <v>187</v>
      </c>
      <c r="N125" s="68" t="s">
        <v>184</v>
      </c>
      <c r="O125" s="73">
        <v>46461</v>
      </c>
      <c r="P125" s="74">
        <v>45862</v>
      </c>
      <c r="Q125" s="75">
        <v>100.005</v>
      </c>
      <c r="R125" s="75">
        <v>0.117808</v>
      </c>
      <c r="S125" s="76">
        <f>Q125+R125</f>
        <v>100.12280799999999</v>
      </c>
      <c r="T125" s="77">
        <f>S125*H125/100</f>
        <v>821.00702559999991</v>
      </c>
      <c r="U125" s="69" t="s">
        <v>178</v>
      </c>
      <c r="V125" s="75">
        <f>Q125-I125</f>
        <v>4.9999999999954525E-3</v>
      </c>
      <c r="W125" s="44">
        <f>V125*H125*100</f>
        <v>409.99999999962711</v>
      </c>
      <c r="X125" s="44"/>
    </row>
    <row r="126" spans="2:24" ht="17.25" hidden="1">
      <c r="B126" s="24"/>
      <c r="C126" s="24"/>
      <c r="D126" s="70"/>
      <c r="E126" s="24"/>
      <c r="F126" s="78" t="s">
        <v>188</v>
      </c>
      <c r="G126" s="68"/>
      <c r="H126" s="71"/>
      <c r="I126" s="68"/>
      <c r="J126" s="68"/>
      <c r="K126" s="72"/>
      <c r="L126" s="72"/>
      <c r="M126" s="68"/>
      <c r="N126" s="68"/>
      <c r="O126" s="73"/>
      <c r="P126" s="74"/>
      <c r="Q126" s="75"/>
      <c r="R126" s="75"/>
      <c r="S126" s="69"/>
      <c r="T126" s="69"/>
      <c r="U126" s="69"/>
      <c r="V126" s="75"/>
    </row>
    <row r="127" spans="2:24" ht="17.25" hidden="1">
      <c r="B127" s="24"/>
      <c r="C127" s="24"/>
      <c r="D127" s="70"/>
      <c r="E127" s="24"/>
      <c r="F127" s="78" t="s">
        <v>189</v>
      </c>
      <c r="G127" s="68"/>
      <c r="H127" s="71"/>
      <c r="I127" s="68"/>
      <c r="J127" s="68"/>
      <c r="K127" s="72"/>
      <c r="L127" s="72"/>
      <c r="M127" s="68"/>
      <c r="N127" s="68"/>
      <c r="O127" s="73"/>
      <c r="P127" s="74"/>
      <c r="Q127" s="75"/>
      <c r="R127" s="75"/>
      <c r="S127" s="69"/>
      <c r="T127" s="69"/>
      <c r="U127" s="69"/>
      <c r="V127" s="75"/>
    </row>
    <row r="128" spans="2:24" ht="17.25" hidden="1">
      <c r="B128" s="24"/>
      <c r="C128" s="24"/>
      <c r="D128" s="70"/>
      <c r="E128" s="24"/>
      <c r="F128" s="78" t="s">
        <v>190</v>
      </c>
      <c r="G128" s="68"/>
      <c r="H128" s="71"/>
      <c r="I128" s="68"/>
      <c r="J128" s="68"/>
      <c r="K128" s="72"/>
      <c r="L128" s="72"/>
      <c r="M128" s="68"/>
      <c r="N128" s="68"/>
      <c r="O128" s="73"/>
      <c r="P128" s="74"/>
      <c r="Q128" s="75"/>
      <c r="R128" s="75"/>
      <c r="S128" s="69"/>
      <c r="T128" s="69"/>
      <c r="U128" s="69"/>
      <c r="V128" s="75"/>
    </row>
    <row r="129" spans="2:23" ht="17.25" hidden="1">
      <c r="B129" s="24"/>
      <c r="C129" s="24"/>
      <c r="D129" s="70"/>
      <c r="E129" s="24"/>
      <c r="F129" s="78" t="s">
        <v>191</v>
      </c>
      <c r="G129" s="68"/>
      <c r="H129" s="71"/>
      <c r="I129" s="68"/>
      <c r="J129" s="68"/>
      <c r="K129" s="72"/>
      <c r="L129" s="72"/>
      <c r="M129" s="68"/>
      <c r="N129" s="68"/>
      <c r="O129" s="73"/>
      <c r="P129" s="74"/>
      <c r="Q129" s="75"/>
      <c r="R129" s="75"/>
      <c r="S129" s="69"/>
      <c r="T129" s="69"/>
      <c r="U129" s="69"/>
      <c r="V129" s="75"/>
    </row>
    <row r="130" spans="2:23" ht="17.25" hidden="1">
      <c r="B130" s="24"/>
      <c r="C130" s="24"/>
      <c r="D130" s="70"/>
      <c r="E130" s="24"/>
      <c r="F130" s="78" t="s">
        <v>192</v>
      </c>
      <c r="G130" s="68"/>
      <c r="H130" s="71"/>
      <c r="I130" s="68"/>
      <c r="J130" s="68"/>
      <c r="K130" s="72"/>
      <c r="L130" s="72"/>
      <c r="M130" s="68"/>
      <c r="N130" s="68"/>
      <c r="O130" s="73"/>
      <c r="P130" s="74"/>
      <c r="Q130" s="75"/>
      <c r="R130" s="75"/>
      <c r="S130" s="69"/>
      <c r="T130" s="69"/>
      <c r="U130" s="69"/>
      <c r="V130" s="75"/>
    </row>
    <row r="131" spans="2:23" ht="17.25" hidden="1">
      <c r="B131" s="24"/>
      <c r="C131" s="24"/>
      <c r="D131" s="70"/>
      <c r="E131" s="24"/>
      <c r="F131" s="78" t="s">
        <v>193</v>
      </c>
      <c r="G131" s="68"/>
      <c r="H131" s="71"/>
      <c r="I131" s="68"/>
      <c r="J131" s="68"/>
      <c r="K131" s="72"/>
      <c r="L131" s="72"/>
      <c r="M131" s="68"/>
      <c r="N131" s="68"/>
      <c r="O131" s="73"/>
      <c r="P131" s="74"/>
      <c r="Q131" s="75"/>
      <c r="R131" s="75"/>
      <c r="S131" s="69"/>
      <c r="T131" s="69"/>
      <c r="U131" s="69"/>
      <c r="V131" s="75"/>
    </row>
    <row r="132" spans="2:23" ht="17.25" hidden="1">
      <c r="B132" s="24"/>
      <c r="C132" s="24"/>
      <c r="D132" s="70"/>
      <c r="E132" s="24"/>
      <c r="F132" s="78"/>
      <c r="G132" s="68"/>
      <c r="H132" s="71"/>
      <c r="I132" s="68"/>
      <c r="J132" s="68"/>
      <c r="K132" s="72"/>
      <c r="L132" s="72"/>
      <c r="M132" s="68"/>
      <c r="N132" s="68"/>
      <c r="O132" s="73"/>
      <c r="P132" s="74"/>
      <c r="Q132" s="75"/>
      <c r="R132" s="75"/>
      <c r="S132" s="69"/>
      <c r="T132" s="69"/>
      <c r="U132" s="69"/>
      <c r="V132" s="75"/>
    </row>
    <row r="133" spans="2:23" ht="17.25" hidden="1">
      <c r="B133" s="24"/>
      <c r="C133" s="24"/>
      <c r="D133" s="70"/>
      <c r="E133" s="24"/>
      <c r="F133" s="78"/>
      <c r="G133" s="68"/>
      <c r="H133" s="71"/>
      <c r="I133" s="68"/>
      <c r="J133" s="68"/>
      <c r="K133" s="72"/>
      <c r="L133" s="72"/>
      <c r="M133" s="68"/>
      <c r="N133" s="68"/>
      <c r="O133" s="73"/>
      <c r="P133" s="74"/>
      <c r="Q133" s="75"/>
      <c r="R133" s="75"/>
      <c r="S133" s="69"/>
      <c r="T133" s="69"/>
      <c r="U133" s="69"/>
      <c r="V133" s="75"/>
    </row>
    <row r="134" spans="2:23" ht="17.25" hidden="1">
      <c r="B134" s="24"/>
      <c r="C134" s="24" t="s">
        <v>194</v>
      </c>
      <c r="D134" s="24"/>
      <c r="E134" s="24"/>
      <c r="F134" s="68" t="s">
        <v>185</v>
      </c>
      <c r="G134" s="68" t="s">
        <v>186</v>
      </c>
      <c r="H134" s="71">
        <v>1680</v>
      </c>
      <c r="I134" s="68">
        <v>100</v>
      </c>
      <c r="J134" s="68" t="s">
        <v>195</v>
      </c>
      <c r="K134" s="72">
        <v>4.2999999999999997E-2</v>
      </c>
      <c r="L134" s="72">
        <v>4.2999999999999997E-2</v>
      </c>
      <c r="M134" s="68" t="s">
        <v>187</v>
      </c>
      <c r="N134" s="68" t="s">
        <v>184</v>
      </c>
      <c r="O134" s="73">
        <v>46461</v>
      </c>
      <c r="P134" s="74">
        <v>45862</v>
      </c>
      <c r="Q134" s="75">
        <v>100</v>
      </c>
      <c r="R134" s="75">
        <v>0.117808</v>
      </c>
      <c r="S134" s="76">
        <f>Q134+R134</f>
        <v>100.117808</v>
      </c>
      <c r="T134" s="77">
        <f>S134*H134/100</f>
        <v>1681.9791743999999</v>
      </c>
      <c r="U134" s="69"/>
      <c r="V134" s="75"/>
    </row>
    <row r="135" spans="2:23" ht="17.25" hidden="1">
      <c r="B135" s="24"/>
      <c r="C135" s="68" t="s">
        <v>196</v>
      </c>
      <c r="D135" s="24"/>
      <c r="E135" s="24"/>
      <c r="F135" s="68" t="s">
        <v>197</v>
      </c>
      <c r="G135" s="68" t="s">
        <v>198</v>
      </c>
      <c r="H135" s="71">
        <v>2000</v>
      </c>
      <c r="I135" s="68">
        <v>99.5</v>
      </c>
      <c r="J135" s="68" t="s">
        <v>196</v>
      </c>
      <c r="K135" s="72">
        <v>3.5000000000000003E-2</v>
      </c>
      <c r="L135" s="72">
        <v>0.04</v>
      </c>
      <c r="M135" s="68" t="s">
        <v>199</v>
      </c>
      <c r="N135" s="68" t="s">
        <v>200</v>
      </c>
      <c r="O135" s="73">
        <v>46283</v>
      </c>
      <c r="P135" s="74">
        <v>45862</v>
      </c>
      <c r="Q135" s="75">
        <f>I135</f>
        <v>99.5</v>
      </c>
      <c r="R135" s="75">
        <v>1.2082189999999999</v>
      </c>
      <c r="S135" s="76">
        <f>Q135+R135</f>
        <v>100.708219</v>
      </c>
      <c r="T135" s="77">
        <f>S135*H135/100</f>
        <v>2014.1643799999999</v>
      </c>
      <c r="U135" s="69"/>
      <c r="V135" s="75"/>
    </row>
    <row r="136" spans="2:23" ht="17.25" hidden="1">
      <c r="B136" s="24"/>
      <c r="C136" s="68"/>
      <c r="D136" s="24"/>
      <c r="E136" s="24"/>
      <c r="F136" s="78" t="s">
        <v>201</v>
      </c>
      <c r="G136" s="68"/>
      <c r="H136" s="71"/>
      <c r="I136" s="68"/>
      <c r="J136" s="68"/>
      <c r="K136" s="72"/>
      <c r="L136" s="72"/>
      <c r="M136" s="68"/>
      <c r="N136" s="68"/>
      <c r="O136" s="73"/>
      <c r="P136" s="74"/>
      <c r="Q136" s="75"/>
      <c r="R136" s="75"/>
      <c r="S136" s="76"/>
      <c r="T136" s="77"/>
      <c r="U136" s="69"/>
      <c r="V136" s="75"/>
    </row>
    <row r="137" spans="2:23" ht="17.25" hidden="1">
      <c r="B137" s="24"/>
      <c r="C137" s="68"/>
      <c r="D137" s="24"/>
      <c r="E137" s="24"/>
      <c r="F137" s="79" t="s">
        <v>202</v>
      </c>
      <c r="G137" s="68"/>
      <c r="H137" s="71"/>
      <c r="I137" s="68"/>
      <c r="J137" s="68"/>
      <c r="K137" s="72"/>
      <c r="L137" s="72"/>
      <c r="M137" s="68"/>
      <c r="N137" s="68"/>
      <c r="O137" s="73"/>
      <c r="P137" s="74"/>
      <c r="Q137" s="75"/>
      <c r="R137" s="75"/>
      <c r="S137" s="76"/>
      <c r="T137" s="77"/>
      <c r="U137" s="69"/>
      <c r="V137" s="75"/>
    </row>
    <row r="138" spans="2:23" ht="17.25" hidden="1">
      <c r="B138" s="24"/>
      <c r="C138" s="68"/>
      <c r="D138" s="24"/>
      <c r="E138" s="24"/>
      <c r="F138" s="68"/>
      <c r="G138" s="68"/>
      <c r="H138" s="71"/>
      <c r="I138" s="68"/>
      <c r="J138" s="68"/>
      <c r="K138" s="72"/>
      <c r="L138" s="72"/>
      <c r="M138" s="68"/>
      <c r="N138" s="68"/>
      <c r="O138" s="73"/>
      <c r="P138" s="74"/>
      <c r="Q138" s="75"/>
      <c r="R138" s="75"/>
      <c r="S138" s="76"/>
      <c r="T138" s="77"/>
      <c r="U138" s="69"/>
      <c r="V138" s="75"/>
    </row>
    <row r="139" spans="2:23" ht="17.25" hidden="1">
      <c r="B139" s="24"/>
      <c r="C139" s="24"/>
      <c r="D139" s="24"/>
      <c r="E139" s="24"/>
      <c r="F139" s="68" t="s">
        <v>77</v>
      </c>
      <c r="G139" s="68" t="s">
        <v>203</v>
      </c>
      <c r="H139" s="71">
        <v>0</v>
      </c>
      <c r="I139" s="68">
        <v>100</v>
      </c>
      <c r="J139" s="68" t="s">
        <v>196</v>
      </c>
      <c r="K139" s="72">
        <v>3.6999999999999998E-2</v>
      </c>
      <c r="L139" s="72">
        <v>3.6999999999999998E-2</v>
      </c>
      <c r="M139" s="68" t="s">
        <v>199</v>
      </c>
      <c r="N139" s="68" t="s">
        <v>204</v>
      </c>
      <c r="O139" s="73">
        <v>46471</v>
      </c>
      <c r="P139" s="74"/>
      <c r="Q139" s="75"/>
      <c r="R139" s="75"/>
      <c r="S139" s="69"/>
      <c r="T139" s="69"/>
      <c r="U139" s="69"/>
      <c r="V139" s="75"/>
    </row>
    <row r="140" spans="2:23" ht="17.25" hidden="1">
      <c r="B140" s="24"/>
      <c r="C140" s="24" t="s">
        <v>205</v>
      </c>
      <c r="D140" s="24"/>
      <c r="E140" s="24"/>
      <c r="F140" s="68" t="s">
        <v>206</v>
      </c>
      <c r="G140" s="68" t="s">
        <v>177</v>
      </c>
      <c r="H140" s="71">
        <v>1500</v>
      </c>
      <c r="I140" s="68">
        <v>101.645</v>
      </c>
      <c r="J140" s="68" t="s">
        <v>88</v>
      </c>
      <c r="K140" s="72">
        <v>4.3999999999999997E-2</v>
      </c>
      <c r="L140" s="72">
        <v>3.5000000000000003E-2</v>
      </c>
      <c r="M140" s="68" t="s">
        <v>207</v>
      </c>
      <c r="N140" s="68" t="s">
        <v>208</v>
      </c>
      <c r="O140" s="73">
        <v>46472</v>
      </c>
      <c r="P140" s="74">
        <v>45862</v>
      </c>
      <c r="Q140" s="75">
        <v>101.65</v>
      </c>
      <c r="R140" s="75">
        <v>0.34958899999999998</v>
      </c>
      <c r="S140" s="76">
        <f>Q140+R140</f>
        <v>101.999589</v>
      </c>
      <c r="T140" s="77">
        <f>S140*H140/100</f>
        <v>1529.993835</v>
      </c>
      <c r="U140" s="69" t="s">
        <v>209</v>
      </c>
      <c r="V140" s="75">
        <f>Q140-I140</f>
        <v>5.0000000000096634E-3</v>
      </c>
      <c r="W140" s="44">
        <f>V140*H140*100</f>
        <v>750.00000000144951</v>
      </c>
    </row>
    <row r="141" spans="2:23" ht="17.25" hidden="1">
      <c r="B141" s="24"/>
      <c r="C141" s="24" t="s">
        <v>210</v>
      </c>
      <c r="D141" s="24"/>
      <c r="E141" s="24"/>
      <c r="F141" s="68" t="s">
        <v>211</v>
      </c>
      <c r="G141" s="68" t="s">
        <v>186</v>
      </c>
      <c r="H141" s="71">
        <v>1000</v>
      </c>
      <c r="I141" s="68">
        <v>100</v>
      </c>
      <c r="J141" s="68" t="s">
        <v>212</v>
      </c>
      <c r="K141" s="72">
        <v>4.2999999999999997E-2</v>
      </c>
      <c r="L141" s="72">
        <v>4.2999999999999997E-2</v>
      </c>
      <c r="M141" s="68" t="s">
        <v>187</v>
      </c>
      <c r="N141" s="68" t="s">
        <v>184</v>
      </c>
      <c r="O141" s="73">
        <v>46645</v>
      </c>
      <c r="P141" s="74">
        <v>45862</v>
      </c>
      <c r="Q141" s="75">
        <f>I141</f>
        <v>100</v>
      </c>
      <c r="R141" s="75">
        <v>0.117808</v>
      </c>
      <c r="S141" s="76">
        <f>Q141+R141</f>
        <v>100.117808</v>
      </c>
      <c r="T141" s="77">
        <f>S141*H141/100</f>
        <v>1001.1780799999999</v>
      </c>
      <c r="U141" s="69"/>
      <c r="V141" s="75"/>
    </row>
    <row r="142" spans="2:23" ht="17.25" hidden="1">
      <c r="B142" s="24"/>
      <c r="C142" s="68" t="s">
        <v>196</v>
      </c>
      <c r="D142" s="24"/>
      <c r="E142" s="24"/>
      <c r="F142" s="68" t="s">
        <v>90</v>
      </c>
      <c r="G142" s="68" t="s">
        <v>213</v>
      </c>
      <c r="H142" s="71">
        <v>1000</v>
      </c>
      <c r="I142" s="68">
        <v>100.5</v>
      </c>
      <c r="J142" s="68" t="s">
        <v>196</v>
      </c>
      <c r="K142" s="72">
        <v>3.6999999999999998E-2</v>
      </c>
      <c r="L142" s="72">
        <v>3.3000000000000002E-2</v>
      </c>
      <c r="M142" s="68" t="s">
        <v>199</v>
      </c>
      <c r="N142" s="68" t="s">
        <v>214</v>
      </c>
      <c r="O142" s="73">
        <v>46409</v>
      </c>
      <c r="P142" s="74">
        <v>45862</v>
      </c>
      <c r="Q142" s="75">
        <f>I142</f>
        <v>100.5</v>
      </c>
      <c r="R142" s="75">
        <v>1.8147949999999999</v>
      </c>
      <c r="S142" s="76">
        <f>Q142+R142</f>
        <v>102.314795</v>
      </c>
      <c r="T142" s="77">
        <f>S142*H142/100</f>
        <v>1023.14795</v>
      </c>
      <c r="U142" s="69"/>
      <c r="V142" s="75"/>
    </row>
    <row r="143" spans="2:23" ht="17.25" hidden="1">
      <c r="B143" s="24"/>
      <c r="C143" s="68" t="s">
        <v>196</v>
      </c>
      <c r="D143" s="24"/>
      <c r="E143" s="24"/>
      <c r="F143" s="68" t="s">
        <v>215</v>
      </c>
      <c r="G143" s="68" t="s">
        <v>213</v>
      </c>
      <c r="H143" s="71">
        <v>1000</v>
      </c>
      <c r="I143" s="68">
        <v>100.5</v>
      </c>
      <c r="J143" s="68" t="s">
        <v>196</v>
      </c>
      <c r="K143" s="72">
        <v>3.5999999999999997E-2</v>
      </c>
      <c r="L143" s="72">
        <v>3.3000000000000002E-2</v>
      </c>
      <c r="M143" s="68" t="s">
        <v>199</v>
      </c>
      <c r="N143" s="68" t="s">
        <v>214</v>
      </c>
      <c r="O143" s="73">
        <v>46401</v>
      </c>
      <c r="P143" s="74">
        <v>45862</v>
      </c>
      <c r="Q143" s="75">
        <f>I143</f>
        <v>100.5</v>
      </c>
      <c r="R143" s="75">
        <v>1.5879449999999999</v>
      </c>
      <c r="S143" s="76">
        <f>Q143+R143</f>
        <v>102.087945</v>
      </c>
      <c r="T143" s="77">
        <f>S143*H143/100</f>
        <v>1020.87945</v>
      </c>
      <c r="U143" s="69"/>
      <c r="V143" s="75"/>
    </row>
    <row r="144" spans="2:23" ht="17.25" hidden="1">
      <c r="B144" s="24"/>
      <c r="C144" s="24"/>
      <c r="D144" s="24"/>
      <c r="E144" s="24"/>
      <c r="F144" s="24" t="s">
        <v>216</v>
      </c>
      <c r="G144" s="24"/>
      <c r="H144" s="24"/>
      <c r="I144" s="24"/>
      <c r="J144" s="24"/>
      <c r="K144" s="24"/>
      <c r="L144" s="24"/>
      <c r="M144" s="24"/>
      <c r="N144" s="24"/>
      <c r="O144" s="24"/>
      <c r="P144" s="69"/>
      <c r="Q144" s="75"/>
      <c r="R144" s="75"/>
      <c r="S144" s="69"/>
      <c r="T144" s="69"/>
      <c r="U144" s="69"/>
    </row>
    <row r="145" spans="2:21" ht="17.25" hidden="1">
      <c r="B145" s="24"/>
      <c r="C145" s="24"/>
      <c r="D145" s="24"/>
      <c r="E145" s="24"/>
      <c r="F145" s="24" t="s">
        <v>217</v>
      </c>
      <c r="G145" s="24"/>
      <c r="H145" s="24"/>
      <c r="I145" s="24"/>
      <c r="J145" s="24"/>
      <c r="K145" s="24"/>
      <c r="L145" s="24"/>
      <c r="M145" s="24"/>
      <c r="N145" s="24"/>
      <c r="O145" s="24"/>
      <c r="P145" s="69"/>
      <c r="Q145" s="75"/>
      <c r="R145" s="75"/>
      <c r="S145" s="69"/>
      <c r="T145" s="69"/>
      <c r="U145" s="69"/>
    </row>
    <row r="146" spans="2:21" ht="17.25" hidden="1">
      <c r="B146" s="24"/>
      <c r="C146" s="24"/>
      <c r="D146" s="24"/>
      <c r="E146" s="24"/>
      <c r="F146" s="24" t="s">
        <v>218</v>
      </c>
      <c r="G146" s="24"/>
      <c r="H146" s="24"/>
      <c r="I146" s="24"/>
      <c r="J146" s="24"/>
      <c r="K146" s="24"/>
      <c r="L146" s="24"/>
      <c r="M146" s="24"/>
      <c r="N146" s="24"/>
      <c r="O146" s="24"/>
      <c r="P146" s="69"/>
      <c r="Q146" s="75"/>
      <c r="R146" s="75"/>
      <c r="S146" s="69"/>
      <c r="T146" s="69"/>
      <c r="U146" s="69"/>
    </row>
    <row r="147" spans="2:21" ht="17.25" hidden="1">
      <c r="B147" s="24"/>
      <c r="C147" s="24"/>
      <c r="D147" s="24"/>
      <c r="E147" s="24"/>
      <c r="F147" s="24" t="s">
        <v>219</v>
      </c>
      <c r="G147" s="24"/>
      <c r="H147" s="24"/>
      <c r="I147" s="24"/>
      <c r="J147" s="24"/>
      <c r="K147" s="24"/>
      <c r="L147" s="24"/>
      <c r="M147" s="24"/>
      <c r="N147" s="24"/>
      <c r="O147" s="24"/>
      <c r="P147" s="69"/>
      <c r="Q147" s="75"/>
      <c r="R147" s="75"/>
      <c r="S147" s="69"/>
      <c r="T147" s="69"/>
      <c r="U147" s="69"/>
    </row>
    <row r="148" spans="2:21" ht="17.25" hidden="1">
      <c r="B148" s="24"/>
      <c r="C148" s="24"/>
      <c r="D148" s="24"/>
      <c r="E148" s="24"/>
      <c r="F148" s="24" t="s">
        <v>220</v>
      </c>
      <c r="G148" s="24"/>
      <c r="H148" s="24"/>
      <c r="I148" s="24"/>
      <c r="J148" s="24"/>
      <c r="K148" s="24"/>
      <c r="L148" s="24"/>
      <c r="M148" s="24"/>
      <c r="N148" s="24"/>
      <c r="O148" s="24"/>
      <c r="P148" s="69"/>
      <c r="Q148" s="75"/>
      <c r="R148" s="75"/>
      <c r="S148" s="69"/>
      <c r="T148" s="69"/>
      <c r="U148" s="69"/>
    </row>
    <row r="149" spans="2:21" ht="17.25" hidden="1">
      <c r="B149" s="24"/>
      <c r="C149" s="24"/>
      <c r="D149" s="24"/>
      <c r="E149" s="24"/>
      <c r="F149" s="24"/>
      <c r="G149" s="24"/>
      <c r="H149" s="24"/>
      <c r="I149" s="24"/>
      <c r="J149" s="24"/>
      <c r="K149" s="24"/>
      <c r="L149" s="24"/>
      <c r="M149" s="24"/>
      <c r="N149" s="24"/>
      <c r="O149" s="24"/>
      <c r="P149" s="69"/>
      <c r="Q149" s="75"/>
      <c r="R149" s="75"/>
      <c r="S149" s="69"/>
      <c r="T149" s="69"/>
      <c r="U149" s="69"/>
    </row>
    <row r="150" spans="2:21" ht="17.25" hidden="1">
      <c r="B150" s="24"/>
      <c r="C150" s="24"/>
      <c r="D150" s="24"/>
      <c r="E150" s="24"/>
      <c r="F150" s="24"/>
      <c r="G150" s="24"/>
      <c r="H150" s="24"/>
      <c r="I150" s="24"/>
      <c r="J150" s="24"/>
      <c r="K150" s="24"/>
      <c r="L150" s="24"/>
      <c r="M150" s="24"/>
      <c r="N150" s="24"/>
      <c r="O150" s="24"/>
      <c r="P150" s="69"/>
      <c r="Q150" s="75"/>
      <c r="R150" s="75"/>
      <c r="S150" s="69"/>
      <c r="T150" s="69"/>
      <c r="U150" s="69"/>
    </row>
    <row r="151" spans="2:21" s="29" customFormat="1" ht="17.25" hidden="1">
      <c r="B151" s="37"/>
      <c r="C151" s="37" t="s">
        <v>221</v>
      </c>
      <c r="D151" s="80"/>
      <c r="E151" s="80" t="s">
        <v>222</v>
      </c>
      <c r="F151" s="80" t="s">
        <v>223</v>
      </c>
      <c r="G151" s="80" t="s">
        <v>224</v>
      </c>
      <c r="H151" s="81">
        <v>1500</v>
      </c>
      <c r="I151" s="80" t="s">
        <v>225</v>
      </c>
      <c r="J151" s="80" t="s">
        <v>226</v>
      </c>
      <c r="K151" s="82">
        <v>5.7500000000000002E-2</v>
      </c>
      <c r="L151" s="82">
        <v>0.03</v>
      </c>
      <c r="M151" s="80" t="s">
        <v>179</v>
      </c>
      <c r="N151" s="80" t="s">
        <v>180</v>
      </c>
      <c r="O151" s="83">
        <v>46292</v>
      </c>
      <c r="P151" s="84">
        <f t="shared" ref="P151:Q154" si="1">M185</f>
        <v>45867</v>
      </c>
      <c r="Q151" s="85">
        <f t="shared" si="1"/>
        <v>102.6</v>
      </c>
      <c r="R151" s="85">
        <f>S151-Q151</f>
        <v>0.51990000000000691</v>
      </c>
      <c r="S151" s="86">
        <f>O185</f>
        <v>103.1199</v>
      </c>
      <c r="T151" s="87">
        <f>Q185/10000</f>
        <v>1546.7985000000001</v>
      </c>
      <c r="U151" s="86" t="s">
        <v>227</v>
      </c>
    </row>
    <row r="152" spans="2:21" s="29" customFormat="1" ht="17.25" hidden="1">
      <c r="B152" s="37"/>
      <c r="C152" s="37" t="s">
        <v>221</v>
      </c>
      <c r="D152" s="80"/>
      <c r="E152" s="80" t="s">
        <v>228</v>
      </c>
      <c r="F152" s="80" t="s">
        <v>229</v>
      </c>
      <c r="G152" s="80" t="s">
        <v>177</v>
      </c>
      <c r="H152" s="81">
        <v>1250</v>
      </c>
      <c r="I152" s="80" t="s">
        <v>225</v>
      </c>
      <c r="J152" s="80" t="s">
        <v>226</v>
      </c>
      <c r="K152" s="82">
        <v>6.4000000000000001E-2</v>
      </c>
      <c r="L152" s="82">
        <v>0.03</v>
      </c>
      <c r="M152" s="80" t="s">
        <v>230</v>
      </c>
      <c r="N152" s="80" t="s">
        <v>184</v>
      </c>
      <c r="O152" s="83">
        <v>46229</v>
      </c>
      <c r="P152" s="84">
        <f t="shared" si="1"/>
        <v>45868</v>
      </c>
      <c r="Q152" s="85">
        <f t="shared" si="1"/>
        <v>102.39</v>
      </c>
      <c r="R152" s="85">
        <f>S152-Q152</f>
        <v>0.10519999999999641</v>
      </c>
      <c r="S152" s="86">
        <f>O186</f>
        <v>102.4952</v>
      </c>
      <c r="T152" s="87">
        <f>Q186/10000</f>
        <v>1281.19</v>
      </c>
      <c r="U152" s="86" t="s">
        <v>227</v>
      </c>
    </row>
    <row r="153" spans="2:21" s="29" customFormat="1" ht="17.25" hidden="1">
      <c r="B153" s="37"/>
      <c r="C153" s="37" t="s">
        <v>221</v>
      </c>
      <c r="D153" s="80"/>
      <c r="E153" s="80"/>
      <c r="F153" s="80" t="s">
        <v>231</v>
      </c>
      <c r="G153" s="80" t="s">
        <v>224</v>
      </c>
      <c r="H153" s="81">
        <v>600</v>
      </c>
      <c r="I153" s="80" t="s">
        <v>232</v>
      </c>
      <c r="J153" s="80" t="s">
        <v>226</v>
      </c>
      <c r="K153" s="82">
        <v>4.2000000000000003E-2</v>
      </c>
      <c r="L153" s="82">
        <v>4.2000000000000003E-2</v>
      </c>
      <c r="M153" s="80" t="s">
        <v>187</v>
      </c>
      <c r="N153" s="80" t="s">
        <v>184</v>
      </c>
      <c r="O153" s="83">
        <v>46403</v>
      </c>
      <c r="P153" s="84">
        <f t="shared" si="1"/>
        <v>45869</v>
      </c>
      <c r="Q153" s="85">
        <f t="shared" si="1"/>
        <v>100</v>
      </c>
      <c r="R153" s="85">
        <f>S153-Q153</f>
        <v>0.19559999999999889</v>
      </c>
      <c r="S153" s="86">
        <f>O187</f>
        <v>100.1956</v>
      </c>
      <c r="T153" s="87">
        <f>Q187/10000</f>
        <v>601.17359999999996</v>
      </c>
      <c r="U153" s="86" t="s">
        <v>227</v>
      </c>
    </row>
    <row r="154" spans="2:21" s="29" customFormat="1" ht="17.25" hidden="1">
      <c r="B154" s="37"/>
      <c r="C154" s="37" t="s">
        <v>221</v>
      </c>
      <c r="D154" s="80"/>
      <c r="E154" s="80" t="s">
        <v>222</v>
      </c>
      <c r="F154" s="80" t="s">
        <v>233</v>
      </c>
      <c r="G154" s="80" t="s">
        <v>186</v>
      </c>
      <c r="H154" s="81">
        <v>1000</v>
      </c>
      <c r="I154" s="80" t="s">
        <v>234</v>
      </c>
      <c r="J154" s="80" t="s">
        <v>226</v>
      </c>
      <c r="K154" s="82">
        <v>5.8000000000000003E-2</v>
      </c>
      <c r="L154" s="82">
        <v>2.9000000000000001E-2</v>
      </c>
      <c r="M154" s="80" t="s">
        <v>179</v>
      </c>
      <c r="N154" s="80" t="s">
        <v>180</v>
      </c>
      <c r="O154" s="83">
        <v>46108</v>
      </c>
      <c r="P154" s="84">
        <f t="shared" si="1"/>
        <v>45870</v>
      </c>
      <c r="Q154" s="85">
        <f t="shared" si="1"/>
        <v>101.5</v>
      </c>
      <c r="R154" s="85">
        <f>S154-Q154</f>
        <v>9.3500000000005912E-2</v>
      </c>
      <c r="S154" s="86">
        <f>O188</f>
        <v>101.59350000000001</v>
      </c>
      <c r="T154" s="87">
        <f>Q188/10000</f>
        <v>1015.9349999999999</v>
      </c>
      <c r="U154" s="86" t="s">
        <v>227</v>
      </c>
    </row>
    <row r="155" spans="2:21" ht="17.25" hidden="1">
      <c r="B155" s="24"/>
      <c r="C155" s="24"/>
      <c r="D155" s="68"/>
      <c r="E155" s="68"/>
      <c r="F155" s="68"/>
      <c r="G155" s="68"/>
      <c r="H155" s="71"/>
      <c r="I155" s="68"/>
      <c r="J155" s="68"/>
      <c r="K155" s="72"/>
      <c r="L155" s="72"/>
      <c r="M155" s="68"/>
      <c r="N155" s="68"/>
      <c r="O155" s="73"/>
      <c r="P155" s="74"/>
      <c r="Q155" s="75"/>
      <c r="R155" s="75"/>
      <c r="S155" s="69"/>
      <c r="T155" s="69"/>
      <c r="U155" s="69"/>
    </row>
    <row r="156" spans="2:21" ht="17.25" hidden="1">
      <c r="B156" s="24"/>
      <c r="C156" s="24"/>
      <c r="D156" s="68"/>
      <c r="E156" s="68"/>
      <c r="F156" s="68" t="s">
        <v>235</v>
      </c>
      <c r="G156" s="68" t="s">
        <v>224</v>
      </c>
      <c r="H156" s="71">
        <v>1400</v>
      </c>
      <c r="I156" s="68"/>
      <c r="J156" s="68" t="s">
        <v>236</v>
      </c>
      <c r="K156" s="72">
        <v>3.5000000000000003E-2</v>
      </c>
      <c r="L156" s="72">
        <v>3.5000000000000003E-2</v>
      </c>
      <c r="M156" s="68" t="s">
        <v>237</v>
      </c>
      <c r="N156" s="68" t="s">
        <v>238</v>
      </c>
      <c r="O156" s="73">
        <v>46406</v>
      </c>
      <c r="P156" s="74">
        <v>45867</v>
      </c>
      <c r="Q156" s="75">
        <v>100</v>
      </c>
      <c r="R156" s="75">
        <v>0</v>
      </c>
      <c r="S156" s="69">
        <v>100</v>
      </c>
      <c r="T156" s="77">
        <v>1400</v>
      </c>
      <c r="U156" s="69"/>
    </row>
    <row r="157" spans="2:21" ht="17.25" hidden="1">
      <c r="B157" s="24"/>
      <c r="C157" s="24"/>
      <c r="D157" s="68"/>
      <c r="E157" s="68"/>
      <c r="F157" s="68" t="s">
        <v>239</v>
      </c>
      <c r="G157" s="68" t="s">
        <v>240</v>
      </c>
      <c r="H157" s="71">
        <v>2400</v>
      </c>
      <c r="I157" s="68"/>
      <c r="J157" s="68" t="s">
        <v>236</v>
      </c>
      <c r="K157" s="72">
        <v>3.9E-2</v>
      </c>
      <c r="L157" s="72">
        <v>0.04</v>
      </c>
      <c r="M157" s="68" t="s">
        <v>237</v>
      </c>
      <c r="N157" s="68" t="s">
        <v>238</v>
      </c>
      <c r="O157" s="73">
        <v>46465</v>
      </c>
      <c r="P157" s="74">
        <v>45867</v>
      </c>
      <c r="Q157" s="75">
        <v>100</v>
      </c>
      <c r="R157" s="75">
        <v>0</v>
      </c>
      <c r="S157" s="69">
        <v>100</v>
      </c>
      <c r="T157" s="77">
        <f>H157</f>
        <v>2400</v>
      </c>
      <c r="U157" s="69"/>
    </row>
    <row r="158" spans="2:21" ht="17.25" hidden="1">
      <c r="B158" s="24"/>
      <c r="C158" s="24"/>
      <c r="D158" s="68"/>
      <c r="E158" s="68"/>
      <c r="F158" s="68" t="s">
        <v>241</v>
      </c>
      <c r="G158" s="68" t="s">
        <v>240</v>
      </c>
      <c r="H158" s="71">
        <v>600</v>
      </c>
      <c r="I158" s="68"/>
      <c r="J158" s="68" t="s">
        <v>236</v>
      </c>
      <c r="K158" s="72">
        <v>3.3000000000000002E-2</v>
      </c>
      <c r="L158" s="72">
        <v>3.3000000000000002E-2</v>
      </c>
      <c r="M158" s="68" t="s">
        <v>242</v>
      </c>
      <c r="N158" s="68" t="s">
        <v>243</v>
      </c>
      <c r="O158" s="73">
        <v>46534</v>
      </c>
      <c r="P158" s="74">
        <v>45862</v>
      </c>
      <c r="Q158" s="75">
        <v>100</v>
      </c>
      <c r="R158" s="75">
        <v>0</v>
      </c>
      <c r="S158" s="69">
        <v>100</v>
      </c>
      <c r="T158" s="77">
        <f>H158</f>
        <v>600</v>
      </c>
      <c r="U158" s="69"/>
    </row>
    <row r="159" spans="2:21" ht="17.25" hidden="1">
      <c r="B159" s="24"/>
      <c r="C159" s="24"/>
      <c r="D159" s="24"/>
      <c r="E159" s="24"/>
      <c r="F159" s="24"/>
      <c r="G159" s="24"/>
      <c r="H159" s="24"/>
      <c r="I159" s="24"/>
      <c r="J159" s="24"/>
      <c r="K159" s="24" t="s">
        <v>244</v>
      </c>
      <c r="L159" s="540">
        <f>SUMPRODUCT(L123:L158,H123:H158)/SUM(H123:H158)</f>
        <v>3.6470284237726094E-2</v>
      </c>
      <c r="M159" s="24"/>
      <c r="N159" s="24"/>
      <c r="O159" s="24"/>
      <c r="P159" s="24"/>
      <c r="Q159" s="24"/>
      <c r="R159" s="24"/>
      <c r="S159" s="24"/>
      <c r="T159" s="24"/>
      <c r="U159" s="24"/>
    </row>
    <row r="160" spans="2:21" ht="17.25" hidden="1">
      <c r="B160" s="24"/>
      <c r="C160" s="24"/>
      <c r="D160" s="24"/>
      <c r="E160" s="24"/>
      <c r="G160" s="24"/>
      <c r="H160" s="24"/>
      <c r="I160" s="24"/>
      <c r="J160" s="24"/>
      <c r="K160" s="24"/>
      <c r="L160" s="88"/>
      <c r="M160" s="24"/>
      <c r="N160" s="24"/>
      <c r="O160" s="24"/>
      <c r="P160" s="24"/>
      <c r="Q160" s="24"/>
      <c r="R160" s="24"/>
      <c r="S160" s="24"/>
      <c r="T160" s="24"/>
      <c r="U160" s="24"/>
    </row>
    <row r="161" spans="6:18" hidden="1">
      <c r="G161" s="89"/>
      <c r="H161" s="90"/>
      <c r="I161" s="91"/>
    </row>
    <row r="162" spans="6:18" ht="17.25" hidden="1">
      <c r="F162" s="78"/>
      <c r="G162" s="89"/>
      <c r="H162" s="90"/>
      <c r="I162" s="91"/>
    </row>
    <row r="163" spans="6:18" ht="17.25" hidden="1">
      <c r="F163" s="78"/>
      <c r="G163" s="89"/>
      <c r="H163" s="90"/>
      <c r="I163" s="91"/>
    </row>
    <row r="164" spans="6:18" ht="17.25" hidden="1">
      <c r="F164" s="78"/>
      <c r="G164" s="89"/>
      <c r="H164" s="90"/>
      <c r="I164" s="91"/>
    </row>
    <row r="165" spans="6:18" ht="17.25" hidden="1">
      <c r="H165" s="92"/>
    </row>
    <row r="166" spans="6:18" ht="17.25" hidden="1">
      <c r="F166" s="24" t="str">
        <f t="shared" ref="F166:H169" si="2">F122</f>
        <v>证券名称</v>
      </c>
      <c r="G166" s="24" t="str">
        <f t="shared" si="2"/>
        <v>评级</v>
      </c>
      <c r="H166" s="92" t="str">
        <f t="shared" si="2"/>
        <v>规模</v>
      </c>
      <c r="I166" s="24" t="str">
        <f t="shared" ref="I166:L169" si="3">Q122</f>
        <v>交易净价</v>
      </c>
      <c r="J166" s="24" t="str">
        <f t="shared" si="3"/>
        <v>应计利息</v>
      </c>
      <c r="K166" s="24" t="str">
        <f t="shared" si="3"/>
        <v>预计全价</v>
      </c>
      <c r="L166" s="24" t="str">
        <f t="shared" si="3"/>
        <v>预计规模</v>
      </c>
      <c r="M166" s="24" t="s">
        <v>245</v>
      </c>
      <c r="N166" s="24" t="s">
        <v>246</v>
      </c>
      <c r="O166" s="24"/>
      <c r="P166" s="24" t="s">
        <v>247</v>
      </c>
      <c r="Q166" s="24" t="s">
        <v>248</v>
      </c>
      <c r="R166" s="68" t="s">
        <v>249</v>
      </c>
    </row>
    <row r="167" spans="6:18" ht="17.25" hidden="1">
      <c r="F167" s="24" t="str">
        <f t="shared" si="2"/>
        <v>鑫诚4B</v>
      </c>
      <c r="G167" s="24" t="str">
        <f t="shared" si="2"/>
        <v>AA+</v>
      </c>
      <c r="H167" s="92">
        <f t="shared" si="2"/>
        <v>800</v>
      </c>
      <c r="I167" s="93">
        <f t="shared" si="3"/>
        <v>100.005</v>
      </c>
      <c r="J167" s="93">
        <f t="shared" si="3"/>
        <v>0.97643800000000003</v>
      </c>
      <c r="K167" s="93">
        <f t="shared" si="3"/>
        <v>100.981438</v>
      </c>
      <c r="L167" s="93">
        <f t="shared" si="3"/>
        <v>807.85150399999998</v>
      </c>
      <c r="M167" s="24" t="str">
        <f>U123</f>
        <v>扬讯</v>
      </c>
      <c r="N167" s="70">
        <f>P123</f>
        <v>45862</v>
      </c>
      <c r="O167" s="24"/>
      <c r="P167" s="24" t="s">
        <v>250</v>
      </c>
      <c r="Q167" s="94">
        <f>L123</f>
        <v>3.5999999999999997E-2</v>
      </c>
      <c r="R167" s="94">
        <f>K123</f>
        <v>3.5999999999999997E-2</v>
      </c>
    </row>
    <row r="168" spans="6:18" ht="17.25" hidden="1">
      <c r="F168" s="24" t="str">
        <f t="shared" si="2"/>
        <v>睿铭3B</v>
      </c>
      <c r="G168" s="24" t="str">
        <f t="shared" si="2"/>
        <v>AA+</v>
      </c>
      <c r="H168" s="92">
        <f t="shared" si="2"/>
        <v>800</v>
      </c>
      <c r="I168" s="93">
        <f t="shared" si="3"/>
        <v>100.005</v>
      </c>
      <c r="J168" s="93">
        <f t="shared" si="3"/>
        <v>2.7123000000000001E-2</v>
      </c>
      <c r="K168" s="93">
        <f t="shared" si="3"/>
        <v>100.032123</v>
      </c>
      <c r="L168" s="93">
        <f t="shared" si="3"/>
        <v>800.25698399999999</v>
      </c>
      <c r="M168" s="24" t="str">
        <f>U124</f>
        <v>扬讯</v>
      </c>
      <c r="N168" s="70">
        <f>P124</f>
        <v>45862</v>
      </c>
      <c r="O168" s="24"/>
      <c r="P168" s="24" t="s">
        <v>250</v>
      </c>
      <c r="Q168" s="94">
        <f>L124</f>
        <v>3.3000000000000002E-2</v>
      </c>
      <c r="R168" s="94">
        <f>K124</f>
        <v>3.3000000000000002E-2</v>
      </c>
    </row>
    <row r="169" spans="6:18" ht="17.25" hidden="1">
      <c r="F169" s="24" t="str">
        <f t="shared" si="2"/>
        <v>星灿6A3</v>
      </c>
      <c r="G169" s="24" t="str">
        <f t="shared" si="2"/>
        <v>AAA</v>
      </c>
      <c r="H169" s="92">
        <f t="shared" si="2"/>
        <v>820</v>
      </c>
      <c r="I169" s="93">
        <f t="shared" si="3"/>
        <v>100.005</v>
      </c>
      <c r="J169" s="93">
        <f t="shared" si="3"/>
        <v>0.117808</v>
      </c>
      <c r="K169" s="93">
        <f t="shared" si="3"/>
        <v>100.12280799999999</v>
      </c>
      <c r="L169" s="93">
        <f t="shared" si="3"/>
        <v>821.00702559999991</v>
      </c>
      <c r="M169" s="24" t="str">
        <f>U125</f>
        <v>扬讯</v>
      </c>
      <c r="N169" s="70">
        <f>P125</f>
        <v>45862</v>
      </c>
      <c r="O169" s="24"/>
      <c r="P169" s="24" t="s">
        <v>250</v>
      </c>
      <c r="Q169" s="94">
        <f>L125</f>
        <v>4.2999999999999997E-2</v>
      </c>
      <c r="R169" s="94">
        <f>K125</f>
        <v>4.2999999999999997E-2</v>
      </c>
    </row>
    <row r="170" spans="6:18" ht="17.25" hidden="1">
      <c r="F170" s="24" t="str">
        <f t="shared" ref="F170:H171" si="4">F134</f>
        <v>星灿6A3</v>
      </c>
      <c r="G170" s="24" t="str">
        <f t="shared" si="4"/>
        <v>AAA</v>
      </c>
      <c r="H170" s="92">
        <f t="shared" si="4"/>
        <v>1680</v>
      </c>
      <c r="I170" s="93">
        <f t="shared" ref="I170:L171" si="5">Q134</f>
        <v>100</v>
      </c>
      <c r="J170" s="93">
        <f t="shared" si="5"/>
        <v>0.117808</v>
      </c>
      <c r="K170" s="93">
        <f t="shared" si="5"/>
        <v>100.117808</v>
      </c>
      <c r="L170" s="93">
        <f t="shared" si="5"/>
        <v>1681.9791743999999</v>
      </c>
      <c r="M170" s="24" t="str">
        <f>C134</f>
        <v>百瑞君集10号</v>
      </c>
      <c r="N170" s="70">
        <f>P134</f>
        <v>45862</v>
      </c>
      <c r="O170" s="24"/>
      <c r="P170" s="24" t="s">
        <v>250</v>
      </c>
      <c r="Q170" s="94">
        <f>L134</f>
        <v>4.2999999999999997E-2</v>
      </c>
      <c r="R170" s="94">
        <f>K134</f>
        <v>4.2999999999999997E-2</v>
      </c>
    </row>
    <row r="171" spans="6:18" ht="17.25" hidden="1">
      <c r="F171" s="24" t="str">
        <f t="shared" si="4"/>
        <v>盛煜013C</v>
      </c>
      <c r="G171" s="24" t="str">
        <f t="shared" si="4"/>
        <v>BBB</v>
      </c>
      <c r="H171" s="92">
        <f t="shared" si="4"/>
        <v>2000</v>
      </c>
      <c r="I171" s="93">
        <f t="shared" si="5"/>
        <v>99.5</v>
      </c>
      <c r="J171" s="93">
        <f t="shared" si="5"/>
        <v>1.2082189999999999</v>
      </c>
      <c r="K171" s="93">
        <f t="shared" si="5"/>
        <v>100.708219</v>
      </c>
      <c r="L171" s="93">
        <f t="shared" si="5"/>
        <v>2014.1643799999999</v>
      </c>
      <c r="M171" s="24" t="str">
        <f>C135</f>
        <v>国泰海通</v>
      </c>
      <c r="N171" s="70">
        <f>P135</f>
        <v>45862</v>
      </c>
      <c r="O171" s="24"/>
      <c r="P171" s="24" t="s">
        <v>250</v>
      </c>
      <c r="Q171" s="94">
        <f>L135</f>
        <v>0.04</v>
      </c>
      <c r="R171" s="94">
        <f>K135</f>
        <v>3.5000000000000003E-2</v>
      </c>
    </row>
    <row r="172" spans="6:18" ht="17.25" hidden="1">
      <c r="F172" s="24" t="str">
        <f t="shared" ref="F172:H175" si="6">F140</f>
        <v>诚惠1B</v>
      </c>
      <c r="G172" s="24" t="str">
        <f t="shared" si="6"/>
        <v>AA+</v>
      </c>
      <c r="H172" s="92">
        <f t="shared" si="6"/>
        <v>1500</v>
      </c>
      <c r="I172" s="93">
        <f>Q140</f>
        <v>101.65</v>
      </c>
      <c r="J172" s="93">
        <f>R140</f>
        <v>0.34958899999999998</v>
      </c>
      <c r="K172" s="93">
        <f>S140</f>
        <v>101.999589</v>
      </c>
      <c r="L172" s="93">
        <f>T140</f>
        <v>1529.993835</v>
      </c>
      <c r="M172" s="24" t="str">
        <f>U140</f>
        <v>粤开</v>
      </c>
      <c r="N172" s="70">
        <f>P140</f>
        <v>45862</v>
      </c>
      <c r="O172" s="24"/>
      <c r="P172" s="24" t="s">
        <v>250</v>
      </c>
      <c r="Q172" s="94">
        <f>L140</f>
        <v>3.5000000000000003E-2</v>
      </c>
      <c r="R172" s="94">
        <f>K140</f>
        <v>4.3999999999999997E-2</v>
      </c>
    </row>
    <row r="173" spans="6:18" ht="17.25" hidden="1">
      <c r="F173" s="24" t="str">
        <f t="shared" si="6"/>
        <v>朗煜1A3</v>
      </c>
      <c r="G173" s="24" t="str">
        <f t="shared" si="6"/>
        <v>AAA</v>
      </c>
      <c r="H173" s="92">
        <f t="shared" si="6"/>
        <v>1000</v>
      </c>
      <c r="I173" s="93">
        <f t="shared" ref="I173:L175" si="7">Q141</f>
        <v>100</v>
      </c>
      <c r="J173" s="93">
        <f t="shared" si="7"/>
        <v>0.117808</v>
      </c>
      <c r="K173" s="93">
        <f t="shared" si="7"/>
        <v>100.117808</v>
      </c>
      <c r="L173" s="93">
        <f t="shared" si="7"/>
        <v>1001.1780799999999</v>
      </c>
      <c r="M173" s="24" t="str">
        <f>C141</f>
        <v>巍茂辉旺6号</v>
      </c>
      <c r="N173" s="70">
        <f>P141</f>
        <v>45862</v>
      </c>
      <c r="O173" s="24"/>
      <c r="P173" s="24" t="s">
        <v>250</v>
      </c>
      <c r="Q173" s="94">
        <f>L141</f>
        <v>4.2999999999999997E-2</v>
      </c>
      <c r="R173" s="94">
        <f>K141</f>
        <v>4.2999999999999997E-2</v>
      </c>
    </row>
    <row r="174" spans="6:18" ht="17.25" hidden="1">
      <c r="F174" s="24" t="str">
        <f t="shared" si="6"/>
        <v>耘睿192C</v>
      </c>
      <c r="G174" s="24" t="str">
        <f t="shared" si="6"/>
        <v>A-</v>
      </c>
      <c r="H174" s="92">
        <f t="shared" si="6"/>
        <v>1000</v>
      </c>
      <c r="I174" s="93">
        <f t="shared" si="7"/>
        <v>100.5</v>
      </c>
      <c r="J174" s="93">
        <f t="shared" si="7"/>
        <v>1.8147949999999999</v>
      </c>
      <c r="K174" s="93">
        <f t="shared" si="7"/>
        <v>102.314795</v>
      </c>
      <c r="L174" s="93">
        <f t="shared" si="7"/>
        <v>1023.14795</v>
      </c>
      <c r="M174" s="24" t="str">
        <f>C142</f>
        <v>国泰海通</v>
      </c>
      <c r="N174" s="70">
        <f>P142</f>
        <v>45862</v>
      </c>
      <c r="O174" s="24"/>
      <c r="P174" s="24" t="s">
        <v>250</v>
      </c>
      <c r="Q174" s="94">
        <f>L142</f>
        <v>3.3000000000000002E-2</v>
      </c>
      <c r="R174" s="94">
        <f>K142</f>
        <v>3.6999999999999998E-2</v>
      </c>
    </row>
    <row r="175" spans="6:18" ht="17.25" hidden="1">
      <c r="F175" s="24" t="str">
        <f t="shared" si="6"/>
        <v>耘睿195C</v>
      </c>
      <c r="G175" s="24" t="str">
        <f t="shared" si="6"/>
        <v>A-</v>
      </c>
      <c r="H175" s="92">
        <f t="shared" si="6"/>
        <v>1000</v>
      </c>
      <c r="I175" s="93">
        <f t="shared" si="7"/>
        <v>100.5</v>
      </c>
      <c r="J175" s="93">
        <f t="shared" si="7"/>
        <v>1.5879449999999999</v>
      </c>
      <c r="K175" s="93">
        <f t="shared" si="7"/>
        <v>102.087945</v>
      </c>
      <c r="L175" s="93">
        <f t="shared" si="7"/>
        <v>1020.87945</v>
      </c>
      <c r="M175" s="24" t="str">
        <f>C143</f>
        <v>国泰海通</v>
      </c>
      <c r="N175" s="70">
        <f>P143</f>
        <v>45862</v>
      </c>
      <c r="O175" s="24"/>
      <c r="P175" s="24" t="s">
        <v>250</v>
      </c>
      <c r="Q175" s="94">
        <f>L143</f>
        <v>3.3000000000000002E-2</v>
      </c>
      <c r="R175" s="94">
        <f>K143</f>
        <v>3.5999999999999997E-2</v>
      </c>
    </row>
    <row r="176" spans="6:18" ht="17.25" hidden="1">
      <c r="F176" s="24" t="str">
        <f>G185</f>
        <v>23惠民3B,143845.SZ</v>
      </c>
      <c r="G176" s="24" t="str">
        <f t="shared" ref="G176:H179" si="8">G151</f>
        <v>AAA</v>
      </c>
      <c r="H176" s="92">
        <f t="shared" si="8"/>
        <v>1500</v>
      </c>
      <c r="I176" s="93">
        <f>N185</f>
        <v>102.6</v>
      </c>
      <c r="J176" s="93">
        <f t="shared" ref="J176:M179" si="9">R151</f>
        <v>0.51990000000000691</v>
      </c>
      <c r="K176" s="93">
        <f t="shared" si="9"/>
        <v>103.1199</v>
      </c>
      <c r="L176" s="93">
        <f t="shared" si="9"/>
        <v>1546.7985000000001</v>
      </c>
      <c r="M176" s="24" t="str">
        <f t="shared" si="9"/>
        <v>洮利5号</v>
      </c>
      <c r="N176" s="70">
        <f>P151</f>
        <v>45867</v>
      </c>
      <c r="O176" s="24"/>
      <c r="P176" s="24" t="s">
        <v>250</v>
      </c>
      <c r="Q176" s="94">
        <f>L151</f>
        <v>0.03</v>
      </c>
      <c r="R176" s="94">
        <f>K151</f>
        <v>5.7500000000000002E-2</v>
      </c>
    </row>
    <row r="177" spans="4:23" ht="17.25" hidden="1">
      <c r="F177" s="24" t="str">
        <f>G186</f>
        <v>安康3C,143258.SZ</v>
      </c>
      <c r="G177" s="24" t="str">
        <f t="shared" si="8"/>
        <v>AA+</v>
      </c>
      <c r="H177" s="92">
        <f t="shared" si="8"/>
        <v>1250</v>
      </c>
      <c r="I177" s="93">
        <f>N186</f>
        <v>102.39</v>
      </c>
      <c r="J177" s="93">
        <f t="shared" si="9"/>
        <v>0.10519999999999641</v>
      </c>
      <c r="K177" s="93">
        <f t="shared" si="9"/>
        <v>102.4952</v>
      </c>
      <c r="L177" s="93">
        <f t="shared" si="9"/>
        <v>1281.19</v>
      </c>
      <c r="M177" s="24" t="str">
        <f t="shared" si="9"/>
        <v>洮利5号</v>
      </c>
      <c r="N177" s="70">
        <f>P152</f>
        <v>45868</v>
      </c>
      <c r="O177" s="24"/>
      <c r="P177" s="24" t="s">
        <v>250</v>
      </c>
      <c r="Q177" s="94">
        <f>L152</f>
        <v>0.03</v>
      </c>
      <c r="R177" s="94">
        <f>K152</f>
        <v>6.4000000000000001E-2</v>
      </c>
    </row>
    <row r="178" spans="4:23" ht="17.25" hidden="1">
      <c r="F178" s="24" t="str">
        <f>G187</f>
        <v>熠然05A3,146382.SZ</v>
      </c>
      <c r="G178" s="24" t="str">
        <f t="shared" si="8"/>
        <v>AAA</v>
      </c>
      <c r="H178" s="92">
        <f t="shared" si="8"/>
        <v>600</v>
      </c>
      <c r="I178" s="93">
        <f>N187</f>
        <v>100</v>
      </c>
      <c r="J178" s="93">
        <f t="shared" si="9"/>
        <v>0.19559999999999889</v>
      </c>
      <c r="K178" s="93">
        <f t="shared" si="9"/>
        <v>100.1956</v>
      </c>
      <c r="L178" s="93">
        <f t="shared" si="9"/>
        <v>601.17359999999996</v>
      </c>
      <c r="M178" s="24" t="str">
        <f t="shared" si="9"/>
        <v>洮利5号</v>
      </c>
      <c r="N178" s="70">
        <f>P153</f>
        <v>45869</v>
      </c>
      <c r="O178" s="24"/>
      <c r="P178" s="24" t="s">
        <v>250</v>
      </c>
      <c r="Q178" s="94">
        <f>L153</f>
        <v>4.2000000000000003E-2</v>
      </c>
      <c r="R178" s="94">
        <f>K153</f>
        <v>4.2000000000000003E-2</v>
      </c>
    </row>
    <row r="179" spans="4:23" ht="17.25" hidden="1">
      <c r="F179" s="24" t="str">
        <f>G188</f>
        <v>23惠民2B,143399.SZ</v>
      </c>
      <c r="G179" s="24" t="str">
        <f t="shared" si="8"/>
        <v>AAA</v>
      </c>
      <c r="H179" s="92">
        <f t="shared" si="8"/>
        <v>1000</v>
      </c>
      <c r="I179" s="93">
        <f>N188</f>
        <v>101.5</v>
      </c>
      <c r="J179" s="93">
        <f t="shared" si="9"/>
        <v>9.3500000000005912E-2</v>
      </c>
      <c r="K179" s="93">
        <f t="shared" si="9"/>
        <v>101.59350000000001</v>
      </c>
      <c r="L179" s="93">
        <f t="shared" si="9"/>
        <v>1015.9349999999999</v>
      </c>
      <c r="M179" s="24" t="str">
        <f t="shared" si="9"/>
        <v>洮利5号</v>
      </c>
      <c r="N179" s="70">
        <f>P154</f>
        <v>45870</v>
      </c>
      <c r="O179" s="24"/>
      <c r="P179" s="24" t="s">
        <v>250</v>
      </c>
      <c r="Q179" s="94">
        <f>L154</f>
        <v>2.9000000000000001E-2</v>
      </c>
      <c r="R179" s="94">
        <f>K154</f>
        <v>5.8000000000000003E-2</v>
      </c>
    </row>
    <row r="180" spans="4:23" ht="17.25" hidden="1">
      <c r="F180" s="24" t="str">
        <f t="shared" ref="F180:H181" si="10">F156</f>
        <v>海云2A</v>
      </c>
      <c r="G180" s="24" t="str">
        <f t="shared" si="10"/>
        <v>AAA</v>
      </c>
      <c r="H180" s="92">
        <f t="shared" si="10"/>
        <v>1400</v>
      </c>
      <c r="I180" s="93">
        <v>100</v>
      </c>
      <c r="J180" s="93">
        <v>0</v>
      </c>
      <c r="K180" s="93">
        <f>I180+J180</f>
        <v>100</v>
      </c>
      <c r="L180" s="93">
        <f>T156</f>
        <v>1400</v>
      </c>
      <c r="M180" s="24" t="s">
        <v>236</v>
      </c>
      <c r="N180" s="70">
        <f>P156</f>
        <v>45867</v>
      </c>
      <c r="O180" s="24" t="s">
        <v>251</v>
      </c>
      <c r="P180" s="24" t="s">
        <v>252</v>
      </c>
      <c r="Q180" s="94">
        <f>L156</f>
        <v>3.5000000000000003E-2</v>
      </c>
      <c r="R180" s="94">
        <f>K156</f>
        <v>3.5000000000000003E-2</v>
      </c>
    </row>
    <row r="181" spans="4:23" ht="17.25" hidden="1">
      <c r="F181" s="24" t="str">
        <f t="shared" si="10"/>
        <v>海云2B</v>
      </c>
      <c r="G181" s="24" t="str">
        <f t="shared" si="10"/>
        <v>AA+</v>
      </c>
      <c r="H181" s="92">
        <f t="shared" si="10"/>
        <v>2400</v>
      </c>
      <c r="I181" s="93">
        <v>100</v>
      </c>
      <c r="J181" s="93">
        <v>0</v>
      </c>
      <c r="K181" s="93">
        <f>I181+J181</f>
        <v>100</v>
      </c>
      <c r="L181" s="93">
        <f>H181</f>
        <v>2400</v>
      </c>
      <c r="M181" s="24" t="s">
        <v>236</v>
      </c>
      <c r="N181" s="70">
        <f>P157</f>
        <v>45867</v>
      </c>
      <c r="O181" s="24" t="s">
        <v>251</v>
      </c>
      <c r="P181" s="24" t="s">
        <v>252</v>
      </c>
      <c r="Q181" s="94">
        <f>L157</f>
        <v>0.04</v>
      </c>
      <c r="R181" s="94">
        <f>K157</f>
        <v>3.9E-2</v>
      </c>
    </row>
    <row r="182" spans="4:23" ht="17.25" hidden="1">
      <c r="F182" s="24" t="str">
        <f>F158</f>
        <v>25OCC1B</v>
      </c>
      <c r="G182" s="24" t="str">
        <f>G158</f>
        <v>AA+</v>
      </c>
      <c r="H182" s="92">
        <v>600</v>
      </c>
      <c r="I182" s="93">
        <v>100</v>
      </c>
      <c r="J182" s="93">
        <v>0</v>
      </c>
      <c r="K182" s="93">
        <f>I182+J182</f>
        <v>100</v>
      </c>
      <c r="L182" s="93">
        <f>H182</f>
        <v>600</v>
      </c>
      <c r="M182" s="24" t="s">
        <v>236</v>
      </c>
      <c r="N182" s="70">
        <f>P158</f>
        <v>45862</v>
      </c>
      <c r="O182" s="24" t="s">
        <v>251</v>
      </c>
      <c r="P182" s="24" t="s">
        <v>250</v>
      </c>
      <c r="Q182" s="94">
        <f>L158</f>
        <v>3.3000000000000002E-2</v>
      </c>
      <c r="R182" s="94">
        <f>K158</f>
        <v>3.3000000000000002E-2</v>
      </c>
    </row>
    <row r="183" spans="4:23" ht="17.25" hidden="1">
      <c r="H183" s="92"/>
    </row>
    <row r="184" spans="4:23" ht="17.25" hidden="1">
      <c r="D184" s="24" t="s">
        <v>253</v>
      </c>
      <c r="E184" s="24" t="s">
        <v>254</v>
      </c>
      <c r="F184" s="24" t="s">
        <v>255</v>
      </c>
      <c r="G184" s="24" t="s">
        <v>256</v>
      </c>
      <c r="H184" s="95" t="s">
        <v>257</v>
      </c>
      <c r="I184" s="95" t="s">
        <v>258</v>
      </c>
      <c r="J184" s="95" t="s">
        <v>259</v>
      </c>
      <c r="K184" s="95" t="s">
        <v>260</v>
      </c>
      <c r="L184" s="95" t="s">
        <v>261</v>
      </c>
      <c r="M184" s="96" t="s">
        <v>262</v>
      </c>
      <c r="N184" s="96" t="s">
        <v>258</v>
      </c>
      <c r="O184" s="97" t="s">
        <v>259</v>
      </c>
      <c r="P184" s="96" t="s">
        <v>260</v>
      </c>
      <c r="Q184" s="96" t="s">
        <v>261</v>
      </c>
      <c r="R184" s="96"/>
      <c r="S184" s="98" t="s">
        <v>263</v>
      </c>
      <c r="T184" s="24" t="s">
        <v>264</v>
      </c>
      <c r="U184" s="24"/>
    </row>
    <row r="185" spans="4:23" ht="17.25" hidden="1">
      <c r="D185" s="54">
        <v>1500</v>
      </c>
      <c r="E185" s="24" t="s">
        <v>265</v>
      </c>
      <c r="F185" s="24" t="s">
        <v>266</v>
      </c>
      <c r="G185" s="68" t="s">
        <v>267</v>
      </c>
      <c r="H185" s="70">
        <v>45860</v>
      </c>
      <c r="I185" s="99">
        <v>103.55</v>
      </c>
      <c r="J185" s="99">
        <v>103.95959999999999</v>
      </c>
      <c r="K185" s="100">
        <f>D185*I185*100</f>
        <v>15532500</v>
      </c>
      <c r="L185" s="100">
        <f>J185*D185*100</f>
        <v>15593940</v>
      </c>
      <c r="M185" s="70">
        <v>45867</v>
      </c>
      <c r="N185" s="101">
        <v>102.6</v>
      </c>
      <c r="O185" s="101">
        <v>103.1199</v>
      </c>
      <c r="P185" s="100">
        <f>D185*N185*100</f>
        <v>15390000</v>
      </c>
      <c r="Q185" s="100">
        <f>O185*D185*100</f>
        <v>15467985</v>
      </c>
      <c r="R185" s="100"/>
      <c r="S185" s="102">
        <f>L185-Q185</f>
        <v>125955</v>
      </c>
      <c r="T185" s="94">
        <v>3.4500000000000003E-2</v>
      </c>
      <c r="U185" s="103">
        <v>0.03</v>
      </c>
    </row>
    <row r="186" spans="4:23" ht="17.25" hidden="1">
      <c r="D186" s="54">
        <v>1250</v>
      </c>
      <c r="E186" s="24" t="s">
        <v>268</v>
      </c>
      <c r="F186" s="24" t="s">
        <v>269</v>
      </c>
      <c r="G186" s="68" t="s">
        <v>270</v>
      </c>
      <c r="H186" s="70">
        <v>45861</v>
      </c>
      <c r="I186" s="99">
        <v>103.124</v>
      </c>
      <c r="J186" s="99">
        <v>103.63249999999999</v>
      </c>
      <c r="K186" s="100">
        <f>D186*I186*100</f>
        <v>12890500</v>
      </c>
      <c r="L186" s="100">
        <f>J186*D186*100</f>
        <v>12954062.499999998</v>
      </c>
      <c r="M186" s="70">
        <v>45868</v>
      </c>
      <c r="N186" s="101">
        <v>102.39</v>
      </c>
      <c r="O186" s="101">
        <v>102.4952</v>
      </c>
      <c r="P186" s="100">
        <f>D186*N186*100</f>
        <v>12798750</v>
      </c>
      <c r="Q186" s="100">
        <f>O186*D186*100</f>
        <v>12811900</v>
      </c>
      <c r="R186" s="100"/>
      <c r="S186" s="102">
        <f>L186-Q186-W186*D186*100</f>
        <v>76412.499999998137</v>
      </c>
      <c r="T186" s="94">
        <v>1.34E-2</v>
      </c>
      <c r="U186" s="103">
        <v>0.03</v>
      </c>
      <c r="V186" s="15" t="s">
        <v>271</v>
      </c>
      <c r="W186" s="15">
        <v>0.52600000000000002</v>
      </c>
    </row>
    <row r="187" spans="4:23" ht="17.25" hidden="1">
      <c r="D187" s="54">
        <v>600</v>
      </c>
      <c r="E187" s="24" t="s">
        <v>272</v>
      </c>
      <c r="F187" s="24" t="s">
        <v>273</v>
      </c>
      <c r="G187" s="68" t="s">
        <v>274</v>
      </c>
      <c r="H187" s="70">
        <v>45862</v>
      </c>
      <c r="I187" s="99">
        <v>100.35</v>
      </c>
      <c r="J187" s="99">
        <v>100.46510000000001</v>
      </c>
      <c r="K187" s="100">
        <f>D187*I187*100</f>
        <v>6021000</v>
      </c>
      <c r="L187" s="100">
        <f>J187*D187*100</f>
        <v>6027906.0000000009</v>
      </c>
      <c r="M187" s="70">
        <v>45869</v>
      </c>
      <c r="N187" s="101">
        <v>100</v>
      </c>
      <c r="O187" s="101">
        <v>100.1956</v>
      </c>
      <c r="P187" s="100">
        <f>D187*N187*100</f>
        <v>6000000</v>
      </c>
      <c r="Q187" s="100">
        <f>O187*D187*100</f>
        <v>6011736</v>
      </c>
      <c r="R187" s="100"/>
      <c r="S187" s="102">
        <f>L187-Q187</f>
        <v>16170.000000000931</v>
      </c>
      <c r="T187" s="94">
        <v>4.2000000000000003E-2</v>
      </c>
      <c r="U187" s="24">
        <v>4.2</v>
      </c>
    </row>
    <row r="188" spans="4:23" ht="17.25" hidden="1">
      <c r="D188" s="54">
        <v>1000</v>
      </c>
      <c r="E188" s="24" t="s">
        <v>275</v>
      </c>
      <c r="F188" s="24" t="s">
        <v>276</v>
      </c>
      <c r="G188" s="68" t="s">
        <v>277</v>
      </c>
      <c r="H188" s="70">
        <v>45863</v>
      </c>
      <c r="I188" s="99">
        <v>102.87</v>
      </c>
      <c r="J188" s="99">
        <v>103.3372</v>
      </c>
      <c r="K188" s="100">
        <f>D188*I188*100</f>
        <v>10287000</v>
      </c>
      <c r="L188" s="100">
        <f>J188*D188*100</f>
        <v>10333720</v>
      </c>
      <c r="M188" s="70">
        <v>45870</v>
      </c>
      <c r="N188" s="101">
        <v>101.5</v>
      </c>
      <c r="O188" s="101">
        <v>101.59350000000001</v>
      </c>
      <c r="P188" s="100">
        <f>D188*N188*100</f>
        <v>10150000</v>
      </c>
      <c r="Q188" s="100">
        <f>O188*D188*100</f>
        <v>10159350</v>
      </c>
      <c r="R188" s="100"/>
      <c r="S188" s="102">
        <f>L188-Q188-W188*D188*100</f>
        <v>125110</v>
      </c>
      <c r="T188" s="94">
        <v>3.7999999999999999E-2</v>
      </c>
      <c r="U188" s="94">
        <v>2.9000000000000001E-2</v>
      </c>
      <c r="V188" s="15" t="s">
        <v>278</v>
      </c>
      <c r="W188" s="15">
        <v>0.49259999999999998</v>
      </c>
    </row>
    <row r="189" spans="4:23" ht="17.25" hidden="1">
      <c r="D189" s="24"/>
      <c r="E189" s="24"/>
      <c r="F189" s="24"/>
      <c r="G189" s="24"/>
      <c r="H189" s="24"/>
      <c r="I189" s="24"/>
      <c r="J189" s="24"/>
      <c r="K189" s="24"/>
      <c r="L189" s="24"/>
      <c r="M189" s="24"/>
      <c r="N189" s="24"/>
      <c r="O189" s="24"/>
      <c r="P189" s="24"/>
      <c r="Q189" s="24" t="s">
        <v>279</v>
      </c>
      <c r="R189" s="24"/>
      <c r="S189" s="102">
        <f>SUM(S185:S188)</f>
        <v>343647.49999999907</v>
      </c>
    </row>
    <row r="190" spans="4:23" hidden="1">
      <c r="J190" s="25"/>
      <c r="K190" s="25"/>
      <c r="L190" s="25"/>
      <c r="S190" s="104"/>
      <c r="W190" s="44"/>
    </row>
    <row r="191" spans="4:23" ht="17.25" hidden="1">
      <c r="I191" s="92"/>
      <c r="J191" s="25"/>
      <c r="K191" s="25"/>
      <c r="L191" s="25"/>
      <c r="S191" s="104"/>
    </row>
    <row r="192" spans="4:23" ht="17.25" hidden="1">
      <c r="H192" s="15" t="s">
        <v>280</v>
      </c>
      <c r="I192" s="92"/>
      <c r="J192" s="25"/>
      <c r="K192" s="25"/>
      <c r="L192" s="25"/>
      <c r="Q192" s="15" t="s">
        <v>281</v>
      </c>
      <c r="S192" s="102">
        <v>346013.68</v>
      </c>
    </row>
    <row r="193" spans="2:19" hidden="1">
      <c r="D193" s="64"/>
      <c r="E193" s="64"/>
      <c r="F193" s="64"/>
      <c r="G193" s="64"/>
      <c r="H193" s="15" t="s">
        <v>282</v>
      </c>
      <c r="I193" s="64"/>
      <c r="J193" s="64"/>
      <c r="K193" s="64"/>
      <c r="L193" s="64"/>
      <c r="M193" s="64"/>
      <c r="N193" s="64"/>
      <c r="O193" s="64"/>
      <c r="P193" s="64"/>
      <c r="Q193" s="64"/>
      <c r="R193" s="64"/>
      <c r="S193" s="64"/>
    </row>
    <row r="194" spans="2:19" hidden="1">
      <c r="D194" s="64"/>
      <c r="E194" s="64"/>
      <c r="F194" s="64"/>
      <c r="G194" s="64"/>
      <c r="H194" s="64"/>
      <c r="I194" s="64"/>
      <c r="J194" s="64"/>
      <c r="K194" s="64"/>
      <c r="L194" s="64"/>
      <c r="M194" s="64"/>
      <c r="N194" s="64"/>
      <c r="O194" s="64"/>
      <c r="P194" s="64"/>
      <c r="Q194" s="64"/>
      <c r="R194" s="64"/>
      <c r="S194" s="105">
        <f>S192-S189</f>
        <v>2366.1800000009243</v>
      </c>
    </row>
    <row r="195" spans="2:19">
      <c r="D195" s="64"/>
      <c r="E195" s="64"/>
      <c r="F195" s="64"/>
      <c r="G195" s="64"/>
      <c r="H195" s="64"/>
      <c r="I195" s="64"/>
      <c r="J195" s="64"/>
      <c r="K195" s="64"/>
      <c r="L195" s="64"/>
      <c r="M195" s="26">
        <f>F82</f>
        <v>46006</v>
      </c>
      <c r="N195" s="15">
        <f>-H82</f>
        <v>-100.8082</v>
      </c>
      <c r="O195" s="64"/>
      <c r="P195" s="64"/>
      <c r="Q195" s="64"/>
      <c r="R195" s="64"/>
      <c r="S195" s="64"/>
    </row>
    <row r="196" spans="2:19">
      <c r="D196" s="64"/>
      <c r="E196" s="64"/>
      <c r="F196" s="64"/>
      <c r="G196" s="64"/>
      <c r="I196" s="64"/>
      <c r="J196" s="64"/>
      <c r="K196" s="64"/>
      <c r="L196" s="64"/>
      <c r="M196" s="26">
        <v>46036</v>
      </c>
      <c r="N196" s="15">
        <f>M82</f>
        <v>0.97534246575342465</v>
      </c>
      <c r="O196" s="64"/>
      <c r="P196" s="64"/>
      <c r="Q196" s="64"/>
      <c r="R196" s="64"/>
      <c r="S196" s="64"/>
    </row>
    <row r="197" spans="2:19">
      <c r="M197" s="26">
        <f>P82</f>
        <v>46083</v>
      </c>
      <c r="N197" s="106">
        <f>O82</f>
        <v>100.7898449671233</v>
      </c>
    </row>
    <row r="198" spans="2:19">
      <c r="C198" s="15" t="s">
        <v>1484</v>
      </c>
      <c r="D198" s="15" t="s">
        <v>1485</v>
      </c>
      <c r="G198" s="15" t="s">
        <v>283</v>
      </c>
      <c r="H198" s="15" t="s">
        <v>284</v>
      </c>
    </row>
    <row r="199" spans="2:19">
      <c r="B199" s="408" t="s">
        <v>1812</v>
      </c>
      <c r="C199" s="205">
        <f>XIRR(C200:C204,B200:B204)</f>
        <v>7.2330942749977117E-2</v>
      </c>
      <c r="D199" s="55">
        <f>XIRR(D204:D205,B204:B205)</f>
        <v>2.8710088133811956E-2</v>
      </c>
      <c r="F199" s="15" t="str">
        <f>B58</f>
        <v>24京能3号ABN001次</v>
      </c>
      <c r="G199" s="55">
        <f>XIRR(G200:G202,F200:F202)</f>
        <v>7.2655829787254336E-2</v>
      </c>
      <c r="H199" s="55">
        <f>XIRR(H202:H204,F202:F204)</f>
        <v>5.6209364533424386E-2</v>
      </c>
      <c r="J199" s="55">
        <f>XIRR(J200:J203,I200:I203)</f>
        <v>7.3208978772163411E-2</v>
      </c>
      <c r="K199" s="55">
        <f>XIRR(K203:K204,I203:I204)</f>
        <v>1.0476818680763247E-2</v>
      </c>
      <c r="M199" s="15" t="str">
        <f>B40</f>
        <v xml:space="preserve">铁建051C </v>
      </c>
      <c r="N199" s="55">
        <f>XIRR(N200:N201,M200:M201)</f>
        <v>5.9975841641426081E-2</v>
      </c>
      <c r="O199" s="55">
        <f>XIRR(O201:O203,M201:M203)</f>
        <v>7.0769366621971128E-2</v>
      </c>
      <c r="Q199" s="55">
        <f>XIRR(Q201:Q203,P201:P203)</f>
        <v>6.2351551651954648E-2</v>
      </c>
    </row>
    <row r="200" spans="2:19">
      <c r="B200" s="26">
        <f>F200</f>
        <v>45867</v>
      </c>
      <c r="C200" s="106">
        <f>G200</f>
        <v>-101.0712</v>
      </c>
      <c r="F200" s="26">
        <v>45867</v>
      </c>
      <c r="G200" s="106">
        <v>-101.0712</v>
      </c>
      <c r="H200" s="106"/>
      <c r="I200" s="26">
        <f>F200</f>
        <v>45867</v>
      </c>
      <c r="J200" s="106">
        <f>G200</f>
        <v>-101.0712</v>
      </c>
      <c r="M200" s="26">
        <f>F40</f>
        <v>45882</v>
      </c>
      <c r="N200" s="15">
        <f>-H40</f>
        <v>-109</v>
      </c>
    </row>
    <row r="201" spans="2:19">
      <c r="B201" s="26">
        <f>F201</f>
        <v>45896</v>
      </c>
      <c r="C201" s="106">
        <f>G201</f>
        <v>1.7465999999999999</v>
      </c>
      <c r="F201" s="26">
        <v>45896</v>
      </c>
      <c r="G201" s="106">
        <v>1.7465999999999999</v>
      </c>
      <c r="H201" s="106"/>
      <c r="I201" s="26">
        <f>F201</f>
        <v>45896</v>
      </c>
      <c r="J201" s="106">
        <f>G201</f>
        <v>1.7465999999999999</v>
      </c>
      <c r="M201" s="26">
        <f>P46</f>
        <v>45953</v>
      </c>
      <c r="N201" s="15">
        <v>110.242</v>
      </c>
      <c r="O201" s="15">
        <f>-N201</f>
        <v>-110.242</v>
      </c>
      <c r="P201" s="26">
        <f>P43</f>
        <v>45926</v>
      </c>
      <c r="Q201" s="15">
        <f>-109.778</f>
        <v>-109.77800000000001</v>
      </c>
    </row>
    <row r="202" spans="2:19">
      <c r="B202" s="26">
        <f>F203</f>
        <v>45996</v>
      </c>
      <c r="C202" s="265">
        <f>J202</f>
        <v>2.3288000000000002</v>
      </c>
      <c r="F202" s="26">
        <f>F58</f>
        <v>45908</v>
      </c>
      <c r="G202" s="106">
        <f>H58</f>
        <v>100.12</v>
      </c>
      <c r="H202" s="106">
        <f>-G202</f>
        <v>-100.12</v>
      </c>
      <c r="I202" s="26">
        <f>F203</f>
        <v>45996</v>
      </c>
      <c r="J202" s="15">
        <f>G203</f>
        <v>2.3288000000000002</v>
      </c>
      <c r="M202" s="26">
        <v>45959</v>
      </c>
      <c r="N202" s="15">
        <v>2.6030000000000002</v>
      </c>
      <c r="O202" s="15">
        <f>N202</f>
        <v>2.6030000000000002</v>
      </c>
      <c r="P202" s="26">
        <f>M202</f>
        <v>45959</v>
      </c>
      <c r="Q202" s="15">
        <f>O202</f>
        <v>2.6030000000000002</v>
      </c>
    </row>
    <row r="203" spans="2:19">
      <c r="B203" s="26">
        <v>46108</v>
      </c>
      <c r="C203" s="265">
        <v>2.6082000000000001</v>
      </c>
      <c r="D203" s="44"/>
      <c r="F203" s="26">
        <v>45996</v>
      </c>
      <c r="G203" s="15">
        <v>2.3288000000000002</v>
      </c>
      <c r="H203" s="107">
        <f>G203</f>
        <v>2.3288000000000002</v>
      </c>
      <c r="I203" s="26">
        <v>46021</v>
      </c>
      <c r="J203" s="25">
        <v>100</v>
      </c>
      <c r="K203" s="25">
        <f>-J203</f>
        <v>-100</v>
      </c>
      <c r="M203" s="26">
        <v>45965</v>
      </c>
      <c r="N203" s="56">
        <f>-N200*6%/365*(M203-M200)+109-N202</f>
        <v>107.88417808219178</v>
      </c>
      <c r="O203" s="56">
        <f>N203</f>
        <v>107.88417808219178</v>
      </c>
      <c r="P203" s="26">
        <f>M203</f>
        <v>45965</v>
      </c>
      <c r="Q203" s="56">
        <f>O203</f>
        <v>107.88417808219178</v>
      </c>
    </row>
    <row r="204" spans="2:19">
      <c r="B204" s="26">
        <v>46122</v>
      </c>
      <c r="C204" s="333">
        <v>99.3</v>
      </c>
      <c r="D204" s="44">
        <f>-C204</f>
        <v>-99.3</v>
      </c>
      <c r="E204" s="265"/>
      <c r="F204" s="26">
        <v>46063</v>
      </c>
      <c r="G204" s="15">
        <f>-G200*(1+6%/365*(F204-F200))-G201-G203</f>
        <v>100.25223099178083</v>
      </c>
      <c r="H204" s="107">
        <v>100.12</v>
      </c>
      <c r="I204" s="26">
        <v>46063</v>
      </c>
      <c r="J204" s="57">
        <f>-J200*(1+6%/365*(I204-I200))-J201-J202</f>
        <v>100.25223099178083</v>
      </c>
      <c r="K204" s="57">
        <f>H204</f>
        <v>100.12</v>
      </c>
      <c r="M204" s="26"/>
      <c r="N204" s="56"/>
      <c r="O204" s="56"/>
      <c r="P204" s="26"/>
      <c r="Q204" s="56"/>
    </row>
    <row r="205" spans="2:19">
      <c r="B205" s="26">
        <v>46198</v>
      </c>
      <c r="C205" s="265">
        <f>-C200*(1+6%/365*(B205-B200))-SUM(C201:C203)</f>
        <v>99.886980909589042</v>
      </c>
      <c r="D205" s="44">
        <f>C205</f>
        <v>99.886980909589042</v>
      </c>
      <c r="E205" s="265"/>
      <c r="F205" s="26"/>
      <c r="H205" s="107"/>
      <c r="M205" s="26"/>
      <c r="N205" s="56"/>
      <c r="O205" s="56"/>
      <c r="P205" s="26"/>
      <c r="Q205" s="56"/>
    </row>
    <row r="207" spans="2:19">
      <c r="F207" s="15" t="str">
        <f>B53</f>
        <v>24京能3号ABN001次</v>
      </c>
      <c r="G207" s="55">
        <f>XIRR(G208:G210,F208:F210)</f>
        <v>5.9966787695884691E-2</v>
      </c>
      <c r="I207" s="265"/>
      <c r="J207" s="335"/>
    </row>
    <row r="208" spans="2:19">
      <c r="F208" s="26">
        <f>F53</f>
        <v>45903</v>
      </c>
      <c r="G208" s="15">
        <f>-H53</f>
        <v>-100.16289999999999</v>
      </c>
      <c r="M208" s="15" t="str">
        <f>B37</f>
        <v>铁建081C</v>
      </c>
      <c r="N208" s="108">
        <f>XIRR(N209:N212,M209:M212)</f>
        <v>4.9819120764732355E-2</v>
      </c>
    </row>
    <row r="209" spans="6:16">
      <c r="F209" s="26">
        <v>45960</v>
      </c>
      <c r="G209" s="15">
        <v>101.078</v>
      </c>
      <c r="M209" s="26">
        <f>F37</f>
        <v>45832</v>
      </c>
      <c r="N209" s="15">
        <f>-H37</f>
        <v>-100</v>
      </c>
      <c r="P209" s="26">
        <f>M209</f>
        <v>45832</v>
      </c>
    </row>
    <row r="210" spans="6:16">
      <c r="M210" s="26">
        <v>45958</v>
      </c>
      <c r="N210" s="15">
        <v>1.726</v>
      </c>
      <c r="P210" s="26">
        <f>M210</f>
        <v>45958</v>
      </c>
    </row>
    <row r="211" spans="6:16">
      <c r="F211" s="15" t="str">
        <f>B60</f>
        <v>23和赢易鑫ABN004BC优先B</v>
      </c>
      <c r="G211" s="55">
        <f>XIRR(G212:G214,F212:F214)</f>
        <v>3.2638677954673762E-2</v>
      </c>
      <c r="M211" s="26">
        <v>46044</v>
      </c>
      <c r="N211" s="56">
        <v>1.1780999999999999</v>
      </c>
      <c r="P211" s="26">
        <f>M211</f>
        <v>46044</v>
      </c>
    </row>
    <row r="212" spans="6:16">
      <c r="F212" s="26">
        <f>F60</f>
        <v>45926</v>
      </c>
      <c r="G212" s="15">
        <f>-H212-I212</f>
        <v>-102.22605</v>
      </c>
      <c r="H212" s="15">
        <v>0.49314999999999998</v>
      </c>
      <c r="I212" s="15">
        <v>101.7329</v>
      </c>
      <c r="M212" s="26">
        <v>46050</v>
      </c>
      <c r="N212" s="56">
        <v>100.02</v>
      </c>
      <c r="P212" s="26">
        <f>M212</f>
        <v>46050</v>
      </c>
    </row>
    <row r="213" spans="6:16">
      <c r="F213" s="26">
        <v>45927</v>
      </c>
      <c r="G213" s="15">
        <v>0.50960000000000005</v>
      </c>
      <c r="H213" s="15" t="s">
        <v>285</v>
      </c>
      <c r="I213" s="15" t="s">
        <v>258</v>
      </c>
    </row>
    <row r="214" spans="6:16">
      <c r="F214" s="26">
        <v>45952</v>
      </c>
      <c r="G214" s="15">
        <f>-G212*(1+3.2%/365*(F214-F212))-G213</f>
        <v>101.94946937972604</v>
      </c>
      <c r="H214" s="15">
        <f>ROUND(100*6%/365*(F214-F213),5)</f>
        <v>0.41095999999999999</v>
      </c>
      <c r="I214" s="15">
        <f>G214-H214</f>
        <v>101.53850937972604</v>
      </c>
    </row>
    <row r="215" spans="6:16">
      <c r="F215" s="45"/>
    </row>
    <row r="216" spans="6:16">
      <c r="F216" s="15" t="str">
        <f>B36</f>
        <v>23和赢易鑫ABN002BC优先B</v>
      </c>
      <c r="G216" s="55">
        <f>XIRR(G217:G223,F217:F223)</f>
        <v>3.4958449006080639E-2</v>
      </c>
      <c r="M216" s="15" t="str">
        <f>B64</f>
        <v>25东裕7叔裕ABN001次</v>
      </c>
      <c r="N216" s="205">
        <f>XIRR(N217:N218,M217:M218)</f>
        <v>4.5705887675285342E-2</v>
      </c>
    </row>
    <row r="217" spans="6:16">
      <c r="F217" s="26">
        <f>F36</f>
        <v>45835</v>
      </c>
      <c r="G217" s="25">
        <f>-H36</f>
        <v>-101.07599999999999</v>
      </c>
      <c r="M217" s="26">
        <f>F64</f>
        <v>45944</v>
      </c>
      <c r="N217" s="15">
        <f>-H64</f>
        <v>-101.83920000000001</v>
      </c>
    </row>
    <row r="218" spans="6:16">
      <c r="F218" s="26">
        <v>45866</v>
      </c>
      <c r="G218" s="25">
        <v>0.50139999999999996</v>
      </c>
      <c r="M218" s="26">
        <f>P64</f>
        <v>46056</v>
      </c>
      <c r="N218" s="106">
        <f>O64</f>
        <v>103.24541799452055</v>
      </c>
    </row>
    <row r="219" spans="6:16">
      <c r="F219" s="26">
        <v>45896</v>
      </c>
      <c r="G219" s="25">
        <v>6.4581</v>
      </c>
      <c r="M219" s="26">
        <f>P65</f>
        <v>46063</v>
      </c>
    </row>
    <row r="220" spans="6:16">
      <c r="F220" s="26">
        <v>45928</v>
      </c>
      <c r="G220" s="25">
        <v>17.3673</v>
      </c>
    </row>
    <row r="221" spans="6:16">
      <c r="F221" s="26">
        <v>45957</v>
      </c>
      <c r="G221" s="25">
        <v>17.027000000000001</v>
      </c>
    </row>
    <row r="222" spans="6:16">
      <c r="F222" s="26">
        <v>45988</v>
      </c>
      <c r="G222" s="15">
        <v>17.093599999999999</v>
      </c>
    </row>
    <row r="223" spans="6:16">
      <c r="F223" s="26">
        <v>46011</v>
      </c>
      <c r="G223" s="15">
        <v>43.98</v>
      </c>
      <c r="H223" s="15" t="s">
        <v>286</v>
      </c>
      <c r="I223" s="15">
        <v>43.76</v>
      </c>
    </row>
    <row r="224" spans="6:16">
      <c r="H224" s="15" t="s">
        <v>169</v>
      </c>
      <c r="I224" s="15">
        <f>I223*6.1%/365*(F223-F222)</f>
        <v>0.16820624657534244</v>
      </c>
    </row>
    <row r="225" spans="2:15">
      <c r="G225" s="55">
        <f>XIRR(G226:G229,F226:F229)</f>
        <v>3.4780237078666676E-2</v>
      </c>
      <c r="H225" s="15" t="s">
        <v>258</v>
      </c>
      <c r="I225" s="25">
        <f>G223-I224</f>
        <v>43.811793753424652</v>
      </c>
    </row>
    <row r="226" spans="2:15">
      <c r="F226" s="26">
        <f>F223</f>
        <v>46011</v>
      </c>
      <c r="G226" s="15">
        <v>-44.04</v>
      </c>
      <c r="I226" s="15">
        <f>I223</f>
        <v>43.76</v>
      </c>
    </row>
    <row r="227" spans="2:15">
      <c r="F227" s="26">
        <v>46018</v>
      </c>
      <c r="G227" s="25">
        <f>I226*6.1%/365*(F227-F222)+H227</f>
        <v>16.219399452054795</v>
      </c>
      <c r="H227" s="15">
        <v>16</v>
      </c>
      <c r="I227" s="15">
        <f>I226-H227</f>
        <v>27.759999999999998</v>
      </c>
    </row>
    <row r="228" spans="2:15">
      <c r="F228" s="26">
        <v>46049</v>
      </c>
      <c r="G228" s="25">
        <f>I227*6.1%/365*(F228-F227)+H228</f>
        <v>16.143819616438357</v>
      </c>
      <c r="H228" s="15">
        <v>16</v>
      </c>
      <c r="I228" s="15">
        <f>I227-H228</f>
        <v>11.759999999999998</v>
      </c>
    </row>
    <row r="229" spans="2:15">
      <c r="F229" s="26">
        <v>46080</v>
      </c>
      <c r="G229" s="25">
        <f>I228*6.1%/365*(F229-F228)+H229</f>
        <v>11.820926465753423</v>
      </c>
      <c r="H229" s="15">
        <f>I228</f>
        <v>11.759999999999998</v>
      </c>
    </row>
    <row r="232" spans="2:15" s="391" customFormat="1">
      <c r="B232" s="382" t="s">
        <v>105</v>
      </c>
      <c r="C232" s="385">
        <f>XIRR(C233:C242,B233:B242)</f>
        <v>3.5039880871772761E-2</v>
      </c>
      <c r="E232" s="382" t="s">
        <v>106</v>
      </c>
      <c r="F232" s="385">
        <f>XIRR(F233:F242,E233:E242)</f>
        <v>3.5049512982368469E-2</v>
      </c>
      <c r="H232" s="382" t="s">
        <v>72</v>
      </c>
      <c r="I232" s="385">
        <f>XIRR(I233:I246,H233:H246)</f>
        <v>3.5087290406227115E-2</v>
      </c>
      <c r="K232" s="391" t="s">
        <v>53</v>
      </c>
      <c r="L232" s="385">
        <f>XIRR(L233:L242,K233:K242)</f>
        <v>3.5013636946678153E-2</v>
      </c>
      <c r="M232" s="385"/>
      <c r="N232" s="391" t="s">
        <v>2466</v>
      </c>
      <c r="O232" s="385">
        <f>XIRR(O233:O243,N233:N243)</f>
        <v>3.4992280602455142E-2</v>
      </c>
    </row>
    <row r="233" spans="2:15" s="391" customFormat="1">
      <c r="B233" s="387">
        <v>45881</v>
      </c>
      <c r="C233" s="388">
        <v>-102.928</v>
      </c>
      <c r="E233" s="387">
        <v>45867</v>
      </c>
      <c r="F233" s="388">
        <v>-101.85</v>
      </c>
      <c r="H233" s="383">
        <v>45904</v>
      </c>
      <c r="I233" s="384">
        <v>-602.22293999999999</v>
      </c>
      <c r="K233" s="466">
        <v>45867</v>
      </c>
      <c r="L233" s="391">
        <v>-101.88451999999999</v>
      </c>
      <c r="N233" s="466">
        <v>45867</v>
      </c>
      <c r="O233" s="391">
        <v>-101.88451999999999</v>
      </c>
    </row>
    <row r="234" spans="2:15" s="391" customFormat="1">
      <c r="B234" s="387">
        <v>45896</v>
      </c>
      <c r="C234" s="390">
        <v>0.43739726168224302</v>
      </c>
      <c r="E234" s="387">
        <v>45895</v>
      </c>
      <c r="F234" s="390">
        <v>0.35671233000000002</v>
      </c>
      <c r="G234" s="392"/>
      <c r="H234" s="383">
        <v>46010</v>
      </c>
      <c r="I234" s="384">
        <v>-1422.8065600000002</v>
      </c>
      <c r="K234" s="466">
        <v>45895.000497685185</v>
      </c>
      <c r="L234" s="467">
        <v>0.35671233000000002</v>
      </c>
      <c r="M234" s="392"/>
      <c r="N234" s="466">
        <v>45895.000497685185</v>
      </c>
      <c r="O234" s="305">
        <v>0.35670000000000002</v>
      </c>
    </row>
    <row r="235" spans="2:15" s="391" customFormat="1">
      <c r="B235" s="387">
        <v>45927</v>
      </c>
      <c r="C235" s="390">
        <v>0.43739726168224302</v>
      </c>
      <c r="E235" s="387">
        <v>45926</v>
      </c>
      <c r="F235" s="390">
        <v>0.35671233000000002</v>
      </c>
      <c r="H235" s="383">
        <v>45804</v>
      </c>
      <c r="I235" s="384">
        <v>0</v>
      </c>
      <c r="K235" s="466">
        <v>45926.000497685185</v>
      </c>
      <c r="L235" s="467">
        <v>0.35671233000000002</v>
      </c>
      <c r="M235" s="392"/>
      <c r="N235" s="466">
        <v>45926.000497685185</v>
      </c>
      <c r="O235" s="305">
        <v>0.35670000000000002</v>
      </c>
    </row>
    <row r="236" spans="2:15" s="391" customFormat="1">
      <c r="B236" s="387">
        <v>45957</v>
      </c>
      <c r="C236" s="390">
        <v>0.42328767289719627</v>
      </c>
      <c r="E236" s="387">
        <v>45957</v>
      </c>
      <c r="F236" s="390">
        <v>0.34520547999999995</v>
      </c>
      <c r="H236" s="383">
        <v>45835</v>
      </c>
      <c r="I236" s="384">
        <v>0</v>
      </c>
      <c r="K236" s="466">
        <v>45957.000497685185</v>
      </c>
      <c r="L236" s="467">
        <v>0.34520547999999995</v>
      </c>
      <c r="M236" s="392"/>
      <c r="N236" s="466">
        <v>45957.000497685185</v>
      </c>
      <c r="O236" s="305">
        <v>0.34520000000000001</v>
      </c>
    </row>
    <row r="237" spans="2:15" s="391" customFormat="1">
      <c r="B237" s="387">
        <v>45988</v>
      </c>
      <c r="C237" s="390">
        <v>0.43739726168224302</v>
      </c>
      <c r="E237" s="387">
        <v>45987</v>
      </c>
      <c r="F237" s="390">
        <v>0.35671233000000002</v>
      </c>
      <c r="H237" s="383">
        <v>45865</v>
      </c>
      <c r="I237" s="384">
        <v>0</v>
      </c>
      <c r="K237" s="466">
        <v>45987.000497685185</v>
      </c>
      <c r="L237" s="467">
        <v>0.35671233000000002</v>
      </c>
      <c r="M237" s="392"/>
      <c r="N237" s="466">
        <v>45987.000497685185</v>
      </c>
      <c r="O237" s="305">
        <v>0.35670000000000002</v>
      </c>
    </row>
    <row r="238" spans="2:15" s="391" customFormat="1">
      <c r="B238" s="387">
        <v>46018</v>
      </c>
      <c r="C238" s="390">
        <v>0.42328767289719627</v>
      </c>
      <c r="E238" s="387">
        <v>46017</v>
      </c>
      <c r="F238" s="390">
        <v>0.34520547999999995</v>
      </c>
      <c r="H238" s="383">
        <v>45896</v>
      </c>
      <c r="I238" s="384">
        <v>0</v>
      </c>
      <c r="K238" s="466">
        <v>46017.000497685185</v>
      </c>
      <c r="L238" s="467">
        <v>0.34520547999999995</v>
      </c>
      <c r="M238" s="392"/>
      <c r="N238" s="466">
        <v>46017.000497685185</v>
      </c>
      <c r="O238" s="305">
        <v>0.34520000000000001</v>
      </c>
    </row>
    <row r="239" spans="2:15" s="391" customFormat="1">
      <c r="B239" s="387">
        <v>46049</v>
      </c>
      <c r="C239" s="390">
        <v>0.43739726168224302</v>
      </c>
      <c r="E239" s="387">
        <v>46048</v>
      </c>
      <c r="F239" s="390">
        <v>0.35671233000000002</v>
      </c>
      <c r="H239" s="383">
        <v>45927</v>
      </c>
      <c r="I239" s="384">
        <v>1.9364383584905662</v>
      </c>
      <c r="K239" s="466">
        <v>46048.000497685185</v>
      </c>
      <c r="L239" s="467">
        <v>0.35671233000000002</v>
      </c>
      <c r="M239" s="392"/>
      <c r="N239" s="466">
        <v>46048.000497685185</v>
      </c>
      <c r="O239" s="305">
        <v>0.35670000000000002</v>
      </c>
    </row>
    <row r="240" spans="2:15" s="391" customFormat="1">
      <c r="B240" s="387">
        <v>46080</v>
      </c>
      <c r="C240" s="390">
        <v>0.43739726168224302</v>
      </c>
      <c r="E240" s="387">
        <v>46079</v>
      </c>
      <c r="F240" s="390">
        <v>0.35671233000000002</v>
      </c>
      <c r="H240" s="383">
        <v>45957</v>
      </c>
      <c r="I240" s="384">
        <v>1.8739725849056603</v>
      </c>
      <c r="K240" s="466">
        <v>46079.000497685185</v>
      </c>
      <c r="L240" s="467">
        <v>0.35671233000000002</v>
      </c>
      <c r="M240" s="392"/>
      <c r="N240" s="466">
        <v>46079.000497685185</v>
      </c>
      <c r="O240" s="305">
        <v>0.35670000000000002</v>
      </c>
    </row>
    <row r="241" spans="2:16" s="391" customFormat="1">
      <c r="B241" s="387">
        <v>46108</v>
      </c>
      <c r="C241" s="390">
        <v>0.39506849532710275</v>
      </c>
      <c r="E241" s="387">
        <v>46107</v>
      </c>
      <c r="F241" s="390">
        <v>0.32219177999999998</v>
      </c>
      <c r="H241" s="383">
        <v>45988</v>
      </c>
      <c r="I241" s="384">
        <v>1.9364383584905662</v>
      </c>
      <c r="K241" s="466">
        <v>46107.000497685185</v>
      </c>
      <c r="L241" s="467">
        <v>0.32219178000000004</v>
      </c>
      <c r="M241" s="392"/>
      <c r="N241" s="466">
        <v>46107.000497685185</v>
      </c>
      <c r="O241" s="305">
        <v>0.32219999999999999</v>
      </c>
    </row>
    <row r="242" spans="2:16" s="391" customFormat="1">
      <c r="B242" s="387">
        <v>46122</v>
      </c>
      <c r="C242" s="389">
        <v>101.82753424657534</v>
      </c>
      <c r="E242" s="387">
        <v>46122</v>
      </c>
      <c r="F242" s="389">
        <v>101.50260273972603</v>
      </c>
      <c r="H242" s="383">
        <v>46018</v>
      </c>
      <c r="I242" s="384">
        <v>6.246575283018867</v>
      </c>
      <c r="K242" s="466">
        <v>46135</v>
      </c>
      <c r="L242" s="467">
        <v>101.66</v>
      </c>
      <c r="N242" s="466">
        <v>46139</v>
      </c>
      <c r="O242" s="391">
        <v>0.35670000000000002</v>
      </c>
    </row>
    <row r="243" spans="2:16" s="391" customFormat="1">
      <c r="H243" s="383">
        <v>46049</v>
      </c>
      <c r="I243" s="384">
        <v>6.4547945283018864</v>
      </c>
      <c r="K243" s="466"/>
      <c r="N243" s="466">
        <v>46162</v>
      </c>
      <c r="O243" s="467">
        <v>101.56</v>
      </c>
      <c r="P243" s="541">
        <f>O243-4.2*(N243-N242)/365</f>
        <v>101.29534246575342</v>
      </c>
    </row>
    <row r="244" spans="2:16" s="391" customFormat="1">
      <c r="B244" s="396" t="s">
        <v>528</v>
      </c>
      <c r="C244" s="392">
        <f>C242</f>
        <v>101.82753424657534</v>
      </c>
      <c r="E244" s="396" t="s">
        <v>528</v>
      </c>
      <c r="F244" s="392">
        <f>F242</f>
        <v>101.50260273972603</v>
      </c>
      <c r="H244" s="383">
        <v>46080</v>
      </c>
      <c r="I244" s="384">
        <v>6.4547945283018864</v>
      </c>
      <c r="K244" s="466"/>
    </row>
    <row r="245" spans="2:16" s="391" customFormat="1">
      <c r="B245" s="396" t="s">
        <v>527</v>
      </c>
      <c r="C245" s="393">
        <v>101.63</v>
      </c>
      <c r="E245" s="396" t="s">
        <v>527</v>
      </c>
      <c r="F245" s="393">
        <v>101.33</v>
      </c>
      <c r="H245" s="383">
        <v>46108</v>
      </c>
      <c r="I245" s="384">
        <v>5.8301369811320765</v>
      </c>
      <c r="K245" s="466"/>
    </row>
    <row r="246" spans="2:16" s="391" customFormat="1">
      <c r="B246" s="396" t="s">
        <v>1734</v>
      </c>
      <c r="C246" s="395">
        <v>102.0795</v>
      </c>
      <c r="E246" s="396" t="s">
        <v>1734</v>
      </c>
      <c r="F246" s="395">
        <v>101.6631</v>
      </c>
      <c r="H246" s="383">
        <v>46122</v>
      </c>
      <c r="I246" s="384">
        <v>2021.7350684931507</v>
      </c>
      <c r="K246" s="466"/>
    </row>
    <row r="247" spans="2:16" s="391" customFormat="1">
      <c r="K247" s="466"/>
    </row>
    <row r="248" spans="2:16" s="391" customFormat="1">
      <c r="H248" s="396" t="s">
        <v>528</v>
      </c>
      <c r="I248" s="395">
        <v>101.08675342465754</v>
      </c>
    </row>
    <row r="249" spans="2:16" ht="17.25">
      <c r="H249" s="396" t="s">
        <v>527</v>
      </c>
      <c r="I249" s="394">
        <v>100.94100000000002</v>
      </c>
    </row>
    <row r="250" spans="2:16" ht="17.25">
      <c r="H250" s="396" t="s">
        <v>1734</v>
      </c>
      <c r="I250" s="386">
        <v>101.8092</v>
      </c>
    </row>
    <row r="253" spans="2:16" ht="17.25">
      <c r="B253" s="24" t="s">
        <v>2206</v>
      </c>
      <c r="C253" s="205">
        <f>XIRR(C254:C255,B254:B255)</f>
        <v>3.9989337325096144E-2</v>
      </c>
      <c r="F253" s="534" t="s">
        <v>2417</v>
      </c>
      <c r="G253" s="533">
        <f>XIRR(G254:G257,F254:F257)</f>
        <v>5.8992025256156919E-2</v>
      </c>
      <c r="H253" s="533">
        <f>XIRR(H254:H258,F254:F258)</f>
        <v>6.6991451382637027E-2</v>
      </c>
      <c r="J253" s="391" t="s">
        <v>2485</v>
      </c>
      <c r="K253" s="533">
        <f>XIRR(K254:K257,J254:J257)</f>
        <v>7.7993687987327587E-2</v>
      </c>
      <c r="M253" s="391" t="s">
        <v>2428</v>
      </c>
      <c r="N253" s="533">
        <f>XIRR(N254:N257,M254:M257)</f>
        <v>4.4977334141731273E-2</v>
      </c>
    </row>
    <row r="254" spans="2:16" ht="17.25">
      <c r="B254" s="17">
        <v>46098</v>
      </c>
      <c r="C254" s="20">
        <v>-100</v>
      </c>
      <c r="F254" s="466">
        <v>45968</v>
      </c>
      <c r="G254" s="391">
        <v>-100</v>
      </c>
      <c r="H254" s="15">
        <f>G254</f>
        <v>-100</v>
      </c>
      <c r="J254" s="466">
        <v>46098</v>
      </c>
      <c r="K254" s="391">
        <v>-100</v>
      </c>
      <c r="M254" s="466">
        <v>46111</v>
      </c>
      <c r="N254" s="391">
        <v>-100</v>
      </c>
    </row>
    <row r="255" spans="2:16" ht="17.25">
      <c r="B255" s="26">
        <v>46141</v>
      </c>
      <c r="C255" s="15">
        <v>100.46299999999999</v>
      </c>
      <c r="D255" s="15">
        <f>+-C254*(1+4%*(B255-B254)/365)</f>
        <v>100.47123287671234</v>
      </c>
      <c r="F255" s="466">
        <v>46022</v>
      </c>
      <c r="G255" s="391">
        <v>1.2575000000000001</v>
      </c>
      <c r="H255" s="15">
        <f>G255</f>
        <v>1.2575000000000001</v>
      </c>
      <c r="J255" s="466">
        <v>46157</v>
      </c>
      <c r="K255" s="305">
        <f>100*(1+7.43%*(J255-J254+1)/365)</f>
        <v>101.22136986301369</v>
      </c>
      <c r="M255" s="125">
        <v>46157</v>
      </c>
      <c r="N255" s="10">
        <v>100.556</v>
      </c>
    </row>
    <row r="256" spans="2:16" ht="17.25">
      <c r="F256" s="466">
        <v>46101</v>
      </c>
      <c r="G256" s="391">
        <v>1.8396999999999999</v>
      </c>
      <c r="H256" s="15">
        <f>G256</f>
        <v>1.8396999999999999</v>
      </c>
      <c r="M256" s="125"/>
      <c r="N256" s="10"/>
    </row>
    <row r="257" spans="2:9" ht="17.25">
      <c r="F257" s="466">
        <v>46154</v>
      </c>
      <c r="G257" s="391">
        <v>99.825000000000003</v>
      </c>
    </row>
    <row r="258" spans="2:9" ht="17.25">
      <c r="B258" s="396" t="s">
        <v>1217</v>
      </c>
      <c r="C258" s="205">
        <f>XIRR(C259:C260,B259:B260)</f>
        <v>4.5071217417716983E-2</v>
      </c>
      <c r="F258" s="26">
        <v>46161</v>
      </c>
      <c r="H258" s="15">
        <f>-H254*(1+6.5%/365*(F258-F254))-H255-H256</f>
        <v>100.33978630136987</v>
      </c>
    </row>
    <row r="259" spans="2:9">
      <c r="B259" s="387">
        <v>46111</v>
      </c>
      <c r="C259" s="486">
        <v>-100</v>
      </c>
    </row>
    <row r="260" spans="2:9">
      <c r="B260" s="387">
        <v>46141</v>
      </c>
      <c r="C260" s="486">
        <v>100.363</v>
      </c>
    </row>
    <row r="262" spans="2:9" ht="17.25">
      <c r="B262" s="24"/>
    </row>
    <row r="263" spans="2:9" ht="17.25">
      <c r="B263" s="391"/>
      <c r="C263" s="391"/>
    </row>
    <row r="264" spans="2:9" ht="17.25">
      <c r="B264" s="396"/>
      <c r="C264" s="533"/>
      <c r="E264" s="533"/>
    </row>
    <row r="265" spans="2:9" ht="17.25">
      <c r="B265" s="466"/>
      <c r="C265" s="539"/>
    </row>
    <row r="266" spans="2:9">
      <c r="B266" s="26"/>
    </row>
    <row r="267" spans="2:9">
      <c r="B267" s="26"/>
    </row>
    <row r="268" spans="2:9">
      <c r="B268" s="45"/>
      <c r="I268" s="26"/>
    </row>
    <row r="269" spans="2:9" ht="17.25">
      <c r="D269" s="466"/>
      <c r="I269" s="26"/>
    </row>
  </sheetData>
  <autoFilter ref="A1:X1" xr:uid="{AC005231-83BD-4005-A998-3B2F1DC2369D}"/>
  <phoneticPr fontId="6"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15151-1F00-48F5-9D44-B1C400DA89FB}">
  <sheetPr codeName="Sheet18">
    <tabColor theme="4" tint="0.79998168889431442"/>
  </sheetPr>
  <dimension ref="A1:R190"/>
  <sheetViews>
    <sheetView zoomScale="106" zoomScaleNormal="106" workbookViewId="0">
      <pane ySplit="1" topLeftCell="A91" activePane="bottomLeft" state="frozen"/>
      <selection pane="bottomLeft" activeCell="D108" sqref="D108"/>
    </sheetView>
  </sheetViews>
  <sheetFormatPr defaultColWidth="8.5" defaultRowHeight="14.25"/>
  <cols>
    <col min="1" max="1" width="4.625" style="128" customWidth="1"/>
    <col min="2" max="2" width="19.5" style="128" customWidth="1"/>
    <col min="3" max="3" width="8.5" style="128"/>
    <col min="4" max="4" width="12.125" style="128" customWidth="1"/>
    <col min="5" max="5" width="9.625" style="138" customWidth="1"/>
    <col min="6" max="6" width="14" style="131" customWidth="1"/>
    <col min="7" max="7" width="10.25" style="130" customWidth="1"/>
    <col min="8" max="8" width="11.625" style="130" customWidth="1"/>
    <col min="9" max="9" width="12.875" style="130" customWidth="1"/>
    <col min="10" max="10" width="10.875" style="142" customWidth="1"/>
    <col min="11" max="12" width="17.625" style="128" customWidth="1"/>
    <col min="13" max="13" width="8.625" style="128" customWidth="1"/>
    <col min="14" max="14" width="12" style="128" customWidth="1"/>
    <col min="15" max="15" width="13.25" style="128" bestFit="1" customWidth="1"/>
    <col min="16" max="16" width="8.5" style="128"/>
    <col min="17" max="17" width="11.75" style="128" customWidth="1"/>
    <col min="18" max="16384" width="8.5" style="128"/>
  </cols>
  <sheetData>
    <row r="1" spans="1:16" ht="57">
      <c r="A1" s="11"/>
      <c r="B1" s="127" t="s">
        <v>16</v>
      </c>
      <c r="C1" s="127" t="s">
        <v>20</v>
      </c>
      <c r="D1" s="127" t="s">
        <v>430</v>
      </c>
      <c r="E1" s="137" t="s">
        <v>22</v>
      </c>
      <c r="F1" s="127" t="s">
        <v>438</v>
      </c>
      <c r="G1" s="129" t="s">
        <v>24</v>
      </c>
      <c r="H1" s="129" t="s">
        <v>437</v>
      </c>
      <c r="I1" s="132" t="s">
        <v>443</v>
      </c>
      <c r="J1" s="143" t="s">
        <v>472</v>
      </c>
      <c r="K1" s="143" t="s">
        <v>18</v>
      </c>
      <c r="L1" s="177" t="s">
        <v>649</v>
      </c>
      <c r="M1" s="176" t="s">
        <v>765</v>
      </c>
      <c r="N1" s="176" t="s">
        <v>650</v>
      </c>
      <c r="O1" s="278">
        <f>MIN(N:N)</f>
        <v>46162</v>
      </c>
      <c r="P1" s="128" t="s">
        <v>1673</v>
      </c>
    </row>
    <row r="2" spans="1:16">
      <c r="B2" s="128" t="s">
        <v>380</v>
      </c>
      <c r="C2" s="128" t="s">
        <v>429</v>
      </c>
      <c r="D2" s="128" t="s">
        <v>433</v>
      </c>
      <c r="F2" s="131">
        <v>44230</v>
      </c>
      <c r="G2" s="130">
        <v>162000</v>
      </c>
      <c r="H2" s="130">
        <v>0</v>
      </c>
      <c r="I2" s="130">
        <v>0</v>
      </c>
      <c r="J2" s="142">
        <v>44270</v>
      </c>
      <c r="O2" s="187"/>
    </row>
    <row r="3" spans="1:16">
      <c r="B3" s="128" t="s">
        <v>381</v>
      </c>
      <c r="C3" s="128" t="s">
        <v>429</v>
      </c>
      <c r="D3" s="128" t="s">
        <v>435</v>
      </c>
      <c r="F3" s="131">
        <v>44230</v>
      </c>
      <c r="G3" s="130">
        <v>120000</v>
      </c>
      <c r="H3" s="130">
        <v>0</v>
      </c>
      <c r="I3" s="130">
        <v>0</v>
      </c>
      <c r="J3" s="142">
        <v>44270</v>
      </c>
      <c r="O3" s="187"/>
    </row>
    <row r="4" spans="1:16">
      <c r="B4" s="128" t="s">
        <v>382</v>
      </c>
      <c r="C4" s="128" t="s">
        <v>429</v>
      </c>
      <c r="D4" s="128" t="s">
        <v>432</v>
      </c>
      <c r="F4" s="131">
        <v>44230</v>
      </c>
      <c r="G4" s="130">
        <v>2114500</v>
      </c>
      <c r="H4" s="130">
        <v>0</v>
      </c>
      <c r="I4" s="130">
        <v>0</v>
      </c>
      <c r="J4" s="142">
        <v>45776</v>
      </c>
      <c r="O4" s="187"/>
    </row>
    <row r="5" spans="1:16">
      <c r="B5" s="128" t="s">
        <v>383</v>
      </c>
      <c r="C5" s="128" t="s">
        <v>429</v>
      </c>
      <c r="D5" s="128" t="s">
        <v>434</v>
      </c>
      <c r="F5" s="131">
        <v>44270</v>
      </c>
      <c r="G5" s="130">
        <v>60000</v>
      </c>
      <c r="H5" s="130">
        <v>0</v>
      </c>
      <c r="I5" s="130">
        <v>0</v>
      </c>
      <c r="J5" s="142">
        <v>44363</v>
      </c>
      <c r="O5" s="187"/>
    </row>
    <row r="6" spans="1:16">
      <c r="B6" s="128" t="s">
        <v>379</v>
      </c>
      <c r="C6" s="128" t="s">
        <v>429</v>
      </c>
      <c r="D6" s="128" t="s">
        <v>432</v>
      </c>
      <c r="F6" s="131">
        <v>44526</v>
      </c>
      <c r="G6" s="130">
        <v>130000</v>
      </c>
      <c r="H6" s="130">
        <v>0</v>
      </c>
      <c r="I6" s="130">
        <v>0</v>
      </c>
      <c r="J6" s="142">
        <v>44701</v>
      </c>
      <c r="O6" s="187"/>
    </row>
    <row r="7" spans="1:16">
      <c r="B7" s="128" t="s">
        <v>386</v>
      </c>
      <c r="C7" s="128" t="s">
        <v>429</v>
      </c>
      <c r="D7" s="128" t="s">
        <v>436</v>
      </c>
      <c r="F7" s="131">
        <v>44543</v>
      </c>
      <c r="G7" s="130">
        <v>230000</v>
      </c>
      <c r="H7" s="130">
        <v>0</v>
      </c>
      <c r="I7" s="130">
        <v>0</v>
      </c>
      <c r="J7" s="142">
        <v>45498</v>
      </c>
      <c r="O7" s="187"/>
    </row>
    <row r="8" spans="1:16">
      <c r="B8" s="128" t="s">
        <v>387</v>
      </c>
      <c r="C8" s="128" t="s">
        <v>429</v>
      </c>
      <c r="D8" s="128" t="s">
        <v>432</v>
      </c>
      <c r="F8" s="131">
        <v>44547</v>
      </c>
      <c r="G8" s="130">
        <v>589000</v>
      </c>
      <c r="H8" s="130">
        <v>0</v>
      </c>
      <c r="I8" s="130">
        <v>0</v>
      </c>
      <c r="J8" s="142">
        <v>45475</v>
      </c>
      <c r="O8" s="187"/>
    </row>
    <row r="9" spans="1:16">
      <c r="B9" s="128" t="s">
        <v>384</v>
      </c>
      <c r="C9" s="128" t="s">
        <v>429</v>
      </c>
      <c r="D9" s="128" t="s">
        <v>432</v>
      </c>
      <c r="F9" s="131">
        <v>44567</v>
      </c>
      <c r="G9" s="130">
        <v>500000</v>
      </c>
      <c r="H9" s="130">
        <v>0</v>
      </c>
      <c r="I9" s="130">
        <v>0</v>
      </c>
      <c r="J9" s="142">
        <v>44701</v>
      </c>
      <c r="O9" s="187"/>
    </row>
    <row r="10" spans="1:16">
      <c r="B10" s="128" t="s">
        <v>390</v>
      </c>
      <c r="C10" s="128" t="s">
        <v>429</v>
      </c>
      <c r="D10" s="128" t="s">
        <v>433</v>
      </c>
      <c r="F10" s="131">
        <v>44741</v>
      </c>
      <c r="G10" s="130">
        <v>44700</v>
      </c>
      <c r="H10" s="130">
        <v>0</v>
      </c>
      <c r="I10" s="130">
        <v>0</v>
      </c>
      <c r="J10" s="142">
        <v>45106</v>
      </c>
      <c r="O10" s="187"/>
    </row>
    <row r="11" spans="1:16">
      <c r="B11" s="128" t="s">
        <v>389</v>
      </c>
      <c r="C11" s="128" t="s">
        <v>429</v>
      </c>
      <c r="D11" s="128" t="s">
        <v>433</v>
      </c>
      <c r="F11" s="131">
        <v>44882</v>
      </c>
      <c r="G11" s="130">
        <v>90000</v>
      </c>
      <c r="H11" s="130">
        <v>0</v>
      </c>
      <c r="I11" s="130">
        <v>0</v>
      </c>
      <c r="J11" s="142">
        <v>45106</v>
      </c>
      <c r="O11" s="187"/>
    </row>
    <row r="12" spans="1:16">
      <c r="B12" s="246" t="s">
        <v>1005</v>
      </c>
      <c r="C12" s="128" t="s">
        <v>429</v>
      </c>
      <c r="D12" s="128" t="s">
        <v>432</v>
      </c>
      <c r="E12" s="138">
        <v>0.05</v>
      </c>
      <c r="F12" s="131">
        <v>45008</v>
      </c>
      <c r="G12" s="130">
        <v>20000</v>
      </c>
      <c r="H12" s="130">
        <v>0</v>
      </c>
      <c r="I12" s="247">
        <v>0</v>
      </c>
      <c r="J12" s="142">
        <v>46063</v>
      </c>
      <c r="L12" s="128" t="s">
        <v>651</v>
      </c>
      <c r="M12" s="175">
        <v>38.790999999999997</v>
      </c>
      <c r="O12" s="187"/>
    </row>
    <row r="13" spans="1:16">
      <c r="B13" s="128" t="s">
        <v>397</v>
      </c>
      <c r="C13" s="128" t="s">
        <v>429</v>
      </c>
      <c r="D13" s="128" t="s">
        <v>433</v>
      </c>
      <c r="F13" s="131">
        <v>45015</v>
      </c>
      <c r="G13" s="130">
        <v>120000</v>
      </c>
      <c r="H13" s="130">
        <v>0</v>
      </c>
      <c r="I13" s="130">
        <v>0</v>
      </c>
      <c r="J13" s="142">
        <v>45159</v>
      </c>
      <c r="L13" s="128" t="s">
        <v>652</v>
      </c>
      <c r="M13" s="175"/>
      <c r="O13" s="187"/>
    </row>
    <row r="14" spans="1:16">
      <c r="B14" s="128" t="s">
        <v>405</v>
      </c>
      <c r="C14" s="128" t="s">
        <v>429</v>
      </c>
      <c r="D14" s="128" t="s">
        <v>432</v>
      </c>
      <c r="E14" s="196">
        <v>0.05</v>
      </c>
      <c r="F14" s="131">
        <v>45023</v>
      </c>
      <c r="G14" s="197">
        <v>89875</v>
      </c>
      <c r="H14" s="197">
        <v>75</v>
      </c>
      <c r="I14" s="197">
        <v>0</v>
      </c>
      <c r="J14" s="198"/>
      <c r="K14" s="128" t="s">
        <v>817</v>
      </c>
      <c r="L14" s="128" t="s">
        <v>653</v>
      </c>
      <c r="M14" s="175">
        <v>39.25</v>
      </c>
      <c r="N14" s="128" t="s">
        <v>1184</v>
      </c>
      <c r="O14" s="187"/>
    </row>
    <row r="15" spans="1:16">
      <c r="B15" s="128" t="s">
        <v>1521</v>
      </c>
      <c r="C15" s="128" t="s">
        <v>429</v>
      </c>
      <c r="D15" s="128" t="s">
        <v>432</v>
      </c>
      <c r="E15" s="196">
        <v>0.05</v>
      </c>
      <c r="F15" s="131">
        <v>45027</v>
      </c>
      <c r="G15" s="130">
        <v>107100</v>
      </c>
      <c r="H15" s="130">
        <v>0</v>
      </c>
      <c r="I15" s="373">
        <v>0</v>
      </c>
      <c r="J15" s="142">
        <v>46121</v>
      </c>
      <c r="L15" s="128" t="s">
        <v>654</v>
      </c>
      <c r="M15" s="175">
        <v>48.19</v>
      </c>
      <c r="N15" s="128" t="s">
        <v>1184</v>
      </c>
      <c r="O15" s="187"/>
    </row>
    <row r="16" spans="1:16">
      <c r="B16" s="128" t="s">
        <v>406</v>
      </c>
      <c r="C16" s="128" t="s">
        <v>429</v>
      </c>
      <c r="D16" s="128" t="s">
        <v>435</v>
      </c>
      <c r="F16" s="131">
        <v>45036</v>
      </c>
      <c r="G16" s="130">
        <v>17700</v>
      </c>
      <c r="H16" s="130">
        <v>0</v>
      </c>
      <c r="I16" s="130">
        <v>0</v>
      </c>
      <c r="J16" s="142">
        <v>45273</v>
      </c>
      <c r="L16" s="128" t="s">
        <v>655</v>
      </c>
      <c r="M16" s="175"/>
      <c r="O16" s="187"/>
    </row>
    <row r="17" spans="2:15">
      <c r="B17" s="128" t="s">
        <v>391</v>
      </c>
      <c r="C17" s="128" t="s">
        <v>429</v>
      </c>
      <c r="D17" s="128" t="s">
        <v>433</v>
      </c>
      <c r="F17" s="131">
        <v>45077</v>
      </c>
      <c r="G17" s="130">
        <v>190000</v>
      </c>
      <c r="H17" s="130">
        <v>0</v>
      </c>
      <c r="I17" s="130">
        <v>0</v>
      </c>
      <c r="J17" s="142">
        <v>45449</v>
      </c>
      <c r="L17" s="128" t="s">
        <v>656</v>
      </c>
      <c r="M17" s="175"/>
      <c r="O17" s="187"/>
    </row>
    <row r="18" spans="2:15">
      <c r="B18" s="128" t="s">
        <v>398</v>
      </c>
      <c r="C18" s="128" t="s">
        <v>429</v>
      </c>
      <c r="D18" s="128" t="s">
        <v>433</v>
      </c>
      <c r="F18" s="131">
        <v>45106</v>
      </c>
      <c r="G18" s="130">
        <v>54000</v>
      </c>
      <c r="H18" s="130">
        <v>0</v>
      </c>
      <c r="I18" s="130">
        <v>0</v>
      </c>
      <c r="J18" s="142">
        <v>45273</v>
      </c>
      <c r="L18" s="128" t="s">
        <v>657</v>
      </c>
      <c r="M18" s="175"/>
      <c r="O18" s="187"/>
    </row>
    <row r="19" spans="2:15">
      <c r="B19" s="128" t="s">
        <v>407</v>
      </c>
      <c r="C19" s="128" t="s">
        <v>429</v>
      </c>
      <c r="D19" s="128" t="s">
        <v>434</v>
      </c>
      <c r="F19" s="131">
        <v>45106</v>
      </c>
      <c r="G19" s="130">
        <v>24100</v>
      </c>
      <c r="H19" s="130">
        <v>0</v>
      </c>
      <c r="I19" s="130">
        <v>0</v>
      </c>
      <c r="J19" s="142">
        <v>45324</v>
      </c>
      <c r="L19" s="128" t="s">
        <v>658</v>
      </c>
      <c r="M19" s="175"/>
      <c r="O19" s="187"/>
    </row>
    <row r="20" spans="2:15">
      <c r="B20" s="128" t="s">
        <v>395</v>
      </c>
      <c r="C20" s="128" t="s">
        <v>429</v>
      </c>
      <c r="D20" s="128" t="s">
        <v>433</v>
      </c>
      <c r="F20" s="131">
        <v>45113</v>
      </c>
      <c r="G20" s="130">
        <v>45100</v>
      </c>
      <c r="H20" s="130">
        <v>0</v>
      </c>
      <c r="I20" s="130">
        <v>0</v>
      </c>
      <c r="J20" s="142">
        <v>45384</v>
      </c>
      <c r="L20" s="128" t="s">
        <v>659</v>
      </c>
      <c r="M20" s="175"/>
      <c r="O20" s="187"/>
    </row>
    <row r="21" spans="2:15">
      <c r="B21" s="128" t="s">
        <v>394</v>
      </c>
      <c r="C21" s="128" t="s">
        <v>429</v>
      </c>
      <c r="D21" s="128" t="s">
        <v>431</v>
      </c>
      <c r="F21" s="131">
        <v>45127</v>
      </c>
      <c r="G21" s="130">
        <v>50000</v>
      </c>
      <c r="H21" s="130">
        <v>0</v>
      </c>
      <c r="I21" s="130">
        <v>0</v>
      </c>
      <c r="J21" s="142">
        <v>45218</v>
      </c>
      <c r="L21" s="128" t="s">
        <v>660</v>
      </c>
      <c r="M21" s="175"/>
      <c r="O21" s="187"/>
    </row>
    <row r="22" spans="2:15">
      <c r="B22" s="128" t="s">
        <v>402</v>
      </c>
      <c r="C22" s="128" t="s">
        <v>429</v>
      </c>
      <c r="D22" s="128" t="s">
        <v>433</v>
      </c>
      <c r="F22" s="131">
        <v>45188</v>
      </c>
      <c r="G22" s="130">
        <v>64000</v>
      </c>
      <c r="H22" s="130">
        <v>0</v>
      </c>
      <c r="I22" s="130">
        <v>0</v>
      </c>
      <c r="J22" s="142">
        <v>45449</v>
      </c>
      <c r="L22" s="128" t="s">
        <v>661</v>
      </c>
      <c r="M22" s="175"/>
      <c r="O22" s="187"/>
    </row>
    <row r="23" spans="2:15">
      <c r="B23" s="128" t="s">
        <v>403</v>
      </c>
      <c r="C23" s="128" t="s">
        <v>429</v>
      </c>
      <c r="D23" s="128" t="s">
        <v>431</v>
      </c>
      <c r="F23" s="131">
        <v>45188</v>
      </c>
      <c r="G23" s="130">
        <v>11500</v>
      </c>
      <c r="H23" s="130">
        <v>0</v>
      </c>
      <c r="I23" s="130">
        <v>0</v>
      </c>
      <c r="J23" s="142">
        <v>45449</v>
      </c>
      <c r="L23" s="128" t="s">
        <v>662</v>
      </c>
      <c r="M23" s="175"/>
      <c r="O23" s="187"/>
    </row>
    <row r="24" spans="2:15">
      <c r="B24" s="128" t="s">
        <v>396</v>
      </c>
      <c r="C24" s="128" t="s">
        <v>429</v>
      </c>
      <c r="D24" s="128" t="s">
        <v>433</v>
      </c>
      <c r="F24" s="131">
        <v>45190</v>
      </c>
      <c r="G24" s="130">
        <v>7400</v>
      </c>
      <c r="H24" s="130">
        <v>0</v>
      </c>
      <c r="I24" s="130">
        <v>0</v>
      </c>
      <c r="J24" s="142">
        <v>45954</v>
      </c>
      <c r="L24" s="128" t="s">
        <v>663</v>
      </c>
      <c r="M24" s="175"/>
      <c r="O24" s="187"/>
    </row>
    <row r="25" spans="2:15">
      <c r="B25" s="128" t="s">
        <v>401</v>
      </c>
      <c r="C25" s="128" t="s">
        <v>429</v>
      </c>
      <c r="D25" s="128" t="s">
        <v>433</v>
      </c>
      <c r="F25" s="131">
        <v>45190</v>
      </c>
      <c r="G25" s="130">
        <v>95000</v>
      </c>
      <c r="H25" s="130">
        <v>0</v>
      </c>
      <c r="I25" s="130">
        <v>7.5669959187507626E-14</v>
      </c>
      <c r="J25" s="142">
        <v>45449</v>
      </c>
      <c r="L25" s="128" t="s">
        <v>664</v>
      </c>
      <c r="M25" s="175"/>
      <c r="O25" s="187"/>
    </row>
    <row r="26" spans="2:15">
      <c r="B26" s="128" t="s">
        <v>399</v>
      </c>
      <c r="C26" s="128" t="s">
        <v>429</v>
      </c>
      <c r="D26" s="128" t="s">
        <v>433</v>
      </c>
      <c r="F26" s="131">
        <v>45196</v>
      </c>
      <c r="G26" s="130">
        <v>190000</v>
      </c>
      <c r="H26" s="130">
        <v>0</v>
      </c>
      <c r="I26" s="130">
        <v>0</v>
      </c>
      <c r="J26" s="142">
        <v>45404</v>
      </c>
      <c r="L26" s="128" t="s">
        <v>665</v>
      </c>
      <c r="M26" s="175"/>
      <c r="O26" s="187"/>
    </row>
    <row r="27" spans="2:15">
      <c r="B27" s="128" t="s">
        <v>392</v>
      </c>
      <c r="C27" s="128" t="s">
        <v>429</v>
      </c>
      <c r="D27" s="128" t="s">
        <v>433</v>
      </c>
      <c r="F27" s="131">
        <v>45254</v>
      </c>
      <c r="G27" s="130">
        <v>440000</v>
      </c>
      <c r="H27" s="130">
        <v>0</v>
      </c>
      <c r="I27" s="130">
        <v>0</v>
      </c>
      <c r="J27" s="142">
        <v>45656</v>
      </c>
      <c r="L27" s="128" t="s">
        <v>666</v>
      </c>
      <c r="M27" s="175"/>
      <c r="O27" s="187"/>
    </row>
    <row r="28" spans="2:15">
      <c r="B28" s="128" t="s">
        <v>408</v>
      </c>
      <c r="C28" s="128" t="s">
        <v>429</v>
      </c>
      <c r="D28" s="128" t="s">
        <v>433</v>
      </c>
      <c r="F28" s="131">
        <v>45260</v>
      </c>
      <c r="G28" s="130">
        <v>12300</v>
      </c>
      <c r="H28" s="130">
        <v>0</v>
      </c>
      <c r="I28" s="130">
        <v>0</v>
      </c>
      <c r="J28" s="142">
        <v>45449</v>
      </c>
      <c r="L28" s="128" t="s">
        <v>667</v>
      </c>
      <c r="M28" s="175"/>
      <c r="O28" s="187"/>
    </row>
    <row r="29" spans="2:15">
      <c r="B29" s="128" t="s">
        <v>409</v>
      </c>
      <c r="C29" s="128" t="s">
        <v>429</v>
      </c>
      <c r="D29" s="128" t="s">
        <v>434</v>
      </c>
      <c r="F29" s="131">
        <v>45267</v>
      </c>
      <c r="G29" s="130">
        <v>13600</v>
      </c>
      <c r="H29" s="130">
        <v>0</v>
      </c>
      <c r="I29" s="130">
        <v>0</v>
      </c>
      <c r="J29" s="142">
        <v>45449</v>
      </c>
      <c r="L29" s="128" t="s">
        <v>668</v>
      </c>
      <c r="M29" s="175"/>
      <c r="O29" s="187"/>
    </row>
    <row r="30" spans="2:15">
      <c r="B30" s="128" t="s">
        <v>378</v>
      </c>
      <c r="C30" s="128" t="s">
        <v>429</v>
      </c>
      <c r="D30" s="128" t="s">
        <v>432</v>
      </c>
      <c r="F30" s="131">
        <v>45274</v>
      </c>
      <c r="G30" s="130">
        <v>20000</v>
      </c>
      <c r="H30" s="130">
        <v>0</v>
      </c>
      <c r="I30" s="130">
        <v>0</v>
      </c>
      <c r="J30" s="142">
        <v>46013</v>
      </c>
      <c r="L30" s="128" t="s">
        <v>669</v>
      </c>
      <c r="M30" s="175">
        <v>100</v>
      </c>
      <c r="O30" s="187"/>
    </row>
    <row r="31" spans="2:15">
      <c r="B31" s="128" t="s">
        <v>2173</v>
      </c>
      <c r="C31" s="128" t="s">
        <v>429</v>
      </c>
      <c r="D31" s="128" t="s">
        <v>432</v>
      </c>
      <c r="E31" s="196">
        <v>0.05</v>
      </c>
      <c r="F31" s="131">
        <v>45274</v>
      </c>
      <c r="G31" s="130">
        <v>84100</v>
      </c>
      <c r="H31" s="130">
        <v>0</v>
      </c>
      <c r="I31" s="471">
        <v>0</v>
      </c>
      <c r="J31" s="142">
        <v>46141</v>
      </c>
      <c r="L31" s="128" t="s">
        <v>670</v>
      </c>
      <c r="M31" s="175">
        <v>100</v>
      </c>
      <c r="N31" s="128" t="s">
        <v>1184</v>
      </c>
      <c r="O31" s="187"/>
    </row>
    <row r="32" spans="2:15">
      <c r="B32" s="128" t="s">
        <v>404</v>
      </c>
      <c r="C32" s="128" t="s">
        <v>429</v>
      </c>
      <c r="D32" s="128" t="s">
        <v>433</v>
      </c>
      <c r="F32" s="131">
        <v>45279</v>
      </c>
      <c r="G32" s="130">
        <v>32500</v>
      </c>
      <c r="H32" s="130">
        <v>0</v>
      </c>
      <c r="I32" s="130">
        <v>0</v>
      </c>
      <c r="J32" s="142">
        <v>45475</v>
      </c>
      <c r="L32" s="128" t="s">
        <v>671</v>
      </c>
      <c r="M32" s="175"/>
      <c r="O32" s="187"/>
    </row>
    <row r="33" spans="2:15">
      <c r="B33" s="128" t="s">
        <v>393</v>
      </c>
      <c r="C33" s="128" t="s">
        <v>429</v>
      </c>
      <c r="D33" s="128" t="s">
        <v>433</v>
      </c>
      <c r="F33" s="131">
        <v>45281</v>
      </c>
      <c r="G33" s="130">
        <v>4800</v>
      </c>
      <c r="H33" s="130">
        <v>0</v>
      </c>
      <c r="I33" s="130">
        <v>0</v>
      </c>
      <c r="J33" s="142">
        <v>45744</v>
      </c>
      <c r="L33" s="128" t="s">
        <v>672</v>
      </c>
      <c r="M33" s="175">
        <v>38</v>
      </c>
      <c r="O33" s="187"/>
    </row>
    <row r="34" spans="2:15">
      <c r="B34" s="128" t="s">
        <v>400</v>
      </c>
      <c r="C34" s="128" t="s">
        <v>429</v>
      </c>
      <c r="D34" s="128" t="s">
        <v>433</v>
      </c>
      <c r="F34" s="131">
        <v>45281</v>
      </c>
      <c r="G34" s="130">
        <v>171500</v>
      </c>
      <c r="H34" s="130">
        <v>0</v>
      </c>
      <c r="I34" s="130">
        <v>0</v>
      </c>
      <c r="J34" s="142">
        <v>45506</v>
      </c>
      <c r="L34" s="128" t="s">
        <v>673</v>
      </c>
      <c r="M34" s="175"/>
      <c r="O34" s="187"/>
    </row>
    <row r="35" spans="2:15">
      <c r="B35" s="128" t="s">
        <v>873</v>
      </c>
      <c r="C35" s="128" t="s">
        <v>429</v>
      </c>
      <c r="D35" s="128" t="s">
        <v>432</v>
      </c>
      <c r="E35" s="196">
        <v>0.05</v>
      </c>
      <c r="F35" s="131">
        <v>45288</v>
      </c>
      <c r="G35" s="130">
        <v>500000</v>
      </c>
      <c r="H35" s="130">
        <f>370000-140000</f>
        <v>230000</v>
      </c>
      <c r="I35" s="471">
        <v>2369.62</v>
      </c>
      <c r="J35" s="499">
        <v>46141</v>
      </c>
      <c r="L35" s="128" t="s">
        <v>674</v>
      </c>
      <c r="M35" s="175">
        <v>100</v>
      </c>
      <c r="N35" s="128" t="s">
        <v>752</v>
      </c>
      <c r="O35" s="187"/>
    </row>
    <row r="36" spans="2:15">
      <c r="B36" s="128" t="s">
        <v>412</v>
      </c>
      <c r="C36" s="128" t="s">
        <v>429</v>
      </c>
      <c r="D36" s="128" t="s">
        <v>433</v>
      </c>
      <c r="F36" s="131">
        <v>45378</v>
      </c>
      <c r="G36" s="130">
        <v>340000</v>
      </c>
      <c r="H36" s="130">
        <v>0</v>
      </c>
      <c r="I36" s="130">
        <v>0</v>
      </c>
      <c r="J36" s="142">
        <v>45656</v>
      </c>
      <c r="L36" s="128" t="s">
        <v>675</v>
      </c>
      <c r="M36" s="175"/>
      <c r="O36" s="187"/>
    </row>
    <row r="37" spans="2:15">
      <c r="B37" s="128" t="s">
        <v>414</v>
      </c>
      <c r="C37" s="128" t="s">
        <v>429</v>
      </c>
      <c r="D37" s="128" t="s">
        <v>433</v>
      </c>
      <c r="F37" s="131">
        <v>45378</v>
      </c>
      <c r="G37" s="130">
        <v>56000</v>
      </c>
      <c r="H37" s="130">
        <v>0</v>
      </c>
      <c r="I37" s="130">
        <v>0</v>
      </c>
      <c r="J37" s="142">
        <v>45506</v>
      </c>
      <c r="L37" s="128" t="s">
        <v>676</v>
      </c>
      <c r="M37" s="175"/>
      <c r="O37" s="187"/>
    </row>
    <row r="38" spans="2:15">
      <c r="B38" s="128" t="s">
        <v>415</v>
      </c>
      <c r="C38" s="128" t="s">
        <v>429</v>
      </c>
      <c r="D38" s="128" t="s">
        <v>433</v>
      </c>
      <c r="F38" s="131">
        <v>45379</v>
      </c>
      <c r="G38" s="130">
        <v>11500</v>
      </c>
      <c r="H38" s="130">
        <v>0</v>
      </c>
      <c r="I38" s="130">
        <v>0</v>
      </c>
      <c r="J38" s="142">
        <v>45649</v>
      </c>
      <c r="L38" s="128" t="s">
        <v>677</v>
      </c>
      <c r="M38" s="175"/>
      <c r="O38" s="187"/>
    </row>
    <row r="39" spans="2:15">
      <c r="B39" s="128" t="s">
        <v>388</v>
      </c>
      <c r="C39" s="128" t="s">
        <v>429</v>
      </c>
      <c r="D39" s="128" t="s">
        <v>432</v>
      </c>
      <c r="F39" s="131">
        <v>45404</v>
      </c>
      <c r="G39" s="130">
        <v>127000</v>
      </c>
      <c r="H39" s="130">
        <v>0</v>
      </c>
      <c r="I39" s="130">
        <v>0</v>
      </c>
      <c r="J39" s="142">
        <v>45698</v>
      </c>
      <c r="L39" s="128" t="s">
        <v>678</v>
      </c>
      <c r="M39" s="175">
        <v>13.42</v>
      </c>
      <c r="O39" s="187"/>
    </row>
    <row r="40" spans="2:15">
      <c r="B40" s="128" t="s">
        <v>385</v>
      </c>
      <c r="C40" s="128" t="s">
        <v>429</v>
      </c>
      <c r="D40" s="128" t="s">
        <v>432</v>
      </c>
      <c r="F40" s="131">
        <v>45436</v>
      </c>
      <c r="G40" s="130">
        <v>20000</v>
      </c>
      <c r="H40" s="130">
        <v>0</v>
      </c>
      <c r="I40" s="130">
        <v>0</v>
      </c>
      <c r="J40" s="142">
        <v>45869</v>
      </c>
      <c r="L40" s="128" t="s">
        <v>679</v>
      </c>
      <c r="M40" s="175">
        <v>100</v>
      </c>
      <c r="O40" s="187"/>
    </row>
    <row r="41" spans="2:15">
      <c r="B41" s="128" t="s">
        <v>372</v>
      </c>
      <c r="C41" s="128" t="s">
        <v>429</v>
      </c>
      <c r="D41" s="128" t="s">
        <v>431</v>
      </c>
      <c r="F41" s="131">
        <v>45436</v>
      </c>
      <c r="G41" s="130">
        <v>118200</v>
      </c>
      <c r="H41" s="130">
        <v>0</v>
      </c>
      <c r="I41" s="130">
        <v>0</v>
      </c>
      <c r="J41" s="142">
        <v>45596</v>
      </c>
      <c r="L41" s="128" t="s">
        <v>680</v>
      </c>
      <c r="M41" s="175"/>
      <c r="O41" s="187"/>
    </row>
    <row r="42" spans="2:15">
      <c r="B42" s="128" t="s">
        <v>410</v>
      </c>
      <c r="C42" s="128" t="s">
        <v>429</v>
      </c>
      <c r="D42" s="128" t="s">
        <v>433</v>
      </c>
      <c r="F42" s="131">
        <v>45447</v>
      </c>
      <c r="G42" s="130">
        <v>120000</v>
      </c>
      <c r="H42" s="130">
        <v>0</v>
      </c>
      <c r="I42" s="130">
        <v>0</v>
      </c>
      <c r="J42" s="142">
        <v>45869</v>
      </c>
      <c r="L42" s="128" t="s">
        <v>681</v>
      </c>
      <c r="M42" s="175">
        <v>54.92</v>
      </c>
      <c r="O42" s="187"/>
    </row>
    <row r="43" spans="2:15">
      <c r="B43" s="128" t="s">
        <v>411</v>
      </c>
      <c r="C43" s="128" t="s">
        <v>429</v>
      </c>
      <c r="D43" s="128" t="s">
        <v>433</v>
      </c>
      <c r="F43" s="131">
        <v>45463</v>
      </c>
      <c r="G43" s="130">
        <v>85200</v>
      </c>
      <c r="H43" s="130">
        <v>0</v>
      </c>
      <c r="I43" s="130">
        <v>0</v>
      </c>
      <c r="J43" s="142">
        <v>45492</v>
      </c>
      <c r="L43" s="128" t="s">
        <v>682</v>
      </c>
      <c r="M43" s="175">
        <v>97.01</v>
      </c>
      <c r="O43" s="187"/>
    </row>
    <row r="44" spans="2:15">
      <c r="B44" s="128" t="s">
        <v>374</v>
      </c>
      <c r="C44" s="128" t="s">
        <v>429</v>
      </c>
      <c r="D44" s="128" t="s">
        <v>433</v>
      </c>
      <c r="F44" s="131">
        <v>45463</v>
      </c>
      <c r="G44" s="130">
        <v>164600</v>
      </c>
      <c r="H44" s="130">
        <v>0</v>
      </c>
      <c r="I44" s="130">
        <v>0</v>
      </c>
      <c r="J44" s="142">
        <v>45468</v>
      </c>
      <c r="K44" s="128" t="s">
        <v>864</v>
      </c>
      <c r="L44" s="128" t="s">
        <v>683</v>
      </c>
      <c r="M44" s="175"/>
      <c r="O44" s="187"/>
    </row>
    <row r="45" spans="2:15">
      <c r="B45" s="128" t="s">
        <v>413</v>
      </c>
      <c r="C45" s="128" t="s">
        <v>429</v>
      </c>
      <c r="D45" s="128" t="s">
        <v>433</v>
      </c>
      <c r="F45" s="131">
        <v>45468</v>
      </c>
      <c r="G45" s="130">
        <v>218000</v>
      </c>
      <c r="H45" s="130">
        <v>0</v>
      </c>
      <c r="I45" s="130">
        <v>0</v>
      </c>
      <c r="J45" s="142">
        <v>45905</v>
      </c>
      <c r="L45" s="128" t="s">
        <v>684</v>
      </c>
      <c r="M45" s="175"/>
      <c r="O45" s="187"/>
    </row>
    <row r="46" spans="2:15">
      <c r="B46" s="128" t="s">
        <v>373</v>
      </c>
      <c r="C46" s="128" t="s">
        <v>429</v>
      </c>
      <c r="D46" s="128" t="s">
        <v>433</v>
      </c>
      <c r="F46" s="131">
        <v>45469</v>
      </c>
      <c r="G46" s="130">
        <v>300000</v>
      </c>
      <c r="H46" s="130">
        <v>0</v>
      </c>
      <c r="I46" s="130">
        <v>0</v>
      </c>
      <c r="J46" s="142">
        <v>45475</v>
      </c>
      <c r="L46" s="128" t="s">
        <v>685</v>
      </c>
      <c r="M46" s="175"/>
      <c r="O46" s="187"/>
    </row>
    <row r="47" spans="2:15">
      <c r="B47" s="128" t="s">
        <v>933</v>
      </c>
      <c r="C47" s="128" t="s">
        <v>429</v>
      </c>
      <c r="D47" s="128" t="s">
        <v>433</v>
      </c>
      <c r="E47" s="196">
        <v>0.05</v>
      </c>
      <c r="F47" s="131">
        <v>45470</v>
      </c>
      <c r="G47" s="130">
        <v>7600</v>
      </c>
      <c r="H47" s="130">
        <v>0</v>
      </c>
      <c r="I47" s="197">
        <v>0</v>
      </c>
      <c r="J47" s="142">
        <v>46052</v>
      </c>
      <c r="L47" s="128" t="s">
        <v>686</v>
      </c>
      <c r="M47" s="175">
        <v>93.07</v>
      </c>
      <c r="O47" s="187"/>
    </row>
    <row r="48" spans="2:15">
      <c r="B48" s="128" t="s">
        <v>416</v>
      </c>
      <c r="C48" s="128" t="s">
        <v>429</v>
      </c>
      <c r="D48" s="128" t="s">
        <v>434</v>
      </c>
      <c r="F48" s="131">
        <v>45470</v>
      </c>
      <c r="G48" s="130">
        <v>19400</v>
      </c>
      <c r="H48" s="130">
        <v>0</v>
      </c>
      <c r="I48" s="130">
        <v>0</v>
      </c>
      <c r="J48" s="142">
        <v>45526</v>
      </c>
      <c r="L48" s="128" t="s">
        <v>687</v>
      </c>
      <c r="M48" s="175">
        <v>3.83</v>
      </c>
      <c r="O48" s="187"/>
    </row>
    <row r="49" spans="2:16">
      <c r="B49" s="128" t="s">
        <v>377</v>
      </c>
      <c r="C49" s="128" t="s">
        <v>429</v>
      </c>
      <c r="D49" s="128" t="s">
        <v>434</v>
      </c>
      <c r="F49" s="131">
        <v>45470</v>
      </c>
      <c r="G49" s="130">
        <v>132500</v>
      </c>
      <c r="H49" s="130">
        <v>0</v>
      </c>
      <c r="I49" s="130">
        <v>0</v>
      </c>
      <c r="J49" s="142">
        <v>45476</v>
      </c>
      <c r="L49" s="128" t="s">
        <v>688</v>
      </c>
      <c r="M49" s="175"/>
      <c r="O49" s="187"/>
    </row>
    <row r="50" spans="2:16" s="178" customFormat="1">
      <c r="B50" s="178" t="s">
        <v>417</v>
      </c>
      <c r="C50" s="178" t="s">
        <v>429</v>
      </c>
      <c r="D50" s="178" t="s">
        <v>433</v>
      </c>
      <c r="E50" s="179"/>
      <c r="F50" s="180">
        <v>45523</v>
      </c>
      <c r="G50" s="181">
        <v>82500</v>
      </c>
      <c r="H50" s="181">
        <v>0</v>
      </c>
      <c r="I50" s="181">
        <v>0</v>
      </c>
      <c r="J50" s="182">
        <v>46038</v>
      </c>
      <c r="L50" s="178" t="s">
        <v>689</v>
      </c>
      <c r="M50" s="175">
        <v>25.4</v>
      </c>
      <c r="N50" s="128"/>
      <c r="O50" s="187"/>
      <c r="P50" s="128"/>
    </row>
    <row r="51" spans="2:16">
      <c r="B51" s="128" t="s">
        <v>418</v>
      </c>
      <c r="C51" s="128" t="s">
        <v>429</v>
      </c>
      <c r="D51" s="128" t="s">
        <v>433</v>
      </c>
      <c r="F51" s="131">
        <v>45533</v>
      </c>
      <c r="G51" s="130">
        <v>11000</v>
      </c>
      <c r="H51" s="130">
        <v>0</v>
      </c>
      <c r="I51" s="130">
        <v>0</v>
      </c>
      <c r="J51" s="142">
        <v>45905</v>
      </c>
      <c r="L51" s="128" t="s">
        <v>690</v>
      </c>
      <c r="M51" s="175"/>
      <c r="O51" s="187"/>
    </row>
    <row r="52" spans="2:16">
      <c r="B52" s="128" t="s">
        <v>1300</v>
      </c>
      <c r="C52" s="128" t="s">
        <v>429</v>
      </c>
      <c r="D52" s="128" t="s">
        <v>433</v>
      </c>
      <c r="F52" s="131">
        <v>45558</v>
      </c>
      <c r="G52" s="130">
        <v>52000</v>
      </c>
      <c r="H52" s="130">
        <v>0</v>
      </c>
      <c r="I52" s="130">
        <v>0</v>
      </c>
      <c r="J52" s="142">
        <v>45630</v>
      </c>
      <c r="L52" s="128" t="s">
        <v>691</v>
      </c>
      <c r="M52" s="175">
        <v>100</v>
      </c>
      <c r="O52" s="187"/>
    </row>
    <row r="53" spans="2:16">
      <c r="B53" s="128" t="s">
        <v>420</v>
      </c>
      <c r="C53" s="128" t="s">
        <v>429</v>
      </c>
      <c r="D53" s="128" t="s">
        <v>434</v>
      </c>
      <c r="F53" s="131">
        <v>45559</v>
      </c>
      <c r="G53" s="130">
        <v>24400</v>
      </c>
      <c r="H53" s="130">
        <v>0</v>
      </c>
      <c r="I53" s="130">
        <v>0</v>
      </c>
      <c r="J53" s="142">
        <v>45698</v>
      </c>
      <c r="L53" s="128" t="s">
        <v>692</v>
      </c>
      <c r="M53" s="175"/>
      <c r="O53" s="187"/>
    </row>
    <row r="54" spans="2:16">
      <c r="B54" s="128" t="s">
        <v>421</v>
      </c>
      <c r="C54" s="128" t="s">
        <v>429</v>
      </c>
      <c r="D54" s="128" t="s">
        <v>433</v>
      </c>
      <c r="F54" s="131">
        <v>45560</v>
      </c>
      <c r="G54" s="130">
        <v>100000</v>
      </c>
      <c r="H54" s="130">
        <v>0</v>
      </c>
      <c r="I54" s="130">
        <v>0</v>
      </c>
      <c r="J54" s="142">
        <v>45905</v>
      </c>
      <c r="L54" s="128" t="s">
        <v>693</v>
      </c>
      <c r="M54" s="175">
        <v>37.630000000000003</v>
      </c>
      <c r="O54" s="187"/>
    </row>
    <row r="55" spans="2:16">
      <c r="B55" s="128" t="s">
        <v>423</v>
      </c>
      <c r="C55" s="128" t="s">
        <v>429</v>
      </c>
      <c r="D55" s="128" t="s">
        <v>434</v>
      </c>
      <c r="F55" s="131">
        <v>45617</v>
      </c>
      <c r="G55" s="130">
        <v>60000</v>
      </c>
      <c r="H55" s="130">
        <v>0</v>
      </c>
      <c r="I55" s="130">
        <v>0</v>
      </c>
      <c r="J55" s="142">
        <v>45771</v>
      </c>
      <c r="L55" s="128" t="s">
        <v>694</v>
      </c>
      <c r="M55" s="175"/>
      <c r="O55" s="187"/>
    </row>
    <row r="56" spans="2:16">
      <c r="B56" s="128" t="s">
        <v>422</v>
      </c>
      <c r="C56" s="128" t="s">
        <v>429</v>
      </c>
      <c r="D56" s="128" t="s">
        <v>433</v>
      </c>
      <c r="F56" s="131">
        <v>45617</v>
      </c>
      <c r="G56" s="130">
        <v>154500</v>
      </c>
      <c r="H56" s="130">
        <v>0</v>
      </c>
      <c r="I56" s="130">
        <v>0</v>
      </c>
      <c r="J56" s="142">
        <v>45905</v>
      </c>
      <c r="L56" s="128" t="s">
        <v>695</v>
      </c>
      <c r="M56" s="175">
        <v>100</v>
      </c>
      <c r="O56" s="187"/>
    </row>
    <row r="57" spans="2:16">
      <c r="B57" s="128" t="s">
        <v>424</v>
      </c>
      <c r="C57" s="128" t="s">
        <v>429</v>
      </c>
      <c r="D57" s="128" t="s">
        <v>433</v>
      </c>
      <c r="F57" s="131">
        <v>45630</v>
      </c>
      <c r="G57" s="130">
        <v>91000</v>
      </c>
      <c r="H57" s="130">
        <v>0</v>
      </c>
      <c r="I57" s="130">
        <v>0</v>
      </c>
      <c r="J57" s="142">
        <v>45954</v>
      </c>
      <c r="L57" s="128" t="s">
        <v>696</v>
      </c>
      <c r="M57" s="175"/>
      <c r="O57" s="187"/>
    </row>
    <row r="58" spans="2:16">
      <c r="B58" s="128" t="s">
        <v>428</v>
      </c>
      <c r="C58" s="128" t="s">
        <v>429</v>
      </c>
      <c r="D58" s="128" t="s">
        <v>433</v>
      </c>
      <c r="F58" s="131">
        <v>45631</v>
      </c>
      <c r="G58" s="130">
        <v>172000</v>
      </c>
      <c r="H58" s="130">
        <v>0</v>
      </c>
      <c r="I58" s="130">
        <v>0</v>
      </c>
      <c r="J58" s="142">
        <v>45869</v>
      </c>
      <c r="L58" s="128" t="s">
        <v>697</v>
      </c>
      <c r="M58" s="175">
        <v>100</v>
      </c>
      <c r="O58" s="187"/>
    </row>
    <row r="59" spans="2:16">
      <c r="B59" s="128" t="s">
        <v>425</v>
      </c>
      <c r="C59" s="128" t="s">
        <v>429</v>
      </c>
      <c r="D59" s="128" t="s">
        <v>433</v>
      </c>
      <c r="F59" s="131">
        <v>45638</v>
      </c>
      <c r="G59" s="130">
        <v>80000</v>
      </c>
      <c r="H59" s="130">
        <v>0</v>
      </c>
      <c r="I59" s="130">
        <v>0</v>
      </c>
      <c r="J59" s="142">
        <v>45716</v>
      </c>
      <c r="L59" s="128" t="s">
        <v>698</v>
      </c>
      <c r="M59" s="175">
        <v>38.29</v>
      </c>
      <c r="O59" s="187"/>
    </row>
    <row r="60" spans="2:16">
      <c r="B60" s="128" t="s">
        <v>426</v>
      </c>
      <c r="C60" s="128" t="s">
        <v>429</v>
      </c>
      <c r="D60" s="128" t="s">
        <v>434</v>
      </c>
      <c r="F60" s="131">
        <v>45645</v>
      </c>
      <c r="G60" s="130">
        <v>17400</v>
      </c>
      <c r="H60" s="130">
        <v>0</v>
      </c>
      <c r="I60" s="130">
        <v>0</v>
      </c>
      <c r="J60" s="142">
        <v>45905</v>
      </c>
      <c r="L60" s="128" t="s">
        <v>699</v>
      </c>
      <c r="M60" s="175"/>
      <c r="O60" s="187"/>
    </row>
    <row r="61" spans="2:16">
      <c r="B61" s="128" t="s">
        <v>439</v>
      </c>
      <c r="C61" s="128" t="s">
        <v>429</v>
      </c>
      <c r="D61" s="128" t="s">
        <v>434</v>
      </c>
      <c r="F61" s="131">
        <v>45645</v>
      </c>
      <c r="G61" s="130">
        <v>29400</v>
      </c>
      <c r="H61" s="130">
        <v>0</v>
      </c>
      <c r="I61" s="130">
        <v>0</v>
      </c>
      <c r="J61" s="142">
        <v>45649</v>
      </c>
      <c r="L61" s="128" t="s">
        <v>700</v>
      </c>
      <c r="M61" s="175"/>
      <c r="O61" s="187"/>
    </row>
    <row r="62" spans="2:16">
      <c r="B62" s="128" t="s">
        <v>934</v>
      </c>
      <c r="C62" s="128" t="s">
        <v>429</v>
      </c>
      <c r="D62" s="128" t="s">
        <v>433</v>
      </c>
      <c r="E62" s="196">
        <v>0.05</v>
      </c>
      <c r="F62" s="131">
        <v>45650</v>
      </c>
      <c r="G62" s="130">
        <v>18200</v>
      </c>
      <c r="H62" s="130">
        <v>0</v>
      </c>
      <c r="I62" s="197">
        <v>0</v>
      </c>
      <c r="J62" s="142">
        <v>46052</v>
      </c>
      <c r="L62" s="128" t="s">
        <v>701</v>
      </c>
      <c r="M62" s="175">
        <v>92.818899999999999</v>
      </c>
      <c r="O62" s="187"/>
    </row>
    <row r="63" spans="2:16">
      <c r="B63" s="128" t="s">
        <v>427</v>
      </c>
      <c r="C63" s="128" t="s">
        <v>429</v>
      </c>
      <c r="D63" s="128" t="s">
        <v>433</v>
      </c>
      <c r="F63" s="131">
        <v>45650</v>
      </c>
      <c r="G63" s="130">
        <v>36000</v>
      </c>
      <c r="H63" s="130">
        <v>0</v>
      </c>
      <c r="I63" s="197">
        <v>0</v>
      </c>
      <c r="J63" s="142">
        <v>45656</v>
      </c>
      <c r="L63" s="128" t="s">
        <v>702</v>
      </c>
      <c r="M63" s="175"/>
      <c r="O63" s="187"/>
    </row>
    <row r="64" spans="2:16">
      <c r="B64" s="246" t="s">
        <v>354</v>
      </c>
      <c r="C64" s="128" t="s">
        <v>429</v>
      </c>
      <c r="D64" s="128" t="s">
        <v>433</v>
      </c>
      <c r="E64" s="196">
        <v>0.05</v>
      </c>
      <c r="F64" s="131">
        <v>45652</v>
      </c>
      <c r="G64" s="130">
        <v>100000</v>
      </c>
      <c r="H64" s="130">
        <v>50000</v>
      </c>
      <c r="I64" s="471">
        <v>478.55</v>
      </c>
      <c r="K64" s="128" t="s">
        <v>1606</v>
      </c>
      <c r="L64" s="128" t="s">
        <v>703</v>
      </c>
      <c r="M64" s="175">
        <v>100</v>
      </c>
      <c r="N64" s="344">
        <v>46168</v>
      </c>
      <c r="O64" s="187"/>
    </row>
    <row r="65" spans="2:16">
      <c r="B65" s="246" t="s">
        <v>355</v>
      </c>
      <c r="C65" s="128" t="s">
        <v>429</v>
      </c>
      <c r="D65" s="128" t="s">
        <v>433</v>
      </c>
      <c r="E65" s="196">
        <v>0.05</v>
      </c>
      <c r="F65" s="131">
        <v>45740</v>
      </c>
      <c r="G65" s="130">
        <v>90000</v>
      </c>
      <c r="H65" s="130">
        <v>0</v>
      </c>
      <c r="I65" s="247">
        <v>0</v>
      </c>
      <c r="J65" s="142">
        <v>46063</v>
      </c>
      <c r="L65" s="128" t="s">
        <v>704</v>
      </c>
      <c r="M65" s="175">
        <v>67.69</v>
      </c>
      <c r="O65" s="187"/>
    </row>
    <row r="66" spans="2:16">
      <c r="B66" s="246" t="s">
        <v>350</v>
      </c>
      <c r="C66" s="128" t="s">
        <v>429</v>
      </c>
      <c r="D66" s="128" t="s">
        <v>433</v>
      </c>
      <c r="E66" s="196">
        <v>0.05</v>
      </c>
      <c r="F66" s="131">
        <v>45741</v>
      </c>
      <c r="G66" s="130">
        <v>120000</v>
      </c>
      <c r="H66" s="130">
        <v>0</v>
      </c>
      <c r="I66" s="247">
        <v>0</v>
      </c>
      <c r="J66" s="142">
        <v>46063</v>
      </c>
      <c r="K66" s="128" t="s">
        <v>1011</v>
      </c>
      <c r="L66" s="128" t="s">
        <v>705</v>
      </c>
      <c r="M66" s="175">
        <v>100</v>
      </c>
      <c r="O66" s="187"/>
    </row>
    <row r="67" spans="2:16">
      <c r="B67" s="246" t="s">
        <v>935</v>
      </c>
      <c r="C67" s="128" t="s">
        <v>429</v>
      </c>
      <c r="D67" s="128" t="s">
        <v>433</v>
      </c>
      <c r="E67" s="196">
        <v>0.05</v>
      </c>
      <c r="F67" s="131">
        <v>45741</v>
      </c>
      <c r="G67" s="130">
        <v>8000</v>
      </c>
      <c r="H67" s="130">
        <v>8000</v>
      </c>
      <c r="I67" s="247">
        <v>1.6785308774193632</v>
      </c>
      <c r="K67" s="128" t="s">
        <v>1028</v>
      </c>
      <c r="L67" s="128" t="s">
        <v>706</v>
      </c>
      <c r="M67" s="175">
        <v>0</v>
      </c>
      <c r="N67" s="128" t="s">
        <v>752</v>
      </c>
      <c r="O67" s="187"/>
    </row>
    <row r="68" spans="2:16">
      <c r="B68" s="246" t="s">
        <v>1303</v>
      </c>
      <c r="C68" s="128" t="s">
        <v>429</v>
      </c>
      <c r="D68" s="128" t="s">
        <v>433</v>
      </c>
      <c r="E68" s="196">
        <v>0.05</v>
      </c>
      <c r="F68" s="131">
        <v>45742</v>
      </c>
      <c r="G68" s="130">
        <v>96000</v>
      </c>
      <c r="H68" s="130">
        <v>0</v>
      </c>
      <c r="I68" s="247">
        <v>0</v>
      </c>
      <c r="J68" s="142">
        <v>46086</v>
      </c>
      <c r="K68" s="128" t="s">
        <v>1350</v>
      </c>
      <c r="L68" s="128" t="s">
        <v>707</v>
      </c>
      <c r="M68" s="175"/>
      <c r="O68" s="187"/>
      <c r="P68" s="128">
        <f>960*(108.7875-107.8396)/100</f>
        <v>9.0998399999999044</v>
      </c>
    </row>
    <row r="69" spans="2:16">
      <c r="B69" s="128" t="s">
        <v>357</v>
      </c>
      <c r="C69" s="128" t="s">
        <v>429</v>
      </c>
      <c r="D69" s="128" t="s">
        <v>433</v>
      </c>
      <c r="E69" s="196">
        <v>0.05</v>
      </c>
      <c r="F69" s="131" t="s">
        <v>2146</v>
      </c>
      <c r="G69" s="130">
        <v>55800</v>
      </c>
      <c r="H69" s="130">
        <v>75000</v>
      </c>
      <c r="I69" s="471">
        <f>+H69*114.4557%/100</f>
        <v>858.41774999999984</v>
      </c>
      <c r="J69" s="142">
        <v>46113</v>
      </c>
      <c r="K69" s="249" t="s">
        <v>2021</v>
      </c>
      <c r="L69" s="128" t="s">
        <v>708</v>
      </c>
      <c r="M69" s="175"/>
      <c r="N69" s="344">
        <v>46229</v>
      </c>
      <c r="O69" s="187"/>
    </row>
    <row r="70" spans="2:16">
      <c r="B70" s="128" t="s">
        <v>419</v>
      </c>
      <c r="C70" s="128" t="s">
        <v>429</v>
      </c>
      <c r="D70" s="128" t="s">
        <v>433</v>
      </c>
      <c r="F70" s="131">
        <v>45771</v>
      </c>
      <c r="G70" s="130">
        <v>63000</v>
      </c>
      <c r="H70" s="130">
        <v>0</v>
      </c>
      <c r="I70" s="130">
        <v>0</v>
      </c>
      <c r="J70" s="142">
        <v>45862</v>
      </c>
      <c r="L70" s="128" t="s">
        <v>709</v>
      </c>
      <c r="M70" s="175"/>
      <c r="O70" s="187"/>
    </row>
    <row r="71" spans="2:16">
      <c r="B71" s="128" t="s">
        <v>358</v>
      </c>
      <c r="C71" s="128" t="s">
        <v>429</v>
      </c>
      <c r="D71" s="128" t="s">
        <v>433</v>
      </c>
      <c r="E71" s="196">
        <v>0.05</v>
      </c>
      <c r="F71" s="131">
        <v>45771</v>
      </c>
      <c r="G71" s="130">
        <v>55000</v>
      </c>
      <c r="H71" s="130">
        <v>0</v>
      </c>
      <c r="I71" s="130">
        <v>0</v>
      </c>
      <c r="J71" s="142">
        <v>46113</v>
      </c>
      <c r="K71" s="128" t="s">
        <v>1446</v>
      </c>
      <c r="L71" s="128" t="s">
        <v>710</v>
      </c>
      <c r="M71" s="175"/>
      <c r="O71" s="187"/>
    </row>
    <row r="72" spans="2:16">
      <c r="B72" s="128" t="s">
        <v>936</v>
      </c>
      <c r="C72" s="128" t="s">
        <v>429</v>
      </c>
      <c r="D72" s="128" t="s">
        <v>433</v>
      </c>
      <c r="E72" s="196">
        <v>0.05</v>
      </c>
      <c r="F72" s="131">
        <v>45804</v>
      </c>
      <c r="G72" s="130">
        <v>28500</v>
      </c>
      <c r="H72" s="130">
        <v>0</v>
      </c>
      <c r="I72" s="130">
        <v>0</v>
      </c>
      <c r="J72" s="142">
        <v>46113</v>
      </c>
      <c r="K72" s="128" t="s">
        <v>1446</v>
      </c>
      <c r="L72" s="128" t="s">
        <v>711</v>
      </c>
      <c r="M72" s="175"/>
      <c r="O72" s="187"/>
    </row>
    <row r="73" spans="2:16">
      <c r="B73" s="128" t="s">
        <v>376</v>
      </c>
      <c r="C73" s="128" t="s">
        <v>429</v>
      </c>
      <c r="D73" s="128" t="s">
        <v>433</v>
      </c>
      <c r="F73" s="131">
        <v>45804</v>
      </c>
      <c r="G73" s="130">
        <v>48500</v>
      </c>
      <c r="H73" s="130">
        <v>0</v>
      </c>
      <c r="I73" s="130">
        <v>0</v>
      </c>
      <c r="J73" s="142">
        <v>45807</v>
      </c>
      <c r="L73" s="128" t="s">
        <v>712</v>
      </c>
      <c r="M73" s="175">
        <v>20.534300000000002</v>
      </c>
      <c r="O73" s="187"/>
    </row>
    <row r="74" spans="2:16">
      <c r="B74" s="128" t="s">
        <v>809</v>
      </c>
      <c r="C74" s="128" t="s">
        <v>429</v>
      </c>
      <c r="D74" s="128" t="s">
        <v>433</v>
      </c>
      <c r="E74" s="196"/>
      <c r="F74" s="131">
        <v>45806</v>
      </c>
      <c r="G74" s="130">
        <v>40000</v>
      </c>
      <c r="H74" s="130">
        <v>0</v>
      </c>
      <c r="I74" s="130">
        <v>0</v>
      </c>
      <c r="J74" s="142">
        <v>46038</v>
      </c>
      <c r="K74" s="477"/>
      <c r="L74" s="128" t="s">
        <v>713</v>
      </c>
      <c r="M74" s="175"/>
      <c r="O74" s="187"/>
    </row>
    <row r="75" spans="2:16">
      <c r="B75" s="128" t="s">
        <v>1027</v>
      </c>
      <c r="C75" s="128" t="s">
        <v>429</v>
      </c>
      <c r="D75" s="128" t="s">
        <v>434</v>
      </c>
      <c r="E75" s="196">
        <v>0.05</v>
      </c>
      <c r="F75" s="131">
        <v>45806</v>
      </c>
      <c r="G75" s="130">
        <v>30600</v>
      </c>
      <c r="H75" s="130">
        <v>0</v>
      </c>
      <c r="I75" s="130">
        <v>0</v>
      </c>
      <c r="J75" s="142">
        <v>46059</v>
      </c>
      <c r="K75" s="477" t="s">
        <v>1010</v>
      </c>
      <c r="L75" s="128" t="s">
        <v>714</v>
      </c>
      <c r="M75" s="175">
        <v>100</v>
      </c>
      <c r="O75" s="187"/>
    </row>
    <row r="76" spans="2:16">
      <c r="B76" s="128" t="s">
        <v>363</v>
      </c>
      <c r="C76" s="128" t="s">
        <v>429</v>
      </c>
      <c r="D76" s="128" t="s">
        <v>431</v>
      </c>
      <c r="E76" s="196">
        <v>0.05</v>
      </c>
      <c r="F76" s="131">
        <v>45831</v>
      </c>
      <c r="G76" s="130">
        <v>65100</v>
      </c>
      <c r="H76" s="130">
        <v>0</v>
      </c>
      <c r="I76" s="373">
        <v>0</v>
      </c>
      <c r="J76" s="142">
        <v>46121</v>
      </c>
      <c r="K76" s="128" t="s">
        <v>1447</v>
      </c>
      <c r="L76" s="128" t="s">
        <v>715</v>
      </c>
      <c r="M76" s="175"/>
      <c r="O76" s="187"/>
    </row>
    <row r="77" spans="2:16">
      <c r="B77" s="128" t="s">
        <v>352</v>
      </c>
      <c r="C77" s="128" t="s">
        <v>429</v>
      </c>
      <c r="D77" s="128" t="s">
        <v>432</v>
      </c>
      <c r="E77" s="196">
        <v>0.05</v>
      </c>
      <c r="F77" s="131">
        <v>45831</v>
      </c>
      <c r="G77" s="130">
        <v>100000</v>
      </c>
      <c r="H77" s="130">
        <v>100000</v>
      </c>
      <c r="I77" s="130">
        <v>1030</v>
      </c>
      <c r="L77" s="128" t="s">
        <v>716</v>
      </c>
      <c r="M77" s="175">
        <v>100</v>
      </c>
      <c r="N77" s="128" t="s">
        <v>1184</v>
      </c>
      <c r="O77" s="187"/>
    </row>
    <row r="78" spans="2:16">
      <c r="B78" s="128" t="s">
        <v>362</v>
      </c>
      <c r="C78" s="128" t="s">
        <v>429</v>
      </c>
      <c r="D78" s="128" t="s">
        <v>433</v>
      </c>
      <c r="E78" s="196">
        <v>0.05</v>
      </c>
      <c r="F78" s="131">
        <v>45832</v>
      </c>
      <c r="G78" s="130">
        <v>41300</v>
      </c>
      <c r="H78" s="130">
        <v>41300</v>
      </c>
      <c r="I78" s="471">
        <f>425.39-10.24%*H78/100</f>
        <v>383.09879999999998</v>
      </c>
      <c r="K78" s="128" t="s">
        <v>2020</v>
      </c>
      <c r="L78" s="128" t="s">
        <v>717</v>
      </c>
      <c r="M78" s="175">
        <v>100</v>
      </c>
      <c r="N78" s="344">
        <v>46229</v>
      </c>
      <c r="O78" s="187"/>
    </row>
    <row r="79" spans="2:16">
      <c r="B79" s="128" t="s">
        <v>375</v>
      </c>
      <c r="C79" s="128" t="s">
        <v>429</v>
      </c>
      <c r="D79" s="128" t="s">
        <v>433</v>
      </c>
      <c r="F79" s="131">
        <v>45832</v>
      </c>
      <c r="G79" s="130">
        <v>41300</v>
      </c>
      <c r="H79" s="130">
        <v>0</v>
      </c>
      <c r="I79" s="130">
        <v>0</v>
      </c>
      <c r="J79" s="142">
        <v>45835</v>
      </c>
      <c r="L79" s="128" t="s">
        <v>718</v>
      </c>
      <c r="M79" s="175">
        <v>5.22</v>
      </c>
      <c r="O79" s="187"/>
    </row>
    <row r="80" spans="2:16">
      <c r="B80" s="128" t="s">
        <v>351</v>
      </c>
      <c r="C80" s="128" t="s">
        <v>429</v>
      </c>
      <c r="D80" s="128" t="s">
        <v>434</v>
      </c>
      <c r="E80" s="196">
        <v>0.05</v>
      </c>
      <c r="F80" s="131">
        <v>45834</v>
      </c>
      <c r="G80" s="130">
        <v>100000</v>
      </c>
      <c r="H80" s="130">
        <f>100000-10000</f>
        <v>90000</v>
      </c>
      <c r="I80" s="471">
        <f>1060-19.636%*H80/100</f>
        <v>883.27600000000007</v>
      </c>
      <c r="K80" s="249" t="s">
        <v>2021</v>
      </c>
      <c r="L80" s="128" t="s">
        <v>719</v>
      </c>
      <c r="M80" s="175">
        <v>100</v>
      </c>
      <c r="N80" s="344">
        <v>46229</v>
      </c>
      <c r="O80" s="187"/>
    </row>
    <row r="81" spans="2:18">
      <c r="B81" s="128" t="s">
        <v>356</v>
      </c>
      <c r="C81" s="128" t="s">
        <v>429</v>
      </c>
      <c r="D81" s="128" t="s">
        <v>433</v>
      </c>
      <c r="E81" s="196">
        <v>4.4999999999999998E-2</v>
      </c>
      <c r="F81" s="131">
        <v>45856</v>
      </c>
      <c r="G81" s="130">
        <v>70000</v>
      </c>
      <c r="H81" s="130">
        <v>70000</v>
      </c>
      <c r="I81" s="130">
        <v>708.20540000000005</v>
      </c>
      <c r="L81" s="128" t="s">
        <v>720</v>
      </c>
      <c r="M81" s="175">
        <v>100</v>
      </c>
      <c r="N81" s="344">
        <v>46168</v>
      </c>
      <c r="O81" s="187"/>
    </row>
    <row r="82" spans="2:18">
      <c r="B82" s="128" t="s">
        <v>367</v>
      </c>
      <c r="C82" s="128" t="s">
        <v>429</v>
      </c>
      <c r="D82" s="128" t="s">
        <v>433</v>
      </c>
      <c r="E82" s="196">
        <v>4.4999999999999998E-2</v>
      </c>
      <c r="F82" s="131">
        <v>45862</v>
      </c>
      <c r="G82" s="130">
        <v>12800</v>
      </c>
      <c r="H82" s="130">
        <v>12800</v>
      </c>
      <c r="I82" s="130">
        <v>130.56</v>
      </c>
      <c r="L82" s="128" t="s">
        <v>721</v>
      </c>
      <c r="M82" s="175">
        <v>100</v>
      </c>
      <c r="N82" s="128" t="s">
        <v>1185</v>
      </c>
      <c r="O82" s="187"/>
    </row>
    <row r="83" spans="2:18">
      <c r="B83" s="128" t="s">
        <v>441</v>
      </c>
      <c r="C83" s="128" t="s">
        <v>429</v>
      </c>
      <c r="D83" s="128" t="s">
        <v>433</v>
      </c>
      <c r="F83" s="131">
        <v>45862</v>
      </c>
      <c r="G83" s="130">
        <v>30700</v>
      </c>
      <c r="H83" s="130">
        <v>0</v>
      </c>
      <c r="I83" s="130">
        <v>0</v>
      </c>
      <c r="J83" s="142">
        <v>45869</v>
      </c>
      <c r="L83" s="128" t="s">
        <v>722</v>
      </c>
      <c r="M83" s="175">
        <v>48.709200000000003</v>
      </c>
      <c r="O83" s="187"/>
      <c r="Q83" s="128" t="s">
        <v>1558</v>
      </c>
      <c r="R83" s="138">
        <f>XIRR(R84:R85,Q84:Q85)</f>
        <v>4.5012447237968461E-2</v>
      </c>
    </row>
    <row r="84" spans="2:18">
      <c r="B84" s="128" t="s">
        <v>1559</v>
      </c>
      <c r="C84" s="128" t="s">
        <v>429</v>
      </c>
      <c r="D84" s="128" t="s">
        <v>434</v>
      </c>
      <c r="E84" s="196">
        <v>4.4999999999999998E-2</v>
      </c>
      <c r="F84" s="131">
        <v>45876</v>
      </c>
      <c r="G84" s="130">
        <v>49000</v>
      </c>
      <c r="H84" s="130">
        <v>0</v>
      </c>
      <c r="I84" s="130">
        <v>0</v>
      </c>
      <c r="J84" s="142">
        <v>46105</v>
      </c>
      <c r="K84" s="249"/>
      <c r="L84" s="128" t="s">
        <v>723</v>
      </c>
      <c r="M84" s="175"/>
      <c r="O84" s="187"/>
      <c r="Q84" s="131">
        <v>45877</v>
      </c>
      <c r="R84" s="128">
        <v>-104</v>
      </c>
    </row>
    <row r="85" spans="2:18">
      <c r="B85" s="128" t="s">
        <v>346</v>
      </c>
      <c r="C85" s="128" t="s">
        <v>429</v>
      </c>
      <c r="D85" s="128" t="s">
        <v>432</v>
      </c>
      <c r="E85" s="196">
        <v>4.4999999999999998E-2</v>
      </c>
      <c r="F85" s="131">
        <v>45897</v>
      </c>
      <c r="G85" s="130">
        <v>300000</v>
      </c>
      <c r="H85" s="130">
        <v>300000</v>
      </c>
      <c r="I85" s="130">
        <v>3090</v>
      </c>
      <c r="L85" s="128" t="s">
        <v>724</v>
      </c>
      <c r="M85" s="175">
        <v>100</v>
      </c>
      <c r="N85" s="128" t="s">
        <v>1184</v>
      </c>
      <c r="O85" s="187"/>
      <c r="Q85" s="344">
        <v>46105</v>
      </c>
      <c r="R85" s="128">
        <v>106.9</v>
      </c>
    </row>
    <row r="86" spans="2:18">
      <c r="B86" s="128" t="s">
        <v>359</v>
      </c>
      <c r="C86" s="128" t="s">
        <v>429</v>
      </c>
      <c r="D86" s="128" t="s">
        <v>433</v>
      </c>
      <c r="E86" s="196">
        <v>4.4999999999999998E-2</v>
      </c>
      <c r="F86" s="131">
        <v>45897</v>
      </c>
      <c r="G86" s="130">
        <v>50000</v>
      </c>
      <c r="H86" s="130">
        <v>50000</v>
      </c>
      <c r="I86" s="130">
        <v>520</v>
      </c>
      <c r="L86" s="128" t="s">
        <v>725</v>
      </c>
      <c r="M86" s="175">
        <v>100</v>
      </c>
      <c r="N86" s="128" t="s">
        <v>752</v>
      </c>
      <c r="O86" s="187"/>
    </row>
    <row r="87" spans="2:18">
      <c r="B87" s="128" t="s">
        <v>344</v>
      </c>
      <c r="C87" s="128" t="s">
        <v>429</v>
      </c>
      <c r="D87" s="128" t="s">
        <v>431</v>
      </c>
      <c r="E87" s="196">
        <v>4.4999999999999998E-2</v>
      </c>
      <c r="F87" s="131">
        <v>45918</v>
      </c>
      <c r="G87" s="130">
        <v>680000</v>
      </c>
      <c r="H87" s="130">
        <v>680000</v>
      </c>
      <c r="I87" s="130">
        <v>6800</v>
      </c>
      <c r="L87" s="128" t="s">
        <v>726</v>
      </c>
      <c r="M87" s="175">
        <v>100</v>
      </c>
      <c r="N87" s="128" t="s">
        <v>752</v>
      </c>
      <c r="O87" s="187"/>
    </row>
    <row r="88" spans="2:18">
      <c r="B88" s="128" t="s">
        <v>348</v>
      </c>
      <c r="C88" s="128" t="s">
        <v>429</v>
      </c>
      <c r="D88" s="128" t="s">
        <v>433</v>
      </c>
      <c r="E88" s="196">
        <v>4.4999999999999998E-2</v>
      </c>
      <c r="F88" s="131">
        <v>45922</v>
      </c>
      <c r="G88" s="130">
        <v>200000</v>
      </c>
      <c r="H88" s="130">
        <f>200000-15000</f>
        <v>185000</v>
      </c>
      <c r="I88" s="471">
        <v>1850</v>
      </c>
      <c r="L88" s="128" t="s">
        <v>727</v>
      </c>
      <c r="M88" s="175">
        <v>100</v>
      </c>
      <c r="N88" s="344">
        <v>46168</v>
      </c>
      <c r="O88" s="187"/>
    </row>
    <row r="89" spans="2:18">
      <c r="B89" s="128" t="s">
        <v>370</v>
      </c>
      <c r="C89" s="128" t="s">
        <v>429</v>
      </c>
      <c r="D89" s="128" t="s">
        <v>431</v>
      </c>
      <c r="E89" s="196">
        <v>4.4999999999999998E-2</v>
      </c>
      <c r="F89" s="131">
        <v>45924</v>
      </c>
      <c r="G89" s="130">
        <v>9000</v>
      </c>
      <c r="H89" s="130">
        <v>9000</v>
      </c>
      <c r="I89" s="471">
        <v>90</v>
      </c>
      <c r="K89" s="128" t="s">
        <v>2022</v>
      </c>
      <c r="L89" s="128" t="s">
        <v>728</v>
      </c>
      <c r="M89" s="175">
        <v>100</v>
      </c>
      <c r="N89" s="344">
        <v>46229</v>
      </c>
      <c r="O89" s="187"/>
    </row>
    <row r="90" spans="2:18">
      <c r="B90" s="128" t="s">
        <v>366</v>
      </c>
      <c r="C90" s="128" t="s">
        <v>429</v>
      </c>
      <c r="D90" s="128" t="s">
        <v>434</v>
      </c>
      <c r="E90" s="196">
        <v>4.4999999999999998E-2</v>
      </c>
      <c r="F90" s="131">
        <v>45925</v>
      </c>
      <c r="G90" s="130">
        <v>17200</v>
      </c>
      <c r="H90" s="130">
        <f>17200-2000</f>
        <v>15200</v>
      </c>
      <c r="I90" s="471">
        <f>+H90*46.7816%/100</f>
        <v>71.108031999999994</v>
      </c>
      <c r="K90" s="249" t="s">
        <v>2021</v>
      </c>
      <c r="L90" s="128" t="s">
        <v>729</v>
      </c>
      <c r="M90" s="175">
        <v>100</v>
      </c>
      <c r="N90" s="344">
        <v>46229</v>
      </c>
      <c r="O90" s="187"/>
    </row>
    <row r="91" spans="2:18">
      <c r="B91" s="128" t="s">
        <v>365</v>
      </c>
      <c r="C91" s="128" t="s">
        <v>429</v>
      </c>
      <c r="D91" s="128" t="s">
        <v>433</v>
      </c>
      <c r="E91" s="196">
        <v>4.4999999999999998E-2</v>
      </c>
      <c r="F91" s="131">
        <v>45925</v>
      </c>
      <c r="G91" s="130">
        <v>41500</v>
      </c>
      <c r="H91" s="130">
        <f>22500-20000</f>
        <v>2500</v>
      </c>
      <c r="I91" s="471">
        <f>+H91*74.4607%/100</f>
        <v>18.615175000000001</v>
      </c>
      <c r="K91" s="249" t="s">
        <v>2021</v>
      </c>
      <c r="L91" s="128" t="s">
        <v>730</v>
      </c>
      <c r="M91" s="175">
        <v>100</v>
      </c>
      <c r="N91" s="344">
        <v>46229</v>
      </c>
      <c r="O91" s="187"/>
    </row>
    <row r="92" spans="2:18">
      <c r="B92" s="128" t="s">
        <v>442</v>
      </c>
      <c r="C92" s="128" t="s">
        <v>429</v>
      </c>
      <c r="D92" s="128" t="s">
        <v>433</v>
      </c>
      <c r="F92" s="131">
        <v>45925</v>
      </c>
      <c r="G92" s="130">
        <v>97000</v>
      </c>
      <c r="H92" s="130">
        <v>0</v>
      </c>
      <c r="I92" s="130">
        <v>0</v>
      </c>
      <c r="J92" s="142">
        <v>45953</v>
      </c>
      <c r="L92" s="128" t="s">
        <v>731</v>
      </c>
      <c r="M92" s="175">
        <v>23.791799999999999</v>
      </c>
      <c r="O92" s="187"/>
    </row>
    <row r="93" spans="2:18">
      <c r="B93" s="128" t="s">
        <v>347</v>
      </c>
      <c r="C93" s="128" t="s">
        <v>429</v>
      </c>
      <c r="D93" s="128" t="s">
        <v>431</v>
      </c>
      <c r="E93" s="196">
        <v>4.4999999999999998E-2</v>
      </c>
      <c r="F93" s="131">
        <v>45975</v>
      </c>
      <c r="G93" s="130">
        <v>250000</v>
      </c>
      <c r="H93" s="130">
        <f>250000-80000</f>
        <v>170000</v>
      </c>
      <c r="I93" s="130">
        <f>2528.8375-800*102.675%</f>
        <v>1707.4375</v>
      </c>
      <c r="J93" s="142">
        <v>46136</v>
      </c>
      <c r="L93" s="128" t="s">
        <v>732</v>
      </c>
      <c r="M93" s="175">
        <v>100</v>
      </c>
      <c r="N93" s="344">
        <v>46321</v>
      </c>
      <c r="O93" s="187"/>
    </row>
    <row r="94" spans="2:18">
      <c r="B94" s="128" t="s">
        <v>349</v>
      </c>
      <c r="C94" s="128" t="s">
        <v>429</v>
      </c>
      <c r="D94" s="128" t="s">
        <v>433</v>
      </c>
      <c r="E94" s="196">
        <v>4.4999999999999998E-2</v>
      </c>
      <c r="F94" s="131">
        <v>45995</v>
      </c>
      <c r="G94" s="130">
        <v>147000</v>
      </c>
      <c r="H94" s="130">
        <v>130000</v>
      </c>
      <c r="I94" s="130">
        <v>1338.4559999999999</v>
      </c>
      <c r="L94" s="128" t="s">
        <v>733</v>
      </c>
      <c r="M94" s="175">
        <v>100</v>
      </c>
      <c r="N94" s="344">
        <v>46199</v>
      </c>
      <c r="O94" s="187"/>
    </row>
    <row r="95" spans="2:18">
      <c r="B95" s="128" t="s">
        <v>361</v>
      </c>
      <c r="C95" s="128" t="s">
        <v>429</v>
      </c>
      <c r="D95" s="128" t="s">
        <v>433</v>
      </c>
      <c r="E95" s="196">
        <v>4.4999999999999998E-2</v>
      </c>
      <c r="F95" s="131">
        <v>46007</v>
      </c>
      <c r="G95" s="130">
        <v>46200</v>
      </c>
      <c r="H95" s="130">
        <v>23100</v>
      </c>
      <c r="I95" s="471">
        <v>239.3391</v>
      </c>
      <c r="J95" s="142">
        <v>46037</v>
      </c>
      <c r="K95" s="128" t="s">
        <v>2022</v>
      </c>
      <c r="L95" s="128" t="s">
        <v>734</v>
      </c>
      <c r="M95" s="175">
        <v>100</v>
      </c>
      <c r="N95" s="344">
        <v>46229</v>
      </c>
      <c r="O95" s="187"/>
    </row>
    <row r="96" spans="2:18">
      <c r="B96" s="128" t="s">
        <v>360</v>
      </c>
      <c r="C96" s="128" t="s">
        <v>429</v>
      </c>
      <c r="D96" s="128" t="s">
        <v>433</v>
      </c>
      <c r="E96" s="196">
        <v>4.4999999999999998E-2</v>
      </c>
      <c r="F96" s="131">
        <v>46013</v>
      </c>
      <c r="G96" s="130">
        <v>50000</v>
      </c>
      <c r="H96" s="130">
        <v>50000</v>
      </c>
      <c r="I96" s="130">
        <v>500</v>
      </c>
      <c r="L96" s="128" t="s">
        <v>735</v>
      </c>
      <c r="M96" s="175">
        <v>100</v>
      </c>
      <c r="N96" s="344">
        <v>46168</v>
      </c>
      <c r="O96" s="187"/>
    </row>
    <row r="97" spans="2:15">
      <c r="B97" s="128" t="s">
        <v>368</v>
      </c>
      <c r="C97" s="128" t="s">
        <v>429</v>
      </c>
      <c r="D97" s="128" t="s">
        <v>433</v>
      </c>
      <c r="E97" s="196">
        <v>4.4999999999999998E-2</v>
      </c>
      <c r="F97" s="131">
        <v>46013</v>
      </c>
      <c r="G97" s="130">
        <v>10000</v>
      </c>
      <c r="H97" s="130">
        <v>10000</v>
      </c>
      <c r="I97" s="130">
        <v>105</v>
      </c>
      <c r="L97" s="128" t="s">
        <v>736</v>
      </c>
      <c r="M97" s="175">
        <v>100</v>
      </c>
      <c r="N97" s="344">
        <v>46199</v>
      </c>
      <c r="O97" s="187"/>
    </row>
    <row r="98" spans="2:15">
      <c r="B98" s="128" t="s">
        <v>369</v>
      </c>
      <c r="C98" s="128" t="s">
        <v>429</v>
      </c>
      <c r="D98" s="128" t="s">
        <v>434</v>
      </c>
      <c r="E98" s="349">
        <v>4.4999999999999998E-2</v>
      </c>
      <c r="F98" s="131">
        <v>46015</v>
      </c>
      <c r="G98" s="136">
        <v>10000</v>
      </c>
      <c r="H98" s="136">
        <v>10000</v>
      </c>
      <c r="I98" s="472">
        <v>105</v>
      </c>
      <c r="J98" s="350"/>
      <c r="K98" s="128" t="s">
        <v>2022</v>
      </c>
      <c r="L98" s="128" t="s">
        <v>737</v>
      </c>
      <c r="M98" s="175">
        <v>100</v>
      </c>
      <c r="N98" s="344">
        <v>46229</v>
      </c>
      <c r="O98" s="187"/>
    </row>
    <row r="99" spans="2:15">
      <c r="B99" s="128" t="s">
        <v>1596</v>
      </c>
      <c r="C99" s="128" t="s">
        <v>429</v>
      </c>
      <c r="D99" s="128" t="s">
        <v>433</v>
      </c>
      <c r="E99" s="371">
        <v>0.04</v>
      </c>
      <c r="F99" s="131">
        <v>46107</v>
      </c>
      <c r="G99" s="136">
        <v>70000</v>
      </c>
      <c r="H99" s="136">
        <v>70000</v>
      </c>
      <c r="I99" s="136">
        <f>700*1.08</f>
        <v>756</v>
      </c>
      <c r="J99" s="350"/>
      <c r="L99" s="128" t="s">
        <v>1597</v>
      </c>
      <c r="M99" s="175"/>
      <c r="N99" s="344">
        <v>46199</v>
      </c>
      <c r="O99" s="187"/>
    </row>
    <row r="100" spans="2:15">
      <c r="B100" s="128" t="s">
        <v>1623</v>
      </c>
      <c r="C100" s="128" t="s">
        <v>429</v>
      </c>
      <c r="D100" s="128" t="s">
        <v>432</v>
      </c>
      <c r="E100" s="371">
        <v>0.04</v>
      </c>
      <c r="F100" s="131">
        <v>46108</v>
      </c>
      <c r="G100" s="136">
        <v>100000</v>
      </c>
      <c r="H100" s="136">
        <v>100000</v>
      </c>
      <c r="I100" s="136">
        <v>1000</v>
      </c>
      <c r="J100" s="350"/>
      <c r="L100" s="128" t="s">
        <v>1624</v>
      </c>
      <c r="M100" s="175"/>
      <c r="N100" s="344">
        <v>46229</v>
      </c>
      <c r="O100" s="187"/>
    </row>
    <row r="101" spans="2:15">
      <c r="B101" s="128" t="s">
        <v>1625</v>
      </c>
      <c r="C101" s="128" t="s">
        <v>429</v>
      </c>
      <c r="D101" s="128" t="s">
        <v>433</v>
      </c>
      <c r="E101" s="371">
        <v>0.04</v>
      </c>
      <c r="F101" s="131">
        <v>46107</v>
      </c>
      <c r="G101" s="136">
        <v>20000</v>
      </c>
      <c r="H101" s="136">
        <v>20000</v>
      </c>
      <c r="I101" s="136">
        <v>200</v>
      </c>
      <c r="J101" s="350"/>
      <c r="L101" s="128" t="s">
        <v>1626</v>
      </c>
      <c r="M101" s="175"/>
      <c r="N101" s="344">
        <v>46229</v>
      </c>
      <c r="O101" s="187"/>
    </row>
    <row r="102" spans="2:15">
      <c r="B102" s="128" t="s">
        <v>1627</v>
      </c>
      <c r="C102" s="128" t="s">
        <v>429</v>
      </c>
      <c r="D102" s="128" t="s">
        <v>433</v>
      </c>
      <c r="E102" s="371">
        <v>0.04</v>
      </c>
      <c r="F102" s="131">
        <v>46107</v>
      </c>
      <c r="G102" s="136">
        <v>40000</v>
      </c>
      <c r="H102" s="136">
        <v>40000</v>
      </c>
      <c r="I102" s="136">
        <f>400*1.06</f>
        <v>424</v>
      </c>
      <c r="J102" s="350"/>
      <c r="L102" s="128" t="s">
        <v>1628</v>
      </c>
      <c r="M102" s="175"/>
      <c r="N102" s="344">
        <v>46162</v>
      </c>
      <c r="O102" s="187"/>
    </row>
    <row r="103" spans="2:15">
      <c r="B103" s="128" t="s">
        <v>1664</v>
      </c>
      <c r="C103" s="128" t="s">
        <v>429</v>
      </c>
      <c r="D103" s="128" t="s">
        <v>433</v>
      </c>
      <c r="E103" s="371">
        <v>0.04</v>
      </c>
      <c r="F103" s="131">
        <v>46108</v>
      </c>
      <c r="G103" s="136">
        <v>200000</v>
      </c>
      <c r="H103" s="136">
        <v>200000</v>
      </c>
      <c r="I103" s="136">
        <v>2000</v>
      </c>
      <c r="J103" s="350"/>
      <c r="L103" s="128" t="s">
        <v>1672</v>
      </c>
      <c r="M103" s="175"/>
      <c r="N103" s="344">
        <v>46168</v>
      </c>
      <c r="O103" s="187"/>
    </row>
    <row r="104" spans="2:15">
      <c r="B104" s="128" t="s">
        <v>1666</v>
      </c>
      <c r="C104" s="128" t="s">
        <v>429</v>
      </c>
      <c r="D104" s="128" t="s">
        <v>432</v>
      </c>
      <c r="E104" s="372">
        <v>0.04</v>
      </c>
      <c r="F104" s="131">
        <v>46108</v>
      </c>
      <c r="G104" s="136">
        <v>90000</v>
      </c>
      <c r="H104" s="136">
        <v>90000</v>
      </c>
      <c r="I104" s="136">
        <v>900</v>
      </c>
      <c r="J104" s="350"/>
      <c r="L104" s="128" t="s">
        <v>1671</v>
      </c>
      <c r="M104" s="175"/>
      <c r="N104" s="344">
        <v>46168</v>
      </c>
      <c r="O104" s="187"/>
    </row>
    <row r="105" spans="2:15">
      <c r="B105" s="128" t="s">
        <v>2040</v>
      </c>
      <c r="C105" s="128" t="s">
        <v>429</v>
      </c>
      <c r="D105" s="128" t="s">
        <v>2041</v>
      </c>
      <c r="E105" s="372">
        <v>0.04</v>
      </c>
      <c r="F105" s="131">
        <v>46135</v>
      </c>
      <c r="G105" s="136">
        <v>66000</v>
      </c>
      <c r="H105" s="136">
        <f>+G105*1.02</f>
        <v>67320</v>
      </c>
      <c r="I105" s="136">
        <v>673.2</v>
      </c>
      <c r="J105" s="350"/>
      <c r="L105" s="128" t="s">
        <v>2042</v>
      </c>
      <c r="M105" s="175"/>
      <c r="N105" s="344">
        <v>46321</v>
      </c>
      <c r="O105" s="187"/>
    </row>
    <row r="106" spans="2:15">
      <c r="B106" s="128" t="s">
        <v>1710</v>
      </c>
      <c r="C106" s="128" t="s">
        <v>429</v>
      </c>
      <c r="D106" s="128" t="s">
        <v>1711</v>
      </c>
      <c r="E106" s="349">
        <v>0.04</v>
      </c>
      <c r="F106" s="131">
        <v>46112</v>
      </c>
      <c r="G106" s="136">
        <v>120000</v>
      </c>
      <c r="H106" s="136">
        <v>120000</v>
      </c>
      <c r="I106" s="136">
        <v>1200</v>
      </c>
      <c r="J106" s="350"/>
      <c r="L106" s="128" t="s">
        <v>2147</v>
      </c>
      <c r="M106" s="175"/>
      <c r="N106" s="344">
        <v>46321</v>
      </c>
      <c r="O106" s="187"/>
    </row>
    <row r="107" spans="2:15">
      <c r="B107" s="128" t="s">
        <v>2523</v>
      </c>
      <c r="C107" s="128" t="s">
        <v>429</v>
      </c>
      <c r="D107" s="128" t="s">
        <v>432</v>
      </c>
      <c r="E107" s="349">
        <v>0.04</v>
      </c>
      <c r="F107" s="131">
        <v>46161</v>
      </c>
      <c r="G107" s="136">
        <v>60000</v>
      </c>
      <c r="H107" s="136">
        <f>G107*1.02</f>
        <v>61200</v>
      </c>
      <c r="I107" s="136">
        <v>612</v>
      </c>
      <c r="J107" s="350"/>
      <c r="L107" s="128" t="s">
        <v>2524</v>
      </c>
      <c r="M107" s="175"/>
      <c r="N107" s="344"/>
      <c r="O107" s="187"/>
    </row>
    <row r="108" spans="2:15">
      <c r="B108" s="128" t="s">
        <v>2552</v>
      </c>
      <c r="C108" s="128" t="s">
        <v>429</v>
      </c>
      <c r="D108" s="128" t="s">
        <v>432</v>
      </c>
      <c r="E108" s="349">
        <v>0.04</v>
      </c>
      <c r="F108" s="131">
        <v>46161</v>
      </c>
      <c r="G108" s="136">
        <v>100000</v>
      </c>
      <c r="H108" s="136">
        <v>100000</v>
      </c>
      <c r="I108" s="136">
        <v>1000</v>
      </c>
      <c r="J108" s="350"/>
      <c r="M108" s="175"/>
      <c r="N108" s="344"/>
      <c r="O108" s="187"/>
    </row>
    <row r="109" spans="2:15">
      <c r="E109" s="349"/>
      <c r="G109" s="136"/>
      <c r="H109" s="136"/>
      <c r="I109" s="136"/>
      <c r="J109" s="350"/>
      <c r="M109" s="175"/>
      <c r="N109" s="344"/>
      <c r="O109" s="187"/>
    </row>
    <row r="110" spans="2:15">
      <c r="E110" s="349"/>
      <c r="G110" s="136"/>
      <c r="H110" s="136"/>
      <c r="I110" s="136"/>
      <c r="J110" s="350"/>
      <c r="M110" s="175"/>
      <c r="N110" s="344"/>
      <c r="O110" s="187"/>
    </row>
    <row r="111" spans="2:15" s="360" customFormat="1">
      <c r="B111" s="360" t="s">
        <v>382</v>
      </c>
      <c r="C111" s="360" t="s">
        <v>454</v>
      </c>
      <c r="D111" s="360" t="s">
        <v>432</v>
      </c>
      <c r="E111" s="361"/>
      <c r="F111" s="362">
        <v>44676</v>
      </c>
      <c r="G111" s="363">
        <v>1250000</v>
      </c>
      <c r="H111" s="363">
        <v>0</v>
      </c>
      <c r="I111" s="363">
        <v>0</v>
      </c>
      <c r="J111" s="364">
        <v>45296</v>
      </c>
      <c r="L111" s="360" t="s">
        <v>738</v>
      </c>
      <c r="M111" s="365"/>
    </row>
    <row r="112" spans="2:15">
      <c r="B112" s="128" t="s">
        <v>444</v>
      </c>
      <c r="C112" s="128" t="s">
        <v>454</v>
      </c>
      <c r="D112" s="128" t="s">
        <v>433</v>
      </c>
      <c r="F112" s="131">
        <v>44826</v>
      </c>
      <c r="G112" s="130">
        <v>24100</v>
      </c>
      <c r="H112" s="130">
        <v>0</v>
      </c>
      <c r="I112" s="130">
        <v>0</v>
      </c>
      <c r="J112" s="142">
        <v>45106</v>
      </c>
      <c r="L112" s="128" t="s">
        <v>739</v>
      </c>
      <c r="M112" s="175"/>
    </row>
    <row r="113" spans="2:13">
      <c r="B113" s="128" t="s">
        <v>445</v>
      </c>
      <c r="C113" s="128" t="s">
        <v>454</v>
      </c>
      <c r="D113" s="128" t="s">
        <v>432</v>
      </c>
      <c r="F113" s="131">
        <v>44930</v>
      </c>
      <c r="G113" s="130">
        <v>29500</v>
      </c>
      <c r="H113" s="130">
        <v>0</v>
      </c>
      <c r="I113" s="130">
        <v>0</v>
      </c>
      <c r="J113" s="142">
        <v>45469</v>
      </c>
      <c r="L113" s="128" t="s">
        <v>740</v>
      </c>
      <c r="M113" s="175">
        <v>100</v>
      </c>
    </row>
    <row r="114" spans="2:13">
      <c r="B114" s="128" t="s">
        <v>446</v>
      </c>
      <c r="C114" s="128" t="s">
        <v>454</v>
      </c>
      <c r="D114" s="128" t="s">
        <v>433</v>
      </c>
      <c r="F114" s="131">
        <v>44831</v>
      </c>
      <c r="G114" s="130">
        <v>150000</v>
      </c>
      <c r="H114" s="130">
        <v>0</v>
      </c>
      <c r="I114" s="130">
        <v>0</v>
      </c>
      <c r="J114" s="142">
        <v>45035</v>
      </c>
      <c r="L114" s="128" t="s">
        <v>741</v>
      </c>
      <c r="M114" s="175"/>
    </row>
    <row r="115" spans="2:13">
      <c r="B115" s="128" t="s">
        <v>447</v>
      </c>
      <c r="C115" s="128" t="s">
        <v>454</v>
      </c>
      <c r="D115" s="128" t="s">
        <v>433</v>
      </c>
      <c r="F115" s="131">
        <v>44915</v>
      </c>
      <c r="G115" s="130">
        <v>25000</v>
      </c>
      <c r="H115" s="130">
        <v>0</v>
      </c>
      <c r="I115" s="130">
        <v>0</v>
      </c>
      <c r="J115" s="142">
        <v>45093</v>
      </c>
      <c r="L115" s="128" t="s">
        <v>742</v>
      </c>
      <c r="M115" s="175"/>
    </row>
    <row r="116" spans="2:13">
      <c r="B116" s="128" t="s">
        <v>448</v>
      </c>
      <c r="C116" s="128" t="s">
        <v>454</v>
      </c>
      <c r="D116" s="128" t="s">
        <v>433</v>
      </c>
      <c r="F116" s="131">
        <v>44918</v>
      </c>
      <c r="G116" s="130">
        <v>7000</v>
      </c>
      <c r="H116" s="130">
        <v>0</v>
      </c>
      <c r="I116" s="130">
        <v>0</v>
      </c>
      <c r="J116" s="142">
        <v>45093</v>
      </c>
      <c r="L116" s="128" t="s">
        <v>743</v>
      </c>
      <c r="M116" s="175"/>
    </row>
    <row r="117" spans="2:13">
      <c r="B117" s="128" t="s">
        <v>449</v>
      </c>
      <c r="C117" s="128" t="s">
        <v>454</v>
      </c>
      <c r="D117" s="128" t="s">
        <v>431</v>
      </c>
      <c r="F117" s="131">
        <v>44827</v>
      </c>
      <c r="G117" s="130">
        <v>51000</v>
      </c>
      <c r="H117" s="130">
        <v>0</v>
      </c>
      <c r="I117" s="130">
        <v>0</v>
      </c>
      <c r="J117" s="142">
        <v>45469</v>
      </c>
      <c r="L117" s="128" t="s">
        <v>744</v>
      </c>
      <c r="M117" s="175">
        <v>10.44</v>
      </c>
    </row>
    <row r="118" spans="2:13">
      <c r="B118" s="128" t="s">
        <v>450</v>
      </c>
      <c r="C118" s="128" t="s">
        <v>454</v>
      </c>
      <c r="D118" s="128" t="s">
        <v>431</v>
      </c>
      <c r="F118" s="131">
        <v>45279</v>
      </c>
      <c r="G118" s="130">
        <v>31900</v>
      </c>
      <c r="H118" s="130">
        <v>0</v>
      </c>
      <c r="I118" s="130">
        <v>0</v>
      </c>
      <c r="J118" s="142">
        <v>45296</v>
      </c>
      <c r="L118" s="128" t="s">
        <v>745</v>
      </c>
      <c r="M118" s="175"/>
    </row>
    <row r="119" spans="2:13">
      <c r="B119" s="128" t="s">
        <v>397</v>
      </c>
      <c r="C119" s="128" t="s">
        <v>454</v>
      </c>
      <c r="D119" s="128" t="s">
        <v>433</v>
      </c>
      <c r="F119" s="131">
        <v>45015</v>
      </c>
      <c r="G119" s="130">
        <v>20000</v>
      </c>
      <c r="H119" s="130">
        <v>0</v>
      </c>
      <c r="I119" s="130">
        <v>0</v>
      </c>
      <c r="J119" s="142">
        <v>45020</v>
      </c>
      <c r="L119" s="128" t="s">
        <v>652</v>
      </c>
      <c r="M119" s="175"/>
    </row>
    <row r="120" spans="2:13">
      <c r="B120" s="128" t="s">
        <v>399</v>
      </c>
      <c r="C120" s="128" t="s">
        <v>454</v>
      </c>
      <c r="D120" s="128" t="s">
        <v>433</v>
      </c>
      <c r="F120" s="131">
        <v>45196</v>
      </c>
      <c r="G120" s="130">
        <v>20000</v>
      </c>
      <c r="H120" s="130">
        <v>0</v>
      </c>
      <c r="I120" s="130">
        <v>0</v>
      </c>
      <c r="J120" s="142">
        <v>45209</v>
      </c>
      <c r="L120" s="128" t="s">
        <v>665</v>
      </c>
      <c r="M120" s="175"/>
    </row>
    <row r="121" spans="2:13">
      <c r="B121" s="128" t="s">
        <v>451</v>
      </c>
      <c r="C121" s="128" t="s">
        <v>454</v>
      </c>
      <c r="D121" s="128" t="s">
        <v>431</v>
      </c>
      <c r="F121" s="131">
        <v>45013</v>
      </c>
      <c r="G121" s="130">
        <v>31500</v>
      </c>
      <c r="H121" s="130">
        <v>0</v>
      </c>
      <c r="I121" s="130">
        <v>0</v>
      </c>
      <c r="J121" s="142">
        <v>45469</v>
      </c>
      <c r="L121" s="128" t="s">
        <v>746</v>
      </c>
      <c r="M121" s="175">
        <v>86.79</v>
      </c>
    </row>
    <row r="122" spans="2:13">
      <c r="B122" s="128" t="s">
        <v>406</v>
      </c>
      <c r="C122" s="128" t="s">
        <v>454</v>
      </c>
      <c r="D122" s="128" t="s">
        <v>435</v>
      </c>
      <c r="F122" s="131">
        <v>45036</v>
      </c>
      <c r="G122" s="130">
        <v>17600</v>
      </c>
      <c r="H122" s="130">
        <v>0</v>
      </c>
      <c r="I122" s="130">
        <v>0</v>
      </c>
      <c r="J122" s="142">
        <v>45042</v>
      </c>
      <c r="L122" s="128" t="s">
        <v>655</v>
      </c>
      <c r="M122" s="175"/>
    </row>
    <row r="123" spans="2:13">
      <c r="B123" s="128" t="s">
        <v>408</v>
      </c>
      <c r="C123" s="128" t="s">
        <v>454</v>
      </c>
      <c r="D123" s="128" t="s">
        <v>433</v>
      </c>
      <c r="F123" s="131">
        <v>45259</v>
      </c>
      <c r="G123" s="130">
        <v>12300</v>
      </c>
      <c r="H123" s="130">
        <v>0</v>
      </c>
      <c r="I123" s="130">
        <v>0</v>
      </c>
      <c r="J123" s="142">
        <v>45272</v>
      </c>
      <c r="L123" s="128" t="s">
        <v>667</v>
      </c>
      <c r="M123" s="175"/>
    </row>
    <row r="124" spans="2:13">
      <c r="B124" s="128" t="s">
        <v>409</v>
      </c>
      <c r="C124" s="128" t="s">
        <v>454</v>
      </c>
      <c r="D124" s="128" t="s">
        <v>434</v>
      </c>
      <c r="F124" s="131">
        <v>45266</v>
      </c>
      <c r="G124" s="130">
        <v>13600</v>
      </c>
      <c r="H124" s="130">
        <v>0</v>
      </c>
      <c r="I124" s="130">
        <v>0</v>
      </c>
      <c r="J124" s="142">
        <v>45272</v>
      </c>
      <c r="L124" s="128" t="s">
        <v>668</v>
      </c>
      <c r="M124" s="175"/>
    </row>
    <row r="125" spans="2:13">
      <c r="B125" s="128" t="s">
        <v>452</v>
      </c>
      <c r="C125" s="128" t="s">
        <v>454</v>
      </c>
      <c r="D125" s="128" t="s">
        <v>433</v>
      </c>
      <c r="F125" s="131">
        <v>45400</v>
      </c>
      <c r="G125" s="130">
        <v>55000</v>
      </c>
      <c r="H125" s="130">
        <v>0</v>
      </c>
      <c r="I125" s="130">
        <v>0</v>
      </c>
      <c r="J125" s="142">
        <v>45469</v>
      </c>
      <c r="L125" s="128" t="s">
        <v>747</v>
      </c>
      <c r="M125" s="175">
        <v>49.15</v>
      </c>
    </row>
    <row r="126" spans="2:13">
      <c r="B126" s="128" t="s">
        <v>453</v>
      </c>
      <c r="C126" s="128" t="s">
        <v>454</v>
      </c>
      <c r="D126" s="128" t="s">
        <v>433</v>
      </c>
      <c r="F126" s="131">
        <v>45562</v>
      </c>
      <c r="G126" s="130">
        <v>8500</v>
      </c>
      <c r="H126" s="130">
        <v>0</v>
      </c>
      <c r="I126" s="130">
        <v>0</v>
      </c>
      <c r="J126" s="142">
        <v>45593</v>
      </c>
      <c r="L126" s="128" t="s">
        <v>748</v>
      </c>
      <c r="M126" s="175"/>
    </row>
    <row r="127" spans="2:13">
      <c r="B127" s="128" t="s">
        <v>350</v>
      </c>
      <c r="C127" s="128" t="s">
        <v>454</v>
      </c>
      <c r="D127" s="128" t="s">
        <v>433</v>
      </c>
      <c r="F127" s="131">
        <v>45741</v>
      </c>
      <c r="G127" s="130">
        <v>10000</v>
      </c>
      <c r="H127" s="130">
        <v>0</v>
      </c>
      <c r="I127" s="130">
        <v>0</v>
      </c>
      <c r="J127" s="142">
        <v>45762</v>
      </c>
      <c r="L127" s="128" t="s">
        <v>705</v>
      </c>
      <c r="M127" s="175">
        <v>100</v>
      </c>
    </row>
    <row r="128" spans="2:13">
      <c r="B128" s="128" t="s">
        <v>357</v>
      </c>
      <c r="C128" s="128" t="s">
        <v>454</v>
      </c>
      <c r="D128" s="128" t="s">
        <v>433</v>
      </c>
      <c r="F128" s="131">
        <v>45742</v>
      </c>
      <c r="G128" s="130">
        <v>35800</v>
      </c>
      <c r="H128" s="130">
        <v>0</v>
      </c>
      <c r="I128" s="130">
        <v>0</v>
      </c>
      <c r="J128" s="142">
        <v>45762</v>
      </c>
      <c r="L128" s="128" t="s">
        <v>708</v>
      </c>
      <c r="M128" s="175">
        <v>98.77</v>
      </c>
    </row>
    <row r="129" spans="2:16">
      <c r="B129" s="128" t="s">
        <v>371</v>
      </c>
      <c r="C129" s="128" t="s">
        <v>454</v>
      </c>
      <c r="D129" s="128" t="s">
        <v>433</v>
      </c>
      <c r="F129" s="131">
        <v>45740</v>
      </c>
      <c r="G129" s="130">
        <v>8000</v>
      </c>
      <c r="H129" s="130">
        <v>0</v>
      </c>
      <c r="I129" s="130">
        <v>0</v>
      </c>
      <c r="J129" s="142">
        <v>45762</v>
      </c>
      <c r="L129" s="128" t="s">
        <v>706</v>
      </c>
      <c r="M129" s="175"/>
    </row>
    <row r="130" spans="2:16">
      <c r="B130" s="128" t="s">
        <v>428</v>
      </c>
      <c r="C130" s="128" t="s">
        <v>454</v>
      </c>
      <c r="D130" s="128" t="s">
        <v>433</v>
      </c>
      <c r="F130" s="131">
        <v>45748</v>
      </c>
      <c r="G130" s="130">
        <v>100000</v>
      </c>
      <c r="H130" s="130">
        <v>0</v>
      </c>
      <c r="I130" s="130">
        <v>0</v>
      </c>
      <c r="J130" s="142">
        <v>45784</v>
      </c>
      <c r="L130" s="128" t="s">
        <v>697</v>
      </c>
      <c r="M130" s="175">
        <v>100</v>
      </c>
    </row>
    <row r="131" spans="2:16" s="133" customFormat="1">
      <c r="B131" s="133" t="s">
        <v>356</v>
      </c>
      <c r="C131" s="133" t="s">
        <v>454</v>
      </c>
      <c r="D131" s="133" t="s">
        <v>433</v>
      </c>
      <c r="E131" s="139"/>
      <c r="F131" s="134">
        <v>45833</v>
      </c>
      <c r="G131" s="135">
        <v>70000</v>
      </c>
      <c r="H131" s="135">
        <v>0</v>
      </c>
      <c r="I131" s="135">
        <v>0</v>
      </c>
      <c r="J131" s="144">
        <v>45856</v>
      </c>
      <c r="L131" s="133" t="s">
        <v>720</v>
      </c>
      <c r="M131" s="175">
        <v>100</v>
      </c>
      <c r="N131" s="128"/>
      <c r="P131" s="128"/>
    </row>
    <row r="132" spans="2:16">
      <c r="B132" s="128" t="s">
        <v>462</v>
      </c>
      <c r="C132" s="128" t="s">
        <v>464</v>
      </c>
      <c r="D132" s="128" t="s">
        <v>434</v>
      </c>
      <c r="E132" s="140" t="s">
        <v>470</v>
      </c>
      <c r="F132" s="131">
        <v>45397</v>
      </c>
      <c r="G132" s="136">
        <v>22000</v>
      </c>
      <c r="H132" s="136">
        <v>0</v>
      </c>
      <c r="I132" s="136">
        <v>0</v>
      </c>
      <c r="J132" s="142">
        <v>45477</v>
      </c>
      <c r="L132" s="128" t="s">
        <v>749</v>
      </c>
      <c r="M132" s="175"/>
    </row>
    <row r="133" spans="2:16">
      <c r="B133" s="128" t="s">
        <v>1004</v>
      </c>
      <c r="C133" s="128" t="s">
        <v>464</v>
      </c>
      <c r="D133" s="128" t="s">
        <v>431</v>
      </c>
      <c r="E133" s="140" t="s">
        <v>470</v>
      </c>
      <c r="F133" s="131">
        <v>45985</v>
      </c>
      <c r="G133" s="136">
        <v>70000</v>
      </c>
      <c r="H133" s="136">
        <v>700</v>
      </c>
      <c r="I133" s="136">
        <v>700</v>
      </c>
      <c r="L133" s="128" t="s">
        <v>750</v>
      </c>
      <c r="M133" s="175">
        <v>100</v>
      </c>
      <c r="N133" s="344">
        <v>46291</v>
      </c>
    </row>
    <row r="134" spans="2:16" s="133" customFormat="1">
      <c r="B134" s="133" t="s">
        <v>463</v>
      </c>
      <c r="C134" s="133" t="s">
        <v>464</v>
      </c>
      <c r="D134" s="133" t="s">
        <v>431</v>
      </c>
      <c r="E134" s="139" t="s">
        <v>470</v>
      </c>
      <c r="F134" s="134">
        <v>45987</v>
      </c>
      <c r="G134" s="135">
        <v>100000</v>
      </c>
      <c r="H134" s="135">
        <v>1000</v>
      </c>
      <c r="I134" s="135">
        <v>1000</v>
      </c>
      <c r="J134" s="144"/>
      <c r="L134" s="133" t="s">
        <v>751</v>
      </c>
      <c r="M134" s="175">
        <v>100</v>
      </c>
      <c r="N134" s="133" t="s">
        <v>752</v>
      </c>
      <c r="P134" s="128"/>
    </row>
    <row r="135" spans="2:16">
      <c r="B135" s="128" t="s">
        <v>382</v>
      </c>
      <c r="C135" s="128" t="s">
        <v>801</v>
      </c>
      <c r="D135" s="128" t="s">
        <v>432</v>
      </c>
      <c r="F135" s="131">
        <v>45063</v>
      </c>
      <c r="G135" s="130">
        <v>375000</v>
      </c>
      <c r="H135" s="130">
        <v>0</v>
      </c>
      <c r="I135" s="130">
        <v>0</v>
      </c>
      <c r="J135" s="142">
        <v>45184</v>
      </c>
      <c r="L135" s="128" t="s">
        <v>738</v>
      </c>
      <c r="M135" s="175"/>
    </row>
    <row r="136" spans="2:16">
      <c r="B136" s="128" t="s">
        <v>391</v>
      </c>
      <c r="C136" s="128" t="s">
        <v>802</v>
      </c>
      <c r="D136" s="128" t="s">
        <v>433</v>
      </c>
      <c r="F136" s="131">
        <v>45098</v>
      </c>
      <c r="G136" s="130">
        <v>100000</v>
      </c>
      <c r="H136" s="130">
        <v>0</v>
      </c>
      <c r="I136" s="130">
        <v>0</v>
      </c>
      <c r="J136" s="142">
        <v>45454</v>
      </c>
      <c r="L136" s="128" t="s">
        <v>656</v>
      </c>
      <c r="M136" s="175"/>
    </row>
    <row r="137" spans="2:16">
      <c r="B137" s="128" t="s">
        <v>440</v>
      </c>
      <c r="C137" s="128" t="s">
        <v>802</v>
      </c>
      <c r="D137" s="128" t="s">
        <v>433</v>
      </c>
      <c r="F137" s="131">
        <v>45468</v>
      </c>
      <c r="G137" s="130">
        <v>50000</v>
      </c>
      <c r="H137" s="130">
        <v>0</v>
      </c>
      <c r="I137" s="130">
        <v>0</v>
      </c>
      <c r="J137" s="142">
        <v>45713</v>
      </c>
      <c r="L137" s="128" t="s">
        <v>713</v>
      </c>
      <c r="M137" s="175"/>
    </row>
    <row r="138" spans="2:16">
      <c r="B138" s="128" t="s">
        <v>416</v>
      </c>
      <c r="C138" s="128" t="s">
        <v>802</v>
      </c>
      <c r="D138" s="128" t="s">
        <v>434</v>
      </c>
      <c r="F138" s="131">
        <v>45470</v>
      </c>
      <c r="G138" s="130">
        <v>20400</v>
      </c>
      <c r="H138" s="130">
        <v>0</v>
      </c>
      <c r="I138" s="130">
        <v>0</v>
      </c>
      <c r="J138" s="142">
        <v>45526</v>
      </c>
      <c r="L138" s="128" t="s">
        <v>687</v>
      </c>
      <c r="M138" s="175">
        <v>3.83</v>
      </c>
    </row>
    <row r="139" spans="2:16">
      <c r="B139" s="128" t="s">
        <v>455</v>
      </c>
      <c r="C139" s="128" t="s">
        <v>802</v>
      </c>
      <c r="D139" s="128" t="s">
        <v>431</v>
      </c>
      <c r="F139" s="131">
        <v>45531</v>
      </c>
      <c r="G139" s="130">
        <v>44700</v>
      </c>
      <c r="H139" s="130">
        <v>0</v>
      </c>
      <c r="I139" s="130">
        <v>0</v>
      </c>
      <c r="J139" s="142">
        <v>45698</v>
      </c>
      <c r="L139" s="128" t="s">
        <v>753</v>
      </c>
      <c r="M139" s="175"/>
    </row>
    <row r="140" spans="2:16">
      <c r="B140" s="128" t="s">
        <v>926</v>
      </c>
      <c r="C140" s="128" t="s">
        <v>802</v>
      </c>
      <c r="D140" s="128" t="s">
        <v>433</v>
      </c>
      <c r="E140" s="138">
        <v>0.05</v>
      </c>
      <c r="F140" s="131">
        <v>45853</v>
      </c>
      <c r="G140" s="130">
        <v>41700</v>
      </c>
      <c r="H140" s="130">
        <v>0</v>
      </c>
      <c r="I140" s="197">
        <v>0</v>
      </c>
      <c r="J140" s="142">
        <v>46052</v>
      </c>
      <c r="L140" s="128" t="s">
        <v>754</v>
      </c>
      <c r="M140" s="175">
        <v>100</v>
      </c>
    </row>
    <row r="141" spans="2:16">
      <c r="B141" s="128" t="s">
        <v>424</v>
      </c>
      <c r="C141" s="128" t="s">
        <v>802</v>
      </c>
      <c r="D141" s="128" t="s">
        <v>433</v>
      </c>
      <c r="F141" s="131">
        <v>45861</v>
      </c>
      <c r="G141" s="130">
        <v>48500</v>
      </c>
      <c r="H141" s="130">
        <v>0</v>
      </c>
      <c r="I141" s="130">
        <v>0</v>
      </c>
      <c r="J141" s="142">
        <v>45954</v>
      </c>
      <c r="L141" s="128" t="s">
        <v>696</v>
      </c>
      <c r="M141" s="175"/>
    </row>
    <row r="142" spans="2:16">
      <c r="B142" s="128" t="s">
        <v>456</v>
      </c>
      <c r="C142" s="128" t="s">
        <v>802</v>
      </c>
      <c r="D142" s="128" t="s">
        <v>431</v>
      </c>
      <c r="E142" s="196">
        <v>0.05</v>
      </c>
      <c r="F142" s="131">
        <v>45862</v>
      </c>
      <c r="G142" s="197">
        <v>14000</v>
      </c>
      <c r="H142" s="197">
        <v>0</v>
      </c>
      <c r="I142" s="197">
        <v>0</v>
      </c>
      <c r="J142" s="198">
        <v>46041</v>
      </c>
      <c r="L142" s="128" t="s">
        <v>755</v>
      </c>
      <c r="M142" s="175"/>
    </row>
    <row r="143" spans="2:16">
      <c r="B143" s="128" t="s">
        <v>363</v>
      </c>
      <c r="C143" s="128" t="s">
        <v>802</v>
      </c>
      <c r="D143" s="128" t="s">
        <v>431</v>
      </c>
      <c r="E143" s="138">
        <v>0.05</v>
      </c>
      <c r="F143" s="131">
        <v>45973</v>
      </c>
      <c r="G143" s="130">
        <v>18200</v>
      </c>
      <c r="H143" s="130">
        <v>0</v>
      </c>
      <c r="I143" s="197">
        <v>0</v>
      </c>
      <c r="J143" s="142">
        <v>46057</v>
      </c>
      <c r="L143" s="128" t="s">
        <v>715</v>
      </c>
      <c r="M143" s="175">
        <v>100</v>
      </c>
    </row>
    <row r="144" spans="2:16">
      <c r="B144" s="246" t="s">
        <v>1015</v>
      </c>
      <c r="C144" s="128" t="s">
        <v>802</v>
      </c>
      <c r="D144" s="128" t="s">
        <v>433</v>
      </c>
      <c r="E144" s="138">
        <v>0.05</v>
      </c>
      <c r="F144" s="131">
        <v>45986</v>
      </c>
      <c r="G144" s="130">
        <v>150000</v>
      </c>
      <c r="H144" s="130">
        <v>0</v>
      </c>
      <c r="I144" s="197">
        <v>0</v>
      </c>
      <c r="J144" s="142">
        <v>46057</v>
      </c>
      <c r="L144" s="128" t="s">
        <v>695</v>
      </c>
      <c r="M144" s="175">
        <v>100</v>
      </c>
      <c r="N144" s="131"/>
    </row>
    <row r="145" spans="2:16">
      <c r="B145" s="246" t="s">
        <v>1016</v>
      </c>
      <c r="C145" s="128" t="s">
        <v>802</v>
      </c>
      <c r="D145" s="128" t="s">
        <v>433</v>
      </c>
      <c r="E145" s="138">
        <v>0.05</v>
      </c>
      <c r="F145" s="131">
        <v>45986</v>
      </c>
      <c r="G145" s="130">
        <v>100000</v>
      </c>
      <c r="H145" s="130">
        <v>0</v>
      </c>
      <c r="I145" s="197">
        <v>0</v>
      </c>
      <c r="J145" s="142">
        <v>46057</v>
      </c>
      <c r="L145" s="128" t="s">
        <v>697</v>
      </c>
      <c r="M145" s="175">
        <v>100</v>
      </c>
    </row>
    <row r="146" spans="2:16" s="133" customFormat="1">
      <c r="B146" s="133" t="s">
        <v>357</v>
      </c>
      <c r="C146" s="133" t="s">
        <v>802</v>
      </c>
      <c r="D146" s="133" t="s">
        <v>433</v>
      </c>
      <c r="E146" s="139">
        <v>0.05</v>
      </c>
      <c r="F146" s="134">
        <v>45986</v>
      </c>
      <c r="G146" s="135">
        <v>71600</v>
      </c>
      <c r="H146" s="135">
        <v>0</v>
      </c>
      <c r="I146" s="374">
        <v>0</v>
      </c>
      <c r="J146" s="144">
        <v>46113</v>
      </c>
      <c r="K146" s="133" t="s">
        <v>1448</v>
      </c>
      <c r="L146" s="133" t="s">
        <v>708</v>
      </c>
      <c r="M146" s="175"/>
      <c r="N146" s="128"/>
      <c r="P146" s="128"/>
    </row>
    <row r="147" spans="2:16">
      <c r="B147" s="128" t="s">
        <v>382</v>
      </c>
      <c r="C147" s="128" t="s">
        <v>803</v>
      </c>
      <c r="D147" s="128" t="s">
        <v>432</v>
      </c>
      <c r="F147" s="131">
        <v>45063</v>
      </c>
      <c r="G147" s="130">
        <v>375000</v>
      </c>
      <c r="H147" s="130">
        <v>0</v>
      </c>
      <c r="I147" s="130">
        <v>0</v>
      </c>
      <c r="J147" s="142">
        <v>45120</v>
      </c>
      <c r="L147" s="128" t="s">
        <v>738</v>
      </c>
      <c r="M147" s="175"/>
    </row>
    <row r="148" spans="2:16">
      <c r="B148" s="128" t="s">
        <v>458</v>
      </c>
      <c r="C148" s="128" t="s">
        <v>804</v>
      </c>
      <c r="D148" s="128" t="s">
        <v>434</v>
      </c>
      <c r="F148" s="131">
        <v>45407</v>
      </c>
      <c r="G148" s="130">
        <v>47200</v>
      </c>
      <c r="H148" s="130">
        <v>0</v>
      </c>
      <c r="I148" s="130">
        <v>0</v>
      </c>
      <c r="J148" s="142">
        <v>45588</v>
      </c>
      <c r="L148" s="128" t="s">
        <v>756</v>
      </c>
      <c r="M148" s="175"/>
    </row>
    <row r="149" spans="2:16">
      <c r="B149" s="128" t="s">
        <v>372</v>
      </c>
      <c r="C149" s="128" t="s">
        <v>804</v>
      </c>
      <c r="D149" s="128" t="s">
        <v>431</v>
      </c>
      <c r="F149" s="131">
        <v>45407</v>
      </c>
      <c r="G149" s="130">
        <v>96000</v>
      </c>
      <c r="H149" s="130">
        <v>0</v>
      </c>
      <c r="I149" s="130">
        <v>0</v>
      </c>
      <c r="J149" s="142">
        <v>45498</v>
      </c>
      <c r="L149" s="128" t="s">
        <v>680</v>
      </c>
      <c r="M149" s="175"/>
    </row>
    <row r="150" spans="2:16">
      <c r="B150" s="128" t="s">
        <v>357</v>
      </c>
      <c r="C150" s="128" t="s">
        <v>804</v>
      </c>
      <c r="D150" s="128" t="s">
        <v>433</v>
      </c>
      <c r="F150" s="131">
        <v>45742</v>
      </c>
      <c r="G150" s="130">
        <v>71600</v>
      </c>
      <c r="H150" s="130">
        <v>0</v>
      </c>
      <c r="I150" s="130">
        <v>0</v>
      </c>
      <c r="J150" s="142">
        <v>45902</v>
      </c>
      <c r="L150" s="128" t="s">
        <v>708</v>
      </c>
      <c r="M150" s="175">
        <v>98.77</v>
      </c>
    </row>
    <row r="151" spans="2:16">
      <c r="B151" s="128" t="s">
        <v>459</v>
      </c>
      <c r="C151" s="128" t="s">
        <v>804</v>
      </c>
      <c r="D151" s="128" t="s">
        <v>434</v>
      </c>
      <c r="F151" s="131">
        <v>45785</v>
      </c>
      <c r="G151" s="130">
        <v>25000</v>
      </c>
      <c r="H151" s="130">
        <v>0</v>
      </c>
      <c r="I151" s="130">
        <v>0</v>
      </c>
      <c r="J151" s="142">
        <v>45902</v>
      </c>
      <c r="L151" s="128" t="s">
        <v>757</v>
      </c>
      <c r="M151" s="175">
        <v>100</v>
      </c>
    </row>
    <row r="152" spans="2:16">
      <c r="B152" s="128" t="s">
        <v>460</v>
      </c>
      <c r="C152" s="128" t="s">
        <v>804</v>
      </c>
      <c r="D152" s="128" t="s">
        <v>434</v>
      </c>
      <c r="F152" s="131">
        <v>45785</v>
      </c>
      <c r="G152" s="130">
        <v>25000</v>
      </c>
      <c r="H152" s="130">
        <v>0</v>
      </c>
      <c r="I152" s="130">
        <v>0</v>
      </c>
      <c r="J152" s="142">
        <v>45789</v>
      </c>
      <c r="L152" s="128" t="s">
        <v>758</v>
      </c>
      <c r="M152" s="175"/>
    </row>
    <row r="153" spans="2:16">
      <c r="B153" s="128" t="s">
        <v>461</v>
      </c>
      <c r="C153" s="128" t="s">
        <v>804</v>
      </c>
      <c r="D153" s="128" t="s">
        <v>431</v>
      </c>
      <c r="F153" s="131">
        <v>45803</v>
      </c>
      <c r="G153" s="130">
        <v>153800</v>
      </c>
      <c r="H153" s="130">
        <v>0</v>
      </c>
      <c r="I153" s="130">
        <v>0</v>
      </c>
      <c r="J153" s="142">
        <v>45972</v>
      </c>
      <c r="L153" s="128" t="s">
        <v>759</v>
      </c>
      <c r="M153" s="175">
        <v>100</v>
      </c>
    </row>
    <row r="154" spans="2:16">
      <c r="B154" s="128" t="s">
        <v>927</v>
      </c>
      <c r="C154" s="128" t="s">
        <v>804</v>
      </c>
      <c r="D154" s="128" t="s">
        <v>431</v>
      </c>
      <c r="E154" s="138">
        <v>0.05</v>
      </c>
      <c r="F154" s="131">
        <v>45867</v>
      </c>
      <c r="G154" s="130">
        <v>73000</v>
      </c>
      <c r="H154" s="130">
        <v>0</v>
      </c>
      <c r="I154" s="197">
        <v>0</v>
      </c>
      <c r="J154" s="142">
        <v>46121</v>
      </c>
      <c r="L154" s="128" t="s">
        <v>760</v>
      </c>
      <c r="M154" s="175"/>
    </row>
    <row r="155" spans="2:16">
      <c r="B155" s="128" t="s">
        <v>1730</v>
      </c>
      <c r="C155" s="128" t="s">
        <v>804</v>
      </c>
      <c r="D155" s="128" t="s">
        <v>433</v>
      </c>
      <c r="E155" s="140">
        <v>0.05</v>
      </c>
      <c r="F155" s="131">
        <v>46007</v>
      </c>
      <c r="G155" s="136">
        <v>102400</v>
      </c>
      <c r="H155" s="136">
        <v>0</v>
      </c>
      <c r="I155" s="381">
        <v>0</v>
      </c>
      <c r="J155" s="350">
        <v>46121</v>
      </c>
      <c r="K155" s="128" t="s">
        <v>1447</v>
      </c>
      <c r="L155" s="128" t="s">
        <v>1621</v>
      </c>
      <c r="M155" s="175"/>
      <c r="O155" s="187" t="e">
        <f>+I155/H155*10000</f>
        <v>#DIV/0!</v>
      </c>
    </row>
    <row r="156" spans="2:16">
      <c r="B156" s="128" t="s">
        <v>1620</v>
      </c>
      <c r="C156" s="128" t="s">
        <v>804</v>
      </c>
      <c r="D156" s="128" t="s">
        <v>431</v>
      </c>
      <c r="E156" s="140">
        <v>0.05</v>
      </c>
      <c r="F156" s="131">
        <v>46108</v>
      </c>
      <c r="G156" s="136">
        <v>372800</v>
      </c>
      <c r="H156" s="136">
        <v>372800</v>
      </c>
      <c r="I156" s="366">
        <v>3728</v>
      </c>
      <c r="J156" s="350"/>
      <c r="L156" s="128" t="s">
        <v>1622</v>
      </c>
      <c r="M156" s="175"/>
      <c r="N156" s="344">
        <v>46229</v>
      </c>
    </row>
    <row r="157" spans="2:16">
      <c r="E157" s="140"/>
      <c r="G157" s="136"/>
      <c r="H157" s="136"/>
      <c r="I157" s="366"/>
      <c r="J157" s="350"/>
      <c r="M157" s="175"/>
    </row>
    <row r="158" spans="2:16">
      <c r="E158" s="140"/>
      <c r="G158" s="136"/>
      <c r="H158" s="136"/>
      <c r="I158" s="366"/>
      <c r="J158" s="350"/>
      <c r="M158" s="175"/>
    </row>
    <row r="159" spans="2:16" s="360" customFormat="1">
      <c r="B159" s="360" t="s">
        <v>345</v>
      </c>
      <c r="C159" s="360" t="s">
        <v>805</v>
      </c>
      <c r="D159" s="360" t="s">
        <v>432</v>
      </c>
      <c r="E159" s="361"/>
      <c r="F159" s="362">
        <v>45288</v>
      </c>
      <c r="G159" s="363">
        <v>200000</v>
      </c>
      <c r="H159" s="363">
        <v>0</v>
      </c>
      <c r="I159" s="363">
        <v>0</v>
      </c>
      <c r="J159" s="364">
        <v>45299</v>
      </c>
      <c r="L159" s="360" t="s">
        <v>674</v>
      </c>
      <c r="M159" s="365">
        <v>100</v>
      </c>
    </row>
    <row r="160" spans="2:16" s="133" customFormat="1">
      <c r="B160" s="133" t="s">
        <v>372</v>
      </c>
      <c r="C160" s="133" t="s">
        <v>805</v>
      </c>
      <c r="D160" s="133" t="s">
        <v>431</v>
      </c>
      <c r="E160" s="139"/>
      <c r="F160" s="134">
        <v>45407</v>
      </c>
      <c r="G160" s="135">
        <v>48200</v>
      </c>
      <c r="H160" s="135">
        <v>0</v>
      </c>
      <c r="I160" s="135">
        <v>0</v>
      </c>
      <c r="J160" s="144">
        <v>45436</v>
      </c>
      <c r="L160" s="133" t="s">
        <v>680</v>
      </c>
      <c r="M160" s="175"/>
      <c r="P160" s="128"/>
    </row>
    <row r="161" spans="2:14">
      <c r="B161" s="128" t="s">
        <v>465</v>
      </c>
      <c r="C161" s="128" t="s">
        <v>806</v>
      </c>
      <c r="D161" s="128" t="s">
        <v>433</v>
      </c>
      <c r="F161" s="131">
        <v>45460</v>
      </c>
      <c r="G161" s="130">
        <v>31000</v>
      </c>
      <c r="H161" s="130">
        <v>0</v>
      </c>
      <c r="I161" s="130">
        <v>0</v>
      </c>
      <c r="J161" s="142">
        <v>45643</v>
      </c>
      <c r="L161" s="128" t="s">
        <v>761</v>
      </c>
      <c r="M161" s="175"/>
    </row>
    <row r="162" spans="2:14">
      <c r="B162" s="128" t="s">
        <v>466</v>
      </c>
      <c r="C162" s="128" t="s">
        <v>806</v>
      </c>
      <c r="D162" s="128" t="s">
        <v>433</v>
      </c>
      <c r="F162" s="131">
        <v>45470</v>
      </c>
      <c r="G162" s="130">
        <v>8100</v>
      </c>
      <c r="H162" s="130">
        <v>0</v>
      </c>
      <c r="I162" s="130">
        <v>0</v>
      </c>
      <c r="J162" s="142">
        <v>45482</v>
      </c>
      <c r="L162" s="128" t="s">
        <v>762</v>
      </c>
      <c r="M162" s="175"/>
    </row>
    <row r="163" spans="2:14">
      <c r="B163" s="128" t="s">
        <v>455</v>
      </c>
      <c r="C163" s="128" t="s">
        <v>806</v>
      </c>
      <c r="D163" s="128" t="s">
        <v>431</v>
      </c>
      <c r="F163" s="131">
        <v>45531</v>
      </c>
      <c r="G163" s="130">
        <v>30000</v>
      </c>
      <c r="H163" s="130">
        <v>0</v>
      </c>
      <c r="I163" s="130">
        <v>0</v>
      </c>
      <c r="J163" s="142">
        <v>45546</v>
      </c>
      <c r="L163" s="128" t="s">
        <v>753</v>
      </c>
      <c r="M163" s="175"/>
    </row>
    <row r="164" spans="2:14">
      <c r="B164" s="128" t="s">
        <v>419</v>
      </c>
      <c r="C164" s="128" t="s">
        <v>806</v>
      </c>
      <c r="D164" s="128" t="s">
        <v>433</v>
      </c>
      <c r="F164" s="131">
        <v>45554</v>
      </c>
      <c r="G164" s="130">
        <v>90000</v>
      </c>
      <c r="H164" s="130">
        <v>0</v>
      </c>
      <c r="I164" s="130">
        <v>0</v>
      </c>
      <c r="J164" s="142">
        <v>45659</v>
      </c>
      <c r="L164" s="128" t="s">
        <v>709</v>
      </c>
      <c r="M164" s="175"/>
    </row>
    <row r="165" spans="2:14">
      <c r="B165" s="128" t="s">
        <v>420</v>
      </c>
      <c r="C165" s="128" t="s">
        <v>806</v>
      </c>
      <c r="D165" s="128" t="s">
        <v>434</v>
      </c>
      <c r="F165" s="131">
        <v>45559</v>
      </c>
      <c r="G165" s="130">
        <v>24400</v>
      </c>
      <c r="H165" s="130">
        <v>0</v>
      </c>
      <c r="I165" s="130">
        <v>0</v>
      </c>
      <c r="J165" s="142">
        <v>45715</v>
      </c>
      <c r="L165" s="128" t="s">
        <v>692</v>
      </c>
      <c r="M165" s="175"/>
    </row>
    <row r="166" spans="2:14">
      <c r="B166" s="128" t="s">
        <v>467</v>
      </c>
      <c r="C166" s="128" t="s">
        <v>806</v>
      </c>
      <c r="D166" s="128" t="s">
        <v>433</v>
      </c>
      <c r="F166" s="131">
        <v>45561</v>
      </c>
      <c r="G166" s="130">
        <v>12900</v>
      </c>
      <c r="H166" s="130">
        <v>0</v>
      </c>
      <c r="I166" s="130">
        <v>0</v>
      </c>
      <c r="J166" s="142">
        <v>45715</v>
      </c>
      <c r="L166" s="128" t="s">
        <v>763</v>
      </c>
      <c r="M166" s="175">
        <v>18.422999999999998</v>
      </c>
    </row>
    <row r="167" spans="2:14">
      <c r="B167" s="128" t="s">
        <v>354</v>
      </c>
      <c r="C167" s="128" t="s">
        <v>806</v>
      </c>
      <c r="D167" s="128" t="s">
        <v>433</v>
      </c>
      <c r="F167" s="131">
        <v>45653</v>
      </c>
      <c r="G167" s="130">
        <v>12000</v>
      </c>
      <c r="H167" s="130">
        <v>0</v>
      </c>
      <c r="I167" s="130">
        <v>0</v>
      </c>
      <c r="J167" s="142">
        <v>45667</v>
      </c>
      <c r="L167" s="128" t="s">
        <v>703</v>
      </c>
      <c r="M167" s="175">
        <v>100</v>
      </c>
    </row>
    <row r="168" spans="2:14">
      <c r="B168" s="128" t="s">
        <v>646</v>
      </c>
      <c r="C168" s="128" t="s">
        <v>806</v>
      </c>
      <c r="D168" s="128" t="s">
        <v>433</v>
      </c>
      <c r="E168" s="138">
        <v>0.05</v>
      </c>
      <c r="F168" s="131">
        <v>45656</v>
      </c>
      <c r="G168" s="130">
        <v>6800</v>
      </c>
      <c r="H168" s="130">
        <v>6800</v>
      </c>
      <c r="I168" s="130">
        <v>13.67</v>
      </c>
      <c r="K168" s="128" t="s">
        <v>1028</v>
      </c>
      <c r="L168" s="128" t="s">
        <v>764</v>
      </c>
      <c r="M168" s="175">
        <v>19.11</v>
      </c>
      <c r="N168" s="128" t="s">
        <v>752</v>
      </c>
    </row>
    <row r="169" spans="2:14" s="351" customFormat="1">
      <c r="B169" s="351" t="s">
        <v>1598</v>
      </c>
      <c r="C169" s="351" t="s">
        <v>1599</v>
      </c>
      <c r="D169" s="351" t="s">
        <v>1600</v>
      </c>
      <c r="E169" s="352">
        <v>0.05</v>
      </c>
      <c r="F169" s="353">
        <v>46107</v>
      </c>
      <c r="G169" s="354">
        <v>120000</v>
      </c>
      <c r="H169" s="354">
        <v>120000</v>
      </c>
      <c r="I169" s="354">
        <f>+H169*1/100</f>
        <v>1200</v>
      </c>
      <c r="J169" s="355"/>
      <c r="K169" s="351" t="s">
        <v>2453</v>
      </c>
      <c r="L169" s="351" t="s">
        <v>1601</v>
      </c>
      <c r="N169" s="356">
        <v>46229</v>
      </c>
    </row>
    <row r="170" spans="2:14">
      <c r="B170" s="128" t="s">
        <v>1618</v>
      </c>
      <c r="C170" s="128" t="s">
        <v>1599</v>
      </c>
      <c r="D170" s="128" t="s">
        <v>1600</v>
      </c>
      <c r="E170" s="140">
        <v>0.05</v>
      </c>
      <c r="F170" s="131">
        <v>46107</v>
      </c>
      <c r="G170" s="136">
        <v>45000</v>
      </c>
      <c r="H170" s="136">
        <v>45000</v>
      </c>
      <c r="I170" s="136">
        <f>450*1.01</f>
        <v>454.5</v>
      </c>
      <c r="J170" s="350"/>
      <c r="K170" s="128" t="s">
        <v>2453</v>
      </c>
      <c r="L170" s="128" t="s">
        <v>1619</v>
      </c>
      <c r="N170" s="344">
        <v>46315</v>
      </c>
    </row>
    <row r="171" spans="2:14">
      <c r="B171" s="128" t="s">
        <v>2040</v>
      </c>
      <c r="C171" s="128" t="s">
        <v>1599</v>
      </c>
      <c r="D171" s="128" t="s">
        <v>2041</v>
      </c>
      <c r="E171" s="140">
        <v>7.0000000000000007E-2</v>
      </c>
      <c r="F171" s="131">
        <v>46135</v>
      </c>
      <c r="G171" s="136">
        <v>33000</v>
      </c>
      <c r="H171" s="136">
        <f>+G171*1.02</f>
        <v>33660</v>
      </c>
      <c r="I171" s="136">
        <v>336.6</v>
      </c>
      <c r="J171" s="350"/>
      <c r="K171" s="128" t="s">
        <v>2079</v>
      </c>
      <c r="L171" s="128" t="s">
        <v>2042</v>
      </c>
      <c r="N171" s="344">
        <v>46321</v>
      </c>
    </row>
    <row r="173" spans="2:14">
      <c r="G173" s="141" t="s">
        <v>471</v>
      </c>
      <c r="H173" s="141">
        <f>SUBTOTAL(9,H1:H172)</f>
        <v>3760455</v>
      </c>
      <c r="I173" s="141">
        <f>SUBTOTAL(9,I1:I172)</f>
        <v>39476.332287877412</v>
      </c>
      <c r="J173" s="145"/>
    </row>
    <row r="178" spans="6:13">
      <c r="F178" s="128" t="s">
        <v>353</v>
      </c>
      <c r="G178" s="138">
        <f>XIRR(G179:G180,F179:F180)</f>
        <v>6.0106638073921193E-2</v>
      </c>
      <c r="J178" s="161">
        <f>100*5%/365*(DATE(2026,5,22)-F169)</f>
        <v>0.78082191780821919</v>
      </c>
      <c r="K178" s="131"/>
      <c r="L178" s="131"/>
      <c r="M178" s="161"/>
    </row>
    <row r="179" spans="6:13">
      <c r="F179" s="131">
        <v>45743</v>
      </c>
      <c r="G179" s="130">
        <v>-103</v>
      </c>
      <c r="J179" s="303"/>
      <c r="K179" s="138">
        <f>XIRR(K180:K181,J180:J181)</f>
        <v>5.1066961884498607E-2</v>
      </c>
      <c r="L179" s="138">
        <f>XIRR(L180:L181,J180:J181)</f>
        <v>5.1066961884498607E-2</v>
      </c>
    </row>
    <row r="180" spans="6:13">
      <c r="F180" s="131">
        <v>46086</v>
      </c>
      <c r="G180" s="161">
        <f>-G179*(1+6%*(F180-F179)/365)</f>
        <v>108.80750684931506</v>
      </c>
      <c r="H180" s="161">
        <f>-G179*(1+5%*(F180-F179)/365)</f>
        <v>107.83958904109589</v>
      </c>
      <c r="J180" s="142">
        <v>46107</v>
      </c>
      <c r="K180" s="128">
        <v>-100</v>
      </c>
      <c r="L180" s="128">
        <v>-101</v>
      </c>
    </row>
    <row r="181" spans="6:13">
      <c r="J181" s="142">
        <v>46164</v>
      </c>
      <c r="K181" s="128">
        <f>100*5%/365*(J181-J180)+100</f>
        <v>100.78082191780823</v>
      </c>
      <c r="L181" s="128">
        <f>101*5%/365*(J181-J180)+101</f>
        <v>101.7886301369863</v>
      </c>
    </row>
    <row r="182" spans="6:13">
      <c r="K182" s="161"/>
      <c r="L182" s="161"/>
    </row>
    <row r="190" spans="6:13">
      <c r="J190" s="303"/>
    </row>
  </sheetData>
  <autoFilter ref="A1:T171" xr:uid="{28215151-1F00-48F5-9D44-B1C400DA89FB}"/>
  <phoneticPr fontId="6"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89C8-66E5-4DBD-8AF9-284AE6A273DA}">
  <sheetPr codeName="Sheet19"/>
  <dimension ref="A2:T153"/>
  <sheetViews>
    <sheetView topLeftCell="B132" zoomScale="106" zoomScaleNormal="106" workbookViewId="0">
      <selection activeCell="K166" sqref="K166"/>
    </sheetView>
  </sheetViews>
  <sheetFormatPr defaultRowHeight="16.5"/>
  <cols>
    <col min="1" max="1" width="23.5" customWidth="1"/>
    <col min="2" max="2" width="11.625" customWidth="1"/>
    <col min="3" max="6" width="12.5" customWidth="1"/>
    <col min="10" max="10" width="11.375" bestFit="1" customWidth="1"/>
    <col min="17" max="17" width="11.625" customWidth="1"/>
    <col min="18" max="18" width="16.75" customWidth="1"/>
    <col min="19" max="19" width="10" bestFit="1" customWidth="1"/>
  </cols>
  <sheetData>
    <row r="2" spans="1:19">
      <c r="A2" t="s">
        <v>514</v>
      </c>
      <c r="B2" s="147" t="s">
        <v>289</v>
      </c>
      <c r="C2" s="147" t="s">
        <v>288</v>
      </c>
      <c r="D2" s="147" t="s">
        <v>297</v>
      </c>
      <c r="E2" s="147" t="s">
        <v>298</v>
      </c>
      <c r="F2" s="147" t="s">
        <v>299</v>
      </c>
      <c r="G2" s="147" t="s">
        <v>287</v>
      </c>
      <c r="H2" s="147" t="s">
        <v>290</v>
      </c>
      <c r="I2" s="147" t="s">
        <v>291</v>
      </c>
      <c r="J2" s="147" t="s">
        <v>292</v>
      </c>
      <c r="K2" s="147" t="s">
        <v>293</v>
      </c>
      <c r="L2" s="147" t="s">
        <v>294</v>
      </c>
      <c r="M2" s="147" t="s">
        <v>295</v>
      </c>
      <c r="N2" s="147" t="s">
        <v>296</v>
      </c>
      <c r="O2" s="147" t="s">
        <v>18</v>
      </c>
    </row>
    <row r="3" spans="1:19" hidden="1">
      <c r="B3" s="112" t="s">
        <v>476</v>
      </c>
      <c r="C3" s="112" t="s">
        <v>477</v>
      </c>
      <c r="D3" s="112" t="s">
        <v>479</v>
      </c>
      <c r="E3" s="110">
        <v>46050</v>
      </c>
      <c r="F3" s="110">
        <v>46055</v>
      </c>
      <c r="G3" s="112" t="s">
        <v>324</v>
      </c>
      <c r="H3" s="112" t="s">
        <v>478</v>
      </c>
      <c r="I3" s="112">
        <v>5900</v>
      </c>
      <c r="J3" s="112">
        <v>900</v>
      </c>
      <c r="K3" s="240">
        <v>7.0000000000000007E-2</v>
      </c>
      <c r="L3" s="112" t="s">
        <v>457</v>
      </c>
      <c r="M3" s="112" t="s">
        <v>480</v>
      </c>
      <c r="N3" s="112" t="s">
        <v>481</v>
      </c>
      <c r="O3" s="112" t="s">
        <v>482</v>
      </c>
    </row>
    <row r="4" spans="1:19" hidden="1">
      <c r="B4" t="s">
        <v>476</v>
      </c>
      <c r="C4" t="s">
        <v>477</v>
      </c>
      <c r="D4" t="s">
        <v>479</v>
      </c>
      <c r="E4" t="s">
        <v>324</v>
      </c>
      <c r="F4" t="s">
        <v>324</v>
      </c>
      <c r="G4" t="s">
        <v>324</v>
      </c>
      <c r="H4" t="s">
        <v>483</v>
      </c>
      <c r="I4">
        <v>4000</v>
      </c>
      <c r="K4" s="146">
        <v>0.05</v>
      </c>
      <c r="L4" t="s">
        <v>905</v>
      </c>
      <c r="O4" t="s">
        <v>484</v>
      </c>
    </row>
    <row r="5" spans="1:19" hidden="1">
      <c r="B5" t="s">
        <v>476</v>
      </c>
      <c r="C5" t="s">
        <v>489</v>
      </c>
      <c r="D5" t="s">
        <v>479</v>
      </c>
      <c r="E5" s="117">
        <v>46044</v>
      </c>
      <c r="F5" s="117">
        <v>46048</v>
      </c>
      <c r="H5" t="s">
        <v>485</v>
      </c>
      <c r="J5">
        <v>1000</v>
      </c>
      <c r="K5" s="150">
        <v>4.8000000000000001E-2</v>
      </c>
      <c r="L5" t="s">
        <v>498</v>
      </c>
      <c r="M5" t="s">
        <v>486</v>
      </c>
      <c r="N5" t="s">
        <v>487</v>
      </c>
      <c r="O5" t="s">
        <v>488</v>
      </c>
    </row>
    <row r="6" spans="1:19" hidden="1">
      <c r="B6" s="112" t="s">
        <v>476</v>
      </c>
      <c r="C6" s="112" t="s">
        <v>500</v>
      </c>
      <c r="D6" s="112" t="s">
        <v>479</v>
      </c>
      <c r="E6" s="110">
        <v>46037</v>
      </c>
      <c r="F6" s="110">
        <v>46041</v>
      </c>
      <c r="G6" s="112"/>
      <c r="H6" s="112" t="s">
        <v>490</v>
      </c>
      <c r="I6" s="112"/>
      <c r="J6" s="112">
        <v>800</v>
      </c>
      <c r="K6" s="189">
        <v>5.7000000000000002E-2</v>
      </c>
      <c r="L6" s="112" t="s">
        <v>499</v>
      </c>
      <c r="M6" s="112" t="s">
        <v>491</v>
      </c>
      <c r="N6" s="112" t="s">
        <v>487</v>
      </c>
      <c r="O6" s="112" t="s">
        <v>492</v>
      </c>
    </row>
    <row r="7" spans="1:19" s="112" customFormat="1" hidden="1">
      <c r="B7" s="112" t="s">
        <v>476</v>
      </c>
      <c r="C7" s="112" t="s">
        <v>507</v>
      </c>
      <c r="D7" s="112" t="s">
        <v>479</v>
      </c>
      <c r="F7" s="110">
        <v>46065</v>
      </c>
      <c r="H7" s="112" t="s">
        <v>501</v>
      </c>
      <c r="I7" s="112">
        <v>100</v>
      </c>
      <c r="J7" s="112">
        <v>100</v>
      </c>
      <c r="K7" s="240">
        <v>7.0000000000000007E-2</v>
      </c>
      <c r="L7" s="112" t="s">
        <v>502</v>
      </c>
      <c r="M7" s="112" t="s">
        <v>503</v>
      </c>
      <c r="N7" s="112" t="s">
        <v>621</v>
      </c>
    </row>
    <row r="8" spans="1:19" hidden="1">
      <c r="B8" t="s">
        <v>476</v>
      </c>
      <c r="C8" t="s">
        <v>507</v>
      </c>
      <c r="D8" t="s">
        <v>479</v>
      </c>
      <c r="E8" s="117"/>
      <c r="F8" s="117"/>
      <c r="H8" t="s">
        <v>504</v>
      </c>
      <c r="I8">
        <v>100</v>
      </c>
      <c r="J8">
        <v>100</v>
      </c>
      <c r="K8" t="s">
        <v>324</v>
      </c>
      <c r="L8" t="s">
        <v>505</v>
      </c>
      <c r="M8" t="s">
        <v>506</v>
      </c>
      <c r="N8" t="s">
        <v>621</v>
      </c>
    </row>
    <row r="9" spans="1:19" hidden="1">
      <c r="B9" t="s">
        <v>476</v>
      </c>
      <c r="C9" t="s">
        <v>508</v>
      </c>
      <c r="D9" t="s">
        <v>479</v>
      </c>
      <c r="H9" t="s">
        <v>1472</v>
      </c>
      <c r="J9">
        <v>4000</v>
      </c>
      <c r="K9" s="146">
        <v>0.1</v>
      </c>
      <c r="M9" t="s">
        <v>495</v>
      </c>
      <c r="N9" t="s">
        <v>1329</v>
      </c>
    </row>
    <row r="10" spans="1:19" hidden="1">
      <c r="B10" t="s">
        <v>476</v>
      </c>
      <c r="C10" t="s">
        <v>507</v>
      </c>
      <c r="D10" t="s">
        <v>479</v>
      </c>
      <c r="E10" s="117">
        <v>46044</v>
      </c>
      <c r="F10" s="117">
        <v>46048</v>
      </c>
      <c r="H10" t="s">
        <v>796</v>
      </c>
      <c r="I10">
        <v>100</v>
      </c>
      <c r="J10">
        <v>100</v>
      </c>
      <c r="K10" s="146">
        <v>7.0000000000000007E-2</v>
      </c>
      <c r="L10" t="s">
        <v>505</v>
      </c>
      <c r="N10" t="s">
        <v>621</v>
      </c>
    </row>
    <row r="11" spans="1:19" hidden="1">
      <c r="B11" s="112" t="s">
        <v>476</v>
      </c>
      <c r="C11" s="112" t="s">
        <v>477</v>
      </c>
      <c r="D11" s="112" t="s">
        <v>521</v>
      </c>
      <c r="E11" s="112"/>
      <c r="F11" s="110">
        <v>46035</v>
      </c>
      <c r="G11" s="112" t="s">
        <v>587</v>
      </c>
      <c r="H11" s="112"/>
      <c r="I11" s="112"/>
      <c r="J11" s="112">
        <v>279</v>
      </c>
      <c r="K11" s="189">
        <v>8.5000000000000006E-2</v>
      </c>
      <c r="L11" s="112"/>
      <c r="M11" s="112"/>
      <c r="N11" s="112" t="s">
        <v>621</v>
      </c>
      <c r="O11" s="112" t="s">
        <v>590</v>
      </c>
      <c r="Q11" t="s">
        <v>592</v>
      </c>
      <c r="R11">
        <v>109.22499999999999</v>
      </c>
      <c r="S11" t="s">
        <v>602</v>
      </c>
    </row>
    <row r="12" spans="1:19" hidden="1">
      <c r="B12" s="112" t="s">
        <v>476</v>
      </c>
      <c r="C12" s="112" t="s">
        <v>477</v>
      </c>
      <c r="D12" s="112" t="s">
        <v>521</v>
      </c>
      <c r="E12" s="112"/>
      <c r="F12" s="110">
        <v>46038</v>
      </c>
      <c r="G12" s="112" t="s">
        <v>588</v>
      </c>
      <c r="H12" s="112"/>
      <c r="I12" s="112"/>
      <c r="J12" s="112">
        <v>326</v>
      </c>
      <c r="K12" s="189">
        <v>6.5000000000000002E-2</v>
      </c>
      <c r="L12" s="112"/>
      <c r="M12" s="112"/>
      <c r="N12" s="112" t="s">
        <v>324</v>
      </c>
      <c r="O12" s="112" t="s">
        <v>590</v>
      </c>
      <c r="P12" s="112"/>
      <c r="Q12" t="s">
        <v>592</v>
      </c>
      <c r="R12">
        <v>102.048</v>
      </c>
      <c r="S12" s="1" t="s">
        <v>628</v>
      </c>
    </row>
    <row r="13" spans="1:19" hidden="1">
      <c r="B13" s="112" t="s">
        <v>476</v>
      </c>
      <c r="C13" s="112" t="s">
        <v>477</v>
      </c>
      <c r="D13" s="112" t="s">
        <v>521</v>
      </c>
      <c r="E13" s="112"/>
      <c r="F13" s="110">
        <v>46038</v>
      </c>
      <c r="G13" s="112" t="s">
        <v>589</v>
      </c>
      <c r="H13" s="112"/>
      <c r="I13" s="112"/>
      <c r="J13" s="112">
        <v>665</v>
      </c>
      <c r="K13" s="189">
        <v>8.5000000000000006E-2</v>
      </c>
      <c r="L13" s="112"/>
      <c r="M13" s="112"/>
      <c r="N13" s="112" t="s">
        <v>622</v>
      </c>
      <c r="O13" s="112" t="s">
        <v>591</v>
      </c>
      <c r="P13" s="112"/>
      <c r="Q13" t="s">
        <v>624</v>
      </c>
      <c r="R13">
        <v>111.07599999999999</v>
      </c>
      <c r="S13" t="s">
        <v>633</v>
      </c>
    </row>
    <row r="14" spans="1:19" s="112" customFormat="1" hidden="1">
      <c r="B14" s="112" t="s">
        <v>476</v>
      </c>
      <c r="C14" s="112" t="s">
        <v>500</v>
      </c>
      <c r="D14" s="112" t="s">
        <v>479</v>
      </c>
      <c r="F14" s="110">
        <v>46105</v>
      </c>
      <c r="H14" s="112" t="s">
        <v>954</v>
      </c>
      <c r="J14" s="112">
        <v>1000</v>
      </c>
      <c r="K14" s="189">
        <v>5.7000000000000002E-2</v>
      </c>
      <c r="M14" s="112" t="s">
        <v>491</v>
      </c>
      <c r="N14" s="112" t="s">
        <v>929</v>
      </c>
      <c r="P14" s="112" t="s">
        <v>955</v>
      </c>
    </row>
    <row r="15" spans="1:19" hidden="1">
      <c r="B15" t="s">
        <v>476</v>
      </c>
      <c r="C15" t="s">
        <v>500</v>
      </c>
      <c r="D15" t="s">
        <v>479</v>
      </c>
      <c r="E15" s="117">
        <v>46087</v>
      </c>
      <c r="F15" s="117">
        <v>46091</v>
      </c>
      <c r="H15" t="s">
        <v>956</v>
      </c>
      <c r="J15" t="s">
        <v>957</v>
      </c>
      <c r="K15" s="150">
        <v>5.7000000000000002E-2</v>
      </c>
      <c r="M15" t="s">
        <v>491</v>
      </c>
      <c r="N15" s="112" t="s">
        <v>1242</v>
      </c>
      <c r="P15" t="s">
        <v>958</v>
      </c>
    </row>
    <row r="16" spans="1:19" hidden="1">
      <c r="B16" t="s">
        <v>476</v>
      </c>
      <c r="C16" t="s">
        <v>489</v>
      </c>
      <c r="D16" t="s">
        <v>479</v>
      </c>
      <c r="F16" s="117">
        <v>46125</v>
      </c>
      <c r="H16" t="s">
        <v>959</v>
      </c>
      <c r="J16" s="112">
        <v>1600</v>
      </c>
      <c r="K16" s="150">
        <v>5.7000000000000002E-2</v>
      </c>
      <c r="M16" t="s">
        <v>491</v>
      </c>
      <c r="P16" t="s">
        <v>955</v>
      </c>
    </row>
    <row r="17" spans="2:20" hidden="1">
      <c r="B17" s="257" t="s">
        <v>476</v>
      </c>
      <c r="C17" s="257" t="s">
        <v>967</v>
      </c>
      <c r="D17" s="257" t="s">
        <v>479</v>
      </c>
      <c r="E17" s="257"/>
      <c r="F17" s="260">
        <v>46065</v>
      </c>
      <c r="G17" s="257"/>
      <c r="H17" s="257" t="s">
        <v>968</v>
      </c>
      <c r="I17" s="257"/>
      <c r="J17" s="257">
        <v>7505</v>
      </c>
      <c r="K17" s="261">
        <v>6.8000000000000005E-2</v>
      </c>
      <c r="L17" s="257" t="s">
        <v>429</v>
      </c>
      <c r="M17" s="257"/>
      <c r="N17" s="257"/>
      <c r="O17" s="257" t="s">
        <v>1041</v>
      </c>
    </row>
    <row r="18" spans="2:20" s="112" customFormat="1" hidden="1">
      <c r="B18" s="112" t="s">
        <v>476</v>
      </c>
      <c r="C18" s="112" t="s">
        <v>500</v>
      </c>
      <c r="D18" s="112" t="s">
        <v>479</v>
      </c>
      <c r="E18" s="110">
        <v>46079</v>
      </c>
      <c r="F18" s="110">
        <v>46083</v>
      </c>
      <c r="H18" s="112" t="s">
        <v>991</v>
      </c>
      <c r="J18" s="112">
        <v>500</v>
      </c>
      <c r="K18" s="189">
        <v>5.9799999999999999E-2</v>
      </c>
      <c r="L18" s="112" t="s">
        <v>505</v>
      </c>
      <c r="M18" s="112" t="s">
        <v>618</v>
      </c>
      <c r="N18" s="112" t="s">
        <v>621</v>
      </c>
    </row>
    <row r="19" spans="2:20" s="112" customFormat="1" hidden="1">
      <c r="B19" s="112" t="s">
        <v>476</v>
      </c>
      <c r="C19" s="112" t="s">
        <v>489</v>
      </c>
      <c r="D19" s="112" t="s">
        <v>521</v>
      </c>
      <c r="F19" s="112" t="s">
        <v>1107</v>
      </c>
      <c r="H19" s="112" t="s">
        <v>1057</v>
      </c>
      <c r="J19" s="112">
        <v>1100</v>
      </c>
      <c r="K19" s="189">
        <v>5.5E-2</v>
      </c>
      <c r="M19" s="112" t="s">
        <v>1167</v>
      </c>
    </row>
    <row r="20" spans="2:20" s="112" customFormat="1" hidden="1">
      <c r="F20" s="110">
        <v>46080</v>
      </c>
      <c r="H20" s="274" t="s">
        <v>1124</v>
      </c>
      <c r="I20" s="274"/>
      <c r="J20" s="274"/>
      <c r="K20" s="189"/>
      <c r="N20" s="112" t="s">
        <v>620</v>
      </c>
    </row>
    <row r="21" spans="2:20" s="112" customFormat="1" hidden="1">
      <c r="F21" s="110">
        <v>46080</v>
      </c>
      <c r="H21" s="274" t="s">
        <v>1125</v>
      </c>
      <c r="I21" s="274"/>
      <c r="J21" s="274"/>
      <c r="K21" s="189"/>
      <c r="N21" s="112" t="s">
        <v>620</v>
      </c>
    </row>
    <row r="22" spans="2:20" s="112" customFormat="1" hidden="1">
      <c r="B22" s="112" t="s">
        <v>476</v>
      </c>
      <c r="C22" s="112" t="s">
        <v>500</v>
      </c>
      <c r="D22" s="112" t="s">
        <v>521</v>
      </c>
      <c r="F22" s="110">
        <v>46094</v>
      </c>
      <c r="H22" s="112" t="s">
        <v>1314</v>
      </c>
      <c r="J22" s="112">
        <v>1000</v>
      </c>
      <c r="K22" s="189">
        <v>5.8000000000000003E-2</v>
      </c>
      <c r="M22" s="112" t="s">
        <v>1127</v>
      </c>
      <c r="N22" s="112" t="s">
        <v>620</v>
      </c>
    </row>
    <row r="23" spans="2:20" s="112" customFormat="1" hidden="1">
      <c r="B23" s="112" t="s">
        <v>476</v>
      </c>
      <c r="C23" s="112" t="s">
        <v>500</v>
      </c>
      <c r="D23" s="112" t="s">
        <v>521</v>
      </c>
      <c r="F23" s="112" t="s">
        <v>324</v>
      </c>
      <c r="H23" s="112" t="s">
        <v>1166</v>
      </c>
      <c r="I23" s="112">
        <v>2000</v>
      </c>
      <c r="K23" s="189" t="s">
        <v>1330</v>
      </c>
      <c r="M23" s="112" t="s">
        <v>1331</v>
      </c>
      <c r="N23" s="112" t="s">
        <v>1568</v>
      </c>
    </row>
    <row r="24" spans="2:20" s="112" customFormat="1" hidden="1">
      <c r="B24" s="112" t="s">
        <v>476</v>
      </c>
      <c r="C24" s="112" t="s">
        <v>508</v>
      </c>
      <c r="D24" s="112" t="s">
        <v>479</v>
      </c>
      <c r="E24" s="110">
        <v>46099</v>
      </c>
      <c r="F24" s="110">
        <v>46104</v>
      </c>
      <c r="H24" s="112" t="s">
        <v>1208</v>
      </c>
      <c r="I24" s="112">
        <v>6000</v>
      </c>
      <c r="J24" s="112">
        <v>3500</v>
      </c>
      <c r="K24" s="189">
        <v>0.09</v>
      </c>
      <c r="M24" s="112" t="s">
        <v>499</v>
      </c>
      <c r="N24" s="112" t="s">
        <v>1473</v>
      </c>
    </row>
    <row r="25" spans="2:20" s="112" customFormat="1" hidden="1">
      <c r="B25" s="112" t="s">
        <v>476</v>
      </c>
      <c r="C25" s="112" t="s">
        <v>500</v>
      </c>
      <c r="D25" s="112" t="s">
        <v>479</v>
      </c>
      <c r="E25" s="110">
        <v>46129</v>
      </c>
      <c r="F25" s="110">
        <v>46133</v>
      </c>
      <c r="H25" s="112" t="s">
        <v>1210</v>
      </c>
      <c r="J25" s="112">
        <v>1000</v>
      </c>
      <c r="K25" s="189">
        <v>5.8799999999999998E-2</v>
      </c>
      <c r="M25" s="112" t="s">
        <v>618</v>
      </c>
      <c r="N25" s="112" t="s">
        <v>1912</v>
      </c>
      <c r="P25" s="112" t="s">
        <v>1211</v>
      </c>
    </row>
    <row r="26" spans="2:20" s="112" customFormat="1" hidden="1">
      <c r="B26" s="112" t="s">
        <v>476</v>
      </c>
      <c r="C26" s="112" t="s">
        <v>477</v>
      </c>
      <c r="D26" s="112" t="s">
        <v>479</v>
      </c>
      <c r="E26" s="110">
        <v>46100</v>
      </c>
      <c r="F26" s="110">
        <v>46104</v>
      </c>
      <c r="H26" s="112" t="s">
        <v>1217</v>
      </c>
      <c r="I26" s="112">
        <v>16100</v>
      </c>
      <c r="J26" s="112">
        <v>4000</v>
      </c>
      <c r="K26" s="189">
        <v>6.5000000000000002E-2</v>
      </c>
      <c r="M26" s="112" t="s">
        <v>494</v>
      </c>
      <c r="N26" s="112" t="s">
        <v>1218</v>
      </c>
    </row>
    <row r="27" spans="2:20" s="112" customFormat="1" hidden="1">
      <c r="B27" s="112" t="s">
        <v>476</v>
      </c>
      <c r="C27" s="112" t="s">
        <v>489</v>
      </c>
      <c r="D27" s="112" t="s">
        <v>479</v>
      </c>
      <c r="E27" s="110">
        <v>46093</v>
      </c>
      <c r="F27" s="110">
        <v>46097</v>
      </c>
      <c r="H27" s="112" t="s">
        <v>1219</v>
      </c>
      <c r="I27" s="112">
        <v>9000</v>
      </c>
      <c r="J27" s="112">
        <v>800</v>
      </c>
      <c r="K27" s="189">
        <v>4.9000000000000002E-2</v>
      </c>
      <c r="M27" s="112" t="s">
        <v>1220</v>
      </c>
      <c r="N27" s="112" t="s">
        <v>1218</v>
      </c>
      <c r="P27" s="112" t="s">
        <v>1221</v>
      </c>
    </row>
    <row r="28" spans="2:20" hidden="1">
      <c r="B28" t="s">
        <v>476</v>
      </c>
      <c r="C28" t="s">
        <v>1297</v>
      </c>
      <c r="D28" t="s">
        <v>479</v>
      </c>
      <c r="E28" s="117"/>
      <c r="F28" s="117" t="s">
        <v>1096</v>
      </c>
      <c r="H28" t="s">
        <v>1296</v>
      </c>
      <c r="I28">
        <v>10200</v>
      </c>
      <c r="K28" s="150">
        <v>6.5000000000000002E-2</v>
      </c>
      <c r="M28" t="s">
        <v>1062</v>
      </c>
      <c r="P28" t="s">
        <v>1474</v>
      </c>
    </row>
    <row r="29" spans="2:20" hidden="1">
      <c r="E29" s="117" t="s">
        <v>1476</v>
      </c>
      <c r="F29" s="117" t="s">
        <v>1477</v>
      </c>
      <c r="H29" s="112" t="s">
        <v>1432</v>
      </c>
      <c r="I29" s="112">
        <v>24000</v>
      </c>
      <c r="K29" s="150">
        <v>5.5E-2</v>
      </c>
      <c r="M29" s="112" t="s">
        <v>1433</v>
      </c>
    </row>
    <row r="30" spans="2:20" hidden="1">
      <c r="B30" s="112" t="s">
        <v>476</v>
      </c>
      <c r="C30" s="112" t="s">
        <v>970</v>
      </c>
      <c r="D30" s="112" t="s">
        <v>521</v>
      </c>
      <c r="E30" s="117"/>
      <c r="F30" s="117" t="s">
        <v>1461</v>
      </c>
      <c r="H30" s="112" t="s">
        <v>1462</v>
      </c>
      <c r="I30" s="112"/>
      <c r="J30" s="112">
        <v>8000</v>
      </c>
      <c r="K30" s="150" t="s">
        <v>1463</v>
      </c>
      <c r="M30" s="112" t="s">
        <v>429</v>
      </c>
    </row>
    <row r="31" spans="2:20" s="112" customFormat="1" hidden="1">
      <c r="B31" s="112" t="s">
        <v>476</v>
      </c>
      <c r="C31" s="112" t="s">
        <v>1480</v>
      </c>
      <c r="D31" s="112" t="s">
        <v>521</v>
      </c>
      <c r="E31" s="110"/>
      <c r="F31" s="110">
        <v>46099</v>
      </c>
      <c r="H31" s="112" t="s">
        <v>1478</v>
      </c>
      <c r="J31" s="112" t="s">
        <v>1479</v>
      </c>
      <c r="K31" s="189"/>
      <c r="M31" s="112" t="s">
        <v>429</v>
      </c>
      <c r="N31" s="112" t="s">
        <v>620</v>
      </c>
    </row>
    <row r="32" spans="2:20" hidden="1">
      <c r="B32" t="s">
        <v>476</v>
      </c>
      <c r="C32" t="s">
        <v>500</v>
      </c>
      <c r="D32" t="s">
        <v>479</v>
      </c>
      <c r="E32" s="117">
        <v>46120</v>
      </c>
      <c r="F32" s="117">
        <v>46122</v>
      </c>
      <c r="H32" s="112" t="s">
        <v>1533</v>
      </c>
      <c r="I32" s="112">
        <v>4500</v>
      </c>
      <c r="J32" s="112"/>
      <c r="K32" s="150">
        <v>0.06</v>
      </c>
      <c r="M32" s="112" t="s">
        <v>1534</v>
      </c>
      <c r="P32" t="s">
        <v>1733</v>
      </c>
      <c r="R32" s="163"/>
      <c r="T32" s="163"/>
    </row>
    <row r="33" spans="2:19" hidden="1">
      <c r="B33" t="s">
        <v>476</v>
      </c>
      <c r="C33" t="s">
        <v>489</v>
      </c>
      <c r="D33" t="s">
        <v>479</v>
      </c>
      <c r="E33" s="117">
        <v>46113</v>
      </c>
      <c r="F33" s="117">
        <v>46115</v>
      </c>
      <c r="H33" s="112" t="s">
        <v>1535</v>
      </c>
      <c r="I33" s="112">
        <v>4400</v>
      </c>
      <c r="K33" s="150">
        <v>0.06</v>
      </c>
      <c r="M33" s="112" t="s">
        <v>1534</v>
      </c>
      <c r="S33" s="117"/>
    </row>
    <row r="34" spans="2:19">
      <c r="B34" t="s">
        <v>476</v>
      </c>
      <c r="C34" t="s">
        <v>500</v>
      </c>
      <c r="D34" t="s">
        <v>479</v>
      </c>
      <c r="E34" s="117"/>
      <c r="F34" s="117" t="s">
        <v>2402</v>
      </c>
      <c r="H34" s="112" t="s">
        <v>1589</v>
      </c>
      <c r="I34" s="112"/>
      <c r="J34">
        <v>2000</v>
      </c>
      <c r="K34" s="150">
        <v>5.7000000000000002E-2</v>
      </c>
      <c r="M34" s="112"/>
      <c r="P34" t="s">
        <v>1587</v>
      </c>
      <c r="Q34" s="150"/>
      <c r="R34" s="146"/>
      <c r="S34" s="117"/>
    </row>
    <row r="35" spans="2:19" hidden="1">
      <c r="B35" t="s">
        <v>476</v>
      </c>
      <c r="C35" t="s">
        <v>1480</v>
      </c>
      <c r="D35" t="s">
        <v>521</v>
      </c>
      <c r="E35" s="117"/>
      <c r="F35" s="117" t="s">
        <v>1507</v>
      </c>
      <c r="H35" t="s">
        <v>1478</v>
      </c>
      <c r="J35" t="s">
        <v>1590</v>
      </c>
      <c r="K35" s="150"/>
      <c r="M35" t="s">
        <v>429</v>
      </c>
      <c r="N35" t="s">
        <v>620</v>
      </c>
    </row>
    <row r="36" spans="2:19" hidden="1">
      <c r="B36" t="s">
        <v>476</v>
      </c>
      <c r="C36" t="s">
        <v>1722</v>
      </c>
      <c r="D36" t="s">
        <v>479</v>
      </c>
      <c r="E36" s="117">
        <v>46121</v>
      </c>
      <c r="F36" s="117"/>
      <c r="H36" s="112" t="s">
        <v>1723</v>
      </c>
      <c r="I36">
        <v>100</v>
      </c>
      <c r="J36">
        <v>100</v>
      </c>
      <c r="K36" s="150">
        <v>6.5000000000000002E-2</v>
      </c>
    </row>
    <row r="37" spans="2:19" s="112" customFormat="1">
      <c r="B37" s="112" t="s">
        <v>476</v>
      </c>
      <c r="C37" s="112" t="s">
        <v>1725</v>
      </c>
      <c r="D37" s="112" t="s">
        <v>479</v>
      </c>
      <c r="E37" s="110">
        <v>46161</v>
      </c>
      <c r="F37" s="110">
        <v>46163</v>
      </c>
      <c r="H37" s="112" t="s">
        <v>1724</v>
      </c>
      <c r="J37" s="112">
        <v>750</v>
      </c>
      <c r="K37" s="189">
        <v>4.5499999999999999E-2</v>
      </c>
      <c r="M37" s="112" t="s">
        <v>498</v>
      </c>
      <c r="N37" s="112" t="s">
        <v>2004</v>
      </c>
    </row>
    <row r="38" spans="2:19" hidden="1">
      <c r="B38" t="s">
        <v>476</v>
      </c>
      <c r="C38" t="s">
        <v>508</v>
      </c>
      <c r="D38" t="s">
        <v>479</v>
      </c>
      <c r="E38" s="117"/>
      <c r="F38" s="117" t="s">
        <v>1588</v>
      </c>
      <c r="H38" s="112" t="s">
        <v>1738</v>
      </c>
      <c r="I38" s="112"/>
      <c r="J38">
        <v>2000</v>
      </c>
      <c r="K38" s="150">
        <v>0.08</v>
      </c>
      <c r="M38" s="112" t="s">
        <v>499</v>
      </c>
    </row>
    <row r="39" spans="2:19" hidden="1">
      <c r="B39" t="s">
        <v>476</v>
      </c>
      <c r="C39" t="s">
        <v>489</v>
      </c>
      <c r="D39" t="s">
        <v>479</v>
      </c>
      <c r="E39" s="117"/>
      <c r="F39" s="117">
        <v>46132</v>
      </c>
      <c r="H39" s="112" t="s">
        <v>1810</v>
      </c>
      <c r="I39" s="112"/>
      <c r="J39">
        <v>1000</v>
      </c>
      <c r="K39" s="150">
        <v>4.7E-2</v>
      </c>
      <c r="M39" s="112"/>
    </row>
    <row r="40" spans="2:19">
      <c r="B40" t="s">
        <v>476</v>
      </c>
      <c r="C40" t="s">
        <v>508</v>
      </c>
      <c r="D40" t="s">
        <v>479</v>
      </c>
      <c r="E40" s="117">
        <v>46160</v>
      </c>
      <c r="F40" s="117">
        <v>46162</v>
      </c>
      <c r="H40" s="112" t="s">
        <v>1882</v>
      </c>
      <c r="I40" s="112">
        <v>61000</v>
      </c>
      <c r="K40" s="150"/>
      <c r="M40" s="112"/>
    </row>
    <row r="41" spans="2:19" hidden="1">
      <c r="E41" s="117">
        <v>46136</v>
      </c>
      <c r="F41" s="117">
        <v>46140</v>
      </c>
      <c r="H41" s="112" t="s">
        <v>2000</v>
      </c>
      <c r="I41" s="112"/>
      <c r="J41">
        <v>1000</v>
      </c>
      <c r="K41" s="150">
        <v>5.8799999999999998E-2</v>
      </c>
      <c r="M41" s="112" t="s">
        <v>499</v>
      </c>
    </row>
    <row r="42" spans="2:19">
      <c r="E42" s="117"/>
      <c r="F42" s="117">
        <v>46170</v>
      </c>
      <c r="H42" s="112" t="s">
        <v>2260</v>
      </c>
      <c r="I42" s="112">
        <v>5800</v>
      </c>
      <c r="J42">
        <v>2000</v>
      </c>
      <c r="K42" s="150" t="s">
        <v>2261</v>
      </c>
      <c r="M42" s="112" t="s">
        <v>1519</v>
      </c>
      <c r="N42" t="s">
        <v>2004</v>
      </c>
    </row>
    <row r="43" spans="2:19">
      <c r="E43" s="117">
        <v>46164</v>
      </c>
      <c r="F43" s="117">
        <v>46168</v>
      </c>
      <c r="H43" s="112" t="s">
        <v>2285</v>
      </c>
      <c r="I43" s="112"/>
      <c r="J43">
        <v>2125</v>
      </c>
      <c r="K43" s="150">
        <v>4.5499999999999999E-2</v>
      </c>
      <c r="M43" s="112"/>
      <c r="N43" t="s">
        <v>2004</v>
      </c>
    </row>
    <row r="44" spans="2:19">
      <c r="E44" s="117">
        <v>46155</v>
      </c>
      <c r="F44" s="117">
        <v>46161</v>
      </c>
      <c r="H44" s="112" t="s">
        <v>2375</v>
      </c>
      <c r="I44" s="112"/>
      <c r="J44">
        <v>1000</v>
      </c>
      <c r="K44" s="150">
        <v>4.7E-2</v>
      </c>
      <c r="M44" s="112"/>
      <c r="N44" t="s">
        <v>2004</v>
      </c>
      <c r="O44" t="s">
        <v>2376</v>
      </c>
    </row>
    <row r="45" spans="2:19">
      <c r="E45" s="117"/>
      <c r="F45" s="117" t="s">
        <v>2119</v>
      </c>
      <c r="H45" s="112" t="s">
        <v>2359</v>
      </c>
      <c r="I45" s="112"/>
      <c r="J45">
        <v>1000</v>
      </c>
      <c r="K45" s="150">
        <v>5.8799999999999998E-2</v>
      </c>
      <c r="M45" s="112"/>
    </row>
    <row r="46" spans="2:19">
      <c r="E46" s="117"/>
      <c r="F46" s="117"/>
      <c r="H46" s="112" t="s">
        <v>1472</v>
      </c>
      <c r="I46" s="112"/>
      <c r="J46">
        <v>2000</v>
      </c>
      <c r="K46" s="150">
        <v>0.08</v>
      </c>
      <c r="M46" s="112" t="s">
        <v>499</v>
      </c>
      <c r="N46" t="s">
        <v>2449</v>
      </c>
    </row>
    <row r="47" spans="2:19">
      <c r="E47" s="117"/>
      <c r="F47" s="117">
        <v>46170</v>
      </c>
      <c r="H47" s="112" t="s">
        <v>2443</v>
      </c>
      <c r="I47" s="112"/>
      <c r="J47">
        <v>3500</v>
      </c>
      <c r="K47" s="150">
        <v>5.1499999999999997E-2</v>
      </c>
      <c r="M47" s="112"/>
    </row>
    <row r="48" spans="2:19">
      <c r="E48" s="117"/>
      <c r="F48" s="117"/>
      <c r="H48" s="112"/>
      <c r="I48" s="112"/>
      <c r="K48" s="150"/>
      <c r="M48" s="112"/>
    </row>
    <row r="50" spans="1:15">
      <c r="A50" t="s">
        <v>513</v>
      </c>
      <c r="B50" s="148" t="s">
        <v>289</v>
      </c>
      <c r="C50" s="148" t="s">
        <v>288</v>
      </c>
      <c r="D50" s="148" t="s">
        <v>297</v>
      </c>
      <c r="E50" s="148" t="s">
        <v>298</v>
      </c>
      <c r="F50" s="148" t="s">
        <v>299</v>
      </c>
      <c r="G50" s="148" t="s">
        <v>287</v>
      </c>
      <c r="H50" s="148" t="s">
        <v>290</v>
      </c>
      <c r="I50" s="148" t="s">
        <v>291</v>
      </c>
      <c r="J50" s="148" t="s">
        <v>292</v>
      </c>
      <c r="K50" s="148" t="s">
        <v>293</v>
      </c>
      <c r="L50" s="148" t="s">
        <v>294</v>
      </c>
      <c r="M50" s="148" t="s">
        <v>295</v>
      </c>
      <c r="N50" s="148" t="s">
        <v>296</v>
      </c>
      <c r="O50" s="148" t="s">
        <v>18</v>
      </c>
    </row>
    <row r="51" spans="1:15" s="112" customFormat="1" hidden="1">
      <c r="B51" s="112" t="s">
        <v>518</v>
      </c>
      <c r="C51" s="112" t="s">
        <v>508</v>
      </c>
      <c r="D51" s="112" t="s">
        <v>479</v>
      </c>
      <c r="F51" s="112" t="s">
        <v>324</v>
      </c>
      <c r="H51" s="112" t="s">
        <v>493</v>
      </c>
      <c r="J51" s="112">
        <v>5000</v>
      </c>
      <c r="K51" s="240">
        <v>0.06</v>
      </c>
      <c r="L51" s="112" t="s">
        <v>494</v>
      </c>
      <c r="M51" s="112" t="s">
        <v>495</v>
      </c>
      <c r="N51" s="112" t="s">
        <v>1074</v>
      </c>
    </row>
    <row r="52" spans="1:15" hidden="1">
      <c r="B52" s="257" t="s">
        <v>517</v>
      </c>
      <c r="C52" s="257" t="s">
        <v>489</v>
      </c>
      <c r="D52" s="257" t="s">
        <v>479</v>
      </c>
      <c r="E52" s="260">
        <v>46057</v>
      </c>
      <c r="F52" s="260">
        <v>46058</v>
      </c>
      <c r="G52" s="257"/>
      <c r="H52" s="262" t="s">
        <v>496</v>
      </c>
      <c r="I52" s="257">
        <v>1500</v>
      </c>
      <c r="J52" s="257">
        <v>1500</v>
      </c>
      <c r="K52" s="261">
        <v>3.5000000000000003E-2</v>
      </c>
      <c r="L52" s="257" t="s">
        <v>469</v>
      </c>
      <c r="M52" s="257" t="s">
        <v>510</v>
      </c>
      <c r="N52" s="257" t="s">
        <v>919</v>
      </c>
    </row>
    <row r="53" spans="1:15" hidden="1">
      <c r="B53" s="112" t="s">
        <v>516</v>
      </c>
      <c r="C53" s="112" t="s">
        <v>508</v>
      </c>
      <c r="D53" s="112" t="s">
        <v>479</v>
      </c>
      <c r="E53" s="110">
        <v>46030</v>
      </c>
      <c r="F53" s="110">
        <v>46034</v>
      </c>
      <c r="G53" s="112"/>
      <c r="H53" s="188" t="s">
        <v>497</v>
      </c>
      <c r="I53" s="112">
        <v>7400</v>
      </c>
      <c r="J53" s="112">
        <v>1000</v>
      </c>
      <c r="K53" s="112" t="s">
        <v>512</v>
      </c>
      <c r="L53" s="112" t="s">
        <v>494</v>
      </c>
      <c r="M53" s="112" t="s">
        <v>511</v>
      </c>
      <c r="N53" s="112" t="s">
        <v>509</v>
      </c>
      <c r="O53" s="112" t="s">
        <v>793</v>
      </c>
    </row>
    <row r="54" spans="1:15" s="112" customFormat="1" hidden="1">
      <c r="B54" s="112" t="s">
        <v>519</v>
      </c>
      <c r="C54" s="112" t="s">
        <v>489</v>
      </c>
      <c r="D54" s="112" t="s">
        <v>521</v>
      </c>
      <c r="F54" s="293">
        <v>46083</v>
      </c>
      <c r="H54" s="112" t="s">
        <v>522</v>
      </c>
      <c r="J54" s="112">
        <v>1900</v>
      </c>
      <c r="K54" s="189">
        <v>3.27E-2</v>
      </c>
      <c r="L54" s="112" t="s">
        <v>523</v>
      </c>
      <c r="N54" s="112" t="s">
        <v>962</v>
      </c>
    </row>
    <row r="55" spans="1:15" s="112" customFormat="1" hidden="1">
      <c r="B55" s="112" t="s">
        <v>520</v>
      </c>
      <c r="C55" s="112" t="s">
        <v>508</v>
      </c>
      <c r="D55" s="112" t="s">
        <v>479</v>
      </c>
      <c r="H55" s="112" t="s">
        <v>1326</v>
      </c>
      <c r="I55" s="112">
        <v>25000</v>
      </c>
      <c r="J55" s="561">
        <v>10000</v>
      </c>
      <c r="K55" s="509">
        <v>0.05</v>
      </c>
      <c r="M55" s="112" t="s">
        <v>495</v>
      </c>
      <c r="N55" s="112" t="s">
        <v>2113</v>
      </c>
    </row>
    <row r="56" spans="1:15" s="112" customFormat="1" hidden="1">
      <c r="H56" s="112" t="s">
        <v>1327</v>
      </c>
      <c r="I56" s="112">
        <v>18000</v>
      </c>
      <c r="J56" s="561"/>
      <c r="K56" s="509">
        <v>5.8000000000000003E-2</v>
      </c>
      <c r="N56" s="112" t="s">
        <v>2114</v>
      </c>
    </row>
    <row r="57" spans="1:15" hidden="1">
      <c r="K57" s="146"/>
    </row>
    <row r="58" spans="1:15">
      <c r="B58" t="s">
        <v>960</v>
      </c>
      <c r="C58" t="s">
        <v>952</v>
      </c>
      <c r="D58" t="s">
        <v>953</v>
      </c>
      <c r="F58" s="117" t="s">
        <v>2290</v>
      </c>
      <c r="H58" t="s">
        <v>2289</v>
      </c>
      <c r="J58">
        <v>4000</v>
      </c>
      <c r="K58" s="150">
        <v>2.8000000000000001E-2</v>
      </c>
      <c r="M58" t="s">
        <v>961</v>
      </c>
      <c r="N58" t="s">
        <v>1892</v>
      </c>
    </row>
    <row r="59" spans="1:15" hidden="1">
      <c r="B59" s="257" t="s">
        <v>520</v>
      </c>
      <c r="C59" s="257" t="s">
        <v>508</v>
      </c>
      <c r="D59" s="257" t="s">
        <v>479</v>
      </c>
      <c r="E59" s="257"/>
      <c r="F59" s="260">
        <v>46065</v>
      </c>
      <c r="G59" s="257"/>
      <c r="H59" s="257" t="s">
        <v>969</v>
      </c>
      <c r="I59" s="257"/>
      <c r="J59" s="257">
        <v>2000</v>
      </c>
      <c r="K59" s="261">
        <v>3.3000000000000002E-2</v>
      </c>
      <c r="L59" s="257"/>
      <c r="M59" s="257"/>
      <c r="N59" s="257" t="s">
        <v>1040</v>
      </c>
    </row>
    <row r="60" spans="1:15" s="112" customFormat="1" hidden="1">
      <c r="B60" s="112" t="s">
        <v>520</v>
      </c>
      <c r="C60" s="112" t="s">
        <v>970</v>
      </c>
      <c r="D60" s="112" t="s">
        <v>479</v>
      </c>
      <c r="F60" s="112" t="s">
        <v>971</v>
      </c>
      <c r="H60" s="112" t="s">
        <v>972</v>
      </c>
      <c r="L60" s="112" t="s">
        <v>1042</v>
      </c>
      <c r="M60" s="112" t="s">
        <v>973</v>
      </c>
      <c r="O60" s="112" t="s">
        <v>1072</v>
      </c>
    </row>
    <row r="61" spans="1:15" s="112" customFormat="1" hidden="1">
      <c r="B61" s="112" t="s">
        <v>520</v>
      </c>
      <c r="C61" s="112" t="s">
        <v>970</v>
      </c>
      <c r="D61" s="112" t="s">
        <v>479</v>
      </c>
      <c r="E61" s="110">
        <v>46079</v>
      </c>
      <c r="F61" s="110">
        <v>46083</v>
      </c>
      <c r="H61" s="112" t="s">
        <v>1045</v>
      </c>
      <c r="I61" s="112">
        <v>1600</v>
      </c>
      <c r="J61" s="112">
        <v>200</v>
      </c>
      <c r="K61" s="189">
        <v>3.4000000000000002E-2</v>
      </c>
      <c r="L61" s="112" t="s">
        <v>1046</v>
      </c>
      <c r="N61" s="112" t="s">
        <v>1251</v>
      </c>
    </row>
    <row r="62" spans="1:15" s="112" customFormat="1" hidden="1">
      <c r="B62" s="112" t="s">
        <v>520</v>
      </c>
      <c r="C62" s="112" t="s">
        <v>1061</v>
      </c>
      <c r="D62" s="112" t="s">
        <v>479</v>
      </c>
      <c r="E62" s="110"/>
      <c r="F62" s="112" t="s">
        <v>1060</v>
      </c>
      <c r="H62" s="112" t="s">
        <v>1059</v>
      </c>
      <c r="J62" s="112">
        <v>500</v>
      </c>
      <c r="K62" s="189">
        <v>0.03</v>
      </c>
      <c r="L62" s="112" t="s">
        <v>1062</v>
      </c>
      <c r="N62" s="112" t="s">
        <v>962</v>
      </c>
    </row>
    <row r="63" spans="1:15">
      <c r="E63" s="117"/>
      <c r="F63" t="s">
        <v>324</v>
      </c>
      <c r="H63" t="s">
        <v>1063</v>
      </c>
      <c r="K63" s="150"/>
      <c r="L63" t="s">
        <v>1062</v>
      </c>
    </row>
    <row r="64" spans="1:15" hidden="1">
      <c r="E64" s="117"/>
      <c r="H64" t="s">
        <v>1064</v>
      </c>
      <c r="K64" s="150">
        <v>2.5000000000000001E-2</v>
      </c>
      <c r="L64" t="s">
        <v>1062</v>
      </c>
    </row>
    <row r="65" spans="2:16" hidden="1">
      <c r="B65" t="s">
        <v>520</v>
      </c>
      <c r="C65" t="s">
        <v>970</v>
      </c>
      <c r="D65" t="s">
        <v>479</v>
      </c>
      <c r="E65" s="117">
        <v>46126</v>
      </c>
      <c r="F65" s="117">
        <v>46128</v>
      </c>
      <c r="H65" t="s">
        <v>1170</v>
      </c>
      <c r="I65">
        <v>3000</v>
      </c>
      <c r="J65">
        <v>1500</v>
      </c>
      <c r="K65" s="150">
        <v>3.1E-2</v>
      </c>
      <c r="L65" t="s">
        <v>1194</v>
      </c>
      <c r="O65" t="s">
        <v>1893</v>
      </c>
    </row>
    <row r="66" spans="2:16" s="112" customFormat="1" hidden="1">
      <c r="B66" s="112" t="s">
        <v>520</v>
      </c>
      <c r="C66" s="112" t="s">
        <v>508</v>
      </c>
      <c r="D66" s="112" t="s">
        <v>479</v>
      </c>
      <c r="E66" s="110">
        <v>46086</v>
      </c>
      <c r="F66" s="110">
        <v>46090</v>
      </c>
      <c r="H66" s="112" t="s">
        <v>1252</v>
      </c>
      <c r="I66" s="112">
        <v>11200</v>
      </c>
      <c r="J66" s="112">
        <v>4000</v>
      </c>
      <c r="K66" s="189">
        <v>3.15E-2</v>
      </c>
      <c r="L66" s="112" t="s">
        <v>1062</v>
      </c>
      <c r="N66" s="112" t="s">
        <v>1322</v>
      </c>
    </row>
    <row r="67" spans="2:16" hidden="1">
      <c r="B67" t="s">
        <v>520</v>
      </c>
      <c r="C67" t="s">
        <v>1297</v>
      </c>
      <c r="D67" t="s">
        <v>479</v>
      </c>
      <c r="E67" s="117"/>
      <c r="F67" s="117" t="s">
        <v>1773</v>
      </c>
      <c r="H67" t="s">
        <v>1296</v>
      </c>
      <c r="I67">
        <v>3000</v>
      </c>
      <c r="K67" s="150" t="s">
        <v>1298</v>
      </c>
      <c r="L67" t="s">
        <v>1062</v>
      </c>
    </row>
    <row r="68" spans="2:16" s="112" customFormat="1" hidden="1">
      <c r="B68" s="112" t="s">
        <v>520</v>
      </c>
      <c r="C68" s="112" t="s">
        <v>500</v>
      </c>
      <c r="D68" s="112" t="s">
        <v>479</v>
      </c>
      <c r="E68" s="110">
        <v>46129</v>
      </c>
      <c r="F68" s="110">
        <v>46133</v>
      </c>
      <c r="H68" s="112" t="s">
        <v>1210</v>
      </c>
      <c r="J68" s="112">
        <v>700</v>
      </c>
      <c r="K68" s="189">
        <v>0.03</v>
      </c>
      <c r="M68" s="112" t="s">
        <v>618</v>
      </c>
      <c r="N68" s="112" t="s">
        <v>1494</v>
      </c>
      <c r="P68" s="112" t="s">
        <v>1211</v>
      </c>
    </row>
    <row r="69" spans="2:16" s="112" customFormat="1" hidden="1">
      <c r="B69" s="112" t="s">
        <v>520</v>
      </c>
      <c r="C69" s="112" t="s">
        <v>489</v>
      </c>
      <c r="D69" s="112" t="s">
        <v>479</v>
      </c>
      <c r="E69" s="110"/>
      <c r="F69" s="110"/>
      <c r="H69" s="112" t="s">
        <v>1526</v>
      </c>
      <c r="I69" s="112">
        <v>4000</v>
      </c>
      <c r="J69" s="112">
        <v>1900</v>
      </c>
      <c r="K69" s="189">
        <v>2.8000000000000001E-2</v>
      </c>
      <c r="M69" s="112" t="s">
        <v>469</v>
      </c>
      <c r="N69" s="112" t="s">
        <v>1251</v>
      </c>
    </row>
    <row r="70" spans="2:16" hidden="1">
      <c r="B70" t="s">
        <v>520</v>
      </c>
      <c r="C70" t="s">
        <v>489</v>
      </c>
      <c r="D70" t="s">
        <v>479</v>
      </c>
      <c r="E70" s="117"/>
      <c r="F70" s="117">
        <v>46125</v>
      </c>
      <c r="H70" s="112" t="s">
        <v>1527</v>
      </c>
      <c r="I70" s="112">
        <v>3400</v>
      </c>
      <c r="K70" s="150">
        <v>2.8000000000000001E-2</v>
      </c>
      <c r="M70" t="s">
        <v>469</v>
      </c>
    </row>
    <row r="71" spans="2:16" hidden="1">
      <c r="B71" t="s">
        <v>520</v>
      </c>
      <c r="C71" t="s">
        <v>489</v>
      </c>
      <c r="D71" t="s">
        <v>479</v>
      </c>
      <c r="E71" s="117">
        <v>46132</v>
      </c>
      <c r="F71" s="117">
        <v>46134</v>
      </c>
      <c r="H71" s="112" t="s">
        <v>1612</v>
      </c>
      <c r="I71" s="112">
        <v>5700</v>
      </c>
      <c r="K71" s="150">
        <v>2.8000000000000001E-2</v>
      </c>
      <c r="M71" t="s">
        <v>469</v>
      </c>
    </row>
    <row r="72" spans="2:16">
      <c r="B72" t="s">
        <v>520</v>
      </c>
      <c r="C72" t="s">
        <v>1652</v>
      </c>
      <c r="D72" t="s">
        <v>479</v>
      </c>
      <c r="E72" s="117">
        <v>46156</v>
      </c>
      <c r="F72" s="117">
        <v>46160</v>
      </c>
      <c r="H72" s="112" t="s">
        <v>1650</v>
      </c>
      <c r="I72" s="112">
        <v>5500</v>
      </c>
      <c r="K72" s="150" t="s">
        <v>1651</v>
      </c>
      <c r="M72" t="s">
        <v>1967</v>
      </c>
    </row>
    <row r="73" spans="2:16">
      <c r="B73" t="s">
        <v>476</v>
      </c>
      <c r="C73" t="s">
        <v>1725</v>
      </c>
      <c r="D73" t="s">
        <v>479</v>
      </c>
      <c r="E73" s="117">
        <v>46161</v>
      </c>
      <c r="F73" s="117">
        <v>46163</v>
      </c>
      <c r="H73" s="112" t="s">
        <v>1726</v>
      </c>
      <c r="I73" s="112"/>
      <c r="J73">
        <v>1000</v>
      </c>
      <c r="K73" s="150">
        <v>3.1E-2</v>
      </c>
      <c r="M73" s="112" t="s">
        <v>498</v>
      </c>
      <c r="N73" t="s">
        <v>2004</v>
      </c>
    </row>
    <row r="74" spans="2:16" s="112" customFormat="1" hidden="1">
      <c r="B74" s="112" t="s">
        <v>520</v>
      </c>
      <c r="C74" s="112" t="s">
        <v>508</v>
      </c>
      <c r="D74" s="112" t="s">
        <v>479</v>
      </c>
      <c r="E74" s="110">
        <v>46132</v>
      </c>
      <c r="F74" s="110">
        <v>46134</v>
      </c>
      <c r="H74" s="112" t="s">
        <v>1824</v>
      </c>
      <c r="I74" s="112">
        <v>16700</v>
      </c>
      <c r="J74" s="112">
        <f>2200+500+2000</f>
        <v>4700</v>
      </c>
      <c r="K74" s="189">
        <v>3.15E-2</v>
      </c>
      <c r="M74" s="112" t="s">
        <v>1062</v>
      </c>
    </row>
    <row r="75" spans="2:16" hidden="1">
      <c r="E75" s="117">
        <v>46136</v>
      </c>
      <c r="F75" s="117">
        <v>46140</v>
      </c>
      <c r="H75" s="112" t="s">
        <v>2000</v>
      </c>
      <c r="I75" s="112"/>
      <c r="J75">
        <v>1000</v>
      </c>
      <c r="K75" s="150">
        <v>0.03</v>
      </c>
      <c r="M75" s="112" t="s">
        <v>499</v>
      </c>
    </row>
    <row r="76" spans="2:16">
      <c r="E76" s="117" t="s">
        <v>2155</v>
      </c>
      <c r="F76" s="117" t="s">
        <v>2155</v>
      </c>
      <c r="H76" s="112" t="s">
        <v>2109</v>
      </c>
      <c r="I76" s="112">
        <v>3600</v>
      </c>
      <c r="K76" s="150" t="s">
        <v>2111</v>
      </c>
      <c r="M76" s="112"/>
    </row>
    <row r="77" spans="2:16">
      <c r="E77" s="117" t="s">
        <v>2155</v>
      </c>
      <c r="F77" s="117" t="s">
        <v>2155</v>
      </c>
      <c r="H77" s="112" t="s">
        <v>2110</v>
      </c>
      <c r="I77" s="112">
        <v>1900</v>
      </c>
      <c r="K77" s="150" t="s">
        <v>2112</v>
      </c>
      <c r="M77" s="112"/>
    </row>
    <row r="78" spans="2:16" hidden="1">
      <c r="E78" s="117">
        <v>46148</v>
      </c>
      <c r="F78" s="117">
        <v>46150</v>
      </c>
      <c r="H78" s="112" t="s">
        <v>2156</v>
      </c>
      <c r="I78" s="112"/>
      <c r="K78" s="150" t="s">
        <v>2157</v>
      </c>
      <c r="M78" s="112" t="s">
        <v>2158</v>
      </c>
    </row>
    <row r="79" spans="2:16">
      <c r="E79" s="117"/>
      <c r="F79" s="117" t="s">
        <v>2257</v>
      </c>
      <c r="H79" s="112" t="s">
        <v>2256</v>
      </c>
      <c r="I79" s="112"/>
      <c r="K79" s="150"/>
      <c r="M79" s="112"/>
    </row>
    <row r="80" spans="2:16">
      <c r="E80" s="117"/>
      <c r="F80" s="117" t="s">
        <v>1952</v>
      </c>
      <c r="H80" s="112" t="s">
        <v>2259</v>
      </c>
      <c r="I80" s="112">
        <v>8000</v>
      </c>
      <c r="J80">
        <v>3000</v>
      </c>
      <c r="K80" s="150">
        <v>0.03</v>
      </c>
      <c r="M80" s="112"/>
    </row>
    <row r="81" spans="1:18">
      <c r="E81" s="117"/>
      <c r="F81" s="117">
        <v>46170</v>
      </c>
      <c r="H81" s="112" t="s">
        <v>2260</v>
      </c>
      <c r="I81" s="112">
        <v>7500</v>
      </c>
      <c r="J81">
        <v>2000</v>
      </c>
      <c r="K81" s="150">
        <v>3.2000000000000001E-2</v>
      </c>
      <c r="M81" s="112" t="s">
        <v>1519</v>
      </c>
      <c r="N81" t="s">
        <v>2004</v>
      </c>
    </row>
    <row r="82" spans="1:18">
      <c r="E82" s="117"/>
      <c r="F82" s="117" t="s">
        <v>1891</v>
      </c>
      <c r="H82" s="112" t="s">
        <v>2386</v>
      </c>
      <c r="I82" s="112"/>
      <c r="J82">
        <v>4000</v>
      </c>
      <c r="K82" s="150"/>
      <c r="M82" s="112" t="s">
        <v>499</v>
      </c>
      <c r="N82" t="s">
        <v>2448</v>
      </c>
    </row>
    <row r="83" spans="1:18" s="112" customFormat="1" hidden="1">
      <c r="E83" s="110">
        <v>46160</v>
      </c>
      <c r="F83" s="110">
        <v>46162</v>
      </c>
      <c r="H83" s="112" t="s">
        <v>2286</v>
      </c>
      <c r="J83" s="112">
        <v>2000</v>
      </c>
      <c r="K83" s="189">
        <v>3.1E-2</v>
      </c>
      <c r="N83" s="112" t="s">
        <v>2004</v>
      </c>
    </row>
    <row r="84" spans="1:18">
      <c r="E84" s="117">
        <v>46168</v>
      </c>
      <c r="F84" s="117">
        <v>46170</v>
      </c>
      <c r="H84" s="112" t="s">
        <v>2337</v>
      </c>
      <c r="I84" s="112"/>
      <c r="J84">
        <v>2000</v>
      </c>
      <c r="K84" s="150">
        <v>3.1E-2</v>
      </c>
      <c r="M84" s="112"/>
    </row>
    <row r="85" spans="1:18">
      <c r="E85" s="117"/>
      <c r="F85" s="117" t="s">
        <v>2155</v>
      </c>
      <c r="H85" s="112" t="s">
        <v>2387</v>
      </c>
      <c r="I85" s="112"/>
      <c r="K85" s="150"/>
      <c r="M85" s="112"/>
    </row>
    <row r="86" spans="1:18">
      <c r="E86" s="117">
        <v>46188</v>
      </c>
      <c r="F86" s="117">
        <v>46190</v>
      </c>
      <c r="H86" s="112" t="s">
        <v>2393</v>
      </c>
      <c r="I86" s="112">
        <v>4400</v>
      </c>
      <c r="J86">
        <v>2000</v>
      </c>
      <c r="K86" s="150">
        <v>2.8000000000000001E-2</v>
      </c>
      <c r="M86" s="112" t="s">
        <v>469</v>
      </c>
    </row>
    <row r="87" spans="1:18">
      <c r="E87" s="117"/>
      <c r="F87" s="117" t="s">
        <v>2145</v>
      </c>
      <c r="H87" s="112" t="s">
        <v>2422</v>
      </c>
      <c r="I87" s="112">
        <v>14000</v>
      </c>
      <c r="K87" s="150" t="s">
        <v>2423</v>
      </c>
      <c r="M87" s="112"/>
    </row>
    <row r="88" spans="1:18">
      <c r="E88" s="117">
        <v>46168</v>
      </c>
      <c r="F88" s="117">
        <v>46171</v>
      </c>
      <c r="H88" s="112" t="s">
        <v>2461</v>
      </c>
      <c r="I88" s="112"/>
      <c r="K88" s="150">
        <v>3.5000000000000003E-2</v>
      </c>
      <c r="M88" s="112" t="s">
        <v>2463</v>
      </c>
    </row>
    <row r="89" spans="1:18">
      <c r="E89" s="117">
        <v>46175</v>
      </c>
      <c r="F89" s="117">
        <v>46178</v>
      </c>
      <c r="H89" s="112" t="s">
        <v>2462</v>
      </c>
      <c r="I89" s="112"/>
      <c r="K89" s="150">
        <v>3.5000000000000003E-2</v>
      </c>
      <c r="M89" s="112" t="s">
        <v>2463</v>
      </c>
    </row>
    <row r="90" spans="1:18">
      <c r="E90" s="117"/>
      <c r="F90" s="117"/>
      <c r="H90" s="112"/>
      <c r="I90" s="112"/>
      <c r="K90" s="150"/>
      <c r="M90" s="112"/>
    </row>
    <row r="91" spans="1:18">
      <c r="E91" s="117"/>
      <c r="F91" s="117"/>
      <c r="H91" s="112"/>
      <c r="I91" s="112"/>
      <c r="K91" s="150"/>
      <c r="M91" s="112"/>
    </row>
    <row r="93" spans="1:18">
      <c r="A93" t="s">
        <v>515</v>
      </c>
      <c r="B93" s="149" t="s">
        <v>289</v>
      </c>
      <c r="C93" s="149" t="s">
        <v>288</v>
      </c>
      <c r="D93" s="149" t="s">
        <v>297</v>
      </c>
      <c r="E93" s="149" t="s">
        <v>298</v>
      </c>
      <c r="F93" s="149" t="s">
        <v>299</v>
      </c>
      <c r="G93" s="149" t="s">
        <v>287</v>
      </c>
      <c r="H93" s="149" t="s">
        <v>290</v>
      </c>
      <c r="I93" s="149" t="s">
        <v>291</v>
      </c>
      <c r="J93" s="149" t="s">
        <v>292</v>
      </c>
      <c r="K93" s="149" t="s">
        <v>293</v>
      </c>
      <c r="L93" s="149" t="s">
        <v>294</v>
      </c>
      <c r="M93" s="149" t="s">
        <v>295</v>
      </c>
      <c r="N93" s="149" t="s">
        <v>296</v>
      </c>
      <c r="O93" s="149" t="s">
        <v>18</v>
      </c>
      <c r="R93" s="149"/>
    </row>
    <row r="94" spans="1:18">
      <c r="F94" t="s">
        <v>600</v>
      </c>
      <c r="G94" t="s">
        <v>599</v>
      </c>
      <c r="J94">
        <v>900</v>
      </c>
      <c r="M94" t="s">
        <v>601</v>
      </c>
    </row>
    <row r="95" spans="1:18">
      <c r="G95" t="s">
        <v>794</v>
      </c>
      <c r="J95">
        <v>1171</v>
      </c>
    </row>
    <row r="96" spans="1:18">
      <c r="G96" t="s">
        <v>938</v>
      </c>
      <c r="J96">
        <v>4000</v>
      </c>
      <c r="M96" t="s">
        <v>457</v>
      </c>
    </row>
    <row r="97" spans="2:19">
      <c r="G97" t="s">
        <v>1043</v>
      </c>
      <c r="J97">
        <v>500</v>
      </c>
      <c r="P97" t="s">
        <v>1518</v>
      </c>
    </row>
    <row r="98" spans="2:19">
      <c r="G98" t="s">
        <v>1995</v>
      </c>
      <c r="J98">
        <v>646</v>
      </c>
      <c r="M98" t="s">
        <v>457</v>
      </c>
    </row>
    <row r="101" spans="2:19" s="297" customFormat="1">
      <c r="B101" s="297" t="s">
        <v>476</v>
      </c>
      <c r="C101" s="297" t="s">
        <v>1095</v>
      </c>
      <c r="D101" s="297" t="s">
        <v>479</v>
      </c>
      <c r="E101" s="493">
        <v>46105</v>
      </c>
      <c r="F101" s="493">
        <v>46107</v>
      </c>
      <c r="G101" s="297" t="s">
        <v>1097</v>
      </c>
      <c r="I101" s="297" t="s">
        <v>1098</v>
      </c>
      <c r="J101" s="494">
        <v>0</v>
      </c>
      <c r="K101" s="297">
        <v>108</v>
      </c>
      <c r="L101" s="297" t="s">
        <v>1099</v>
      </c>
      <c r="O101" s="297" t="s">
        <v>1215</v>
      </c>
      <c r="P101" s="297" t="s">
        <v>1517</v>
      </c>
      <c r="Q101" s="297" t="s">
        <v>1106</v>
      </c>
      <c r="R101" s="297" t="s">
        <v>1772</v>
      </c>
      <c r="S101" s="297" t="s">
        <v>1531</v>
      </c>
    </row>
    <row r="102" spans="2:19" s="253" customFormat="1">
      <c r="B102" s="253" t="s">
        <v>476</v>
      </c>
      <c r="C102" s="253" t="s">
        <v>1095</v>
      </c>
      <c r="D102" s="253" t="s">
        <v>479</v>
      </c>
      <c r="E102" s="508"/>
      <c r="F102" s="508" t="s">
        <v>2257</v>
      </c>
      <c r="G102" s="253" t="s">
        <v>2344</v>
      </c>
      <c r="I102" s="253" t="s">
        <v>2345</v>
      </c>
      <c r="J102" s="369"/>
      <c r="L102" s="253" t="s">
        <v>2346</v>
      </c>
    </row>
    <row r="103" spans="2:19" s="297" customFormat="1">
      <c r="B103" s="297" t="s">
        <v>476</v>
      </c>
      <c r="C103" s="297" t="s">
        <v>1095</v>
      </c>
      <c r="D103" s="297" t="s">
        <v>479</v>
      </c>
      <c r="E103" s="493">
        <v>46105</v>
      </c>
      <c r="F103" s="493">
        <v>46106</v>
      </c>
      <c r="G103" s="297" t="s">
        <v>1195</v>
      </c>
      <c r="I103" s="297" t="s">
        <v>1196</v>
      </c>
      <c r="J103" s="494">
        <v>200</v>
      </c>
      <c r="K103" s="297">
        <v>100</v>
      </c>
      <c r="L103" s="297" t="s">
        <v>1197</v>
      </c>
      <c r="O103" s="297" t="s">
        <v>1105</v>
      </c>
      <c r="P103" s="297" t="s">
        <v>1220</v>
      </c>
      <c r="Q103" s="297" t="s">
        <v>1106</v>
      </c>
      <c r="S103" s="297" t="s">
        <v>1532</v>
      </c>
    </row>
    <row r="104" spans="2:19" s="495" customFormat="1">
      <c r="B104" s="495" t="s">
        <v>476</v>
      </c>
      <c r="C104" s="495" t="s">
        <v>1177</v>
      </c>
      <c r="D104" s="495" t="s">
        <v>479</v>
      </c>
      <c r="E104" s="496">
        <v>46104</v>
      </c>
      <c r="F104" s="496">
        <v>46106</v>
      </c>
      <c r="G104" s="495" t="s">
        <v>1101</v>
      </c>
      <c r="I104" s="495" t="s">
        <v>1103</v>
      </c>
      <c r="J104" s="497">
        <v>300</v>
      </c>
      <c r="K104" s="495">
        <v>100</v>
      </c>
      <c r="L104" s="495" t="s">
        <v>494</v>
      </c>
      <c r="O104" s="495" t="s">
        <v>1105</v>
      </c>
      <c r="P104" s="495" t="s">
        <v>1220</v>
      </c>
      <c r="Q104" s="495" t="s">
        <v>1106</v>
      </c>
      <c r="S104" s="495" t="s">
        <v>1512</v>
      </c>
    </row>
    <row r="105" spans="2:19" s="495" customFormat="1">
      <c r="B105" s="495" t="s">
        <v>476</v>
      </c>
      <c r="C105" s="495" t="s">
        <v>1100</v>
      </c>
      <c r="D105" s="495" t="s">
        <v>479</v>
      </c>
      <c r="E105" s="496">
        <v>46104</v>
      </c>
      <c r="F105" s="496">
        <v>46106</v>
      </c>
      <c r="G105" s="495" t="s">
        <v>1102</v>
      </c>
      <c r="I105" s="495" t="s">
        <v>1104</v>
      </c>
      <c r="J105" s="497">
        <v>200</v>
      </c>
      <c r="K105" s="495">
        <v>100</v>
      </c>
      <c r="L105" s="495" t="s">
        <v>494</v>
      </c>
      <c r="O105" s="495" t="s">
        <v>1105</v>
      </c>
      <c r="P105" s="495" t="s">
        <v>1220</v>
      </c>
      <c r="Q105" s="495" t="s">
        <v>1106</v>
      </c>
      <c r="S105" s="495" t="s">
        <v>1511</v>
      </c>
    </row>
    <row r="106" spans="2:19" s="297" customFormat="1">
      <c r="B106" s="297" t="s">
        <v>476</v>
      </c>
      <c r="C106" s="297" t="s">
        <v>1095</v>
      </c>
      <c r="D106" s="297" t="s">
        <v>479</v>
      </c>
      <c r="E106" s="493">
        <v>46105</v>
      </c>
      <c r="G106" s="297" t="s">
        <v>1128</v>
      </c>
      <c r="I106" s="297" t="s">
        <v>1129</v>
      </c>
      <c r="J106" s="494">
        <v>0</v>
      </c>
      <c r="K106" s="297">
        <v>107</v>
      </c>
      <c r="L106" s="297" t="s">
        <v>1134</v>
      </c>
      <c r="O106" s="297" t="s">
        <v>1105</v>
      </c>
      <c r="P106" s="297" t="s">
        <v>498</v>
      </c>
      <c r="Q106" s="297" t="s">
        <v>1106</v>
      </c>
      <c r="S106" s="297" t="s">
        <v>1453</v>
      </c>
    </row>
    <row r="107" spans="2:19" s="297" customFormat="1">
      <c r="B107" s="297" t="s">
        <v>476</v>
      </c>
      <c r="C107" s="297" t="s">
        <v>1095</v>
      </c>
      <c r="D107" s="297" t="s">
        <v>479</v>
      </c>
      <c r="E107" s="493">
        <v>46105</v>
      </c>
      <c r="G107" s="297" t="s">
        <v>1391</v>
      </c>
      <c r="J107" s="494">
        <v>0</v>
      </c>
      <c r="K107" s="297">
        <v>107</v>
      </c>
      <c r="P107" s="297" t="s">
        <v>1519</v>
      </c>
      <c r="S107" s="297" t="s">
        <v>1453</v>
      </c>
    </row>
    <row r="108" spans="2:19" s="297" customFormat="1">
      <c r="B108" s="297" t="s">
        <v>476</v>
      </c>
      <c r="C108" s="297" t="s">
        <v>1095</v>
      </c>
      <c r="D108" s="297" t="s">
        <v>479</v>
      </c>
      <c r="E108" s="493">
        <v>46136</v>
      </c>
      <c r="F108" s="297" t="s">
        <v>1735</v>
      </c>
      <c r="G108" s="297" t="s">
        <v>1736</v>
      </c>
      <c r="I108" s="297" t="s">
        <v>1737</v>
      </c>
      <c r="J108" s="494"/>
      <c r="O108" s="297" t="s">
        <v>1105</v>
      </c>
    </row>
    <row r="109" spans="2:19" s="201" customFormat="1">
      <c r="B109" s="201" t="s">
        <v>476</v>
      </c>
      <c r="C109" s="201" t="s">
        <v>1095</v>
      </c>
      <c r="D109" s="201" t="s">
        <v>479</v>
      </c>
      <c r="E109" s="338">
        <v>46167</v>
      </c>
      <c r="F109" s="201" t="s">
        <v>2294</v>
      </c>
      <c r="G109" s="201" t="s">
        <v>2296</v>
      </c>
      <c r="I109" s="201" t="s">
        <v>2297</v>
      </c>
      <c r="J109" s="505"/>
      <c r="O109" s="201" t="s">
        <v>1105</v>
      </c>
      <c r="P109" s="201" t="s">
        <v>1220</v>
      </c>
      <c r="S109" s="201" t="s">
        <v>2411</v>
      </c>
    </row>
    <row r="110" spans="2:19" s="308" customFormat="1">
      <c r="B110" s="308" t="s">
        <v>476</v>
      </c>
      <c r="C110" s="308" t="s">
        <v>1100</v>
      </c>
      <c r="D110" s="308" t="s">
        <v>479</v>
      </c>
      <c r="E110" s="469">
        <v>46167</v>
      </c>
      <c r="F110" s="308" t="s">
        <v>2294</v>
      </c>
      <c r="G110" s="308" t="s">
        <v>2293</v>
      </c>
      <c r="I110" s="308" t="s">
        <v>2295</v>
      </c>
      <c r="J110" s="504"/>
      <c r="O110" s="308" t="s">
        <v>1105</v>
      </c>
      <c r="P110" s="308" t="s">
        <v>1220</v>
      </c>
    </row>
    <row r="111" spans="2:19" s="297" customFormat="1">
      <c r="B111" s="297" t="s">
        <v>476</v>
      </c>
      <c r="C111" s="297" t="s">
        <v>1131</v>
      </c>
      <c r="D111" s="297" t="s">
        <v>479</v>
      </c>
      <c r="E111" s="493">
        <v>46105</v>
      </c>
      <c r="F111" s="493">
        <v>46107</v>
      </c>
      <c r="G111" s="297" t="s">
        <v>1130</v>
      </c>
      <c r="I111" s="297" t="s">
        <v>1132</v>
      </c>
      <c r="J111" s="494">
        <v>450</v>
      </c>
      <c r="K111" s="297">
        <v>101</v>
      </c>
      <c r="L111" s="297" t="s">
        <v>1133</v>
      </c>
      <c r="O111" s="297" t="s">
        <v>1105</v>
      </c>
      <c r="P111" s="297" t="s">
        <v>499</v>
      </c>
      <c r="Q111" s="297" t="s">
        <v>1106</v>
      </c>
      <c r="S111" s="297" t="s">
        <v>1515</v>
      </c>
    </row>
    <row r="112" spans="2:19" s="297" customFormat="1">
      <c r="B112" s="297" t="s">
        <v>476</v>
      </c>
      <c r="C112" s="297" t="s">
        <v>1095</v>
      </c>
      <c r="D112" s="297" t="s">
        <v>479</v>
      </c>
      <c r="E112" s="493">
        <v>46105</v>
      </c>
      <c r="F112" s="493">
        <v>46106</v>
      </c>
      <c r="G112" s="297" t="s">
        <v>1172</v>
      </c>
      <c r="I112" s="297" t="s">
        <v>1174</v>
      </c>
      <c r="J112" s="494">
        <v>400</v>
      </c>
      <c r="K112" s="297">
        <v>106</v>
      </c>
      <c r="L112" s="297" t="s">
        <v>1176</v>
      </c>
      <c r="P112" s="297" t="s">
        <v>494</v>
      </c>
      <c r="Q112" s="297" t="s">
        <v>1106</v>
      </c>
      <c r="S112" s="297" t="s">
        <v>1513</v>
      </c>
    </row>
    <row r="113" spans="1:19" s="297" customFormat="1">
      <c r="B113" s="297" t="s">
        <v>476</v>
      </c>
      <c r="C113" s="297" t="s">
        <v>1095</v>
      </c>
      <c r="D113" s="297" t="s">
        <v>479</v>
      </c>
      <c r="E113" s="493">
        <v>46106</v>
      </c>
      <c r="F113" s="493">
        <v>46107</v>
      </c>
      <c r="G113" s="297" t="s">
        <v>1173</v>
      </c>
      <c r="I113" s="297" t="s">
        <v>1175</v>
      </c>
      <c r="J113" s="494">
        <v>160</v>
      </c>
      <c r="K113" s="297">
        <v>106</v>
      </c>
      <c r="L113" s="297" t="s">
        <v>494</v>
      </c>
      <c r="P113" s="297" t="s">
        <v>494</v>
      </c>
      <c r="Q113" s="297" t="s">
        <v>1106</v>
      </c>
      <c r="S113" s="297" t="s">
        <v>1514</v>
      </c>
    </row>
    <row r="114" spans="1:19" s="308" customFormat="1">
      <c r="B114" s="308" t="s">
        <v>476</v>
      </c>
      <c r="C114" s="308" t="s">
        <v>1095</v>
      </c>
      <c r="D114" s="308" t="s">
        <v>479</v>
      </c>
      <c r="E114" s="469" t="s">
        <v>1952</v>
      </c>
      <c r="F114" s="469"/>
      <c r="G114" s="308" t="s">
        <v>2298</v>
      </c>
      <c r="I114" s="308" t="s">
        <v>2299</v>
      </c>
      <c r="J114" s="512"/>
      <c r="L114" s="308" t="s">
        <v>494</v>
      </c>
      <c r="S114" s="308" t="s">
        <v>2412</v>
      </c>
    </row>
    <row r="115" spans="1:19" s="308" customFormat="1">
      <c r="B115" s="308" t="s">
        <v>476</v>
      </c>
      <c r="C115" s="308" t="s">
        <v>500</v>
      </c>
      <c r="D115" s="308" t="s">
        <v>479</v>
      </c>
      <c r="E115" s="469">
        <v>46168</v>
      </c>
      <c r="F115" s="469">
        <v>46169</v>
      </c>
      <c r="G115" s="308" t="s">
        <v>2117</v>
      </c>
      <c r="I115" s="308" t="s">
        <v>2118</v>
      </c>
      <c r="J115" s="370"/>
      <c r="L115" s="308" t="s">
        <v>1133</v>
      </c>
      <c r="S115" s="308" t="s">
        <v>2509</v>
      </c>
    </row>
    <row r="116" spans="1:19" s="308" customFormat="1">
      <c r="B116" s="308" t="s">
        <v>476</v>
      </c>
      <c r="C116" s="253" t="s">
        <v>1100</v>
      </c>
      <c r="D116" s="308" t="s">
        <v>479</v>
      </c>
      <c r="E116" s="469" t="s">
        <v>1952</v>
      </c>
      <c r="F116" s="469"/>
      <c r="G116" s="308" t="s">
        <v>2304</v>
      </c>
      <c r="I116" s="308" t="s">
        <v>2305</v>
      </c>
      <c r="J116" s="370"/>
      <c r="L116" s="308" t="s">
        <v>1520</v>
      </c>
    </row>
    <row r="117" spans="1:19" s="274" customFormat="1">
      <c r="B117" s="274" t="s">
        <v>476</v>
      </c>
      <c r="C117" s="274" t="s">
        <v>1100</v>
      </c>
      <c r="D117" s="274" t="s">
        <v>479</v>
      </c>
      <c r="E117" s="293">
        <v>46105</v>
      </c>
      <c r="F117" s="293"/>
      <c r="G117" s="274" t="s">
        <v>1198</v>
      </c>
      <c r="I117" s="274" t="s">
        <v>1199</v>
      </c>
      <c r="J117" s="407"/>
      <c r="L117" s="274" t="s">
        <v>1200</v>
      </c>
      <c r="O117" s="274" t="s">
        <v>1105</v>
      </c>
      <c r="P117" s="274" t="s">
        <v>1922</v>
      </c>
      <c r="Q117" s="274" t="s">
        <v>1106</v>
      </c>
      <c r="S117" s="274" t="s">
        <v>1340</v>
      </c>
    </row>
    <row r="118" spans="1:19">
      <c r="B118" t="s">
        <v>476</v>
      </c>
      <c r="C118" t="s">
        <v>1100</v>
      </c>
      <c r="D118" t="s">
        <v>479</v>
      </c>
      <c r="E118" s="117">
        <v>46164</v>
      </c>
      <c r="F118" s="117">
        <v>46168</v>
      </c>
      <c r="G118" t="s">
        <v>1950</v>
      </c>
      <c r="I118" t="s">
        <v>1951</v>
      </c>
      <c r="J118" s="109"/>
      <c r="L118" t="s">
        <v>1953</v>
      </c>
    </row>
    <row r="119" spans="1:19" s="297" customFormat="1">
      <c r="B119" s="297" t="s">
        <v>476</v>
      </c>
      <c r="C119" s="297" t="s">
        <v>1095</v>
      </c>
      <c r="D119" s="297" t="s">
        <v>479</v>
      </c>
      <c r="E119" s="493">
        <v>46106</v>
      </c>
      <c r="F119" s="493">
        <v>46107</v>
      </c>
      <c r="G119" s="297" t="s">
        <v>1212</v>
      </c>
      <c r="I119" s="297" t="s">
        <v>1213</v>
      </c>
      <c r="J119" s="494">
        <v>2000</v>
      </c>
      <c r="K119" s="297">
        <v>100</v>
      </c>
      <c r="L119" s="297" t="s">
        <v>1214</v>
      </c>
      <c r="O119" s="297" t="s">
        <v>1171</v>
      </c>
      <c r="P119" s="297" t="s">
        <v>1519</v>
      </c>
      <c r="Q119" s="297" t="s">
        <v>1106</v>
      </c>
      <c r="R119" s="297" t="s">
        <v>1661</v>
      </c>
      <c r="S119" s="297">
        <v>100</v>
      </c>
    </row>
    <row r="120" spans="1:19" s="274" customFormat="1">
      <c r="A120" s="274">
        <v>2000</v>
      </c>
      <c r="B120" s="274" t="s">
        <v>476</v>
      </c>
      <c r="C120" s="274" t="s">
        <v>1100</v>
      </c>
      <c r="D120" s="274" t="s">
        <v>479</v>
      </c>
      <c r="E120" s="493">
        <v>46106</v>
      </c>
      <c r="F120" s="493">
        <v>46107</v>
      </c>
      <c r="G120" s="274" t="s">
        <v>1285</v>
      </c>
      <c r="I120" s="274" t="s">
        <v>1286</v>
      </c>
      <c r="J120" s="407">
        <v>900</v>
      </c>
      <c r="K120" s="274">
        <v>100</v>
      </c>
      <c r="L120" s="274" t="s">
        <v>1287</v>
      </c>
      <c r="O120" s="274" t="s">
        <v>1171</v>
      </c>
      <c r="P120" s="274" t="s">
        <v>499</v>
      </c>
      <c r="Q120" s="274" t="s">
        <v>1106</v>
      </c>
      <c r="S120" s="274" t="s">
        <v>1340</v>
      </c>
    </row>
    <row r="121" spans="1:19" s="297" customFormat="1">
      <c r="B121" s="297" t="s">
        <v>476</v>
      </c>
      <c r="C121" s="297" t="s">
        <v>1095</v>
      </c>
      <c r="D121" s="297" t="s">
        <v>479</v>
      </c>
      <c r="E121" s="493">
        <v>46106</v>
      </c>
      <c r="F121" s="493">
        <v>46107</v>
      </c>
      <c r="G121" s="297" t="s">
        <v>1288</v>
      </c>
      <c r="I121" s="297" t="s">
        <v>1289</v>
      </c>
      <c r="J121" s="494">
        <v>0</v>
      </c>
      <c r="K121" s="297">
        <v>100</v>
      </c>
      <c r="L121" s="297" t="s">
        <v>1287</v>
      </c>
      <c r="O121" s="297" t="s">
        <v>1105</v>
      </c>
      <c r="P121" s="297" t="s">
        <v>1519</v>
      </c>
      <c r="Q121" s="297" t="s">
        <v>1106</v>
      </c>
      <c r="S121" s="297" t="s">
        <v>1355</v>
      </c>
    </row>
    <row r="122" spans="1:19" s="495" customFormat="1">
      <c r="B122" s="495" t="s">
        <v>476</v>
      </c>
      <c r="C122" s="495" t="s">
        <v>1100</v>
      </c>
      <c r="D122" s="495" t="s">
        <v>479</v>
      </c>
      <c r="E122" s="496">
        <v>46105</v>
      </c>
      <c r="F122" s="496">
        <v>46107</v>
      </c>
      <c r="G122" s="495" t="s">
        <v>1222</v>
      </c>
      <c r="I122" s="495" t="s">
        <v>1223</v>
      </c>
      <c r="J122" s="497">
        <v>1000</v>
      </c>
      <c r="K122" s="495">
        <v>100</v>
      </c>
      <c r="L122" s="495" t="s">
        <v>1224</v>
      </c>
      <c r="O122" s="495" t="s">
        <v>1105</v>
      </c>
      <c r="P122" s="495" t="s">
        <v>1519</v>
      </c>
      <c r="Q122" s="495" t="s">
        <v>1106</v>
      </c>
      <c r="S122" s="495" t="s">
        <v>1450</v>
      </c>
    </row>
    <row r="123" spans="1:19" s="297" customFormat="1">
      <c r="B123" s="297" t="s">
        <v>476</v>
      </c>
      <c r="C123" s="297" t="s">
        <v>1095</v>
      </c>
      <c r="D123" s="297" t="s">
        <v>479</v>
      </c>
      <c r="E123" s="493">
        <v>46104</v>
      </c>
      <c r="F123" s="493">
        <v>46106</v>
      </c>
      <c r="G123" s="297" t="s">
        <v>1225</v>
      </c>
      <c r="I123" s="297" t="s">
        <v>1290</v>
      </c>
      <c r="J123" s="494">
        <v>700</v>
      </c>
      <c r="K123" s="297">
        <v>108</v>
      </c>
      <c r="L123" s="297" t="s">
        <v>1591</v>
      </c>
      <c r="O123" s="297" t="s">
        <v>1105</v>
      </c>
      <c r="P123" s="297" t="s">
        <v>1520</v>
      </c>
      <c r="Q123" s="297" t="s">
        <v>1106</v>
      </c>
      <c r="S123" s="297" t="s">
        <v>1451</v>
      </c>
    </row>
    <row r="124" spans="1:19" s="297" customFormat="1">
      <c r="B124" s="297" t="s">
        <v>476</v>
      </c>
      <c r="C124" s="297" t="s">
        <v>1336</v>
      </c>
      <c r="D124" s="297" t="s">
        <v>479</v>
      </c>
      <c r="E124" s="493">
        <v>46105</v>
      </c>
      <c r="F124" s="493">
        <v>46107</v>
      </c>
      <c r="G124" s="297" t="s">
        <v>1335</v>
      </c>
      <c r="I124" s="297" t="s">
        <v>1337</v>
      </c>
      <c r="J124" s="494">
        <v>0</v>
      </c>
      <c r="K124" s="297">
        <v>110</v>
      </c>
      <c r="L124" s="297" t="s">
        <v>1220</v>
      </c>
      <c r="O124" s="297" t="s">
        <v>1105</v>
      </c>
      <c r="P124" s="297" t="s">
        <v>1220</v>
      </c>
      <c r="Q124" s="297" t="s">
        <v>1106</v>
      </c>
      <c r="S124" s="297" t="s">
        <v>1452</v>
      </c>
    </row>
    <row r="125" spans="1:19" s="495" customFormat="1">
      <c r="B125" s="495" t="s">
        <v>476</v>
      </c>
      <c r="C125" s="495" t="s">
        <v>1131</v>
      </c>
      <c r="D125" s="495" t="s">
        <v>479</v>
      </c>
      <c r="E125" s="496">
        <v>46104</v>
      </c>
      <c r="F125" s="496">
        <v>46106</v>
      </c>
      <c r="G125" s="495" t="s">
        <v>1353</v>
      </c>
      <c r="I125" s="495" t="s">
        <v>1354</v>
      </c>
      <c r="J125" s="497">
        <v>1200</v>
      </c>
      <c r="K125" s="495">
        <v>100</v>
      </c>
      <c r="L125" s="495" t="s">
        <v>499</v>
      </c>
      <c r="O125" s="495" t="s">
        <v>1105</v>
      </c>
      <c r="P125" s="495" t="s">
        <v>499</v>
      </c>
      <c r="Q125" s="495" t="s">
        <v>1106</v>
      </c>
      <c r="S125" s="495" t="s">
        <v>1450</v>
      </c>
    </row>
    <row r="126" spans="1:19" s="274" customFormat="1">
      <c r="B126" s="274" t="s">
        <v>476</v>
      </c>
      <c r="C126" s="274" t="s">
        <v>1100</v>
      </c>
      <c r="D126" s="274" t="s">
        <v>479</v>
      </c>
      <c r="E126" s="293">
        <v>46105</v>
      </c>
      <c r="F126" s="293">
        <v>46107</v>
      </c>
      <c r="G126" s="274" t="s">
        <v>1332</v>
      </c>
      <c r="I126" s="274" t="s">
        <v>1333</v>
      </c>
      <c r="J126" s="407"/>
      <c r="L126" s="274" t="s">
        <v>1334</v>
      </c>
      <c r="O126" s="274" t="s">
        <v>1105</v>
      </c>
      <c r="P126" s="274" t="s">
        <v>499</v>
      </c>
      <c r="Q126" s="274" t="s">
        <v>1106</v>
      </c>
      <c r="S126" s="274" t="s">
        <v>1516</v>
      </c>
    </row>
    <row r="127" spans="1:19" s="308" customFormat="1">
      <c r="B127" s="308" t="s">
        <v>476</v>
      </c>
      <c r="C127" s="308" t="s">
        <v>1095</v>
      </c>
      <c r="D127" s="308" t="s">
        <v>479</v>
      </c>
      <c r="E127" s="469">
        <v>46167</v>
      </c>
      <c r="F127" s="469">
        <v>46169</v>
      </c>
      <c r="G127" s="308" t="s">
        <v>2271</v>
      </c>
      <c r="I127" s="308" t="s">
        <v>2272</v>
      </c>
      <c r="J127" s="370"/>
      <c r="L127" s="308" t="s">
        <v>2273</v>
      </c>
      <c r="P127" s="308" t="s">
        <v>2368</v>
      </c>
      <c r="S127" s="308" t="s">
        <v>2408</v>
      </c>
    </row>
    <row r="128" spans="1:19" s="297" customFormat="1">
      <c r="A128" s="297">
        <v>500</v>
      </c>
      <c r="B128" s="297" t="s">
        <v>476</v>
      </c>
      <c r="C128" s="297" t="s">
        <v>1095</v>
      </c>
      <c r="D128" s="297" t="s">
        <v>479</v>
      </c>
      <c r="E128" s="493">
        <v>46106</v>
      </c>
      <c r="F128" s="493">
        <v>46107</v>
      </c>
      <c r="G128" s="297" t="s">
        <v>1338</v>
      </c>
      <c r="I128" s="297" t="s">
        <v>1339</v>
      </c>
      <c r="J128" s="494" t="s">
        <v>1662</v>
      </c>
      <c r="K128" s="498" t="s">
        <v>1663</v>
      </c>
      <c r="L128" s="297" t="s">
        <v>1220</v>
      </c>
      <c r="O128" s="297" t="s">
        <v>1105</v>
      </c>
      <c r="P128" s="297" t="s">
        <v>1220</v>
      </c>
      <c r="Q128" s="297" t="s">
        <v>1106</v>
      </c>
      <c r="S128" s="297" t="s">
        <v>1539</v>
      </c>
    </row>
    <row r="129" spans="2:19" s="297" customFormat="1">
      <c r="B129" s="297" t="s">
        <v>476</v>
      </c>
      <c r="C129" s="297" t="s">
        <v>1131</v>
      </c>
      <c r="D129" s="297" t="s">
        <v>479</v>
      </c>
      <c r="E129" s="493">
        <v>46108</v>
      </c>
      <c r="F129" s="493">
        <v>46111</v>
      </c>
      <c r="G129" s="297" t="s">
        <v>1392</v>
      </c>
      <c r="I129" s="297" t="s">
        <v>1393</v>
      </c>
      <c r="J129" s="494">
        <v>1200</v>
      </c>
      <c r="K129" s="297">
        <v>100</v>
      </c>
      <c r="L129" s="297" t="s">
        <v>1394</v>
      </c>
      <c r="P129" s="297" t="s">
        <v>1520</v>
      </c>
      <c r="S129" s="297" t="s">
        <v>1475</v>
      </c>
    </row>
    <row r="130" spans="2:19" s="297" customFormat="1">
      <c r="B130" s="297" t="s">
        <v>476</v>
      </c>
      <c r="C130" s="297" t="s">
        <v>1095</v>
      </c>
      <c r="D130" s="297" t="s">
        <v>479</v>
      </c>
      <c r="E130" s="493">
        <v>46114</v>
      </c>
      <c r="F130" s="493">
        <v>46119</v>
      </c>
      <c r="G130" s="297" t="s">
        <v>1411</v>
      </c>
      <c r="I130" s="297" t="s">
        <v>1412</v>
      </c>
      <c r="J130" s="494">
        <v>130</v>
      </c>
      <c r="K130" s="297">
        <v>108</v>
      </c>
      <c r="L130" s="297" t="s">
        <v>1413</v>
      </c>
      <c r="P130" s="297" t="s">
        <v>1519</v>
      </c>
      <c r="S130" s="297" t="s">
        <v>1449</v>
      </c>
    </row>
    <row r="131" spans="2:19" s="308" customFormat="1">
      <c r="B131" s="308" t="s">
        <v>476</v>
      </c>
      <c r="C131" s="308" t="s">
        <v>1095</v>
      </c>
      <c r="D131" s="308" t="s">
        <v>479</v>
      </c>
      <c r="E131" s="469">
        <v>46161</v>
      </c>
      <c r="F131" s="469">
        <v>46162</v>
      </c>
      <c r="G131" s="308" t="s">
        <v>2390</v>
      </c>
      <c r="I131" s="308" t="s">
        <v>2234</v>
      </c>
      <c r="J131" s="370"/>
      <c r="L131" s="308" t="s">
        <v>2235</v>
      </c>
      <c r="P131" s="308" t="s">
        <v>2475</v>
      </c>
      <c r="S131" s="308" t="s">
        <v>2407</v>
      </c>
    </row>
    <row r="132" spans="2:19" s="308" customFormat="1">
      <c r="B132" s="308" t="s">
        <v>476</v>
      </c>
      <c r="C132" s="308" t="s">
        <v>2302</v>
      </c>
      <c r="D132" s="308" t="s">
        <v>479</v>
      </c>
      <c r="E132" s="469">
        <v>46161</v>
      </c>
      <c r="F132" s="469">
        <v>46162</v>
      </c>
      <c r="G132" s="308" t="s">
        <v>2270</v>
      </c>
      <c r="I132" s="308" t="s">
        <v>2255</v>
      </c>
      <c r="J132" s="370"/>
      <c r="L132" s="308" t="s">
        <v>2235</v>
      </c>
      <c r="P132" s="308" t="s">
        <v>2475</v>
      </c>
      <c r="S132" s="308" t="s">
        <v>2510</v>
      </c>
    </row>
    <row r="133" spans="2:19" s="308" customFormat="1">
      <c r="B133" t="s">
        <v>476</v>
      </c>
      <c r="C133" t="s">
        <v>1100</v>
      </c>
      <c r="D133" t="s">
        <v>479</v>
      </c>
      <c r="E133" s="469">
        <v>46169</v>
      </c>
      <c r="F133" s="469">
        <v>46170</v>
      </c>
      <c r="G133" s="308" t="s">
        <v>2391</v>
      </c>
      <c r="I133" s="469" t="s">
        <v>2392</v>
      </c>
      <c r="J133" s="370"/>
      <c r="L133" s="308" t="s">
        <v>2235</v>
      </c>
    </row>
    <row r="134" spans="2:19" s="297" customFormat="1">
      <c r="B134" s="297" t="s">
        <v>476</v>
      </c>
      <c r="C134" s="297" t="s">
        <v>1131</v>
      </c>
      <c r="D134" s="297" t="s">
        <v>479</v>
      </c>
      <c r="E134" s="493">
        <v>46132</v>
      </c>
      <c r="F134" s="493">
        <v>46134</v>
      </c>
      <c r="G134" s="297" t="s">
        <v>1437</v>
      </c>
      <c r="I134" s="297" t="s">
        <v>1438</v>
      </c>
      <c r="J134" s="494">
        <v>990</v>
      </c>
      <c r="K134" s="297">
        <v>102</v>
      </c>
      <c r="L134" s="297" t="s">
        <v>1439</v>
      </c>
      <c r="P134" s="297" t="s">
        <v>499</v>
      </c>
      <c r="S134" s="297">
        <v>100</v>
      </c>
    </row>
    <row r="135" spans="2:19" s="253" customFormat="1">
      <c r="B135" s="253" t="s">
        <v>476</v>
      </c>
      <c r="C135" s="253" t="s">
        <v>1100</v>
      </c>
      <c r="D135" s="253" t="s">
        <v>479</v>
      </c>
      <c r="E135" s="508">
        <v>46156</v>
      </c>
      <c r="F135" s="508">
        <v>46160</v>
      </c>
      <c r="G135" s="253" t="s">
        <v>1774</v>
      </c>
      <c r="I135" s="253" t="s">
        <v>1775</v>
      </c>
      <c r="J135" s="369">
        <v>600</v>
      </c>
      <c r="K135" s="253">
        <v>102</v>
      </c>
      <c r="L135" s="253" t="s">
        <v>1776</v>
      </c>
      <c r="P135" s="253" t="s">
        <v>2476</v>
      </c>
      <c r="S135" s="253" t="s">
        <v>2242</v>
      </c>
    </row>
    <row r="136" spans="2:19" s="297" customFormat="1">
      <c r="B136" s="297" t="s">
        <v>476</v>
      </c>
      <c r="C136" s="297" t="s">
        <v>1131</v>
      </c>
      <c r="D136" s="297" t="s">
        <v>479</v>
      </c>
      <c r="E136" s="493">
        <v>46105</v>
      </c>
      <c r="F136" s="493">
        <v>46107</v>
      </c>
      <c r="G136" s="297" t="s">
        <v>1495</v>
      </c>
      <c r="I136" s="297" t="s">
        <v>1496</v>
      </c>
      <c r="J136" s="494">
        <v>3728</v>
      </c>
      <c r="K136" s="297">
        <v>100</v>
      </c>
      <c r="L136" s="297" t="s">
        <v>1497</v>
      </c>
      <c r="P136" s="297" t="s">
        <v>1497</v>
      </c>
      <c r="R136" s="297" t="s">
        <v>1498</v>
      </c>
      <c r="S136" s="297" t="s">
        <v>1562</v>
      </c>
    </row>
    <row r="137" spans="2:19" s="112" customFormat="1">
      <c r="B137" s="112" t="s">
        <v>476</v>
      </c>
      <c r="C137" s="112" t="s">
        <v>1336</v>
      </c>
      <c r="D137" s="112" t="s">
        <v>479</v>
      </c>
      <c r="E137" s="110">
        <v>46157</v>
      </c>
      <c r="F137" s="110">
        <v>46161</v>
      </c>
      <c r="G137" s="112" t="s">
        <v>1640</v>
      </c>
      <c r="I137" s="112" t="s">
        <v>1641</v>
      </c>
      <c r="J137" s="112">
        <v>110</v>
      </c>
      <c r="K137" s="112">
        <v>100</v>
      </c>
      <c r="L137" s="112" t="s">
        <v>1642</v>
      </c>
      <c r="P137" s="112" t="s">
        <v>1519</v>
      </c>
      <c r="S137" s="112" t="s">
        <v>1821</v>
      </c>
    </row>
    <row r="138" spans="2:19" s="112" customFormat="1">
      <c r="B138" s="112" t="s">
        <v>476</v>
      </c>
      <c r="C138" s="112" t="s">
        <v>1100</v>
      </c>
      <c r="D138" s="112" t="s">
        <v>479</v>
      </c>
      <c r="E138" s="110">
        <v>46157</v>
      </c>
      <c r="F138" s="110">
        <v>46160</v>
      </c>
      <c r="G138" s="112" t="s">
        <v>1822</v>
      </c>
      <c r="I138" s="112" t="s">
        <v>1920</v>
      </c>
      <c r="J138" s="112">
        <v>1000</v>
      </c>
      <c r="K138" s="112">
        <v>100</v>
      </c>
      <c r="L138" s="112" t="s">
        <v>1921</v>
      </c>
      <c r="P138" s="112" t="s">
        <v>494</v>
      </c>
      <c r="S138" s="112" t="s">
        <v>2242</v>
      </c>
    </row>
    <row r="139" spans="2:19">
      <c r="B139" t="s">
        <v>476</v>
      </c>
      <c r="C139" t="s">
        <v>1095</v>
      </c>
      <c r="D139" t="s">
        <v>479</v>
      </c>
      <c r="E139" s="117">
        <v>46163</v>
      </c>
      <c r="F139" s="117">
        <v>46165</v>
      </c>
      <c r="G139" t="s">
        <v>1823</v>
      </c>
      <c r="I139" t="s">
        <v>2360</v>
      </c>
      <c r="L139" t="s">
        <v>2419</v>
      </c>
      <c r="R139" t="s">
        <v>2389</v>
      </c>
      <c r="S139" t="s">
        <v>1910</v>
      </c>
    </row>
    <row r="140" spans="2:19" s="308" customFormat="1">
      <c r="B140" s="253" t="s">
        <v>476</v>
      </c>
      <c r="C140" s="253" t="s">
        <v>1131</v>
      </c>
      <c r="D140" s="253" t="s">
        <v>479</v>
      </c>
      <c r="E140" s="469"/>
      <c r="F140" s="469"/>
      <c r="G140" s="308" t="s">
        <v>2361</v>
      </c>
      <c r="I140" s="308" t="s">
        <v>2362</v>
      </c>
      <c r="L140" s="308" t="s">
        <v>2363</v>
      </c>
    </row>
    <row r="141" spans="2:19">
      <c r="B141" t="s">
        <v>476</v>
      </c>
      <c r="C141" t="s">
        <v>1095</v>
      </c>
      <c r="D141" t="s">
        <v>479</v>
      </c>
      <c r="E141" s="117"/>
      <c r="F141" s="117"/>
      <c r="G141" t="s">
        <v>2276</v>
      </c>
      <c r="I141" t="s">
        <v>2277</v>
      </c>
      <c r="L141" t="s">
        <v>2278</v>
      </c>
      <c r="S141" t="s">
        <v>2409</v>
      </c>
    </row>
    <row r="142" spans="2:19">
      <c r="B142" t="s">
        <v>476</v>
      </c>
      <c r="C142" t="s">
        <v>1100</v>
      </c>
      <c r="D142" t="s">
        <v>479</v>
      </c>
      <c r="E142" s="117"/>
      <c r="F142" s="117"/>
      <c r="G142" t="s">
        <v>2377</v>
      </c>
      <c r="I142" t="s">
        <v>2378</v>
      </c>
      <c r="L142" t="s">
        <v>2379</v>
      </c>
    </row>
    <row r="143" spans="2:19">
      <c r="B143" s="253" t="s">
        <v>476</v>
      </c>
      <c r="C143" s="253" t="s">
        <v>1131</v>
      </c>
      <c r="D143" s="253" t="s">
        <v>479</v>
      </c>
      <c r="E143" s="117"/>
      <c r="F143" s="117"/>
      <c r="G143" t="s">
        <v>2548</v>
      </c>
      <c r="I143" t="s">
        <v>2549</v>
      </c>
      <c r="L143" t="s">
        <v>2550</v>
      </c>
    </row>
    <row r="144" spans="2:19" s="274" customFormat="1">
      <c r="B144" s="274" t="s">
        <v>476</v>
      </c>
      <c r="C144" s="274" t="s">
        <v>1700</v>
      </c>
      <c r="D144" s="274" t="s">
        <v>479</v>
      </c>
      <c r="E144" s="293">
        <v>46135</v>
      </c>
      <c r="F144" s="293">
        <v>46139</v>
      </c>
      <c r="G144" s="274" t="s">
        <v>1697</v>
      </c>
      <c r="I144" s="274" t="s">
        <v>1698</v>
      </c>
      <c r="J144" s="274">
        <v>0</v>
      </c>
      <c r="L144" s="274" t="s">
        <v>1699</v>
      </c>
      <c r="S144" s="274" t="s">
        <v>1909</v>
      </c>
    </row>
    <row r="145" spans="2:19" s="308" customFormat="1">
      <c r="B145" t="s">
        <v>476</v>
      </c>
      <c r="C145" t="s">
        <v>1095</v>
      </c>
      <c r="D145" s="308" t="s">
        <v>479</v>
      </c>
      <c r="E145" s="469">
        <v>46163</v>
      </c>
      <c r="F145" s="469">
        <v>46167</v>
      </c>
      <c r="G145" s="308" t="s">
        <v>2300</v>
      </c>
      <c r="I145" s="308" t="s">
        <v>2301</v>
      </c>
      <c r="P145" s="308" t="s">
        <v>2444</v>
      </c>
      <c r="S145" s="308" t="s">
        <v>2508</v>
      </c>
    </row>
    <row r="146" spans="2:19" s="308" customFormat="1">
      <c r="B146" s="308" t="s">
        <v>476</v>
      </c>
      <c r="C146" s="308" t="s">
        <v>1131</v>
      </c>
      <c r="D146" s="308" t="s">
        <v>479</v>
      </c>
      <c r="E146" s="469">
        <v>46167</v>
      </c>
      <c r="F146" s="469">
        <v>46169</v>
      </c>
      <c r="G146" s="308" t="s">
        <v>2268</v>
      </c>
      <c r="I146" s="308" t="s">
        <v>2269</v>
      </c>
      <c r="P146" s="308" t="s">
        <v>499</v>
      </c>
      <c r="S146" s="308" t="s">
        <v>2511</v>
      </c>
    </row>
    <row r="147" spans="2:19" s="308" customFormat="1">
      <c r="B147" s="308" t="s">
        <v>476</v>
      </c>
      <c r="C147" s="308" t="s">
        <v>1131</v>
      </c>
      <c r="D147" s="308" t="s">
        <v>479</v>
      </c>
      <c r="E147" s="469">
        <v>46167</v>
      </c>
      <c r="F147" s="469">
        <v>46169</v>
      </c>
      <c r="G147" s="308" t="s">
        <v>2456</v>
      </c>
      <c r="I147" s="308" t="s">
        <v>2457</v>
      </c>
      <c r="L147" s="308" t="s">
        <v>1699</v>
      </c>
      <c r="S147" s="308" t="s">
        <v>2507</v>
      </c>
    </row>
    <row r="148" spans="2:19" s="112" customFormat="1">
      <c r="B148" s="112" t="s">
        <v>476</v>
      </c>
      <c r="C148" s="112" t="s">
        <v>1703</v>
      </c>
      <c r="D148" s="112" t="s">
        <v>479</v>
      </c>
      <c r="E148" s="110">
        <v>46155</v>
      </c>
      <c r="F148" s="110">
        <v>46160</v>
      </c>
      <c r="G148" s="112" t="s">
        <v>1701</v>
      </c>
      <c r="I148" s="112" t="s">
        <v>1704</v>
      </c>
      <c r="J148" s="112">
        <v>1000</v>
      </c>
      <c r="K148" s="112">
        <v>103</v>
      </c>
      <c r="L148" s="112" t="s">
        <v>1520</v>
      </c>
      <c r="P148" s="112" t="s">
        <v>1520</v>
      </c>
      <c r="S148" s="112" t="s">
        <v>1911</v>
      </c>
    </row>
    <row r="149" spans="2:19" s="112" customFormat="1">
      <c r="B149" s="112" t="s">
        <v>476</v>
      </c>
      <c r="C149" s="112" t="s">
        <v>1100</v>
      </c>
      <c r="D149" s="112" t="s">
        <v>479</v>
      </c>
      <c r="E149" s="110">
        <v>46155</v>
      </c>
      <c r="F149" s="110">
        <v>46160</v>
      </c>
      <c r="G149" s="112" t="s">
        <v>1702</v>
      </c>
      <c r="I149" s="112" t="s">
        <v>1705</v>
      </c>
      <c r="J149" s="112">
        <v>600</v>
      </c>
      <c r="K149" s="112">
        <v>102</v>
      </c>
      <c r="L149" s="112" t="s">
        <v>1520</v>
      </c>
      <c r="P149" s="253" t="s">
        <v>1520</v>
      </c>
      <c r="S149" s="112" t="s">
        <v>1911</v>
      </c>
    </row>
    <row r="150" spans="2:19">
      <c r="B150" t="s">
        <v>476</v>
      </c>
      <c r="C150" t="s">
        <v>1095</v>
      </c>
      <c r="D150" s="308" t="s">
        <v>479</v>
      </c>
      <c r="E150" s="117">
        <v>46169</v>
      </c>
      <c r="F150" s="117">
        <v>46170</v>
      </c>
      <c r="G150" t="s">
        <v>2364</v>
      </c>
      <c r="I150" t="s">
        <v>2365</v>
      </c>
      <c r="L150" t="s">
        <v>2366</v>
      </c>
      <c r="S150" t="s">
        <v>2410</v>
      </c>
    </row>
    <row r="151" spans="2:19" s="112" customFormat="1">
      <c r="B151" s="112" t="s">
        <v>476</v>
      </c>
      <c r="C151" s="112" t="s">
        <v>1095</v>
      </c>
      <c r="D151" s="112" t="s">
        <v>479</v>
      </c>
      <c r="E151" s="112" t="s">
        <v>1719</v>
      </c>
      <c r="G151" s="112" t="s">
        <v>1718</v>
      </c>
      <c r="I151" s="112" t="s">
        <v>1720</v>
      </c>
      <c r="L151" s="112" t="s">
        <v>494</v>
      </c>
      <c r="S151" s="112" t="s">
        <v>1820</v>
      </c>
    </row>
    <row r="152" spans="2:19">
      <c r="B152" s="308" t="s">
        <v>476</v>
      </c>
      <c r="C152" s="308" t="s">
        <v>1100</v>
      </c>
      <c r="D152" s="308" t="s">
        <v>479</v>
      </c>
      <c r="E152" s="308" t="s">
        <v>2145</v>
      </c>
      <c r="G152" t="s">
        <v>2477</v>
      </c>
      <c r="H152" s="308"/>
      <c r="I152" s="308" t="s">
        <v>2478</v>
      </c>
      <c r="L152" t="s">
        <v>2479</v>
      </c>
    </row>
    <row r="153" spans="2:19">
      <c r="B153" s="308" t="s">
        <v>476</v>
      </c>
      <c r="C153" s="308" t="s">
        <v>1131</v>
      </c>
      <c r="D153" s="308" t="s">
        <v>479</v>
      </c>
      <c r="E153" t="s">
        <v>2145</v>
      </c>
      <c r="G153" t="s">
        <v>2142</v>
      </c>
      <c r="I153" t="s">
        <v>2143</v>
      </c>
      <c r="L153" t="s">
        <v>2144</v>
      </c>
    </row>
  </sheetData>
  <mergeCells count="1">
    <mergeCell ref="J55:J56"/>
  </mergeCells>
  <phoneticPr fontId="6" type="noConversion"/>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4683-C719-43FC-88C9-FEEE4A9DE676}">
  <dimension ref="A2:S103"/>
  <sheetViews>
    <sheetView topLeftCell="A28" workbookViewId="0">
      <selection activeCell="N51" sqref="N51"/>
    </sheetView>
  </sheetViews>
  <sheetFormatPr defaultRowHeight="16.5"/>
  <cols>
    <col min="1" max="1" width="9" customWidth="1"/>
    <col min="3" max="3" width="14.875" bestFit="1" customWidth="1"/>
    <col min="4" max="4" width="14.25" customWidth="1"/>
    <col min="5" max="5" width="16" bestFit="1" customWidth="1"/>
    <col min="6" max="6" width="14.125" customWidth="1"/>
    <col min="7" max="7" width="13.25" customWidth="1"/>
    <col min="10" max="10" width="13.25" customWidth="1"/>
    <col min="11" max="11" width="14" bestFit="1" customWidth="1"/>
    <col min="12" max="12" width="13.75" customWidth="1"/>
    <col min="13" max="13" width="13.125" customWidth="1"/>
    <col min="14" max="14" width="14.75" customWidth="1"/>
    <col min="15" max="15" width="14" bestFit="1" customWidth="1"/>
    <col min="20" max="20" width="13.75" bestFit="1" customWidth="1"/>
  </cols>
  <sheetData>
    <row r="2" spans="1:19">
      <c r="E2" s="470" t="s">
        <v>2341</v>
      </c>
      <c r="F2" t="s">
        <v>1400</v>
      </c>
      <c r="G2" t="s">
        <v>849</v>
      </c>
      <c r="H2" t="s">
        <v>849</v>
      </c>
      <c r="I2" t="s">
        <v>1401</v>
      </c>
      <c r="J2" t="s">
        <v>1901</v>
      </c>
      <c r="K2" t="s">
        <v>1902</v>
      </c>
      <c r="L2" t="s">
        <v>2384</v>
      </c>
      <c r="M2" t="s">
        <v>2385</v>
      </c>
      <c r="N2" t="s">
        <v>2150</v>
      </c>
      <c r="O2" t="s">
        <v>2152</v>
      </c>
      <c r="P2" t="s">
        <v>1904</v>
      </c>
      <c r="Q2" t="s">
        <v>2274</v>
      </c>
      <c r="R2" t="s">
        <v>849</v>
      </c>
    </row>
    <row r="3" spans="1:19">
      <c r="B3" s="117">
        <v>46122</v>
      </c>
      <c r="C3" s="117"/>
      <c r="D3" s="117"/>
      <c r="E3" t="s">
        <v>1282</v>
      </c>
      <c r="F3" t="s">
        <v>1282</v>
      </c>
      <c r="G3" t="s">
        <v>1282</v>
      </c>
      <c r="H3" t="s">
        <v>1282</v>
      </c>
      <c r="I3" t="s">
        <v>1282</v>
      </c>
      <c r="J3" t="s">
        <v>1282</v>
      </c>
      <c r="K3" t="s">
        <v>1282</v>
      </c>
      <c r="L3" t="s">
        <v>1283</v>
      </c>
      <c r="M3" t="s">
        <v>1283</v>
      </c>
      <c r="N3" t="s">
        <v>1283</v>
      </c>
      <c r="O3" t="s">
        <v>1283</v>
      </c>
      <c r="R3" t="s">
        <v>1281</v>
      </c>
    </row>
    <row r="4" spans="1:19">
      <c r="C4" t="s">
        <v>1279</v>
      </c>
      <c r="D4" t="s">
        <v>1251</v>
      </c>
      <c r="E4" s="298" t="s">
        <v>1284</v>
      </c>
      <c r="F4" s="298" t="s">
        <v>604</v>
      </c>
      <c r="G4" s="298" t="s">
        <v>1267</v>
      </c>
      <c r="H4" s="298" t="s">
        <v>1268</v>
      </c>
      <c r="I4" s="298" t="s">
        <v>620</v>
      </c>
      <c r="J4" s="298" t="s">
        <v>819</v>
      </c>
      <c r="K4" s="298" t="s">
        <v>929</v>
      </c>
      <c r="L4" s="299" t="s">
        <v>1269</v>
      </c>
      <c r="M4" s="299" t="s">
        <v>1270</v>
      </c>
      <c r="N4" s="299" t="s">
        <v>1265</v>
      </c>
      <c r="O4" s="299" t="s">
        <v>930</v>
      </c>
      <c r="P4" t="s">
        <v>1271</v>
      </c>
      <c r="Q4" t="s">
        <v>945</v>
      </c>
      <c r="R4" t="s">
        <v>1266</v>
      </c>
      <c r="S4" t="s">
        <v>1280</v>
      </c>
    </row>
    <row r="5" spans="1:19">
      <c r="A5" t="s">
        <v>1277</v>
      </c>
      <c r="B5" t="s">
        <v>1272</v>
      </c>
      <c r="C5">
        <v>1.64</v>
      </c>
      <c r="E5" s="150">
        <f t="shared" ref="E5:R5" si="0">IFERROR(_xlfn.XLOOKUP(E2,$C$53:$C$58,$E$53:$E$58),"")</f>
        <v>9.4981079957456666E-2</v>
      </c>
      <c r="F5" s="150">
        <f t="shared" si="0"/>
        <v>0.22413738713373485</v>
      </c>
      <c r="G5" s="150" t="str">
        <f t="shared" si="0"/>
        <v/>
      </c>
      <c r="H5" s="150" t="str">
        <f t="shared" si="0"/>
        <v/>
      </c>
      <c r="I5" s="150">
        <f t="shared" si="0"/>
        <v>0.19327079457510532</v>
      </c>
      <c r="J5" s="150">
        <f t="shared" si="0"/>
        <v>3.3015771526910299E-2</v>
      </c>
      <c r="K5" s="150" t="str">
        <f t="shared" si="0"/>
        <v/>
      </c>
      <c r="L5" s="150" t="str">
        <f t="shared" si="0"/>
        <v/>
      </c>
      <c r="M5" s="150" t="str">
        <f t="shared" si="0"/>
        <v/>
      </c>
      <c r="N5" s="150" t="str">
        <f t="shared" si="0"/>
        <v/>
      </c>
      <c r="O5" s="150" t="str">
        <f t="shared" si="0"/>
        <v/>
      </c>
      <c r="P5" s="150" t="str">
        <f t="shared" si="0"/>
        <v/>
      </c>
      <c r="Q5" s="150" t="str">
        <f t="shared" si="0"/>
        <v/>
      </c>
      <c r="R5" s="150" t="str">
        <f t="shared" si="0"/>
        <v/>
      </c>
    </row>
    <row r="6" spans="1:19">
      <c r="A6" t="s">
        <v>1277</v>
      </c>
      <c r="B6" t="s">
        <v>1273</v>
      </c>
      <c r="C6">
        <v>0.72</v>
      </c>
      <c r="E6" s="150">
        <f t="shared" ref="E6:R6" si="1">IFERROR(_xlfn.XLOOKUP(E2,$C$27:$C$35,$E$27:$E$35),"")</f>
        <v>0.14326221722869525</v>
      </c>
      <c r="F6" s="150">
        <f t="shared" si="1"/>
        <v>0.18549104216775752</v>
      </c>
      <c r="G6" s="150" t="str">
        <f t="shared" si="1"/>
        <v/>
      </c>
      <c r="H6" s="150" t="str">
        <f t="shared" si="1"/>
        <v/>
      </c>
      <c r="I6" s="150">
        <f t="shared" si="1"/>
        <v>2.0512936511549659E-2</v>
      </c>
      <c r="J6" s="150">
        <f t="shared" si="1"/>
        <v>0.18514925404414523</v>
      </c>
      <c r="K6" s="150">
        <f t="shared" si="1"/>
        <v>0.18367141783285829</v>
      </c>
      <c r="L6" s="150" t="str">
        <f t="shared" si="1"/>
        <v/>
      </c>
      <c r="M6" s="150" t="str">
        <f t="shared" si="1"/>
        <v/>
      </c>
      <c r="N6" s="150" t="str">
        <f t="shared" si="1"/>
        <v/>
      </c>
      <c r="O6" s="150" t="str">
        <f t="shared" si="1"/>
        <v/>
      </c>
      <c r="P6" s="150" t="str">
        <f t="shared" si="1"/>
        <v/>
      </c>
      <c r="Q6" s="150" t="str">
        <f t="shared" si="1"/>
        <v/>
      </c>
      <c r="R6" s="150" t="str">
        <f t="shared" si="1"/>
        <v/>
      </c>
    </row>
    <row r="7" spans="1:19">
      <c r="B7" t="s">
        <v>1274</v>
      </c>
      <c r="C7">
        <v>0.85</v>
      </c>
      <c r="E7" s="150">
        <f t="shared" ref="E7:R7" si="2">IFERROR(_xlfn.XLOOKUP(E2,$K$27:$K$35,$M$27:$M$35),"")</f>
        <v>8.8929453313498844E-2</v>
      </c>
      <c r="F7" s="150">
        <f t="shared" si="2"/>
        <v>0.23824823047559981</v>
      </c>
      <c r="G7" s="150" t="str">
        <f t="shared" si="2"/>
        <v/>
      </c>
      <c r="H7" s="150" t="str">
        <f t="shared" si="2"/>
        <v/>
      </c>
      <c r="I7" s="150">
        <f t="shared" si="2"/>
        <v>0.25648089785490419</v>
      </c>
      <c r="J7" s="150">
        <f t="shared" si="2"/>
        <v>0.20655151724582235</v>
      </c>
      <c r="K7" s="150" t="str">
        <f t="shared" si="2"/>
        <v/>
      </c>
      <c r="L7" s="150" t="str">
        <f t="shared" si="2"/>
        <v/>
      </c>
      <c r="M7" s="150" t="str">
        <f t="shared" si="2"/>
        <v/>
      </c>
      <c r="N7" s="150" t="str">
        <f t="shared" si="2"/>
        <v/>
      </c>
      <c r="O7" s="150" t="str">
        <f t="shared" si="2"/>
        <v/>
      </c>
      <c r="P7" s="150" t="str">
        <f t="shared" si="2"/>
        <v/>
      </c>
      <c r="Q7" s="150" t="str">
        <f t="shared" si="2"/>
        <v/>
      </c>
      <c r="R7" s="150" t="str">
        <f t="shared" si="2"/>
        <v/>
      </c>
    </row>
    <row r="8" spans="1:19">
      <c r="B8" t="s">
        <v>622</v>
      </c>
      <c r="C8">
        <v>6.37</v>
      </c>
      <c r="E8" s="150" t="str">
        <f>IFERROR(_xlfn.XLOOKUP(E2,$K$53:$K$61,$M$53:$M$61),"")</f>
        <v/>
      </c>
      <c r="F8" s="150" t="str">
        <f>IFERROR(_xlfn.XLOOKUP(F2,$K$53:$K$61,$M$53:$M$61),"")</f>
        <v/>
      </c>
      <c r="G8" s="150" t="str">
        <f t="shared" ref="G8:Q8" si="3">IFERROR(_xlfn.XLOOKUP(G2,$K$53:$K$61,$M$53:$M$61),"")</f>
        <v/>
      </c>
      <c r="H8" s="150" t="str">
        <f t="shared" si="3"/>
        <v/>
      </c>
      <c r="I8" s="150" t="str">
        <f t="shared" si="3"/>
        <v/>
      </c>
      <c r="J8" s="150" t="str">
        <f t="shared" si="3"/>
        <v/>
      </c>
      <c r="K8" s="150" t="str">
        <f t="shared" si="3"/>
        <v/>
      </c>
      <c r="L8" s="150" t="str">
        <f t="shared" si="3"/>
        <v/>
      </c>
      <c r="M8" s="150" t="str">
        <f t="shared" si="3"/>
        <v/>
      </c>
      <c r="N8" s="150" t="str">
        <f t="shared" si="3"/>
        <v/>
      </c>
      <c r="O8" s="150" t="str">
        <f t="shared" si="3"/>
        <v/>
      </c>
      <c r="P8" s="150" t="str">
        <f t="shared" si="3"/>
        <v/>
      </c>
      <c r="Q8" s="150" t="str">
        <f t="shared" si="3"/>
        <v/>
      </c>
    </row>
    <row r="9" spans="1:19">
      <c r="B9" t="s">
        <v>1275</v>
      </c>
      <c r="E9" s="150" t="str">
        <f>IFERROR(_xlfn.XLOOKUP(E2,$C$82:$C$90,$E$82:$E$90),"")</f>
        <v/>
      </c>
      <c r="F9" s="150" t="str">
        <f t="shared" ref="F9:I9" si="4">IFERROR(_xlfn.XLOOKUP(F2,$C$82:$C$90,$E$82:$E$90),"")</f>
        <v/>
      </c>
      <c r="G9" s="150" t="str">
        <f t="shared" si="4"/>
        <v/>
      </c>
      <c r="H9" s="150" t="str">
        <f t="shared" si="4"/>
        <v/>
      </c>
      <c r="I9" s="150">
        <f t="shared" si="4"/>
        <v>0.1163532941568233</v>
      </c>
      <c r="J9" s="340" t="s">
        <v>1906</v>
      </c>
      <c r="K9" s="340" t="s">
        <v>1906</v>
      </c>
      <c r="L9" s="150" t="str">
        <f t="shared" ref="L9:R9" si="5">IFERROR(_xlfn.XLOOKUP(L2,$C$82:$C$90,$E$82:$E$90),"")</f>
        <v/>
      </c>
      <c r="M9" s="150" t="str">
        <f t="shared" si="5"/>
        <v/>
      </c>
      <c r="N9" s="150">
        <f t="shared" si="5"/>
        <v>0.55493258213425456</v>
      </c>
      <c r="O9" s="150">
        <f t="shared" si="5"/>
        <v>0.12360420367499245</v>
      </c>
      <c r="P9" s="150" t="str">
        <f t="shared" si="5"/>
        <v/>
      </c>
      <c r="Q9" s="150">
        <f t="shared" si="5"/>
        <v>6.4839080513464292E-2</v>
      </c>
      <c r="R9" s="150" t="str">
        <f t="shared" si="5"/>
        <v/>
      </c>
    </row>
    <row r="10" spans="1:19">
      <c r="A10" t="s">
        <v>1278</v>
      </c>
      <c r="B10" t="s">
        <v>1276</v>
      </c>
      <c r="E10" s="146">
        <v>0.21</v>
      </c>
      <c r="F10" s="146">
        <v>0.21</v>
      </c>
      <c r="I10" s="146">
        <v>0.21</v>
      </c>
      <c r="J10" s="146">
        <v>0.18</v>
      </c>
      <c r="K10" s="146">
        <v>0.2</v>
      </c>
    </row>
    <row r="11" spans="1:19">
      <c r="B11" t="s">
        <v>1388</v>
      </c>
      <c r="C11">
        <v>1.1000000000000001</v>
      </c>
      <c r="E11" s="146">
        <v>0.03</v>
      </c>
      <c r="F11" s="146">
        <v>0.22</v>
      </c>
      <c r="I11" s="146">
        <v>2.7E-2</v>
      </c>
      <c r="J11" s="146">
        <v>7.5999999999999998E-2</v>
      </c>
      <c r="K11" s="340" t="s">
        <v>1906</v>
      </c>
      <c r="N11" t="s">
        <v>1877</v>
      </c>
      <c r="O11" s="146">
        <v>0.23799999999999999</v>
      </c>
      <c r="Q11" s="146">
        <v>0.14799999999999999</v>
      </c>
    </row>
    <row r="24" spans="3:17">
      <c r="C24" s="117">
        <v>46154</v>
      </c>
      <c r="K24" s="117">
        <v>46152</v>
      </c>
    </row>
    <row r="25" spans="3:17">
      <c r="C25" t="s">
        <v>1273</v>
      </c>
      <c r="K25" t="s">
        <v>1274</v>
      </c>
    </row>
    <row r="26" spans="3:17">
      <c r="D26" s="470">
        <v>62893261.979999997</v>
      </c>
      <c r="E26" t="s">
        <v>1403</v>
      </c>
      <c r="F26" t="s">
        <v>1398</v>
      </c>
      <c r="G26" t="s">
        <v>1399</v>
      </c>
      <c r="H26" t="s">
        <v>1403</v>
      </c>
      <c r="L26" s="506">
        <v>112708420.40000001</v>
      </c>
      <c r="M26" t="s">
        <v>1403</v>
      </c>
      <c r="N26" t="s">
        <v>1398</v>
      </c>
      <c r="O26" t="s">
        <v>1399</v>
      </c>
      <c r="P26" t="s">
        <v>1403</v>
      </c>
    </row>
    <row r="27" spans="3:17">
      <c r="C27" s="470" t="s">
        <v>1400</v>
      </c>
      <c r="D27" s="470">
        <v>11666136.710000001</v>
      </c>
      <c r="E27" s="163">
        <f>D27/$D$26</f>
        <v>0.18549104216775752</v>
      </c>
      <c r="F27" s="109"/>
      <c r="G27" s="2">
        <f>D27+F27</f>
        <v>11666136.710000001</v>
      </c>
      <c r="H27" s="163">
        <f>G27/($D$26-8000000)</f>
        <v>0.21252402005642299</v>
      </c>
      <c r="I27" s="163"/>
      <c r="K27" s="506" t="s">
        <v>1400</v>
      </c>
      <c r="L27" s="506">
        <v>26852581.719999999</v>
      </c>
      <c r="M27" s="163">
        <f t="shared" ref="M27:M32" si="6">L27/$L$26</f>
        <v>0.23824823047559981</v>
      </c>
      <c r="N27" s="109"/>
      <c r="O27" s="311">
        <f t="shared" ref="O27:O33" si="7">L27+N27</f>
        <v>26852581.719999999</v>
      </c>
      <c r="P27" s="163">
        <f t="shared" ref="P27:P35" si="8">O27/($L$26+9357000)</f>
        <v>0.21998516559403908</v>
      </c>
    </row>
    <row r="28" spans="3:17">
      <c r="C28" s="470" t="s">
        <v>1401</v>
      </c>
      <c r="D28" s="470">
        <v>1290125.49</v>
      </c>
      <c r="E28" s="163">
        <f>D28/$D$26</f>
        <v>2.0512936511549659E-2</v>
      </c>
      <c r="F28" s="109"/>
      <c r="G28" s="311">
        <f>D28+F28</f>
        <v>1290125.49</v>
      </c>
      <c r="H28" s="163">
        <f t="shared" ref="H28:H37" si="9">G28/($D$26-8000000)</f>
        <v>2.350243806735422E-2</v>
      </c>
      <c r="I28" s="163"/>
      <c r="K28" s="506" t="s">
        <v>1401</v>
      </c>
      <c r="L28" s="506">
        <v>28907556.859999999</v>
      </c>
      <c r="M28" s="163">
        <f t="shared" si="6"/>
        <v>0.25648089785490419</v>
      </c>
      <c r="N28" s="109">
        <v>-15000000</v>
      </c>
      <c r="O28" s="311">
        <f t="shared" si="7"/>
        <v>13907556.859999999</v>
      </c>
      <c r="P28" s="163">
        <f t="shared" si="8"/>
        <v>0.11393527187655512</v>
      </c>
    </row>
    <row r="29" spans="3:17">
      <c r="C29" s="470" t="s">
        <v>1901</v>
      </c>
      <c r="D29" s="470">
        <v>11644640.539999999</v>
      </c>
      <c r="E29" s="163">
        <f>D29/$D$26</f>
        <v>0.18514925404414523</v>
      </c>
      <c r="F29" s="109"/>
      <c r="G29" s="311">
        <f t="shared" ref="G29:G32" si="10">D29+F29</f>
        <v>11644640.539999999</v>
      </c>
      <c r="H29" s="163">
        <f t="shared" si="9"/>
        <v>0.21213242062828491</v>
      </c>
      <c r="I29" s="163">
        <f>H29+H28</f>
        <v>0.23563485869563913</v>
      </c>
      <c r="K29" s="506" t="s">
        <v>1901</v>
      </c>
      <c r="L29" s="506">
        <v>23280095.239999998</v>
      </c>
      <c r="M29" s="163">
        <f t="shared" si="6"/>
        <v>0.20655151724582235</v>
      </c>
      <c r="N29" s="109">
        <v>-8000000</v>
      </c>
      <c r="O29" s="311">
        <f t="shared" si="7"/>
        <v>15280095.239999998</v>
      </c>
      <c r="P29" s="163">
        <f t="shared" si="8"/>
        <v>0.12517955691241775</v>
      </c>
      <c r="Q29" s="150">
        <f>P28+P29</f>
        <v>0.23911482878897289</v>
      </c>
    </row>
    <row r="30" spans="3:17">
      <c r="C30" s="470" t="s">
        <v>1902</v>
      </c>
      <c r="D30" s="470">
        <v>11551694.6</v>
      </c>
      <c r="E30" s="163">
        <f>D30/$D$26</f>
        <v>0.18367141783285829</v>
      </c>
      <c r="F30" s="109"/>
      <c r="G30" s="311">
        <f t="shared" si="10"/>
        <v>11551694.6</v>
      </c>
      <c r="H30" s="163">
        <f t="shared" si="9"/>
        <v>0.21043920844435851</v>
      </c>
      <c r="I30" s="163"/>
      <c r="K30" s="506" t="s">
        <v>1903</v>
      </c>
      <c r="L30" s="506">
        <v>11857959.82</v>
      </c>
      <c r="M30" s="163">
        <f t="shared" si="6"/>
        <v>0.10520917406096483</v>
      </c>
      <c r="N30" s="109">
        <v>15000000</v>
      </c>
      <c r="O30" s="311">
        <f t="shared" si="7"/>
        <v>26857959.82</v>
      </c>
      <c r="P30" s="163">
        <f t="shared" si="8"/>
        <v>0.2200292247549577</v>
      </c>
    </row>
    <row r="31" spans="3:17">
      <c r="C31" s="470" t="s">
        <v>2341</v>
      </c>
      <c r="D31" s="470">
        <v>9010228.1600000001</v>
      </c>
      <c r="E31" s="163">
        <f>D31/$D$26</f>
        <v>0.14326221722869525</v>
      </c>
      <c r="F31" s="109"/>
      <c r="G31" s="311">
        <f t="shared" si="10"/>
        <v>9010228.1600000001</v>
      </c>
      <c r="H31" s="163">
        <f t="shared" si="9"/>
        <v>0.16414087694921134</v>
      </c>
      <c r="I31" s="163"/>
      <c r="K31" s="506" t="s">
        <v>2341</v>
      </c>
      <c r="L31" s="506">
        <v>10023098.210000001</v>
      </c>
      <c r="M31" s="163">
        <f t="shared" si="6"/>
        <v>8.8929453313498844E-2</v>
      </c>
      <c r="N31" s="109">
        <v>2000000</v>
      </c>
      <c r="O31" s="311">
        <f t="shared" si="7"/>
        <v>12023098.210000001</v>
      </c>
      <c r="P31" s="163">
        <f t="shared" si="8"/>
        <v>9.8497167917016404E-2</v>
      </c>
    </row>
    <row r="32" spans="3:17">
      <c r="C32" s="470" t="s">
        <v>2506</v>
      </c>
      <c r="D32" s="470">
        <v>8655176.0899999999</v>
      </c>
      <c r="F32" s="109">
        <v>-8000000</v>
      </c>
      <c r="G32" s="311">
        <f t="shared" si="10"/>
        <v>655176.08999999985</v>
      </c>
      <c r="H32" s="163">
        <f t="shared" si="9"/>
        <v>1.1935455579934546E-2</v>
      </c>
      <c r="I32" s="163"/>
      <c r="K32" s="506" t="s">
        <v>1402</v>
      </c>
      <c r="L32" s="506">
        <v>2025.63</v>
      </c>
      <c r="M32" s="163">
        <f t="shared" si="6"/>
        <v>1.797230404623788E-5</v>
      </c>
      <c r="N32" s="109">
        <v>-11500000</v>
      </c>
      <c r="O32" s="311">
        <v>11878173.33</v>
      </c>
      <c r="P32" s="163">
        <f t="shared" si="8"/>
        <v>9.7309895718837011E-2</v>
      </c>
    </row>
    <row r="33" spans="3:16">
      <c r="C33" s="470" t="s">
        <v>2342</v>
      </c>
      <c r="D33" s="470">
        <v>9162000</v>
      </c>
      <c r="F33" s="109"/>
      <c r="G33" s="311">
        <f>D33+F33</f>
        <v>9162000</v>
      </c>
      <c r="H33" s="163">
        <f t="shared" si="9"/>
        <v>0.16690573067671066</v>
      </c>
      <c r="K33" s="313" t="s">
        <v>1942</v>
      </c>
      <c r="N33" s="2"/>
      <c r="O33" s="311">
        <f t="shared" si="7"/>
        <v>0</v>
      </c>
      <c r="P33" s="163">
        <f t="shared" si="8"/>
        <v>0</v>
      </c>
    </row>
    <row r="34" spans="3:16">
      <c r="F34" s="109"/>
      <c r="G34" s="311">
        <f>D34+F34</f>
        <v>0</v>
      </c>
      <c r="H34" s="163">
        <f t="shared" si="9"/>
        <v>0</v>
      </c>
      <c r="K34" s="312" t="s">
        <v>2451</v>
      </c>
      <c r="N34" s="109">
        <v>8000000</v>
      </c>
      <c r="O34" s="311">
        <f>L34+N34</f>
        <v>8000000</v>
      </c>
      <c r="P34" s="163">
        <f t="shared" si="8"/>
        <v>6.5538626531449679E-2</v>
      </c>
    </row>
    <row r="35" spans="3:16">
      <c r="C35" s="312" t="s">
        <v>1942</v>
      </c>
      <c r="F35" s="347"/>
      <c r="G35" s="311">
        <f>D35+F35</f>
        <v>0</v>
      </c>
      <c r="H35" s="163">
        <f t="shared" si="9"/>
        <v>0</v>
      </c>
      <c r="K35" s="312" t="s">
        <v>2128</v>
      </c>
      <c r="N35" s="311">
        <v>11500000</v>
      </c>
      <c r="O35" s="311">
        <f>L35+N35</f>
        <v>11500000</v>
      </c>
      <c r="P35" s="163">
        <f t="shared" si="8"/>
        <v>9.4211775638958925E-2</v>
      </c>
    </row>
    <row r="36" spans="3:16">
      <c r="C36" s="314" t="s">
        <v>2128</v>
      </c>
      <c r="F36" s="109">
        <v>5000000</v>
      </c>
      <c r="G36" s="311">
        <f>D36+F36</f>
        <v>5000000</v>
      </c>
      <c r="H36" s="163">
        <f t="shared" si="9"/>
        <v>9.1085860443522515E-2</v>
      </c>
    </row>
    <row r="37" spans="3:16">
      <c r="C37" s="314"/>
      <c r="F37" s="109"/>
      <c r="G37" s="311">
        <f>D37+F37</f>
        <v>0</v>
      </c>
      <c r="H37" s="163">
        <f t="shared" si="9"/>
        <v>0</v>
      </c>
      <c r="N37" s="165">
        <f>SUM(N27:N35)</f>
        <v>2000000</v>
      </c>
    </row>
    <row r="38" spans="3:16">
      <c r="C38" s="314"/>
      <c r="F38" s="165"/>
      <c r="N38" s="165"/>
    </row>
    <row r="39" spans="3:16">
      <c r="C39" s="314"/>
      <c r="F39" s="165"/>
      <c r="N39" s="165"/>
    </row>
    <row r="40" spans="3:16">
      <c r="C40" s="461"/>
      <c r="D40" s="399"/>
      <c r="E40" s="399"/>
      <c r="F40" s="489"/>
      <c r="K40" s="461"/>
      <c r="L40" s="399"/>
      <c r="M40" s="399"/>
      <c r="N40" s="489"/>
    </row>
    <row r="41" spans="3:16">
      <c r="C41" s="461"/>
      <c r="D41" s="399"/>
      <c r="E41" s="399"/>
      <c r="F41" s="489"/>
      <c r="K41" s="461"/>
      <c r="L41" s="399"/>
      <c r="M41" s="399"/>
      <c r="N41" s="489"/>
    </row>
    <row r="42" spans="3:16">
      <c r="C42" s="514"/>
      <c r="D42" s="399" t="s">
        <v>2450</v>
      </c>
      <c r="E42" s="399">
        <v>865</v>
      </c>
      <c r="F42" s="399"/>
      <c r="K42" s="532"/>
      <c r="L42" s="112" t="s">
        <v>2450</v>
      </c>
      <c r="M42" s="112">
        <f>1187+800</f>
        <v>1987</v>
      </c>
      <c r="N42" s="213"/>
    </row>
    <row r="43" spans="3:16">
      <c r="C43" s="453"/>
      <c r="F43" s="165"/>
      <c r="K43" s="169" t="s">
        <v>1732</v>
      </c>
      <c r="L43" t="s">
        <v>1979</v>
      </c>
      <c r="N43" s="165"/>
    </row>
    <row r="44" spans="3:16">
      <c r="C44" s="453"/>
      <c r="L44" t="s">
        <v>1980</v>
      </c>
      <c r="M44">
        <v>2300</v>
      </c>
    </row>
    <row r="45" spans="3:16">
      <c r="C45" s="453"/>
      <c r="L45" t="s">
        <v>2451</v>
      </c>
      <c r="N45" s="165">
        <v>800</v>
      </c>
    </row>
    <row r="46" spans="3:16">
      <c r="C46" s="453"/>
      <c r="D46" t="s">
        <v>571</v>
      </c>
      <c r="F46">
        <v>800</v>
      </c>
      <c r="L46" t="s">
        <v>1978</v>
      </c>
      <c r="N46" s="165">
        <v>1100</v>
      </c>
    </row>
    <row r="47" spans="3:16">
      <c r="C47" s="453">
        <v>46155</v>
      </c>
      <c r="D47" t="s">
        <v>2128</v>
      </c>
      <c r="F47">
        <v>500</v>
      </c>
      <c r="L47" t="s">
        <v>1981</v>
      </c>
      <c r="N47" s="165">
        <v>200</v>
      </c>
    </row>
    <row r="48" spans="3:16">
      <c r="C48" s="314"/>
      <c r="E48">
        <f>SUM(E42:E47)</f>
        <v>865</v>
      </c>
      <c r="F48" s="165">
        <f>SUM(F43:F47)</f>
        <v>1300</v>
      </c>
      <c r="G48">
        <f>E48-F48</f>
        <v>-435</v>
      </c>
      <c r="K48" s="117">
        <v>46155</v>
      </c>
      <c r="L48" t="s">
        <v>2128</v>
      </c>
      <c r="N48" s="165">
        <v>1150</v>
      </c>
    </row>
    <row r="49" spans="2:15">
      <c r="C49" s="314"/>
      <c r="F49" s="165"/>
      <c r="M49">
        <f>SUM(M42:M48)</f>
        <v>4287</v>
      </c>
      <c r="N49" s="165">
        <f>SUM(N42:N48)</f>
        <v>3250</v>
      </c>
      <c r="O49" s="165">
        <f>M49-N49</f>
        <v>1037</v>
      </c>
    </row>
    <row r="50" spans="2:15">
      <c r="C50" s="314"/>
      <c r="F50" s="165"/>
      <c r="N50" s="165"/>
    </row>
    <row r="51" spans="2:15">
      <c r="C51" s="117">
        <v>46152</v>
      </c>
      <c r="F51" s="165"/>
    </row>
    <row r="52" spans="2:15">
      <c r="B52" t="s">
        <v>1588</v>
      </c>
      <c r="C52" s="314" t="s">
        <v>1905</v>
      </c>
      <c r="D52" s="506">
        <v>168631489.21000001</v>
      </c>
      <c r="E52" t="s">
        <v>1403</v>
      </c>
      <c r="F52" t="s">
        <v>1398</v>
      </c>
      <c r="G52" t="s">
        <v>1399</v>
      </c>
      <c r="H52" t="s">
        <v>1403</v>
      </c>
    </row>
    <row r="53" spans="2:15">
      <c r="C53" s="506" t="s">
        <v>1400</v>
      </c>
      <c r="D53" s="506">
        <v>37796621.380000003</v>
      </c>
      <c r="E53" s="163">
        <f t="shared" ref="E53:E59" si="11">D53/$D$52</f>
        <v>0.22413738713373485</v>
      </c>
      <c r="F53" s="109"/>
      <c r="G53" s="507">
        <f t="shared" ref="G53:G63" si="12">D53+F53</f>
        <v>37796621.380000003</v>
      </c>
      <c r="H53" s="163">
        <f t="shared" ref="H53:H59" si="13">G53/($D$52+4500000)</f>
        <v>0.21831165175362499</v>
      </c>
    </row>
    <row r="54" spans="2:15">
      <c r="C54" s="506" t="s">
        <v>1401</v>
      </c>
      <c r="D54" s="506">
        <v>32591541.91</v>
      </c>
      <c r="E54" s="163">
        <f t="shared" si="11"/>
        <v>0.19327079457510532</v>
      </c>
      <c r="F54" s="109"/>
      <c r="G54" s="507">
        <f t="shared" si="12"/>
        <v>32591541.91</v>
      </c>
      <c r="H54" s="163">
        <f t="shared" si="13"/>
        <v>0.18824733766639098</v>
      </c>
    </row>
    <row r="55" spans="2:15">
      <c r="C55" s="506" t="s">
        <v>1901</v>
      </c>
      <c r="D55" s="506">
        <v>5567498.7199999997</v>
      </c>
      <c r="E55" s="163">
        <f t="shared" si="11"/>
        <v>3.3015771526910299E-2</v>
      </c>
      <c r="F55" s="109"/>
      <c r="G55" s="507">
        <f t="shared" si="12"/>
        <v>5567498.7199999997</v>
      </c>
      <c r="H55" s="163">
        <f t="shared" si="13"/>
        <v>3.2157632013705473E-2</v>
      </c>
      <c r="I55" s="150">
        <f>H55+H54</f>
        <v>0.22040496968009646</v>
      </c>
    </row>
    <row r="56" spans="2:15">
      <c r="C56" s="506" t="s">
        <v>1903</v>
      </c>
      <c r="D56" s="506">
        <v>30545678.760000002</v>
      </c>
      <c r="E56" s="163">
        <f t="shared" si="11"/>
        <v>0.18113864084993572</v>
      </c>
      <c r="F56" s="109"/>
      <c r="G56" s="507">
        <f t="shared" si="12"/>
        <v>30545678.760000002</v>
      </c>
      <c r="H56" s="163">
        <f t="shared" si="13"/>
        <v>0.17643052052159958</v>
      </c>
    </row>
    <row r="57" spans="2:15">
      <c r="C57" s="506" t="s">
        <v>2341</v>
      </c>
      <c r="D57" s="506">
        <v>16016800.960000001</v>
      </c>
      <c r="E57" s="163">
        <f t="shared" si="11"/>
        <v>9.4981079957456666E-2</v>
      </c>
      <c r="F57" s="109"/>
      <c r="G57" s="507">
        <f>D57+F57</f>
        <v>16016800.960000001</v>
      </c>
      <c r="H57" s="163">
        <f t="shared" si="13"/>
        <v>9.2512350197441015E-2</v>
      </c>
    </row>
    <row r="58" spans="2:15">
      <c r="C58" s="470" t="s">
        <v>1402</v>
      </c>
      <c r="D58" s="506">
        <v>9110000</v>
      </c>
      <c r="E58" s="163">
        <f t="shared" si="11"/>
        <v>5.4023124878267208E-2</v>
      </c>
      <c r="F58" s="109">
        <v>-7000000</v>
      </c>
      <c r="G58" s="507">
        <f t="shared" si="12"/>
        <v>2110000</v>
      </c>
      <c r="H58" s="163">
        <f t="shared" si="13"/>
        <v>1.2187268818791673E-2</v>
      </c>
    </row>
    <row r="59" spans="2:15">
      <c r="C59" s="506" t="s">
        <v>2342</v>
      </c>
      <c r="D59" s="506">
        <v>25416325</v>
      </c>
      <c r="E59" s="163">
        <f t="shared" si="11"/>
        <v>0.15072110860830129</v>
      </c>
      <c r="F59" s="109"/>
      <c r="G59" s="507">
        <f t="shared" si="12"/>
        <v>25416325</v>
      </c>
      <c r="H59" s="163">
        <f t="shared" si="13"/>
        <v>0.14680359486292666</v>
      </c>
    </row>
    <row r="60" spans="2:15">
      <c r="D60" s="448"/>
      <c r="F60" s="449"/>
      <c r="G60" s="507">
        <f t="shared" si="12"/>
        <v>0</v>
      </c>
    </row>
    <row r="61" spans="2:15">
      <c r="C61" s="314"/>
      <c r="D61" s="448"/>
      <c r="F61" s="449"/>
      <c r="G61" s="507">
        <f t="shared" si="12"/>
        <v>0</v>
      </c>
      <c r="H61" s="163"/>
    </row>
    <row r="62" spans="2:15">
      <c r="C62" s="314" t="s">
        <v>1942</v>
      </c>
      <c r="F62" s="109"/>
      <c r="G62" s="507">
        <f t="shared" si="12"/>
        <v>0</v>
      </c>
      <c r="H62" s="163"/>
    </row>
    <row r="63" spans="2:15">
      <c r="C63" s="314" t="s">
        <v>2128</v>
      </c>
      <c r="F63" s="109">
        <v>7000000</v>
      </c>
      <c r="G63" s="507">
        <f t="shared" si="12"/>
        <v>7000000</v>
      </c>
      <c r="H63" s="163">
        <f>G63/$D$52</f>
        <v>4.1510633825232762E-2</v>
      </c>
    </row>
    <row r="64" spans="2:15">
      <c r="C64" s="314"/>
      <c r="F64" s="109"/>
      <c r="G64" s="311"/>
    </row>
    <row r="65" spans="2:14">
      <c r="F65" s="109"/>
    </row>
    <row r="67" spans="2:14">
      <c r="B67" s="453">
        <v>46133</v>
      </c>
      <c r="C67" s="399" t="s">
        <v>1959</v>
      </c>
      <c r="D67" s="399">
        <v>800</v>
      </c>
      <c r="E67" s="399"/>
    </row>
    <row r="68" spans="2:14">
      <c r="B68" s="453">
        <v>46134</v>
      </c>
      <c r="C68" s="399" t="s">
        <v>1946</v>
      </c>
      <c r="D68" s="399"/>
      <c r="E68" s="399">
        <v>800</v>
      </c>
    </row>
    <row r="69" spans="2:14">
      <c r="B69" s="453">
        <v>46140</v>
      </c>
      <c r="C69" s="399" t="s">
        <v>1834</v>
      </c>
      <c r="D69" s="399">
        <v>6800</v>
      </c>
      <c r="E69" s="399"/>
    </row>
    <row r="70" spans="2:14">
      <c r="B70" s="453">
        <v>46140</v>
      </c>
      <c r="C70" s="399" t="s">
        <v>1947</v>
      </c>
      <c r="D70" s="399"/>
      <c r="E70" s="399">
        <v>3000</v>
      </c>
      <c r="F70" t="s">
        <v>1956</v>
      </c>
    </row>
    <row r="71" spans="2:14">
      <c r="B71" s="453">
        <v>46140</v>
      </c>
      <c r="C71" s="399" t="s">
        <v>1957</v>
      </c>
      <c r="D71" s="399"/>
      <c r="E71" s="399">
        <v>2500</v>
      </c>
      <c r="F71" t="s">
        <v>1958</v>
      </c>
    </row>
    <row r="72" spans="2:14">
      <c r="B72" s="453">
        <v>46141</v>
      </c>
      <c r="C72" s="399" t="s">
        <v>1946</v>
      </c>
      <c r="D72" s="399"/>
      <c r="E72" s="399">
        <v>800</v>
      </c>
    </row>
    <row r="73" spans="2:14">
      <c r="B73" s="117">
        <v>46155</v>
      </c>
      <c r="C73" t="s">
        <v>2129</v>
      </c>
      <c r="E73">
        <v>700</v>
      </c>
    </row>
    <row r="74" spans="2:14">
      <c r="B74" s="169"/>
      <c r="D74">
        <f>SUM(D67:D72)</f>
        <v>7600</v>
      </c>
      <c r="E74">
        <f>SUM(E67:E73)</f>
        <v>7800</v>
      </c>
      <c r="F74">
        <f>+D74-E74</f>
        <v>-200</v>
      </c>
    </row>
    <row r="75" spans="2:14">
      <c r="B75" s="169"/>
    </row>
    <row r="80" spans="2:14">
      <c r="C80" s="117">
        <v>46148</v>
      </c>
      <c r="F80" s="165"/>
      <c r="K80" s="117">
        <v>46139</v>
      </c>
      <c r="N80" s="165"/>
    </row>
    <row r="81" spans="3:16">
      <c r="C81" s="314" t="s">
        <v>343</v>
      </c>
      <c r="D81" s="517">
        <v>594325886.87</v>
      </c>
      <c r="E81" t="s">
        <v>1403</v>
      </c>
      <c r="F81" t="s">
        <v>1398</v>
      </c>
      <c r="G81" t="s">
        <v>1399</v>
      </c>
      <c r="H81" t="s">
        <v>1403</v>
      </c>
      <c r="K81" t="s">
        <v>6</v>
      </c>
      <c r="L81" s="492">
        <v>674301474.89999998</v>
      </c>
      <c r="M81" t="s">
        <v>1403</v>
      </c>
      <c r="N81" t="s">
        <v>1398</v>
      </c>
      <c r="O81" t="s">
        <v>1399</v>
      </c>
      <c r="P81" t="s">
        <v>1403</v>
      </c>
    </row>
    <row r="82" spans="3:16">
      <c r="C82" s="515" t="s">
        <v>2149</v>
      </c>
      <c r="D82" s="516">
        <v>37215492.840000004</v>
      </c>
      <c r="E82" s="163">
        <f t="shared" ref="E82:E87" si="14">D82/$D$81</f>
        <v>6.2617990671741244E-2</v>
      </c>
      <c r="F82" s="109"/>
      <c r="G82" s="311">
        <f t="shared" ref="G82:G92" si="15">D82+F82</f>
        <v>37215492.840000004</v>
      </c>
      <c r="H82" s="163">
        <f>G82/$D$81</f>
        <v>6.2617990671741244E-2</v>
      </c>
      <c r="K82" s="490" t="s">
        <v>1401</v>
      </c>
      <c r="L82" s="491">
        <v>532920911.12</v>
      </c>
      <c r="M82" s="163">
        <f>L82/$L$81</f>
        <v>0.79033033584723078</v>
      </c>
      <c r="O82" s="311">
        <f t="shared" ref="O82:O87" si="16">L82+N82</f>
        <v>532920911.12</v>
      </c>
      <c r="P82" s="163">
        <f t="shared" ref="P82:P87" si="17">O82/$L$81</f>
        <v>0.79033033584723078</v>
      </c>
    </row>
    <row r="83" spans="3:16">
      <c r="C83" s="515" t="s">
        <v>1401</v>
      </c>
      <c r="D83" s="516">
        <v>69151774.739999995</v>
      </c>
      <c r="E83" s="163">
        <f t="shared" si="14"/>
        <v>0.1163532941568233</v>
      </c>
      <c r="F83" s="109"/>
      <c r="G83" s="311">
        <f t="shared" si="15"/>
        <v>69151774.739999995</v>
      </c>
      <c r="H83" s="163">
        <f t="shared" ref="H83:H92" si="18">G83/$D$81</f>
        <v>0.1163532941568233</v>
      </c>
      <c r="K83" s="490" t="s">
        <v>1901</v>
      </c>
      <c r="L83" s="491">
        <v>43311952.280000001</v>
      </c>
      <c r="M83" s="163">
        <f>L83/$L$81</f>
        <v>6.4232326180842528E-2</v>
      </c>
      <c r="O83" s="311">
        <f t="shared" si="16"/>
        <v>43311952.280000001</v>
      </c>
      <c r="P83" s="163">
        <f t="shared" si="17"/>
        <v>6.4232326180842528E-2</v>
      </c>
    </row>
    <row r="84" spans="3:16">
      <c r="C84" s="515" t="s">
        <v>2150</v>
      </c>
      <c r="D84" s="516">
        <v>329810799.02999997</v>
      </c>
      <c r="E84" s="163">
        <f t="shared" si="14"/>
        <v>0.55493258213425456</v>
      </c>
      <c r="F84" s="109">
        <v>-200000000</v>
      </c>
      <c r="G84" s="311">
        <f t="shared" si="15"/>
        <v>129810799.02999997</v>
      </c>
      <c r="H84" s="163">
        <f t="shared" si="18"/>
        <v>0.21841686841817504</v>
      </c>
      <c r="K84" s="490" t="s">
        <v>1400</v>
      </c>
      <c r="L84" s="491">
        <v>25317522.16</v>
      </c>
      <c r="M84" s="163">
        <f>L84/$L$81</f>
        <v>3.7546295095609319E-2</v>
      </c>
      <c r="O84" s="311">
        <f t="shared" si="16"/>
        <v>25317522.16</v>
      </c>
      <c r="P84" s="163">
        <f t="shared" si="17"/>
        <v>3.7546295095609319E-2</v>
      </c>
    </row>
    <row r="85" spans="3:16">
      <c r="C85" s="515" t="s">
        <v>2151</v>
      </c>
      <c r="D85" s="516">
        <v>14109396.529999999</v>
      </c>
      <c r="E85" s="163">
        <f t="shared" si="14"/>
        <v>2.374016821698063E-2</v>
      </c>
      <c r="F85" s="109"/>
      <c r="G85" s="311">
        <f t="shared" si="15"/>
        <v>14109396.529999999</v>
      </c>
      <c r="H85" s="163">
        <f t="shared" si="18"/>
        <v>2.374016821698063E-2</v>
      </c>
      <c r="O85" s="311">
        <f t="shared" si="16"/>
        <v>0</v>
      </c>
      <c r="P85" s="163">
        <f t="shared" si="17"/>
        <v>0</v>
      </c>
    </row>
    <row r="86" spans="3:16">
      <c r="C86" s="515" t="s">
        <v>2152</v>
      </c>
      <c r="D86" s="516">
        <v>73461177.969999999</v>
      </c>
      <c r="E86" s="163">
        <f t="shared" si="14"/>
        <v>0.12360420367499245</v>
      </c>
      <c r="F86" s="109">
        <v>65000000</v>
      </c>
      <c r="G86" s="311">
        <f t="shared" si="15"/>
        <v>138461177.97</v>
      </c>
      <c r="H86" s="163">
        <f t="shared" si="18"/>
        <v>0.2329718106327183</v>
      </c>
      <c r="K86" t="s">
        <v>1943</v>
      </c>
      <c r="N86" s="109"/>
      <c r="O86" s="311">
        <f t="shared" si="16"/>
        <v>0</v>
      </c>
      <c r="P86" s="163">
        <f t="shared" si="17"/>
        <v>0</v>
      </c>
    </row>
    <row r="87" spans="3:16">
      <c r="C87" s="515" t="s">
        <v>2274</v>
      </c>
      <c r="D87" s="516">
        <v>38535544.030000001</v>
      </c>
      <c r="E87" s="163">
        <f t="shared" si="14"/>
        <v>6.4839080513464292E-2</v>
      </c>
      <c r="F87" s="109">
        <v>15000000</v>
      </c>
      <c r="G87" s="311">
        <f t="shared" si="15"/>
        <v>53535544.030000001</v>
      </c>
      <c r="H87" s="163">
        <f t="shared" si="18"/>
        <v>9.0077759042170261E-2</v>
      </c>
      <c r="K87" t="s">
        <v>929</v>
      </c>
      <c r="O87" s="311">
        <f t="shared" si="16"/>
        <v>0</v>
      </c>
      <c r="P87" s="163">
        <f t="shared" si="17"/>
        <v>0</v>
      </c>
    </row>
    <row r="88" spans="3:16">
      <c r="C88" s="314"/>
      <c r="D88" s="448"/>
      <c r="F88" s="449"/>
      <c r="G88" s="311">
        <f t="shared" si="15"/>
        <v>0</v>
      </c>
      <c r="H88" s="163">
        <f t="shared" si="18"/>
        <v>0</v>
      </c>
    </row>
    <row r="89" spans="3:16">
      <c r="C89" s="314" t="s">
        <v>1269</v>
      </c>
      <c r="D89" s="448"/>
      <c r="F89" s="109">
        <v>60000000</v>
      </c>
      <c r="G89" s="311">
        <f t="shared" si="15"/>
        <v>60000000</v>
      </c>
      <c r="H89" s="163">
        <f t="shared" si="18"/>
        <v>0.10095471411482386</v>
      </c>
    </row>
    <row r="90" spans="3:16">
      <c r="C90" s="314" t="s">
        <v>1270</v>
      </c>
      <c r="F90" s="109">
        <v>60000000</v>
      </c>
      <c r="G90" s="311">
        <f t="shared" si="15"/>
        <v>60000000</v>
      </c>
      <c r="H90" s="163">
        <f t="shared" si="18"/>
        <v>0.10095471411482386</v>
      </c>
    </row>
    <row r="91" spans="3:16">
      <c r="C91" s="314"/>
      <c r="F91" s="109"/>
      <c r="G91" s="311">
        <f t="shared" si="15"/>
        <v>0</v>
      </c>
      <c r="H91" s="163">
        <f t="shared" si="18"/>
        <v>0</v>
      </c>
    </row>
    <row r="92" spans="3:16">
      <c r="C92" s="314"/>
      <c r="F92" s="109"/>
      <c r="G92" s="311">
        <f t="shared" si="15"/>
        <v>0</v>
      </c>
      <c r="H92" s="163">
        <f t="shared" si="18"/>
        <v>0</v>
      </c>
    </row>
    <row r="93" spans="3:16">
      <c r="F93" s="109">
        <f>SUM(F82:F91)</f>
        <v>0</v>
      </c>
    </row>
    <row r="96" spans="3:16">
      <c r="C96" s="117"/>
    </row>
    <row r="97" spans="3:3">
      <c r="C97" s="117"/>
    </row>
    <row r="98" spans="3:3">
      <c r="C98" s="117"/>
    </row>
    <row r="99" spans="3:3">
      <c r="C99" s="117"/>
    </row>
    <row r="100" spans="3:3">
      <c r="C100" s="117"/>
    </row>
    <row r="101" spans="3:3">
      <c r="C101" s="117"/>
    </row>
    <row r="102" spans="3:3">
      <c r="C102" s="117"/>
    </row>
    <row r="103" spans="3:3">
      <c r="C103" s="117"/>
    </row>
  </sheetData>
  <phoneticPr fontId="6" type="noConversion"/>
  <conditionalFormatting sqref="E5:R11">
    <cfRule type="containsBlanks" priority="1" stopIfTrue="1">
      <formula>LEN(TRIM(E5))=0</formula>
    </cfRule>
  </conditionalFormatting>
  <conditionalFormatting sqref="E5:S11">
    <cfRule type="cellIs" dxfId="2" priority="2" operator="greaterThan">
      <formula>0.25</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2581AF7AD83F4F458C2F95D8D62E2B57" ma:contentTypeVersion="2" ma:contentTypeDescription="新建文档。" ma:contentTypeScope="" ma:versionID="5602694f307e91192af7c6f98d2b01a6">
  <xsd:schema xmlns:xsd="http://www.w3.org/2001/XMLSchema" xmlns:xs="http://www.w3.org/2001/XMLSchema" xmlns:p="http://schemas.microsoft.com/office/2006/metadata/properties" xmlns:ns2="02983204-d3f6-4815-ad0e-b2b850f2d58a" targetNamespace="http://schemas.microsoft.com/office/2006/metadata/properties" ma:root="true" ma:fieldsID="ec203bfea4cd884fc38cb2a7612c1389" ns2:_="">
    <xsd:import namespace="02983204-d3f6-4815-ad0e-b2b850f2d58a"/>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983204-d3f6-4815-ad0e-b2b850f2d58a"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��h�RR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6.xml>��h�h�R
</file>

<file path=customXml/itemProps1.xml><?xml version="1.0" encoding="utf-8"?>
<ds:datastoreItem xmlns:ds="http://schemas.openxmlformats.org/officeDocument/2006/customXml" ds:itemID="{D551E3C5-945D-4560-AC1A-7151F1E91830}">
  <ds:schemaRefs>
    <ds:schemaRef ds:uri="http://schemas.microsoft.com/sharepoint/v3/contenttype/forms"/>
  </ds:schemaRefs>
</ds:datastoreItem>
</file>

<file path=customXml/itemProps2.xml><?xml version="1.0" encoding="utf-8"?>
<ds:datastoreItem xmlns:ds="http://schemas.openxmlformats.org/officeDocument/2006/customXml" ds:itemID="{DCED6184-DF11-4044-A495-2DC76D5459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983204-d3f6-4815-ad0e-b2b850f2d5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17D899-AA73-4CFF-94DF-0910DF297424}">
  <ds:schemaRefs/>
</ds:datastoreItem>
</file>

<file path=customXml/itemProps4.xml><?xml version="1.0" encoding="utf-8"?>
<ds:datastoreItem xmlns:ds="http://schemas.openxmlformats.org/officeDocument/2006/customXml" ds:itemID="{09A662B3-8966-4F99-94BE-5CDF726AD2A2}">
  <ds:schemaRefs/>
</ds:datastoreItem>
</file>

<file path=customXml/itemProps5.xml><?xml version="1.0" encoding="utf-8"?>
<ds:datastoreItem xmlns:ds="http://schemas.openxmlformats.org/officeDocument/2006/customXml" ds:itemID="{D6A6B022-6B9D-4E7D-94E7-1C3433F9AF5B}">
  <ds:schemaRefs>
    <ds:schemaRef ds:uri="02983204-d3f6-4815-ad0e-b2b850f2d58a"/>
    <ds:schemaRef ds:uri="http://purl.org/dc/elements/1.1/"/>
    <ds:schemaRef ds:uri="http://purl.org/dc/terms/"/>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dcmitype/"/>
    <ds:schemaRef ds:uri="http://schemas.microsoft.com/office/2006/documentManagement/types"/>
  </ds:schemaRefs>
</ds:datastoreItem>
</file>

<file path=customXml/itemProps6.xml><?xml version="1.0" encoding="utf-8"?>
<ds:datastoreItem xmlns:ds="http://schemas.openxmlformats.org/officeDocument/2006/customXml" ds:itemID="{C4C5D22C-4C3B-4046-87CE-F8E082B059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27</vt:i4>
      </vt:variant>
      <vt:variant>
        <vt:lpstr>命名范围</vt:lpstr>
      </vt:variant>
      <vt:variant>
        <vt:i4>1</vt:i4>
      </vt:variant>
    </vt:vector>
  </HeadingPairs>
  <TitlesOfParts>
    <vt:vector size="28" baseType="lpstr">
      <vt:lpstr>申购数据-每日更新-0515</vt:lpstr>
      <vt:lpstr>汇总</vt:lpstr>
      <vt:lpstr>元康盛景20号</vt:lpstr>
      <vt:lpstr>元康盛景26号</vt:lpstr>
      <vt:lpstr>元康盛景28号</vt:lpstr>
      <vt:lpstr>元康盛景29号</vt:lpstr>
      <vt:lpstr>外贸信托_元康盛景1号</vt:lpstr>
      <vt:lpstr>西南证券-东方</vt:lpstr>
      <vt:lpstr>元康盛景30号</vt:lpstr>
      <vt:lpstr>慧聚领航1号</vt:lpstr>
      <vt:lpstr>苏信优先级Z2501</vt:lpstr>
      <vt:lpstr>苏信次级Z2502</vt:lpstr>
      <vt:lpstr>苏信混合Z2603</vt:lpstr>
      <vt:lpstr>元康1号</vt:lpstr>
      <vt:lpstr>元康9号</vt:lpstr>
      <vt:lpstr>元康17号</vt:lpstr>
      <vt:lpstr>朗瑞1_5</vt:lpstr>
      <vt:lpstr>朗瑞1_7</vt:lpstr>
      <vt:lpstr>朗瑞1_8</vt:lpstr>
      <vt:lpstr>鹏雅119</vt:lpstr>
      <vt:lpstr>鹏雅120</vt:lpstr>
      <vt:lpstr>元康12号</vt:lpstr>
      <vt:lpstr>中建投_臻泉2号</vt:lpstr>
      <vt:lpstr>券商代买入券-正常</vt:lpstr>
      <vt:lpstr>券商代买入券-不良</vt:lpstr>
      <vt:lpstr>新发行及二级待投</vt:lpstr>
      <vt:lpstr>集中度问题</vt:lpstr>
      <vt:lpstr>元康盛景30号!OLE_LINK7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 靖涛</dc:creator>
  <cp:lastModifiedBy>万 景龙</cp:lastModifiedBy>
  <dcterms:created xsi:type="dcterms:W3CDTF">2026-01-06T10:19:05Z</dcterms:created>
  <dcterms:modified xsi:type="dcterms:W3CDTF">2026-05-18T06:21:17Z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0x0101002581AF7AD83F4F458C2F95D8D62E2B57</vt:lpwstr>
  </property>
  <property fmtid="{D5CDD505-2E9C-101B-9397-08002B2CF9AE}" pid="3" name="EM_Doc_Temp_ID">
    <vt:lpwstr>32DC9140-1C09-43FB-8E06-D4E6BC0C162F</vt:lpwstr>
  </property>
</Properties>
</file>