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F:\self\7th sem\Mine\Introduction To Financial Mangement\Assignments\2\"/>
    </mc:Choice>
  </mc:AlternateContent>
  <xr:revisionPtr revIDLastSave="0" documentId="13_ncr:1_{B37E1446-A5C7-4096-A186-E7084CE5A3F1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N36" i="1"/>
  <c r="N37" i="1"/>
  <c r="N38" i="1"/>
  <c r="N39" i="1"/>
  <c r="N40" i="1"/>
  <c r="N30" i="1"/>
  <c r="N31" i="1"/>
  <c r="N32" i="1"/>
  <c r="N33" i="1"/>
  <c r="N29" i="1"/>
  <c r="M36" i="1"/>
  <c r="M37" i="1"/>
  <c r="M38" i="1"/>
  <c r="M39" i="1"/>
  <c r="M40" i="1"/>
  <c r="M30" i="1"/>
  <c r="M31" i="1"/>
  <c r="M32" i="1"/>
  <c r="M33" i="1"/>
  <c r="M29" i="1"/>
  <c r="L36" i="1"/>
  <c r="L37" i="1"/>
  <c r="L38" i="1"/>
  <c r="L39" i="1"/>
  <c r="L40" i="1"/>
  <c r="L30" i="1"/>
  <c r="L31" i="1"/>
  <c r="L32" i="1"/>
  <c r="L33" i="1"/>
  <c r="L29" i="1"/>
  <c r="J19" i="1"/>
  <c r="K19" i="1"/>
  <c r="I19" i="1"/>
  <c r="N11" i="1"/>
  <c r="N12" i="1"/>
  <c r="N13" i="1"/>
  <c r="N14" i="1"/>
  <c r="N16" i="1"/>
  <c r="N17" i="1"/>
  <c r="N18" i="1"/>
  <c r="N20" i="1"/>
  <c r="N21" i="1"/>
  <c r="N22" i="1"/>
  <c r="N10" i="1"/>
  <c r="M11" i="1"/>
  <c r="M12" i="1"/>
  <c r="M13" i="1"/>
  <c r="M14" i="1"/>
  <c r="M16" i="1"/>
  <c r="M17" i="1"/>
  <c r="M18" i="1"/>
  <c r="M20" i="1"/>
  <c r="M21" i="1"/>
  <c r="M22" i="1"/>
  <c r="M10" i="1"/>
  <c r="L16" i="1"/>
  <c r="L17" i="1"/>
  <c r="L18" i="1"/>
  <c r="L20" i="1"/>
  <c r="L21" i="1"/>
  <c r="L22" i="1"/>
  <c r="L13" i="1"/>
  <c r="L14" i="1"/>
  <c r="L12" i="1"/>
  <c r="L11" i="1"/>
  <c r="L10" i="1"/>
  <c r="D23" i="1"/>
  <c r="C24" i="1"/>
  <c r="C23" i="1"/>
  <c r="D18" i="1"/>
  <c r="C18" i="1"/>
  <c r="D9" i="1"/>
  <c r="D8" i="1"/>
  <c r="C8" i="1"/>
  <c r="C13" i="1" s="1"/>
  <c r="D13" i="1" l="1"/>
</calcChain>
</file>

<file path=xl/sharedStrings.xml><?xml version="1.0" encoding="utf-8"?>
<sst xmlns="http://schemas.openxmlformats.org/spreadsheetml/2006/main" count="112" uniqueCount="83">
  <si>
    <t>Particulars</t>
  </si>
  <si>
    <t>2013-14</t>
  </si>
  <si>
    <t>2014-15</t>
  </si>
  <si>
    <t>Amount</t>
  </si>
  <si>
    <t>A) Cashflows from operating activities</t>
  </si>
  <si>
    <t>Net Cashflow provided by operating activities</t>
  </si>
  <si>
    <t>B) Cashflows from investing activities</t>
  </si>
  <si>
    <t>COGS</t>
  </si>
  <si>
    <t>Tax Expenses</t>
  </si>
  <si>
    <t>Operating Expenses - Depriciation</t>
  </si>
  <si>
    <t>Increase in Accounts Receivable</t>
  </si>
  <si>
    <t>Increase in current Liabilities</t>
  </si>
  <si>
    <t>Increase in Inventory</t>
  </si>
  <si>
    <t>Revenue</t>
  </si>
  <si>
    <t>Fixed Assests</t>
  </si>
  <si>
    <t>Depreciation</t>
  </si>
  <si>
    <t>Fixed assests end of 2012-13</t>
  </si>
  <si>
    <t>Purchased fixed assets</t>
  </si>
  <si>
    <t>Net Cashflow used by investing activities</t>
  </si>
  <si>
    <t>C) Cashflows from financing activities</t>
  </si>
  <si>
    <t>Issue of shares</t>
  </si>
  <si>
    <t>Loan borrowed</t>
  </si>
  <si>
    <t>Net Cashflow provided by financing activites</t>
  </si>
  <si>
    <t>Net increase in cash and cash equivalance</t>
  </si>
  <si>
    <t>Cash and Cash equivalance, beginning of period</t>
  </si>
  <si>
    <t>Cash and Cash equivalance, end of period</t>
  </si>
  <si>
    <t xml:space="preserve">Cashflow Statement (IN ₹ THOUSANDS) </t>
  </si>
  <si>
    <t>2012-13</t>
  </si>
  <si>
    <t>Total sales</t>
  </si>
  <si>
    <t>Cost of goods sold</t>
  </si>
  <si>
    <t>Gross profit</t>
  </si>
  <si>
    <t>Profit before tax (PBT)</t>
  </si>
  <si>
    <t>Tax @ 30%</t>
  </si>
  <si>
    <t>Profit after tax (PAT)</t>
  </si>
  <si>
    <t xml:space="preserve">Income Statement (IN ₹ THOUSANDS) </t>
  </si>
  <si>
    <t>Cash Sales</t>
  </si>
  <si>
    <t>Credit Sales</t>
  </si>
  <si>
    <t>Percentage of Revenue</t>
  </si>
  <si>
    <t>Total Expense</t>
  </si>
  <si>
    <t>Assets</t>
  </si>
  <si>
    <t>Fixed assets (net of depreciation)</t>
  </si>
  <si>
    <t>Cash and cash equivalents</t>
  </si>
  <si>
    <t>Accounts receivable</t>
  </si>
  <si>
    <t>Inventories</t>
  </si>
  <si>
    <t>Total</t>
  </si>
  <si>
    <t>Equity &amp; Liabilities</t>
  </si>
  <si>
    <t>Reserve &amp; surplus</t>
  </si>
  <si>
    <t>Long-term borrowings</t>
  </si>
  <si>
    <t>Current liabilities</t>
  </si>
  <si>
    <t>Balance Sheet (IN ₹ THOUSANDS)</t>
  </si>
  <si>
    <t>Equity share capital (shares of ₹10 each)</t>
  </si>
  <si>
    <t xml:space="preserve">Percentage </t>
  </si>
  <si>
    <t>Current ratio</t>
  </si>
  <si>
    <t>2.30:1</t>
  </si>
  <si>
    <t>Acid test ratio (quick ratio)</t>
  </si>
  <si>
    <t>1.20:1</t>
  </si>
  <si>
    <t>Receivable turnover ratio</t>
  </si>
  <si>
    <t>7 times</t>
  </si>
  <si>
    <t>Receivable days</t>
  </si>
  <si>
    <t>52 days</t>
  </si>
  <si>
    <t>Inventory turnover ratio</t>
  </si>
  <si>
    <t>4.85 times</t>
  </si>
  <si>
    <t>Inventory days</t>
  </si>
  <si>
    <t>75 days</t>
  </si>
  <si>
    <t>Long-term debt to total debt</t>
  </si>
  <si>
    <t>Debt-to-equity ratio</t>
  </si>
  <si>
    <t>Gross profit ratio</t>
  </si>
  <si>
    <t>Net profit ratio</t>
  </si>
  <si>
    <t>Return on equity</t>
  </si>
  <si>
    <t>Return on total assets</t>
  </si>
  <si>
    <t>Total asset turnover ratio</t>
  </si>
  <si>
    <t>Fixed asset turnover ratio</t>
  </si>
  <si>
    <t>Current asset turnover ratio</t>
  </si>
  <si>
    <t>Interest coverage ratio (times interest earned)</t>
  </si>
  <si>
    <t>Working capital turnover ratio</t>
  </si>
  <si>
    <t>Return on fixed assets</t>
  </si>
  <si>
    <t>Ratio</t>
  </si>
  <si>
    <t>Sector Average</t>
  </si>
  <si>
    <t>Anandam Firm</t>
  </si>
  <si>
    <t>Operating expenses:
General, administration &amp; selling  expenses      Depreciation
Interest expenses (on borrowings)</t>
  </si>
  <si>
    <t>Remark</t>
  </si>
  <si>
    <t>Unfavourable</t>
  </si>
  <si>
    <t>Favourable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</si>
</sst>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9" fontId="1" fillId="0" borderId="6" xfId="1" applyFont="1" applyBorder="1" applyAlignment="1">
      <alignment horizontal="center" vertical="center"/>
    </xf>
    <xf numFmtId="9" fontId="1" fillId="0" borderId="8" xfId="1" applyFont="1" applyBorder="1" applyAlignment="1">
      <alignment horizontal="center" vertical="center"/>
    </xf>
    <xf numFmtId="9" fontId="1" fillId="0" borderId="9" xfId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3" fontId="2" fillId="0" borderId="8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9" fontId="2" fillId="0" borderId="1" xfId="1" applyFont="1" applyBorder="1" applyAlignment="1">
      <alignment horizontal="center" vertical="center"/>
    </xf>
    <xf numFmtId="9" fontId="2" fillId="0" borderId="6" xfId="1" applyFont="1" applyBorder="1" applyAlignment="1">
      <alignment horizontal="center" vertical="center"/>
    </xf>
    <xf numFmtId="9" fontId="2" fillId="0" borderId="8" xfId="1" applyFont="1" applyBorder="1" applyAlignment="1">
      <alignment horizontal="center" vertical="center"/>
    </xf>
    <xf numFmtId="9" fontId="2" fillId="0" borderId="9" xfId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9" fontId="1" fillId="0" borderId="8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Trend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Analysis of Income Statement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18410008393618E-2"/>
          <c:y val="0.11741057296612854"/>
          <c:w val="0.90847222777355874"/>
          <c:h val="0.7226811036084877"/>
        </c:manualLayout>
      </c:layout>
      <c:lineChart>
        <c:grouping val="standard"/>
        <c:varyColors val="0"/>
        <c:ser>
          <c:idx val="0"/>
          <c:order val="0"/>
          <c:tx>
            <c:strRef>
              <c:f>Sheet1!$H$12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sq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Sheet1!$I$8:$K$8</c:f>
              <c:strCache>
                <c:ptCount val="3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</c:strCache>
            </c:strRef>
          </c:cat>
          <c:val>
            <c:numRef>
              <c:f>Sheet1!$I$12:$K$12</c:f>
              <c:numCache>
                <c:formatCode>General</c:formatCode>
                <c:ptCount val="3"/>
                <c:pt idx="0">
                  <c:v>2000</c:v>
                </c:pt>
                <c:pt idx="1">
                  <c:v>4800</c:v>
                </c:pt>
                <c:pt idx="2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F-4C72-BC50-D2211A494D9F}"/>
            </c:ext>
          </c:extLst>
        </c:ser>
        <c:ser>
          <c:idx val="1"/>
          <c:order val="1"/>
          <c:tx>
            <c:strRef>
              <c:f>Sheet1!$H$14</c:f>
              <c:strCache>
                <c:ptCount val="1"/>
                <c:pt idx="0">
                  <c:v>Gross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Sheet1!$I$14:$K$14</c:f>
              <c:numCache>
                <c:formatCode>General</c:formatCode>
                <c:ptCount val="3"/>
                <c:pt idx="0">
                  <c:v>760</c:v>
                </c:pt>
                <c:pt idx="1">
                  <c:v>1968</c:v>
                </c:pt>
                <c:pt idx="2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F-4C72-BC50-D2211A494D9F}"/>
            </c:ext>
          </c:extLst>
        </c:ser>
        <c:ser>
          <c:idx val="2"/>
          <c:order val="2"/>
          <c:tx>
            <c:strRef>
              <c:f>Sheet1!$H$19</c:f>
              <c:strCache>
                <c:ptCount val="1"/>
                <c:pt idx="0">
                  <c:v>Total Expense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6714092491207277E-2"/>
                  <c:y val="1.09647503399331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AF-4C72-BC50-D2211A494D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Sheet1!$I$19:$K$19</c:f>
              <c:numCache>
                <c:formatCode>General</c:formatCode>
                <c:ptCount val="3"/>
                <c:pt idx="0">
                  <c:v>240</c:v>
                </c:pt>
                <c:pt idx="1">
                  <c:v>1008</c:v>
                </c:pt>
                <c:pt idx="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AF-4C72-BC50-D2211A494D9F}"/>
            </c:ext>
          </c:extLst>
        </c:ser>
        <c:ser>
          <c:idx val="3"/>
          <c:order val="3"/>
          <c:tx>
            <c:strRef>
              <c:f>Sheet1!$H$22</c:f>
              <c:strCache>
                <c:ptCount val="1"/>
                <c:pt idx="0">
                  <c:v>Profit after tax (PAT)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5013009932982707E-2"/>
                  <c:y val="-2.342240023787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AF-4C72-BC50-D2211A494D9F}"/>
                </c:ext>
              </c:extLst>
            </c:dLbl>
            <c:dLbl>
              <c:idx val="1"/>
              <c:layout>
                <c:manualLayout>
                  <c:x val="-1.5888111093817579E-2"/>
                  <c:y val="2.65952733298477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AF-4C72-BC50-D2211A494D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Sheet1!$I$22:$K$22</c:f>
              <c:numCache>
                <c:formatCode>General</c:formatCode>
                <c:ptCount val="3"/>
                <c:pt idx="0">
                  <c:v>364</c:v>
                </c:pt>
                <c:pt idx="1">
                  <c:v>672</c:v>
                </c:pt>
                <c:pt idx="2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AF-4C72-BC50-D2211A494D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2427055"/>
        <c:axId val="2122426095"/>
      </c:lineChart>
      <c:catAx>
        <c:axId val="212242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2426095"/>
        <c:crosses val="autoZero"/>
        <c:auto val="1"/>
        <c:lblAlgn val="ctr"/>
        <c:lblOffset val="100"/>
        <c:noMultiLvlLbl val="0"/>
      </c:catAx>
      <c:valAx>
        <c:axId val="212242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242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2918048949465079E-2"/>
          <c:y val="0.90413741017415572"/>
          <c:w val="0.77341020824173623"/>
          <c:h val="9.2897895959726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Trend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Analysis of  Balance Sheet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18410008393618E-2"/>
          <c:y val="0.11741057296612854"/>
          <c:w val="0.90847222777355874"/>
          <c:h val="0.7226811036084877"/>
        </c:manualLayout>
      </c:layout>
      <c:lineChart>
        <c:grouping val="standard"/>
        <c:varyColors val="0"/>
        <c:ser>
          <c:idx val="0"/>
          <c:order val="0"/>
          <c:tx>
            <c:strRef>
              <c:f>Sheet1!$H$38</c:f>
              <c:strCache>
                <c:ptCount val="1"/>
                <c:pt idx="0">
                  <c:v>Long-term borrowings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5209018042232643E-2"/>
                  <c:y val="4.2052259084766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818-4B37-91BA-3DD91CCA5C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Sheet1!$I$27:$K$27</c:f>
              <c:strCache>
                <c:ptCount val="3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</c:strCache>
            </c:strRef>
          </c:cat>
          <c:val>
            <c:numRef>
              <c:f>Sheet1!$I$38:$K$38</c:f>
              <c:numCache>
                <c:formatCode>#,##0</c:formatCode>
                <c:ptCount val="3"/>
                <c:pt idx="0" formatCode="General">
                  <c:v>736</c:v>
                </c:pt>
                <c:pt idx="1">
                  <c:v>1236</c:v>
                </c:pt>
                <c:pt idx="2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18-4B37-91BA-3DD91CCA5CE8}"/>
            </c:ext>
          </c:extLst>
        </c:ser>
        <c:ser>
          <c:idx val="1"/>
          <c:order val="1"/>
          <c:tx>
            <c:strRef>
              <c:f>Sheet1!$H$36</c:f>
              <c:strCache>
                <c:ptCount val="1"/>
                <c:pt idx="0">
                  <c:v>Equity share capital (shares of ₹10 each)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Sheet1!$I$27:$K$27</c:f>
              <c:strCache>
                <c:ptCount val="3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</c:strCache>
            </c:strRef>
          </c:cat>
          <c:val>
            <c:numRef>
              <c:f>Sheet1!$I$36:$K$36</c:f>
              <c:numCache>
                <c:formatCode>#,##0</c:formatCode>
                <c:ptCount val="3"/>
                <c:pt idx="0">
                  <c:v>1200</c:v>
                </c:pt>
                <c:pt idx="1">
                  <c:v>1600</c:v>
                </c:pt>
                <c:pt idx="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18-4B37-91BA-3DD91CCA5CE8}"/>
            </c:ext>
          </c:extLst>
        </c:ser>
        <c:ser>
          <c:idx val="2"/>
          <c:order val="2"/>
          <c:tx>
            <c:strRef>
              <c:f>Sheet1!$H$29</c:f>
              <c:strCache>
                <c:ptCount val="1"/>
                <c:pt idx="0">
                  <c:v>Fixed assets (net of depreciation)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Sheet1!$I$27:$K$27</c:f>
              <c:strCache>
                <c:ptCount val="3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</c:strCache>
            </c:strRef>
          </c:cat>
          <c:val>
            <c:numRef>
              <c:f>Sheet1!$I$29:$K$29</c:f>
              <c:numCache>
                <c:formatCode>#,##0</c:formatCode>
                <c:ptCount val="3"/>
                <c:pt idx="0">
                  <c:v>1900</c:v>
                </c:pt>
                <c:pt idx="1">
                  <c:v>2500</c:v>
                </c:pt>
                <c:pt idx="2">
                  <c:v>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18-4B37-91BA-3DD91CCA5C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2427055"/>
        <c:axId val="2122426095"/>
      </c:lineChart>
      <c:catAx>
        <c:axId val="212242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2426095"/>
        <c:crosses val="autoZero"/>
        <c:auto val="1"/>
        <c:lblAlgn val="ctr"/>
        <c:lblOffset val="100"/>
        <c:noMultiLvlLbl val="0"/>
      </c:catAx>
      <c:valAx>
        <c:axId val="212242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242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272026185896878E-2"/>
          <c:y val="0.90413742063952185"/>
          <c:w val="0.88181595826722925"/>
          <c:h val="9.5862579360478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220890</xdr:colOff>
      <xdr:row>0</xdr:row>
      <xdr:rowOff>0</xdr:rowOff>
    </xdr:from>
    <xdr:to>
      <xdr:col>26</xdr:col>
      <xdr:colOff>407035</xdr:colOff>
      <xdr:row>22</xdr:row>
      <xdr:rowOff>34244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3968A-9C3A-1162-BBE1-9D261E6F6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186446</xdr:colOff>
      <xdr:row>24</xdr:row>
      <xdr:rowOff>162126</xdr:rowOff>
    </xdr:from>
    <xdr:to>
      <xdr:col>26</xdr:col>
      <xdr:colOff>372591</xdr:colOff>
      <xdr:row>47</xdr:row>
      <xdr:rowOff>74774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DA6DC6-B18B-4CDB-AF9D-314ED26E9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8"/>
  <sheetViews>
    <sheetView showGridLines="0" tabSelected="1" topLeftCell="A18" zoomScale="80" zoomScaleNormal="100" workbookViewId="0">
      <selection activeCell="F27" sqref="F27"/>
    </sheetView>
  </sheetViews>
  <sheetFormatPr defaultRowHeight="13.8" x14ac:dyDescent="0.3"/>
  <cols>
    <col min="1" max="1" width="8.88671875" style="1"/>
    <col min="2" max="2" width="45.33203125" style="1" bestFit="1" customWidth="1"/>
    <col min="3" max="3" width="15.21875" style="1" bestFit="1" customWidth="1"/>
    <col min="4" max="4" width="14.44140625" style="1" bestFit="1" customWidth="1"/>
    <col min="5" max="5" width="12.109375" style="1" bestFit="1" customWidth="1"/>
    <col min="6" max="7" width="8.88671875" style="1"/>
    <col min="8" max="8" width="41.88671875" style="1" bestFit="1" customWidth="1"/>
    <col min="9" max="16384" width="8.88671875" style="1"/>
  </cols>
  <sheetData>
    <row r="1" spans="2:14" ht="14.4" thickBot="1" x14ac:dyDescent="0.35"/>
    <row r="2" spans="2:14" ht="18" thickBot="1" x14ac:dyDescent="0.35">
      <c r="B2" s="22" t="s">
        <v>26</v>
      </c>
      <c r="C2" s="23"/>
      <c r="D2" s="24"/>
    </row>
    <row r="3" spans="2:14" x14ac:dyDescent="0.3">
      <c r="B3" s="20" t="s">
        <v>0</v>
      </c>
      <c r="C3" s="5" t="s">
        <v>1</v>
      </c>
      <c r="D3" s="6" t="s">
        <v>2</v>
      </c>
    </row>
    <row r="4" spans="2:14" x14ac:dyDescent="0.3">
      <c r="B4" s="21"/>
      <c r="C4" s="2" t="s">
        <v>3</v>
      </c>
      <c r="D4" s="8" t="s">
        <v>3</v>
      </c>
    </row>
    <row r="5" spans="2:14" x14ac:dyDescent="0.3">
      <c r="B5" s="7" t="s">
        <v>4</v>
      </c>
      <c r="C5" s="3"/>
      <c r="D5" s="9"/>
    </row>
    <row r="6" spans="2:14" ht="14.4" thickBot="1" x14ac:dyDescent="0.35">
      <c r="B6" s="10" t="s">
        <v>13</v>
      </c>
      <c r="C6" s="3">
        <v>4800</v>
      </c>
      <c r="D6" s="9">
        <v>8000</v>
      </c>
    </row>
    <row r="7" spans="2:14" ht="17.399999999999999" x14ac:dyDescent="0.3">
      <c r="B7" s="10" t="s">
        <v>7</v>
      </c>
      <c r="C7" s="3">
        <v>-2832</v>
      </c>
      <c r="D7" s="9">
        <v>-4800</v>
      </c>
      <c r="H7" s="28" t="s">
        <v>34</v>
      </c>
      <c r="I7" s="29"/>
      <c r="J7" s="29"/>
      <c r="K7" s="29"/>
      <c r="L7" s="29"/>
      <c r="M7" s="29"/>
      <c r="N7" s="30"/>
    </row>
    <row r="8" spans="2:14" x14ac:dyDescent="0.3">
      <c r="B8" s="10" t="s">
        <v>11</v>
      </c>
      <c r="C8" s="3">
        <f>1728-260</f>
        <v>1468</v>
      </c>
      <c r="D8" s="9">
        <f>2780-1728</f>
        <v>1052</v>
      </c>
      <c r="H8" s="14"/>
      <c r="I8" s="26" t="s">
        <v>27</v>
      </c>
      <c r="J8" s="26" t="s">
        <v>1</v>
      </c>
      <c r="K8" s="26" t="s">
        <v>2</v>
      </c>
      <c r="L8" s="26" t="s">
        <v>27</v>
      </c>
      <c r="M8" s="26" t="s">
        <v>1</v>
      </c>
      <c r="N8" s="31" t="s">
        <v>2</v>
      </c>
    </row>
    <row r="9" spans="2:14" x14ac:dyDescent="0.3">
      <c r="B9" s="10" t="s">
        <v>12</v>
      </c>
      <c r="C9" s="3">
        <v>-1180</v>
      </c>
      <c r="D9" s="9">
        <f>-2250+1500</f>
        <v>-750</v>
      </c>
      <c r="H9" s="14"/>
      <c r="I9" s="26"/>
      <c r="J9" s="26"/>
      <c r="K9" s="26"/>
      <c r="L9" s="27" t="s">
        <v>37</v>
      </c>
      <c r="M9" s="27"/>
      <c r="N9" s="32"/>
    </row>
    <row r="10" spans="2:14" x14ac:dyDescent="0.3">
      <c r="B10" s="10" t="s">
        <v>10</v>
      </c>
      <c r="C10" s="3">
        <v>-1200</v>
      </c>
      <c r="D10" s="9">
        <v>-600</v>
      </c>
      <c r="H10" s="14" t="s">
        <v>35</v>
      </c>
      <c r="I10" s="15">
        <v>200</v>
      </c>
      <c r="J10" s="15">
        <v>480</v>
      </c>
      <c r="K10" s="15">
        <v>800</v>
      </c>
      <c r="L10" s="34">
        <f>I10/$I$12</f>
        <v>0.1</v>
      </c>
      <c r="M10" s="34">
        <f>J10/$J$12</f>
        <v>0.1</v>
      </c>
      <c r="N10" s="35">
        <f>K10/$K$12</f>
        <v>0.1</v>
      </c>
    </row>
    <row r="11" spans="2:14" x14ac:dyDescent="0.3">
      <c r="B11" s="10" t="s">
        <v>9</v>
      </c>
      <c r="C11" s="3">
        <v>-608</v>
      </c>
      <c r="D11" s="9">
        <v>-1340</v>
      </c>
      <c r="H11" s="14" t="s">
        <v>36</v>
      </c>
      <c r="I11" s="15">
        <v>1800</v>
      </c>
      <c r="J11" s="15">
        <v>4320</v>
      </c>
      <c r="K11" s="15">
        <v>7200</v>
      </c>
      <c r="L11" s="34">
        <f>I11/$I$12</f>
        <v>0.9</v>
      </c>
      <c r="M11" s="34">
        <f t="shared" ref="M11:M22" si="0">J11/$J$12</f>
        <v>0.9</v>
      </c>
      <c r="N11" s="35">
        <f t="shared" ref="N11:N22" si="1">K11/$K$12</f>
        <v>0.9</v>
      </c>
    </row>
    <row r="12" spans="2:14" x14ac:dyDescent="0.3">
      <c r="B12" s="10" t="s">
        <v>8</v>
      </c>
      <c r="C12" s="3">
        <v>-288</v>
      </c>
      <c r="D12" s="9">
        <v>-360</v>
      </c>
      <c r="H12" s="14" t="s">
        <v>28</v>
      </c>
      <c r="I12" s="15">
        <v>2000</v>
      </c>
      <c r="J12" s="15">
        <v>4800</v>
      </c>
      <c r="K12" s="15">
        <v>8000</v>
      </c>
      <c r="L12" s="34">
        <f>I12/$I$12</f>
        <v>1</v>
      </c>
      <c r="M12" s="34">
        <f t="shared" si="0"/>
        <v>1</v>
      </c>
      <c r="N12" s="35">
        <f t="shared" si="1"/>
        <v>1</v>
      </c>
    </row>
    <row r="13" spans="2:14" ht="14.4" customHeight="1" x14ac:dyDescent="0.3">
      <c r="B13" s="7" t="s">
        <v>5</v>
      </c>
      <c r="C13" s="2">
        <f>SUM(C6:C12)</f>
        <v>160</v>
      </c>
      <c r="D13" s="8">
        <f>SUM(D6:D12)</f>
        <v>1202</v>
      </c>
      <c r="H13" s="14" t="s">
        <v>29</v>
      </c>
      <c r="I13" s="15">
        <v>1240</v>
      </c>
      <c r="J13" s="15">
        <v>2832</v>
      </c>
      <c r="K13" s="15">
        <v>4800</v>
      </c>
      <c r="L13" s="34">
        <f t="shared" ref="L13:L22" si="2">I13/$I$12</f>
        <v>0.62</v>
      </c>
      <c r="M13" s="34">
        <f t="shared" si="0"/>
        <v>0.59</v>
      </c>
      <c r="N13" s="35">
        <f t="shared" si="1"/>
        <v>0.6</v>
      </c>
    </row>
    <row r="14" spans="2:14" x14ac:dyDescent="0.3">
      <c r="B14" s="7" t="s">
        <v>6</v>
      </c>
      <c r="C14" s="3"/>
      <c r="D14" s="9"/>
      <c r="H14" s="14" t="s">
        <v>30</v>
      </c>
      <c r="I14" s="15">
        <v>760</v>
      </c>
      <c r="J14" s="15">
        <v>1968</v>
      </c>
      <c r="K14" s="15">
        <v>3200</v>
      </c>
      <c r="L14" s="34">
        <f t="shared" si="2"/>
        <v>0.38</v>
      </c>
      <c r="M14" s="34">
        <f t="shared" si="0"/>
        <v>0.41</v>
      </c>
      <c r="N14" s="35">
        <f t="shared" si="1"/>
        <v>0.4</v>
      </c>
    </row>
    <row r="15" spans="2:14" x14ac:dyDescent="0.3">
      <c r="B15" s="10" t="s">
        <v>14</v>
      </c>
      <c r="C15" s="3">
        <v>-2500</v>
      </c>
      <c r="D15" s="9">
        <v>-4700</v>
      </c>
      <c r="H15" s="25" t="s">
        <v>79</v>
      </c>
      <c r="I15" s="15"/>
      <c r="J15" s="15"/>
      <c r="K15" s="15"/>
      <c r="L15" s="34"/>
      <c r="M15" s="34"/>
      <c r="N15" s="35"/>
    </row>
    <row r="16" spans="2:14" x14ac:dyDescent="0.3">
      <c r="B16" s="10" t="s">
        <v>15</v>
      </c>
      <c r="C16" s="3">
        <v>-400</v>
      </c>
      <c r="D16" s="9">
        <v>-660</v>
      </c>
      <c r="H16" s="25"/>
      <c r="I16" s="15">
        <v>80</v>
      </c>
      <c r="J16" s="15">
        <v>450</v>
      </c>
      <c r="K16" s="15">
        <v>1000</v>
      </c>
      <c r="L16" s="34">
        <f t="shared" si="2"/>
        <v>0.04</v>
      </c>
      <c r="M16" s="34">
        <f t="shared" si="0"/>
        <v>9.375E-2</v>
      </c>
      <c r="N16" s="35">
        <f t="shared" si="1"/>
        <v>0.125</v>
      </c>
    </row>
    <row r="17" spans="2:14" x14ac:dyDescent="0.3">
      <c r="B17" s="10" t="s">
        <v>16</v>
      </c>
      <c r="C17" s="3">
        <v>1900</v>
      </c>
      <c r="D17" s="9">
        <v>2500</v>
      </c>
      <c r="H17" s="25"/>
      <c r="I17" s="15">
        <v>100</v>
      </c>
      <c r="J17" s="15">
        <v>400</v>
      </c>
      <c r="K17" s="15">
        <v>660</v>
      </c>
      <c r="L17" s="34">
        <f t="shared" si="2"/>
        <v>0.05</v>
      </c>
      <c r="M17" s="34">
        <f t="shared" si="0"/>
        <v>8.3333333333333329E-2</v>
      </c>
      <c r="N17" s="35">
        <f t="shared" si="1"/>
        <v>8.2500000000000004E-2</v>
      </c>
    </row>
    <row r="18" spans="2:14" x14ac:dyDescent="0.3">
      <c r="B18" s="10" t="s">
        <v>17</v>
      </c>
      <c r="C18" s="3">
        <f>SUM(C15:C17)</f>
        <v>-1000</v>
      </c>
      <c r="D18" s="9">
        <f>SUM(D15:D17)</f>
        <v>-2860</v>
      </c>
      <c r="H18" s="25"/>
      <c r="I18" s="15">
        <v>60</v>
      </c>
      <c r="J18" s="15">
        <v>158</v>
      </c>
      <c r="K18" s="15">
        <v>340</v>
      </c>
      <c r="L18" s="34">
        <f t="shared" si="2"/>
        <v>0.03</v>
      </c>
      <c r="M18" s="34">
        <f t="shared" si="0"/>
        <v>3.2916666666666664E-2</v>
      </c>
      <c r="N18" s="35">
        <f t="shared" si="1"/>
        <v>4.2500000000000003E-2</v>
      </c>
    </row>
    <row r="19" spans="2:14" x14ac:dyDescent="0.3">
      <c r="B19" s="7" t="s">
        <v>18</v>
      </c>
      <c r="C19" s="2">
        <v>-1000</v>
      </c>
      <c r="D19" s="8">
        <v>-2860</v>
      </c>
      <c r="H19" s="17" t="s">
        <v>38</v>
      </c>
      <c r="I19" s="15">
        <f>SUM(I16:I18)</f>
        <v>240</v>
      </c>
      <c r="J19" s="15">
        <f t="shared" ref="J19:K19" si="3">SUM(J16:J18)</f>
        <v>1008</v>
      </c>
      <c r="K19" s="15">
        <f t="shared" si="3"/>
        <v>2000</v>
      </c>
      <c r="L19" s="15"/>
      <c r="M19" s="15"/>
      <c r="N19" s="16"/>
    </row>
    <row r="20" spans="2:14" x14ac:dyDescent="0.3">
      <c r="B20" s="10"/>
      <c r="C20" s="3"/>
      <c r="D20" s="9"/>
      <c r="H20" s="14" t="s">
        <v>31</v>
      </c>
      <c r="I20" s="15">
        <v>520</v>
      </c>
      <c r="J20" s="15">
        <v>960</v>
      </c>
      <c r="K20" s="15">
        <v>1200</v>
      </c>
      <c r="L20" s="34">
        <f t="shared" si="2"/>
        <v>0.26</v>
      </c>
      <c r="M20" s="34">
        <f t="shared" si="0"/>
        <v>0.2</v>
      </c>
      <c r="N20" s="35">
        <f t="shared" si="1"/>
        <v>0.15</v>
      </c>
    </row>
    <row r="21" spans="2:14" x14ac:dyDescent="0.3">
      <c r="B21" s="7" t="s">
        <v>19</v>
      </c>
      <c r="C21" s="3"/>
      <c r="D21" s="9"/>
      <c r="H21" s="14" t="s">
        <v>32</v>
      </c>
      <c r="I21" s="15">
        <v>156</v>
      </c>
      <c r="J21" s="15">
        <v>288</v>
      </c>
      <c r="K21" s="15">
        <v>360</v>
      </c>
      <c r="L21" s="34">
        <f t="shared" si="2"/>
        <v>7.8E-2</v>
      </c>
      <c r="M21" s="34">
        <f t="shared" si="0"/>
        <v>0.06</v>
      </c>
      <c r="N21" s="35">
        <f t="shared" si="1"/>
        <v>4.4999999999999998E-2</v>
      </c>
    </row>
    <row r="22" spans="2:14" ht="14.4" thickBot="1" x14ac:dyDescent="0.35">
      <c r="B22" s="10" t="s">
        <v>20</v>
      </c>
      <c r="C22" s="3">
        <v>400</v>
      </c>
      <c r="D22" s="9">
        <v>400</v>
      </c>
      <c r="H22" s="18" t="s">
        <v>33</v>
      </c>
      <c r="I22" s="19">
        <v>364</v>
      </c>
      <c r="J22" s="19">
        <v>672</v>
      </c>
      <c r="K22" s="19">
        <v>840</v>
      </c>
      <c r="L22" s="36">
        <f t="shared" si="2"/>
        <v>0.182</v>
      </c>
      <c r="M22" s="36">
        <f t="shared" si="0"/>
        <v>0.14000000000000001</v>
      </c>
      <c r="N22" s="37">
        <f t="shared" si="1"/>
        <v>0.105</v>
      </c>
    </row>
    <row r="23" spans="2:14" x14ac:dyDescent="0.3">
      <c r="B23" s="10" t="s">
        <v>21</v>
      </c>
      <c r="C23" s="3">
        <f>1236-736</f>
        <v>500</v>
      </c>
      <c r="D23" s="9">
        <f>2500-1236</f>
        <v>1264</v>
      </c>
    </row>
    <row r="24" spans="2:14" x14ac:dyDescent="0.3">
      <c r="B24" s="7" t="s">
        <v>22</v>
      </c>
      <c r="C24" s="2">
        <f>900</f>
        <v>900</v>
      </c>
      <c r="D24" s="8">
        <v>1664</v>
      </c>
    </row>
    <row r="25" spans="2:14" ht="14.4" thickBot="1" x14ac:dyDescent="0.35">
      <c r="B25" s="10"/>
      <c r="C25" s="3"/>
      <c r="D25" s="9"/>
    </row>
    <row r="26" spans="2:14" ht="17.399999999999999" x14ac:dyDescent="0.3">
      <c r="B26" s="7" t="s">
        <v>23</v>
      </c>
      <c r="C26" s="2">
        <v>60</v>
      </c>
      <c r="D26" s="8">
        <v>6</v>
      </c>
      <c r="H26" s="28" t="s">
        <v>49</v>
      </c>
      <c r="I26" s="29"/>
      <c r="J26" s="29"/>
      <c r="K26" s="29"/>
      <c r="L26" s="29"/>
      <c r="M26" s="29"/>
      <c r="N26" s="30"/>
    </row>
    <row r="27" spans="2:14" x14ac:dyDescent="0.3">
      <c r="B27" s="7" t="s">
        <v>24</v>
      </c>
      <c r="C27" s="2">
        <v>40</v>
      </c>
      <c r="D27" s="8">
        <v>100</v>
      </c>
      <c r="H27" s="7"/>
      <c r="I27" s="2" t="s">
        <v>27</v>
      </c>
      <c r="J27" s="2" t="s">
        <v>1</v>
      </c>
      <c r="K27" s="2" t="s">
        <v>2</v>
      </c>
      <c r="L27" s="26" t="s">
        <v>27</v>
      </c>
      <c r="M27" s="26" t="s">
        <v>1</v>
      </c>
      <c r="N27" s="31" t="s">
        <v>2</v>
      </c>
    </row>
    <row r="28" spans="2:14" ht="14.4" thickBot="1" x14ac:dyDescent="0.35">
      <c r="B28" s="11" t="s">
        <v>25</v>
      </c>
      <c r="C28" s="12">
        <v>100</v>
      </c>
      <c r="D28" s="13">
        <v>106</v>
      </c>
      <c r="H28" s="7" t="s">
        <v>39</v>
      </c>
      <c r="I28" s="38"/>
      <c r="J28" s="38"/>
      <c r="K28" s="38"/>
      <c r="L28" s="27" t="s">
        <v>51</v>
      </c>
      <c r="M28" s="27"/>
      <c r="N28" s="32"/>
    </row>
    <row r="29" spans="2:14" ht="14.4" thickBot="1" x14ac:dyDescent="0.35">
      <c r="H29" s="42" t="s">
        <v>40</v>
      </c>
      <c r="I29" s="39">
        <v>1900</v>
      </c>
      <c r="J29" s="39">
        <v>2500</v>
      </c>
      <c r="K29" s="39">
        <v>4700</v>
      </c>
      <c r="L29" s="34">
        <f>I29/$I$33</f>
        <v>0.7421875</v>
      </c>
      <c r="M29" s="34">
        <f>J29/$J$33</f>
        <v>0.44642857142857145</v>
      </c>
      <c r="N29" s="35">
        <f>K29/$K$33</f>
        <v>0.51332459589340318</v>
      </c>
    </row>
    <row r="30" spans="2:14" x14ac:dyDescent="0.3">
      <c r="B30" s="4" t="s">
        <v>76</v>
      </c>
      <c r="C30" s="5" t="s">
        <v>77</v>
      </c>
      <c r="D30" s="5" t="s">
        <v>78</v>
      </c>
      <c r="E30" s="6" t="s">
        <v>80</v>
      </c>
      <c r="H30" s="42" t="s">
        <v>41</v>
      </c>
      <c r="I30" s="40">
        <v>40</v>
      </c>
      <c r="J30" s="40">
        <v>100</v>
      </c>
      <c r="K30" s="40">
        <v>106</v>
      </c>
      <c r="L30" s="34">
        <f t="shared" ref="L30:L40" si="4">I30/$I$33</f>
        <v>1.5625E-2</v>
      </c>
      <c r="M30" s="34">
        <f t="shared" ref="M30:M40" si="5">J30/$J$33</f>
        <v>1.7857142857142856E-2</v>
      </c>
      <c r="N30" s="35">
        <f t="shared" ref="N30:N40" si="6">K30/$K$33</f>
        <v>1.1577107907383137E-2</v>
      </c>
    </row>
    <row r="31" spans="2:14" x14ac:dyDescent="0.3">
      <c r="B31" s="50" t="s">
        <v>52</v>
      </c>
      <c r="C31" s="3" t="s">
        <v>53</v>
      </c>
      <c r="D31" s="55">
        <f>(K33-K29)/K39</f>
        <v>1.6028776978417265</v>
      </c>
      <c r="E31" s="53" t="s">
        <v>81</v>
      </c>
      <c r="H31" s="42" t="s">
        <v>42</v>
      </c>
      <c r="I31" s="40">
        <v>300</v>
      </c>
      <c r="J31" s="39">
        <v>1500</v>
      </c>
      <c r="K31" s="39">
        <v>2100</v>
      </c>
      <c r="L31" s="34">
        <f t="shared" si="4"/>
        <v>0.1171875</v>
      </c>
      <c r="M31" s="34">
        <f t="shared" si="5"/>
        <v>0.26785714285714285</v>
      </c>
      <c r="N31" s="35">
        <f t="shared" si="6"/>
        <v>0.22935779816513763</v>
      </c>
    </row>
    <row r="32" spans="2:14" x14ac:dyDescent="0.3">
      <c r="B32" s="50" t="s">
        <v>54</v>
      </c>
      <c r="C32" s="3" t="s">
        <v>55</v>
      </c>
      <c r="D32" s="55">
        <f>(K33-K29-K32)/K39</f>
        <v>0.79352517985611515</v>
      </c>
      <c r="E32" s="53" t="s">
        <v>81</v>
      </c>
      <c r="H32" s="42" t="s">
        <v>43</v>
      </c>
      <c r="I32" s="40">
        <v>320</v>
      </c>
      <c r="J32" s="39">
        <v>1500</v>
      </c>
      <c r="K32" s="39">
        <v>2250</v>
      </c>
      <c r="L32" s="34">
        <f t="shared" si="4"/>
        <v>0.125</v>
      </c>
      <c r="M32" s="34">
        <f t="shared" si="5"/>
        <v>0.26785714285714285</v>
      </c>
      <c r="N32" s="35">
        <f t="shared" si="6"/>
        <v>0.24574049803407602</v>
      </c>
    </row>
    <row r="33" spans="2:14" x14ac:dyDescent="0.3">
      <c r="B33" s="50" t="s">
        <v>56</v>
      </c>
      <c r="C33" s="3" t="s">
        <v>57</v>
      </c>
      <c r="D33" s="55">
        <f>K11/K31</f>
        <v>3.4285714285714284</v>
      </c>
      <c r="E33" s="53" t="s">
        <v>82</v>
      </c>
      <c r="H33" s="7" t="s">
        <v>44</v>
      </c>
      <c r="I33" s="41">
        <v>2560</v>
      </c>
      <c r="J33" s="41">
        <v>5600</v>
      </c>
      <c r="K33" s="41">
        <v>9156</v>
      </c>
      <c r="L33" s="45">
        <f t="shared" si="4"/>
        <v>1</v>
      </c>
      <c r="M33" s="45">
        <f t="shared" si="5"/>
        <v>1</v>
      </c>
      <c r="N33" s="46">
        <f t="shared" si="6"/>
        <v>1</v>
      </c>
    </row>
    <row r="34" spans="2:14" x14ac:dyDescent="0.3">
      <c r="B34" s="50" t="s">
        <v>58</v>
      </c>
      <c r="C34" s="3" t="s">
        <v>59</v>
      </c>
      <c r="D34" s="56">
        <f>365*K31/K11</f>
        <v>106.45833333333333</v>
      </c>
      <c r="E34" s="54" t="s">
        <v>81</v>
      </c>
      <c r="H34" s="10"/>
      <c r="I34" s="3"/>
      <c r="J34" s="3"/>
      <c r="K34" s="3"/>
      <c r="L34" s="34"/>
      <c r="M34" s="34"/>
      <c r="N34" s="35"/>
    </row>
    <row r="35" spans="2:14" x14ac:dyDescent="0.3">
      <c r="B35" s="50" t="s">
        <v>60</v>
      </c>
      <c r="C35" s="3" t="s">
        <v>61</v>
      </c>
      <c r="D35" s="55">
        <f>K13/1356.667</f>
        <v>3.5380826687757572</v>
      </c>
      <c r="E35" s="53" t="s">
        <v>81</v>
      </c>
      <c r="H35" s="7" t="s">
        <v>45</v>
      </c>
      <c r="I35" s="3"/>
      <c r="J35" s="3"/>
      <c r="K35" s="3"/>
      <c r="L35" s="34"/>
      <c r="M35" s="34"/>
      <c r="N35" s="35"/>
    </row>
    <row r="36" spans="2:14" x14ac:dyDescent="0.3">
      <c r="B36" s="50" t="s">
        <v>62</v>
      </c>
      <c r="C36" s="3" t="s">
        <v>63</v>
      </c>
      <c r="D36" s="56">
        <f>365*K32/K13</f>
        <v>171.09375</v>
      </c>
      <c r="E36" s="54" t="s">
        <v>81</v>
      </c>
      <c r="H36" s="44" t="s">
        <v>50</v>
      </c>
      <c r="I36" s="39">
        <v>1200</v>
      </c>
      <c r="J36" s="39">
        <v>1600</v>
      </c>
      <c r="K36" s="39">
        <v>2000</v>
      </c>
      <c r="L36" s="34">
        <f t="shared" si="4"/>
        <v>0.46875</v>
      </c>
      <c r="M36" s="34">
        <f t="shared" si="5"/>
        <v>0.2857142857142857</v>
      </c>
      <c r="N36" s="35">
        <f t="shared" si="6"/>
        <v>0.218435998252512</v>
      </c>
    </row>
    <row r="37" spans="2:14" x14ac:dyDescent="0.3">
      <c r="B37" s="50" t="s">
        <v>64</v>
      </c>
      <c r="C37" s="49">
        <v>0.24</v>
      </c>
      <c r="D37" s="34">
        <f>K38/(K39/2+K38)</f>
        <v>0.64267352185089976</v>
      </c>
      <c r="E37" s="35" t="s">
        <v>81</v>
      </c>
      <c r="H37" s="42" t="s">
        <v>46</v>
      </c>
      <c r="I37" s="40">
        <v>364</v>
      </c>
      <c r="J37" s="39">
        <v>1036</v>
      </c>
      <c r="K37" s="39">
        <v>1876</v>
      </c>
      <c r="L37" s="34">
        <f t="shared" si="4"/>
        <v>0.14218749999999999</v>
      </c>
      <c r="M37" s="34">
        <f t="shared" si="5"/>
        <v>0.185</v>
      </c>
      <c r="N37" s="35">
        <f t="shared" si="6"/>
        <v>0.20489296636085627</v>
      </c>
    </row>
    <row r="38" spans="2:14" x14ac:dyDescent="0.3">
      <c r="B38" s="50" t="s">
        <v>65</v>
      </c>
      <c r="C38" s="49">
        <v>0.35</v>
      </c>
      <c r="D38" s="34">
        <f>K38/(K36+K37)</f>
        <v>0.64499484004127972</v>
      </c>
      <c r="E38" s="35" t="s">
        <v>81</v>
      </c>
      <c r="H38" s="42" t="s">
        <v>47</v>
      </c>
      <c r="I38" s="40">
        <v>736</v>
      </c>
      <c r="J38" s="39">
        <v>1236</v>
      </c>
      <c r="K38" s="39">
        <v>2500</v>
      </c>
      <c r="L38" s="34">
        <f t="shared" si="4"/>
        <v>0.28749999999999998</v>
      </c>
      <c r="M38" s="34">
        <f t="shared" si="5"/>
        <v>0.22071428571428572</v>
      </c>
      <c r="N38" s="35">
        <f t="shared" si="6"/>
        <v>0.27304499781564001</v>
      </c>
    </row>
    <row r="39" spans="2:14" x14ac:dyDescent="0.3">
      <c r="B39" s="50" t="s">
        <v>66</v>
      </c>
      <c r="C39" s="49">
        <v>0.4</v>
      </c>
      <c r="D39" s="34">
        <f>K14/K12</f>
        <v>0.4</v>
      </c>
      <c r="E39" s="35" t="s">
        <v>82</v>
      </c>
      <c r="H39" s="42" t="s">
        <v>48</v>
      </c>
      <c r="I39" s="40">
        <v>260</v>
      </c>
      <c r="J39" s="39">
        <v>1728</v>
      </c>
      <c r="K39" s="39">
        <v>2780</v>
      </c>
      <c r="L39" s="34">
        <f t="shared" si="4"/>
        <v>0.1015625</v>
      </c>
      <c r="M39" s="34">
        <f t="shared" si="5"/>
        <v>0.30857142857142855</v>
      </c>
      <c r="N39" s="35">
        <f t="shared" si="6"/>
        <v>0.30362603757099171</v>
      </c>
    </row>
    <row r="40" spans="2:14" ht="14.4" thickBot="1" x14ac:dyDescent="0.35">
      <c r="B40" s="50" t="s">
        <v>67</v>
      </c>
      <c r="C40" s="49">
        <v>0.18</v>
      </c>
      <c r="D40" s="34">
        <f>K22/K12</f>
        <v>0.105</v>
      </c>
      <c r="E40" s="35" t="s">
        <v>81</v>
      </c>
      <c r="H40" s="11" t="s">
        <v>44</v>
      </c>
      <c r="I40" s="43">
        <v>2560</v>
      </c>
      <c r="J40" s="43">
        <v>5600</v>
      </c>
      <c r="K40" s="43">
        <v>9156</v>
      </c>
      <c r="L40" s="47">
        <f t="shared" si="4"/>
        <v>1</v>
      </c>
      <c r="M40" s="47">
        <f t="shared" si="5"/>
        <v>1</v>
      </c>
      <c r="N40" s="48">
        <f t="shared" si="6"/>
        <v>1</v>
      </c>
    </row>
    <row r="41" spans="2:14" x14ac:dyDescent="0.3">
      <c r="B41" s="50" t="s">
        <v>68</v>
      </c>
      <c r="C41" s="49">
        <v>0.22</v>
      </c>
      <c r="D41" s="34">
        <f>K22/3876</f>
        <v>0.21671826625386997</v>
      </c>
      <c r="E41" s="35" t="s">
        <v>82</v>
      </c>
    </row>
    <row r="42" spans="2:14" x14ac:dyDescent="0.3">
      <c r="B42" s="50" t="s">
        <v>69</v>
      </c>
      <c r="C42" s="49">
        <v>0.1</v>
      </c>
      <c r="D42" s="34">
        <f>(K20+K18)/K33</f>
        <v>0.16819571865443425</v>
      </c>
      <c r="E42" s="35" t="s">
        <v>82</v>
      </c>
    </row>
    <row r="43" spans="2:14" x14ac:dyDescent="0.3">
      <c r="B43" s="50" t="s">
        <v>70</v>
      </c>
      <c r="C43" s="3">
        <v>1.1000000000000001</v>
      </c>
      <c r="D43" s="55">
        <f>K12/7378</f>
        <v>1.0843046896177826</v>
      </c>
      <c r="E43" s="53" t="s">
        <v>81</v>
      </c>
    </row>
    <row r="44" spans="2:14" x14ac:dyDescent="0.3">
      <c r="B44" s="50" t="s">
        <v>71</v>
      </c>
      <c r="C44" s="3">
        <v>2</v>
      </c>
      <c r="D44" s="55">
        <f>K12/3600</f>
        <v>2.2222222222222223</v>
      </c>
      <c r="E44" s="53" t="s">
        <v>82</v>
      </c>
    </row>
    <row r="45" spans="2:14" x14ac:dyDescent="0.3">
      <c r="B45" s="50" t="s">
        <v>72</v>
      </c>
      <c r="C45" s="3">
        <v>3</v>
      </c>
      <c r="D45" s="55">
        <f>K12/(9156-4700)</f>
        <v>1.7953321364452424</v>
      </c>
      <c r="E45" s="53" t="s">
        <v>81</v>
      </c>
    </row>
    <row r="46" spans="2:14" x14ac:dyDescent="0.3">
      <c r="B46" s="50" t="s">
        <v>73</v>
      </c>
      <c r="C46" s="3">
        <v>10</v>
      </c>
      <c r="D46" s="55">
        <f>1540/340</f>
        <v>4.5294117647058822</v>
      </c>
      <c r="E46" s="53" t="s">
        <v>81</v>
      </c>
    </row>
    <row r="47" spans="2:14" x14ac:dyDescent="0.3">
      <c r="B47" s="50" t="s">
        <v>74</v>
      </c>
      <c r="C47" s="3">
        <v>8</v>
      </c>
      <c r="D47" s="55">
        <f>K13/(9156-4700-2780)</f>
        <v>2.8639618138424821</v>
      </c>
      <c r="E47" s="53" t="s">
        <v>81</v>
      </c>
    </row>
    <row r="48" spans="2:14" ht="14.4" thickBot="1" x14ac:dyDescent="0.35">
      <c r="B48" s="51" t="s">
        <v>75</v>
      </c>
      <c r="C48" s="52">
        <v>0.24</v>
      </c>
      <c r="D48" s="36">
        <f>K20/K29</f>
        <v>0.25531914893617019</v>
      </c>
      <c r="E48" s="33" t="s">
        <v>82</v>
      </c>
    </row>
  </sheetData>
  <mergeCells count="7">
    <mergeCell ref="L28:N28"/>
    <mergeCell ref="H26:N26"/>
    <mergeCell ref="B3:B4"/>
    <mergeCell ref="B2:D2"/>
    <mergeCell ref="H15:H18"/>
    <mergeCell ref="L9:N9"/>
    <mergeCell ref="H7:N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V r d W W Y a v Z M 2 l A A A A 9 Q A A A B I A H A B D b 2 5 m a W c v U G F j a 2 F n Z S 5 4 b W w g o h g A K K A U A A A A A A A A A A A A A A A A A A A A A A A A A A A A h Y 9 B D o I w F E S v Q r q n L R C j I Z + y c G U i x s T E u G 1 K h U b 4 G C i W u 7 n w S F 5 B j K L u X M 6 b t 5 i 5 X 2 + Q D n X l X X T b m Q Y T E l B O P I 2 q y Q 0 W C e n t 0 V + Q V M B W q p M s t D f K 2 M V D l y e k t P Y c M + a c o y 6 i T V u w k P O A H b L 1 T p W 6 l u Q j m / + y b 7 C z E p U m A v a v M S K k Q R T R 2 Z x y Y B O D z O C 3 D 8 e 5 z / Y H w r K v b N 9 q o d F f b Y B N E d j 7 g n g A U E s D B B Q A A g A I A F a 3 V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t 1 Z Z K I p H u A 4 A A A A R A A A A E w A c A E Z v c m 1 1 b G F z L 1 N l Y 3 R p b 2 4 x L m 0 g o h g A K K A U A A A A A A A A A A A A A A A A A A A A A A A A A A A A K 0 5 N L s n M z 1 M I h t C G 1 g B Q S w E C L Q A U A A I A C A B W t 1 Z Z h q 9 k z a U A A A D 1 A A A A E g A A A A A A A A A A A A A A A A A A A A A A Q 2 9 u Z m l n L 1 B h Y 2 t h Z 2 U u e G 1 s U E s B A i 0 A F A A C A A g A V r d W W Q / K 6 a u k A A A A 6 Q A A A B M A A A A A A A A A A A A A A A A A 8 Q A A A F t D b 2 5 0 Z W 5 0 X 1 R 5 c G V z X S 5 4 b W x Q S w E C L Q A U A A I A C A B W t 1 Z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i N e x 3 z S 8 U S h / 4 Z V T X 6 2 f A A A A A A C A A A A A A A Q Z g A A A A E A A C A A A A C Y O F g l P q x i f 8 6 d h o c q T + J 8 H h h 7 n m S S E t f h p V W + u P H p e w A A A A A O g A A A A A I A A C A A A A C B F J Y + h L d + U 7 Z h / o G 6 I H Q 7 k h A C 7 M C K r n U C z s V m i Q / b A V A A A A B 1 c M 8 r 1 N C w P e + x f K 1 z v B e a Y 4 p y n p z T 0 0 Z H K O D 2 X o F 4 I b z 3 X o E / B g O y u h 7 c o X T O j H o 4 6 P J u E 3 6 b U y / 6 U E m Q w G h J T 4 K Z T 8 D r q Q p M 7 w n N h y j m u U A A A A D u 7 7 L Q N S B 3 K + J I d w u j D N Q N R m o z U 0 Q H f B E H 1 K V M / K D p i L 6 S X P H 9 8 f R e E E g U R h G V A X F l N V b x k F y e o P 1 H d m Q q 8 d c y < / D a t a M a s h u p > 
</file>

<file path=customXml/itemProps1.xml><?xml version="1.0" encoding="utf-8"?>
<ds:datastoreItem xmlns:ds="http://schemas.openxmlformats.org/officeDocument/2006/customXml" ds:itemID="{082FC267-3F6A-49E5-9E2C-31393C604F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Devanshu Soni</dc:creator>
  <cp:lastModifiedBy>Devanshu Soni</cp:lastModifiedBy>
  <dcterms:created xsi:type="dcterms:W3CDTF">2015-06-05T18:17:20Z</dcterms:created>
  <dcterms:modified xsi:type="dcterms:W3CDTF">2024-10-23T10:46:10Z</dcterms:modified>
</cp:coreProperties>
</file>