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Documents\Учёба\Лавров - Разработка ПО\HBDP\HBDP\wwwroot\"/>
    </mc:Choice>
  </mc:AlternateContent>
  <xr:revisionPtr revIDLastSave="0" documentId="13_ncr:1_{BB57DC68-5C67-4BBF-AC7D-4450923347D3}" xr6:coauthVersionLast="36" xr6:coauthVersionMax="36" xr10:uidLastSave="{00000000-0000-0000-0000-000000000000}"/>
  <bookViews>
    <workbookView xWindow="0" yWindow="0" windowWidth="24000" windowHeight="9225" activeTab="2" xr2:uid="{00000000-000D-0000-FFFF-FFFF00000000}"/>
  </bookViews>
  <sheets>
    <sheet name="Исходные данные" sheetId="5" r:id="rId1"/>
    <sheet name="Промежуточные расчеты" sheetId="1" r:id="rId2"/>
    <sheet name="Тепловой баланс" sheetId="6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<sst xmlns="http://schemas.openxmlformats.org/spreadsheetml/2006/main" count="227" uniqueCount="227">
  <si>
    <t>Тепловой баланс доменной плавки</t>
  </si>
  <si>
    <t>Легенда</t>
  </si>
  <si>
    <t>Исходные данные</t>
  </si>
  <si>
    <t>Промежуточные расчеты</t>
  </si>
  <si>
    <t>Расчетные данные</t>
  </si>
  <si>
    <t>Параметр</t>
  </si>
  <si>
    <t>Обозначение</t>
  </si>
  <si>
    <t>Величина</t>
  </si>
  <si>
    <t>Ед.измерения</t>
  </si>
  <si>
    <t>Содержание Fe в чугуне</t>
  </si>
  <si>
    <t>[Fe]</t>
  </si>
  <si>
    <t>%</t>
  </si>
  <si>
    <t>Расход С на прямое восстановление Fe</t>
  </si>
  <si>
    <t>Спр=</t>
  </si>
  <si>
    <t>кг/т чугуна</t>
  </si>
  <si>
    <t>Расход С на прямое восстановление примесей чугуна: Mn,P,Si,S,V,Ti,Cr</t>
  </si>
  <si>
    <t>Сприм=</t>
  </si>
  <si>
    <t>кг/т</t>
  </si>
  <si>
    <t>Количество нелетучих элементов в коксе</t>
  </si>
  <si>
    <t>Снел</t>
  </si>
  <si>
    <t>Количество углерода (С), пришедшего в печь с коксом</t>
  </si>
  <si>
    <t>Сприш=</t>
  </si>
  <si>
    <t>Расход С на образование метана</t>
  </si>
  <si>
    <r xmlns="http://schemas.openxmlformats.org/spreadsheetml/2006/main">
      <t>C</t>
    </r>
    <r xmlns="http://schemas.openxmlformats.org/spreadsheetml/2006/main">
      <rPr>
        <vertAlign val="subscript"/>
        <sz val="10"/>
        <rFont val="Arial"/>
        <family val="2"/>
      </rPr>
      <t>СН4</t>
    </r>
    <r xmlns="http://schemas.openxmlformats.org/spreadsheetml/2006/main">
      <rPr>
        <sz val="10"/>
        <rFont val="Arial"/>
        <family val="2"/>
      </rPr>
      <t>=</t>
    </r>
  </si>
  <si>
    <t>Растворяется углерода в чугуне</t>
  </si>
  <si>
    <t>Сч=</t>
  </si>
  <si>
    <t>Количество С, сгорающего у фурм</t>
  </si>
  <si>
    <t>Сф=</t>
  </si>
  <si>
    <t>Расход сухого дутья на 1 кг С кокса</t>
  </si>
  <si>
    <t>Vд'=</t>
  </si>
  <si>
    <t>м3/кг Сф</t>
  </si>
  <si>
    <t>Расход сухого дутья для конверсии 1 м3 природного газа</t>
  </si>
  <si>
    <t>Vд''=</t>
  </si>
  <si>
    <r xmlns="http://schemas.openxmlformats.org/spreadsheetml/2006/main">
      <t>м</t>
    </r>
    <r xmlns="http://schemas.openxmlformats.org/spreadsheetml/2006/main">
      <rPr>
        <vertAlign val="superscript"/>
        <sz val="10"/>
        <rFont val="Arial"/>
        <family val="2"/>
      </rPr>
      <t>3</t>
    </r>
    <r xmlns="http://schemas.openxmlformats.org/spreadsheetml/2006/main">
      <rPr>
        <sz val="10"/>
        <rFont val="Arial"/>
        <family val="2"/>
      </rPr>
      <t>/м</t>
    </r>
    <r xmlns="http://schemas.openxmlformats.org/spreadsheetml/2006/main">
      <rPr>
        <vertAlign val="superscript"/>
        <sz val="10"/>
        <rFont val="Arial"/>
        <family val="2"/>
      </rPr>
      <t>3</t>
    </r>
  </si>
  <si>
    <t>Расход природного газа в расчете на 1 кг углерода кокса, сгорающего у фурм</t>
  </si>
  <si>
    <t>Суммарный расход сухого дутья</t>
  </si>
  <si>
    <t>Vд=</t>
  </si>
  <si>
    <t xml:space="preserve">Расчетный удельный расход дутья </t>
  </si>
  <si>
    <t>Qд=</t>
  </si>
  <si>
    <t>м3/т чугуна</t>
  </si>
  <si>
    <t>Состав фурменного (горнового) газа: CO</t>
  </si>
  <si>
    <t>Vсо=</t>
  </si>
  <si>
    <t>Состав фурменного (горнового) газа: H2</t>
  </si>
  <si>
    <r xmlns="http://schemas.openxmlformats.org/spreadsheetml/2006/main">
      <t>V</t>
    </r>
    <r xmlns="http://schemas.openxmlformats.org/spreadsheetml/2006/main">
      <rPr>
        <sz val="8"/>
        <rFont val="Arial"/>
        <family val="2"/>
      </rPr>
      <t>Н2</t>
    </r>
  </si>
  <si>
    <t>Состав фурменного (горнового) газа: N2</t>
  </si>
  <si>
    <r xmlns="http://schemas.openxmlformats.org/spreadsheetml/2006/main">
      <t>V</t>
    </r>
    <r xmlns="http://schemas.openxmlformats.org/spreadsheetml/2006/main">
      <rPr>
        <sz val="8"/>
        <rFont val="Arial"/>
        <family val="2"/>
      </rPr>
      <t>N2</t>
    </r>
    <r xmlns="http://schemas.openxmlformats.org/spreadsheetml/2006/main">
      <rPr>
        <sz val="10"/>
        <rFont val="Arial"/>
        <family val="2"/>
      </rPr>
      <t>=</t>
    </r>
  </si>
  <si>
    <r xmlns="http://schemas.openxmlformats.org/spreadsheetml/2006/main">
      <t>CO</t>
    </r>
    <r xmlns="http://schemas.openxmlformats.org/spreadsheetml/2006/main">
      <rPr>
        <sz val="10"/>
        <rFont val="Arial"/>
        <family val="2"/>
      </rPr>
      <t>, образующийся при восстановлении оксидов Fe, Mn, Si, P, а также при десульфурации</t>
    </r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</si>
  <si>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пв</t>
    </r>
    <r xmlns="http://schemas.openxmlformats.org/spreadsheetml/2006/main">
      <rPr>
        <vertAlign val="subscript"/>
        <sz val="10"/>
        <rFont val="Arial"/>
        <family val="2"/>
      </rPr>
      <t>co</t>
    </r>
    <r xmlns="http://schemas.openxmlformats.org/spreadsheetml/2006/main">
      <rPr>
        <sz val="10"/>
        <rFont val="Arial"/>
        <family val="2"/>
      </rPr>
      <t>=</t>
    </r>
  </si>
  <si>
    <r xmlns="http://schemas.openxmlformats.org/spreadsheetml/2006/main">
      <t>м</t>
    </r>
    <r xmlns="http://schemas.openxmlformats.org/spreadsheetml/2006/main">
      <rPr>
        <vertAlign val="superscript"/>
        <sz val="10"/>
        <rFont val="Arial"/>
        <family val="2"/>
      </rPr>
      <t>3</t>
    </r>
    <r xmlns="http://schemas.openxmlformats.org/spreadsheetml/2006/main">
      <rPr>
        <sz val="10"/>
        <rFont val="Arial"/>
        <family val="2"/>
      </rPr>
      <t>/т чугуна</t>
    </r>
  </si>
  <si>
    <t>Степень использования CO в печи</t>
  </si>
  <si>
    <r xmlns="http://schemas.openxmlformats.org/spreadsheetml/2006/main">
      <t>n</t>
    </r>
    <r xmlns="http://schemas.openxmlformats.org/spreadsheetml/2006/main">
      <rPr>
        <vertAlign val="subscript"/>
        <sz val="10"/>
        <rFont val="Arial"/>
        <family val="2"/>
      </rPr>
      <t>CO</t>
    </r>
    <r xmlns="http://schemas.openxmlformats.org/spreadsheetml/2006/main">
      <rPr>
        <sz val="10"/>
        <rFont val="Arial"/>
        <family val="2"/>
      </rPr>
      <t>=</t>
    </r>
  </si>
  <si>
    <t>Степень использования водорода в печи</t>
  </si>
  <si>
    <r xmlns="http://schemas.openxmlformats.org/spreadsheetml/2006/main">
      <t>n</t>
    </r>
    <r xmlns="http://schemas.openxmlformats.org/spreadsheetml/2006/main">
      <rPr>
        <vertAlign val="subscript"/>
        <sz val="10"/>
        <rFont val="Arial"/>
        <family val="2"/>
      </rPr>
      <t>H2</t>
    </r>
    <r xmlns="http://schemas.openxmlformats.org/spreadsheetml/2006/main">
      <rPr>
        <sz val="10"/>
        <rFont val="Arial"/>
        <family val="2"/>
      </rPr>
      <t>=</t>
    </r>
  </si>
  <si>
    <t>Объём Vсо при t=1000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</si>
  <si>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t=1000</t>
    </r>
    <r xmlns="http://schemas.openxmlformats.org/spreadsheetml/2006/main">
      <rPr>
        <vertAlign val="subscript"/>
        <sz val="10"/>
        <rFont val="Arial"/>
        <family val="2"/>
      </rPr>
      <t>co</t>
    </r>
    <r xmlns="http://schemas.openxmlformats.org/spreadsheetml/2006/main">
      <rPr>
        <sz val="10"/>
        <rFont val="Arial"/>
        <family val="2"/>
      </rPr>
      <t>=</t>
    </r>
  </si>
  <si>
    <r xmlns="http://schemas.openxmlformats.org/spreadsheetml/2006/main">
      <t>Объём Н</t>
    </r>
    <r xmlns="http://schemas.openxmlformats.org/spreadsheetml/2006/main">
      <rPr>
        <vertAlign val="subscript"/>
        <sz val="10"/>
        <rFont val="Arial"/>
        <family val="2"/>
      </rPr>
      <t>2</t>
    </r>
    <r xmlns="http://schemas.openxmlformats.org/spreadsheetml/2006/main">
      <rPr>
        <sz val="10"/>
        <rFont val="Arial"/>
        <family val="2"/>
      </rPr>
      <t xml:space="preserve"> при t=1000</t>
    </r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</si>
  <si>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t=1000</t>
    </r>
    <r xmlns="http://schemas.openxmlformats.org/spreadsheetml/2006/main">
      <rPr>
        <vertAlign val="subscript"/>
        <sz val="10"/>
        <rFont val="Arial"/>
        <family val="2"/>
      </rPr>
      <t>Н2</t>
    </r>
    <r xmlns="http://schemas.openxmlformats.org/spreadsheetml/2006/main">
      <rPr>
        <sz val="10"/>
        <rFont val="Arial"/>
        <family val="2"/>
      </rPr>
      <t>=</t>
    </r>
  </si>
  <si>
    <r xmlns="http://schemas.openxmlformats.org/spreadsheetml/2006/main">
      <t>Объём N</t>
    </r>
    <r xmlns="http://schemas.openxmlformats.org/spreadsheetml/2006/main">
      <rPr>
        <vertAlign val="subscript"/>
        <sz val="10"/>
        <rFont val="Arial"/>
        <family val="2"/>
      </rPr>
      <t>2</t>
    </r>
    <r xmlns="http://schemas.openxmlformats.org/spreadsheetml/2006/main">
      <rPr>
        <sz val="10"/>
        <rFont val="Arial"/>
        <family val="2"/>
      </rPr>
      <t xml:space="preserve"> при t=1000</t>
    </r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</si>
  <si>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t=1000</t>
    </r>
    <r xmlns="http://schemas.openxmlformats.org/spreadsheetml/2006/main">
      <rPr>
        <vertAlign val="subscript"/>
        <sz val="10"/>
        <rFont val="Arial"/>
        <family val="2"/>
      </rPr>
      <t>N2</t>
    </r>
    <r xmlns="http://schemas.openxmlformats.org/spreadsheetml/2006/main">
      <rPr>
        <sz val="10"/>
        <rFont val="Arial"/>
        <family val="2"/>
      </rPr>
      <t>=</t>
    </r>
  </si>
  <si>
    <t>Объём СО2 при разложении известняка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</si>
  <si>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  <charset val="204"/>
      </rPr>
      <t>И</t>
    </r>
    <r xmlns="http://schemas.openxmlformats.org/spreadsheetml/2006/main">
      <rPr>
        <vertAlign val="subscript"/>
        <sz val="10"/>
        <rFont val="Arial"/>
        <family val="2"/>
      </rPr>
      <t>СО2</t>
    </r>
    <r xmlns="http://schemas.openxmlformats.org/spreadsheetml/2006/main">
      <rPr>
        <sz val="10"/>
        <rFont val="Arial"/>
        <family val="2"/>
      </rPr>
      <t>=</t>
    </r>
  </si>
  <si>
    <r xmlns="http://schemas.openxmlformats.org/spreadsheetml/2006/main">
      <t>м</t>
    </r>
    <r xmlns="http://schemas.openxmlformats.org/spreadsheetml/2006/main">
      <rPr>
        <vertAlign val="superscript"/>
        <sz val="10"/>
        <rFont val="Arial"/>
        <family val="2"/>
      </rPr>
      <t>3</t>
    </r>
    <r xmlns="http://schemas.openxmlformats.org/spreadsheetml/2006/main">
      <rPr>
        <sz val="10"/>
        <rFont val="Arial"/>
      </rPr>
      <t>/т чугуна</t>
    </r>
  </si>
  <si>
    <t>Объём СО2 при косвенном восстановлении оксидов железа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</si>
  <si>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КВ</t>
    </r>
    <r xmlns="http://schemas.openxmlformats.org/spreadsheetml/2006/main">
      <rPr>
        <vertAlign val="subscript"/>
        <sz val="10"/>
        <rFont val="Arial"/>
        <family val="2"/>
      </rPr>
      <t>СО2</t>
    </r>
    <r xmlns="http://schemas.openxmlformats.org/spreadsheetml/2006/main">
      <rPr>
        <sz val="10"/>
        <rFont val="Arial"/>
        <family val="2"/>
      </rPr>
      <t>=</t>
    </r>
  </si>
  <si>
    <t>Объём СО2 в колошниковом газе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</si>
  <si>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КГ</t>
    </r>
    <r xmlns="http://schemas.openxmlformats.org/spreadsheetml/2006/main">
      <rPr>
        <vertAlign val="subscript"/>
        <sz val="10"/>
        <rFont val="Arial"/>
        <family val="2"/>
      </rPr>
      <t>СО2</t>
    </r>
    <r xmlns="http://schemas.openxmlformats.org/spreadsheetml/2006/main">
      <rPr>
        <sz val="10"/>
        <rFont val="Arial"/>
        <family val="2"/>
      </rPr>
      <t>=</t>
    </r>
  </si>
  <si>
    <t>Объём СО в колошниковом газе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</si>
  <si>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КГ</t>
    </r>
    <r xmlns="http://schemas.openxmlformats.org/spreadsheetml/2006/main">
      <rPr>
        <vertAlign val="subscript"/>
        <sz val="10"/>
        <rFont val="Arial"/>
        <family val="2"/>
      </rPr>
      <t>СО</t>
    </r>
    <r xmlns="http://schemas.openxmlformats.org/spreadsheetml/2006/main">
      <rPr>
        <sz val="10"/>
        <rFont val="Arial"/>
        <family val="2"/>
      </rPr>
      <t>=</t>
    </r>
  </si>
  <si>
    <t>Объём СН4 в колошниковом газе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</si>
  <si>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КГ</t>
    </r>
    <r xmlns="http://schemas.openxmlformats.org/spreadsheetml/2006/main">
      <rPr>
        <vertAlign val="subscript"/>
        <sz val="10"/>
        <rFont val="Arial"/>
        <family val="2"/>
      </rPr>
      <t>СН4</t>
    </r>
    <r xmlns="http://schemas.openxmlformats.org/spreadsheetml/2006/main">
      <rPr>
        <sz val="10"/>
        <rFont val="Arial"/>
        <family val="2"/>
      </rPr>
      <t>=</t>
    </r>
  </si>
  <si>
    <t>Объём N2 в колошниковом газе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</si>
  <si>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КГ</t>
    </r>
    <r xmlns="http://schemas.openxmlformats.org/spreadsheetml/2006/main">
      <rPr>
        <vertAlign val="subscript"/>
        <sz val="10"/>
        <rFont val="Arial"/>
        <family val="2"/>
      </rPr>
      <t>N2</t>
    </r>
    <r xmlns="http://schemas.openxmlformats.org/spreadsheetml/2006/main">
      <rPr>
        <sz val="10"/>
        <rFont val="Arial"/>
        <family val="2"/>
      </rPr>
      <t>=</t>
    </r>
  </si>
  <si>
    <t>Объём Н2 в колошниковом газе</t>
  </si>
  <si>
    <r xmlns="http://schemas.openxmlformats.org/spreadsheetml/2006/main">
      <t>V</t>
    </r>
    <r xmlns="http://schemas.openxmlformats.org/spreadsheetml/2006/main">
      <rPr>
        <vertAlign val="superscript"/>
        <sz val="10"/>
        <rFont val="Arial"/>
        <family val="2"/>
      </rPr>
      <t>КГ</t>
    </r>
    <r xmlns="http://schemas.openxmlformats.org/spreadsheetml/2006/main">
      <rPr>
        <vertAlign val="subscript"/>
        <sz val="10"/>
        <rFont val="Arial"/>
        <family val="2"/>
      </rPr>
      <t>Н2</t>
    </r>
    <r xmlns="http://schemas.openxmlformats.org/spreadsheetml/2006/main">
      <rPr>
        <sz val="10"/>
        <rFont val="Arial"/>
        <family val="2"/>
      </rPr>
      <t>=</t>
    </r>
  </si>
  <si>
    <t xml:space="preserve">Удельный выход колошникового газа при  н.у.</t>
  </si>
  <si>
    <r xmlns="http://schemas.openxmlformats.org/spreadsheetml/2006/main">
      <t>V</t>
    </r>
    <r xmlns="http://schemas.openxmlformats.org/spreadsheetml/2006/main">
      <rPr>
        <vertAlign val="subscript"/>
        <sz val="10"/>
        <rFont val="Arial"/>
        <family val="2"/>
      </rPr>
      <t>КГ</t>
    </r>
    <r xmlns="http://schemas.openxmlformats.org/spreadsheetml/2006/main">
      <rPr>
        <sz val="10"/>
        <rFont val="Arial"/>
        <family val="2"/>
      </rPr>
      <t>=</t>
    </r>
  </si>
  <si>
    <t>Приходная часть теплового баланса</t>
  </si>
  <si>
    <t>1. Количество тепла, получающегося при горении углерода кокса</t>
  </si>
  <si>
    <t>кДж/кг чугуна</t>
  </si>
  <si>
    <t>1. Количество тепла, получающегося при горении углерода кокса (процент)</t>
  </si>
  <si>
    <t>Теплоемкость O2 в дутье при температуре дутья</t>
  </si>
  <si>
    <t>кДж/(м3*°С)</t>
  </si>
  <si>
    <t>Теплоемкость N2 в дутье при температуре дутья</t>
  </si>
  <si>
    <t>Теплоемкость H2O в дутье при температуре дутья</t>
  </si>
  <si>
    <t>2. Количество тепла от нагретого дутья</t>
  </si>
  <si>
    <t>2. Количество тепла от нагретого дутья (процент)</t>
  </si>
  <si>
    <t>3. Количество тепла от конверсии природного газа</t>
  </si>
  <si>
    <t>3. Количество тепла от конверсии природного газа (процент)</t>
  </si>
  <si>
    <t>4. Количество тепла от шлакообразования</t>
  </si>
  <si>
    <t>4. Количество тепла от шлакообразования (процент)</t>
  </si>
  <si>
    <t>Сумма приходных статей теплового баланса</t>
  </si>
  <si>
    <t>Сумма приходных статей теплового баланса (процент)</t>
  </si>
  <si>
    <t>Расходная часть теплового баланса</t>
  </si>
  <si>
    <t>1. Расход тепла на прямое восстановление оксидов железа</t>
  </si>
  <si>
    <t>1. Расход тепла на прямое восстановление оксидов железа (процент)</t>
  </si>
  <si>
    <t>2. Расход тепла на прямое восстановление примесей чугуна</t>
  </si>
  <si>
    <t>2. Расход тепла на прямое восстановление примесей чугуна (процент)</t>
  </si>
  <si>
    <t>3. Расход тепла на процесс десульфурации чугуна</t>
  </si>
  <si>
    <t>3. Расход тепла на процесс десульфурации чугуна (процент)</t>
  </si>
  <si>
    <t>4. Расход тепла на восстановление оксидов железа водородом</t>
  </si>
  <si>
    <t>4. Расход тепла на восстановление оксидов железа водородом (процент)</t>
  </si>
  <si>
    <t>5. Расход тепла на нагрев жидкого чугуна</t>
  </si>
  <si>
    <t>5. Расход тепла на нагрев жидкого чугуна (процент)</t>
  </si>
  <si>
    <t>6. Расход тепла на нагрев жидкого шлака</t>
  </si>
  <si>
    <t>6. Расход тепла на нагрев жидкого шлака (процент)</t>
  </si>
  <si>
    <t>7. Расход тепла на разложение влаги дутья</t>
  </si>
  <si>
    <t>7. Расход тепла на разложение влаги дутья (процент)</t>
  </si>
  <si>
    <t>8. Расход тепла на разложение известняка</t>
  </si>
  <si>
    <t>8. Расход тепла на разложение известняка (процент)</t>
  </si>
  <si>
    <t>9. Расход тепла на разложение влаги шихты</t>
  </si>
  <si>
    <t>9. Расход тепла на разложение влаги шихты (процент)</t>
  </si>
  <si>
    <t xml:space="preserve">Теплоемкость CO при температуре колошникового газа </t>
  </si>
  <si>
    <t xml:space="preserve"> кДж/(м3*К)</t>
  </si>
  <si>
    <t>Теплоемкость CO2 при температуре колошникового газа</t>
  </si>
  <si>
    <t>Теплоемкость H2 при температуре колошникового газа</t>
  </si>
  <si>
    <t>Теплоемкость H2O при температуре колошникового газа</t>
  </si>
  <si>
    <t>Теплоемкость N2 при температуре колошникового газа</t>
  </si>
  <si>
    <t>10. Расход тепла, уносимое колошниковым газом</t>
  </si>
  <si>
    <t>10. Расход тепла, уносимое колошниковым газом (процент)</t>
  </si>
  <si>
    <t>11. Тепловые потери доменной печи</t>
  </si>
  <si>
    <t>11. Тепловые потери доменной печи (процент)</t>
  </si>
  <si>
    <t>Сумма расходных статей теплового баланса</t>
  </si>
  <si>
    <t>Сумма расходных статей теплового баланса (процент)</t>
  </si>
  <si>
    <t>Влияние различных факторов на статьи ТБ и удельный расход кокса</t>
  </si>
  <si>
    <t>Приход тепла от горения кокса у фурм и горячего дутья за вычетом тепла, уносимого колошниковым газом</t>
  </si>
  <si>
    <r xmlns="http://schemas.openxmlformats.org/spreadsheetml/2006/main">
      <t>Q</t>
    </r>
    <r xmlns="http://schemas.openxmlformats.org/spreadsheetml/2006/main">
      <rPr>
        <vertAlign val="subscript"/>
        <sz val="10"/>
        <rFont val="Arial"/>
        <family val="2"/>
        <charset val="204"/>
      </rPr>
      <t>промежут</t>
    </r>
  </si>
  <si>
    <r xmlns="http://schemas.openxmlformats.org/spreadsheetml/2006/main">
      <t>Q</t>
    </r>
    <r xmlns="http://schemas.openxmlformats.org/spreadsheetml/2006/main">
      <rPr>
        <vertAlign val="subscript"/>
        <sz val="10"/>
        <rFont val="Arial"/>
        <family val="2"/>
        <charset val="204"/>
      </rPr>
      <t>промежут</t>
    </r>
    <r xmlns="http://schemas.openxmlformats.org/spreadsheetml/2006/main">
      <rPr>
        <sz val="10"/>
        <rFont val="Arial"/>
      </rPr>
      <t>, отнесенное к количеству углерода, сгорающего у фурм</t>
    </r>
  </si>
  <si>
    <t>кДж/кг Сф</t>
  </si>
  <si>
    <t>Содержание углерода в коксе</t>
  </si>
  <si>
    <r xmlns="http://schemas.openxmlformats.org/spreadsheetml/2006/main">
      <t>C</t>
    </r>
    <r xmlns="http://schemas.openxmlformats.org/spreadsheetml/2006/main">
      <rPr>
        <vertAlign val="subscript"/>
        <sz val="10"/>
        <rFont val="Arial"/>
        <family val="2"/>
        <charset val="204"/>
      </rPr>
      <t>k</t>
    </r>
  </si>
  <si>
    <t>1.Влияние степени прямого восстановления на расход кокса</t>
  </si>
  <si>
    <t xml:space="preserve">Снижение статьи расхода тепла на прямое восстановление при уменьшении rd на 0,01 </t>
  </si>
  <si>
    <t>Эквивалентное снижение расхода кокса</t>
  </si>
  <si>
    <t>∆k</t>
  </si>
  <si>
    <t>2.Влияние ввода в печь сырого известняка на расход кокса</t>
  </si>
  <si>
    <t xml:space="preserve">Снижение статьи расхода тепла на разложение известняка при выводе его из шихты в количетве 10 кг  </t>
  </si>
  <si>
    <t>Экономия кокса от полного вывода известняка (учет устранения статьи расхода тепла на разложение известняка)</t>
  </si>
  <si>
    <t>3.Влияние температуры горячего дутья на расход кокса</t>
  </si>
  <si>
    <r xmlns="http://schemas.openxmlformats.org/spreadsheetml/2006/main">
      <t xml:space="preserve">Прирост статьи притока тепла горячего дутья при повышении его температуры на 10 </t>
    </r>
    <r xmlns="http://schemas.openxmlformats.org/spreadsheetml/2006/main">
      <rPr>
        <sz val="10"/>
        <rFont val="Arial Cyr"/>
        <charset val="204"/>
      </rPr>
      <t>°</t>
    </r>
    <r xmlns="http://schemas.openxmlformats.org/spreadsheetml/2006/main">
      <rPr>
        <sz val="10"/>
        <rFont val="Arial"/>
      </rPr>
      <t>C</t>
    </r>
  </si>
  <si>
    <t>Экономия кокса при повышении температуры дутья на 10 °C</t>
  </si>
  <si>
    <t>4.Влияние состава комбинированного дутья на расход кокса</t>
  </si>
  <si>
    <t>Прирост статьи притока тепла от конверсии природного газа при повышении его расхода на 10 м3/т</t>
  </si>
  <si>
    <r xmlns="http://schemas.openxmlformats.org/spreadsheetml/2006/main">
      <t>Экономия кокса при повышении расхода природного газа на 10 м</t>
    </r>
    <r xmlns="http://schemas.openxmlformats.org/spreadsheetml/2006/main">
      <rPr>
        <vertAlign val="superscript"/>
        <sz val="10"/>
        <rFont val="Arial"/>
        <family val="2"/>
        <charset val="204"/>
      </rPr>
      <t>3</t>
    </r>
    <r xmlns="http://schemas.openxmlformats.org/spreadsheetml/2006/main">
      <rPr>
        <sz val="10"/>
        <rFont val="Arial"/>
      </rPr>
      <t>/т</t>
    </r>
  </si>
  <si>
    <t>5.Влияние влажности комбинированного дутья на расход кокса</t>
  </si>
  <si>
    <r xmlns="http://schemas.openxmlformats.org/spreadsheetml/2006/main">
      <t>Снижение статьи расхода тепла на разложение влаги дутья при уменьшении влажности дутья на 1 г/м</t>
    </r>
    <r xmlns="http://schemas.openxmlformats.org/spreadsheetml/2006/main">
      <rPr>
        <vertAlign val="superscript"/>
        <sz val="10"/>
        <rFont val="Arial"/>
        <family val="2"/>
        <charset val="204"/>
      </rPr>
      <t>3</t>
    </r>
  </si>
  <si>
    <t>Экономия кокса при снижении влажности дутья на 1 г/м3</t>
  </si>
  <si>
    <t>6.Влияние выхода шлака на расход кокса</t>
  </si>
  <si>
    <t>Экономия тепла при снижении выхода шлака на 10 кг</t>
  </si>
  <si>
    <t>Экономия кокса при снижении выхода шлака на 10 кг</t>
  </si>
  <si>
    <t>7.Влияние тепловых потерь доменной печи на расход кокса</t>
  </si>
  <si>
    <t>Экономия тепла при снижении тепловых потерь печи на 1 %</t>
  </si>
  <si>
    <t>Экономия кокса при снижении тепловых потерь печи на 1 %</t>
  </si>
  <si>
    <t xml:space="preserve">Исходные данные: </t>
  </si>
  <si>
    <t>Значение</t>
  </si>
  <si>
    <t>Жидкие продукты доменной плавки: чугун</t>
  </si>
  <si>
    <t>Содержание элементов в чугуне</t>
  </si>
  <si>
    <t>[Si]</t>
  </si>
  <si>
    <t>[Mn]</t>
  </si>
  <si>
    <t>[S]</t>
  </si>
  <si>
    <t>[P]</t>
  </si>
  <si>
    <t>[Ti]</t>
  </si>
  <si>
    <t>[Cr]</t>
  </si>
  <si>
    <t>[V]</t>
  </si>
  <si>
    <t>[C]</t>
  </si>
  <si>
    <t>Температура чугуна</t>
  </si>
  <si>
    <t>Tчуг</t>
  </si>
  <si>
    <t>°С</t>
  </si>
  <si>
    <t>Теплоемкость чугуна</t>
  </si>
  <si>
    <t>Cчуг</t>
  </si>
  <si>
    <t>кДж/кг*град</t>
  </si>
  <si>
    <t>Режимные параметры</t>
  </si>
  <si>
    <t>Степень прямого восстановления</t>
  </si>
  <si>
    <t>rd</t>
  </si>
  <si>
    <t>Определение характеристик кокса</t>
  </si>
  <si>
    <t>Удельный расход кокса</t>
  </si>
  <si>
    <t>к</t>
  </si>
  <si>
    <t>Зола кокса</t>
  </si>
  <si>
    <t>A</t>
  </si>
  <si>
    <t>Сера кокса</t>
  </si>
  <si>
    <t>Sк</t>
  </si>
  <si>
    <t>Летучие кокса</t>
  </si>
  <si>
    <t>Лк</t>
  </si>
  <si>
    <t>Влага кокса</t>
  </si>
  <si>
    <t>Wк</t>
  </si>
  <si>
    <t>Параметры дутья</t>
  </si>
  <si>
    <t>Температура горячего дутья</t>
  </si>
  <si>
    <r xmlns="http://schemas.openxmlformats.org/spreadsheetml/2006/main">
      <t>t</t>
    </r>
    <r xmlns="http://schemas.openxmlformats.org/spreadsheetml/2006/main">
      <rPr>
        <vertAlign val="subscript"/>
        <sz val="10"/>
        <rFont val="Arial"/>
        <family val="2"/>
      </rPr>
      <t>Д</t>
    </r>
  </si>
  <si>
    <t>Влажность дутья</t>
  </si>
  <si>
    <t>Fд</t>
  </si>
  <si>
    <t>г/м3</t>
  </si>
  <si>
    <t>Содержание кислорода в дутье</t>
  </si>
  <si>
    <t>w</t>
  </si>
  <si>
    <t xml:space="preserve">Удельный расход  природного газа</t>
  </si>
  <si>
    <t>Vпг</t>
  </si>
  <si>
    <t>Состав природного газа: CH4</t>
  </si>
  <si>
    <t>Состав природного газа: C2H6</t>
  </si>
  <si>
    <t>Состав природного газа: CO2</t>
  </si>
  <si>
    <t>Содержание С в природном газе (состоит из одного СН4)</t>
  </si>
  <si>
    <t>(C')=CH4'=</t>
  </si>
  <si>
    <t xml:space="preserve">Содержание  Н2 в природном газе (состоит из одного СН4)</t>
  </si>
  <si>
    <t>(H2')=2*CH4=</t>
  </si>
  <si>
    <t>Параметры известняка</t>
  </si>
  <si>
    <t>Удельный расход известняка</t>
  </si>
  <si>
    <r xmlns="http://schemas.openxmlformats.org/spreadsheetml/2006/main">
      <t>G</t>
    </r>
    <r xmlns="http://schemas.openxmlformats.org/spreadsheetml/2006/main">
      <rPr>
        <vertAlign val="subscript"/>
        <sz val="10"/>
        <rFont val="Arial"/>
        <family val="2"/>
      </rPr>
      <t>И</t>
    </r>
    <r xmlns="http://schemas.openxmlformats.org/spreadsheetml/2006/main">
      <rPr>
        <sz val="10"/>
        <rFont val="Arial"/>
        <family val="2"/>
      </rPr>
      <t>=</t>
    </r>
  </si>
  <si>
    <t>Содержание влаги в известняке</t>
  </si>
  <si>
    <t>% масс.</t>
  </si>
  <si>
    <t>Потеря массы при прокаливании</t>
  </si>
  <si>
    <t>(ппмп)и=</t>
  </si>
  <si>
    <t>Доменный шлак</t>
  </si>
  <si>
    <t>Удельный выход шлака</t>
  </si>
  <si>
    <r xmlns="http://schemas.openxmlformats.org/spreadsheetml/2006/main">
      <t>U</t>
    </r>
    <r xmlns="http://schemas.openxmlformats.org/spreadsheetml/2006/main">
      <rPr>
        <vertAlign val="subscript"/>
        <sz val="10"/>
        <rFont val="Arial"/>
        <family val="2"/>
      </rPr>
      <t>ШЛ</t>
    </r>
    <r xmlns="http://schemas.openxmlformats.org/spreadsheetml/2006/main">
      <rPr>
        <sz val="10"/>
        <rFont val="Arial"/>
        <family val="2"/>
      </rPr>
      <t>=</t>
    </r>
  </si>
  <si>
    <t>Содержание серы в шлаке</t>
  </si>
  <si>
    <t>(S)</t>
  </si>
  <si>
    <t>Теплоемкость шлака</t>
  </si>
  <si>
    <t>кДж/(кг*К)</t>
  </si>
  <si>
    <t>Колошниковый газ</t>
  </si>
  <si>
    <t>Температура колошникового газа</t>
  </si>
  <si>
    <t>Содержание СО2 в колошниковом газе</t>
  </si>
  <si>
    <t>Содержание СО в колошниковом газе</t>
  </si>
  <si>
    <t>Содержание H2 в колошниковом газе</t>
  </si>
  <si>
    <t>Содержание N2 в колошниковом газе</t>
  </si>
  <si>
    <t>Характеристики ЖРМ</t>
  </si>
  <si>
    <t>Удельный расход железорудного материала</t>
  </si>
  <si>
    <r xmlns="http://schemas.openxmlformats.org/spreadsheetml/2006/main">
      <t>G</t>
    </r>
    <r xmlns="http://schemas.openxmlformats.org/spreadsheetml/2006/main">
      <rPr>
        <vertAlign val="subscript"/>
        <sz val="10"/>
        <rFont val="Arial"/>
        <family val="2"/>
      </rPr>
      <t>ЖРМ</t>
    </r>
    <r xmlns="http://schemas.openxmlformats.org/spreadsheetml/2006/main">
      <rPr>
        <sz val="10"/>
        <rFont val="Arial"/>
        <family val="2"/>
      </rPr>
      <t>=</t>
    </r>
  </si>
  <si>
    <t>Удельный расход металлодобавок</t>
  </si>
  <si>
    <r xmlns="http://schemas.openxmlformats.org/spreadsheetml/2006/main">
      <t>G</t>
    </r>
    <r xmlns="http://schemas.openxmlformats.org/spreadsheetml/2006/main">
      <rPr>
        <vertAlign val="subscript"/>
        <sz val="10"/>
        <rFont val="Arial"/>
        <family val="2"/>
      </rPr>
      <t>металлодобавки</t>
    </r>
    <r xmlns="http://schemas.openxmlformats.org/spreadsheetml/2006/main">
      <rPr>
        <sz val="10"/>
        <rFont val="Arial"/>
        <family val="2"/>
      </rPr>
      <t>=</t>
    </r>
  </si>
  <si>
    <t>Содержание влаги в ЖРМ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</si>
</sst>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Cy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39">
    <xf numFmtId="0" applyNumberFormat="1" fontId="0" applyFont="1" fillId="0" applyFill="1" borderId="0" applyBorder="1" xfId="0" applyProtection="1"/>
    <xf numFmtId="9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/>
    <xf numFmtId="0" applyNumberFormat="1" fontId="2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1" applyBorder="1" xfId="0" applyProtection="1"/>
    <xf numFmtId="0" applyNumberFormat="1" fontId="3" applyFont="1" fillId="0" applyFill="1" borderId="1" applyBorder="1" xfId="0" applyProtection="1"/>
    <xf numFmtId="0" applyNumberFormat="1" fontId="4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left"/>
    </xf>
    <xf numFmtId="0" applyNumberFormat="1" fontId="6" applyFont="1" fillId="0" applyFill="1" borderId="1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6" applyFont="1" fillId="0" applyFill="1" borderId="1" applyBorder="1" xfId="0" applyProtection="1"/>
    <xf numFmtId="0" applyNumberFormat="1" fontId="5" applyFont="1" fillId="0" applyFill="1" borderId="1" applyBorder="1" xfId="0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1" applyBorder="1" xfId="0" applyProtection="1">
      <alignment wrapText="1"/>
    </xf>
    <xf numFmtId="0" applyNumberFormat="1" fontId="8" applyFont="1" fillId="0" applyFill="1" borderId="1" applyBorder="1" xfId="0" applyProtection="1"/>
    <xf numFmtId="0" applyNumberFormat="1" fontId="7" applyFont="1" fillId="0" applyFill="1" borderId="1" applyBorder="1" xfId="0" applyProtection="1"/>
    <xf numFmtId="2" applyNumberFormat="1" fontId="0" applyFont="1" fillId="0" applyFill="1" borderId="0" applyBorder="1" xfId="0" applyProtection="1"/>
    <xf numFmtId="0" applyNumberFormat="1" fontId="0" applyFont="1" fillId="2" applyFill="1" borderId="1" applyBorder="1" xfId="0" applyProtection="1"/>
    <xf numFmtId="2" applyNumberFormat="1" fontId="2" applyFont="1" fillId="2" applyFill="1" borderId="1" applyBorder="1" xfId="0" applyProtection="1"/>
    <xf numFmtId="2" applyNumberFormat="1" fontId="0" applyFont="1" fillId="2" applyFill="1" borderId="1" applyBorder="1" xfId="0" applyProtection="1"/>
    <xf numFmtId="0" applyNumberFormat="1" fontId="5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2" applyBorder="1" xfId="0" applyProtection="1"/>
    <xf numFmtId="0" applyNumberFormat="1" fontId="2" applyFont="1" fillId="0" applyFill="1" borderId="3" applyBorder="1" xfId="0" applyProtection="1"/>
    <xf numFmtId="0" applyNumberFormat="1" fontId="0" applyFont="1" fillId="3" applyFill="1" borderId="1" applyBorder="1" xfId="0" applyProtection="1"/>
    <xf numFmtId="0" applyNumberFormat="1" fontId="2" applyFont="1" fillId="0" applyFill="1" borderId="4" applyBorder="1" xfId="0" applyProtection="1"/>
    <xf numFmtId="0" applyNumberFormat="1" fontId="4" applyFont="1" fillId="0" applyFill="1" borderId="1" applyBorder="1" xfId="0" applyProtection="1"/>
    <xf numFmtId="0" applyNumberFormat="1" fontId="4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right"/>
    </xf>
    <xf numFmtId="2" applyNumberFormat="1" fontId="2" applyFont="1" fillId="3" applyFill="1" borderId="1" applyBorder="1" xfId="0">
      <protection locked="0"/>
    </xf>
    <xf numFmtId="2" applyNumberFormat="1" fontId="2" applyFont="1" fillId="3" applyFill="1" borderId="1" applyBorder="1" xfId="0" applyProtection="1"/>
    <xf numFmtId="2" applyNumberFormat="1" fontId="0" applyFont="1" fillId="3" applyFill="1" borderId="1" applyBorder="1" xfId="0" applyProtection="1"/>
    <xf numFmtId="2" applyNumberFormat="1" fontId="0" applyFont="1" fillId="2" applyFill="1" borderId="0" applyBorder="1" xfId="0" applyProtection="1"/>
    <xf numFmtId="2" applyNumberFormat="1" fontId="0" applyFont="1" fillId="2" applyFill="1" borderId="1" applyBorder="1" xfId="1" applyProtection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C34" sqref="C34"/>
    </sheetView>
  </sheetViews>
  <sheetFormatPr defaultRowHeight="12.75" x14ac:dyDescent="0.2"/>
  <cols>
    <col min="1" max="1" width="54.140625" customWidth="1" style="2"/>
    <col min="2" max="2" width="16.85546875" customWidth="1" style="2"/>
    <col min="3" max="3" width="13.28515625" customWidth="1" style="2"/>
    <col min="4" max="4" width="16.85546875" customWidth="1" style="2"/>
    <col min="7" max="7" width="13.28515625" customWidth="1" style="2"/>
    <col min="8" max="8" width="23.28515625" customWidth="1" style="2"/>
  </cols>
  <sheetData>
    <row r="1" ht="15.75">
      <c r="A1" s="9" t="s">
        <v>0</v>
      </c>
    </row>
    <row r="2" ht="15.75">
      <c r="A2" s="9" t="s">
        <v>152</v>
      </c>
    </row>
    <row r="3" ht="15.75">
      <c r="A3" s="31" t="s">
        <v>5</v>
      </c>
      <c r="B3" s="31" t="s">
        <v>6</v>
      </c>
      <c r="C3" s="31" t="s">
        <v>153</v>
      </c>
      <c r="D3" s="31" t="s">
        <v>8</v>
      </c>
      <c r="G3" s="32" t="s">
        <v>1</v>
      </c>
    </row>
    <row r="4">
      <c r="A4" s="11" t="s">
        <v>154</v>
      </c>
    </row>
    <row r="5">
      <c r="A5" s="13" t="s">
        <v>155</v>
      </c>
      <c r="B5" s="5" t="s">
        <v>156</v>
      </c>
      <c r="C5" s="34">
        <v>0.53</v>
      </c>
      <c r="D5" s="5" t="s">
        <v>11</v>
      </c>
      <c r="G5" s="29"/>
      <c r="H5" s="10" t="s">
        <v>2</v>
      </c>
    </row>
    <row r="6">
      <c r="A6" s="13"/>
      <c r="B6" s="5" t="s">
        <v>157</v>
      </c>
      <c r="C6" s="34">
        <v>0.19</v>
      </c>
      <c r="D6" s="5" t="s">
        <v>11</v>
      </c>
      <c r="G6" s="22"/>
      <c r="H6" s="10" t="s">
        <v>4</v>
      </c>
    </row>
    <row r="7">
      <c r="A7" s="13"/>
      <c r="B7" s="5" t="s">
        <v>158</v>
      </c>
      <c r="C7" s="34">
        <v>0.014</v>
      </c>
      <c r="D7" s="5" t="s">
        <v>11</v>
      </c>
    </row>
    <row r="8">
      <c r="A8" s="13"/>
      <c r="B8" s="5" t="s">
        <v>159</v>
      </c>
      <c r="C8" s="34">
        <v>0.043</v>
      </c>
      <c r="D8" s="5" t="s">
        <v>11</v>
      </c>
    </row>
    <row r="9">
      <c r="A9" s="13"/>
      <c r="B9" s="5" t="s">
        <v>160</v>
      </c>
      <c r="C9" s="34">
        <v>0.068</v>
      </c>
      <c r="D9" s="5" t="s">
        <v>11</v>
      </c>
    </row>
    <row r="10">
      <c r="A10" s="13"/>
      <c r="B10" s="5" t="s">
        <v>161</v>
      </c>
      <c r="C10" s="34">
        <v>0.021</v>
      </c>
      <c r="D10" s="5" t="s">
        <v>11</v>
      </c>
    </row>
    <row r="11">
      <c r="A11" s="13"/>
      <c r="B11" s="5" t="s">
        <v>162</v>
      </c>
      <c r="C11" s="34">
        <v>0</v>
      </c>
      <c r="D11" s="5" t="s">
        <v>11</v>
      </c>
    </row>
    <row r="12">
      <c r="A12" s="13"/>
      <c r="B12" s="5" t="s">
        <v>163</v>
      </c>
      <c r="C12" s="34">
        <v>5.13</v>
      </c>
      <c r="D12" s="5" t="s">
        <v>11</v>
      </c>
    </row>
    <row r="13">
      <c r="A13" s="13" t="s">
        <v>164</v>
      </c>
      <c r="B13" s="5" t="s">
        <v>165</v>
      </c>
      <c r="C13" s="34">
        <v>1406</v>
      </c>
      <c r="D13" s="5" t="s">
        <v>166</v>
      </c>
    </row>
    <row r="14">
      <c r="A14" s="13" t="s">
        <v>167</v>
      </c>
      <c r="B14" s="5" t="s">
        <v>168</v>
      </c>
      <c r="C14" s="34">
        <v>0.9</v>
      </c>
      <c r="D14" s="5" t="s">
        <v>169</v>
      </c>
    </row>
    <row r="15">
      <c r="A15" s="12" t="s">
        <v>170</v>
      </c>
      <c r="B15" s="5"/>
      <c r="C15" s="35"/>
      <c r="D15" s="5"/>
    </row>
    <row r="16">
      <c r="A16" s="13" t="s">
        <v>171</v>
      </c>
      <c r="B16" s="5" t="s">
        <v>172</v>
      </c>
      <c r="C16" s="34">
        <v>0.35</v>
      </c>
      <c r="D16" s="5"/>
    </row>
    <row r="17">
      <c r="A17" s="12" t="s">
        <v>173</v>
      </c>
      <c r="B17" s="5"/>
      <c r="C17" s="35"/>
      <c r="D17" s="5"/>
    </row>
    <row r="18">
      <c r="A18" s="13" t="s">
        <v>174</v>
      </c>
      <c r="B18" s="7" t="s">
        <v>175</v>
      </c>
      <c r="C18" s="34">
        <v>420</v>
      </c>
      <c r="D18" s="5" t="s">
        <v>14</v>
      </c>
    </row>
    <row r="19">
      <c r="A19" s="13" t="s">
        <v>176</v>
      </c>
      <c r="B19" s="7" t="s">
        <v>177</v>
      </c>
      <c r="C19" s="34">
        <v>11.9</v>
      </c>
      <c r="D19" s="5" t="s">
        <v>11</v>
      </c>
    </row>
    <row r="20">
      <c r="A20" s="13" t="s">
        <v>178</v>
      </c>
      <c r="B20" s="7" t="s">
        <v>179</v>
      </c>
      <c r="C20" s="34">
        <v>0.5</v>
      </c>
      <c r="D20" s="5" t="s">
        <v>11</v>
      </c>
    </row>
    <row r="21">
      <c r="A21" s="14" t="s">
        <v>180</v>
      </c>
      <c r="B21" s="27" t="s">
        <v>181</v>
      </c>
      <c r="C21" s="34">
        <v>0.6</v>
      </c>
      <c r="D21" s="28" t="s">
        <v>11</v>
      </c>
    </row>
    <row r="22">
      <c r="A22" s="14" t="s">
        <v>182</v>
      </c>
      <c r="B22" s="27" t="s">
        <v>183</v>
      </c>
      <c r="C22" s="34">
        <v>4.2</v>
      </c>
      <c r="D22" s="28" t="s">
        <v>11</v>
      </c>
    </row>
    <row r="23">
      <c r="A23" s="10" t="s">
        <v>184</v>
      </c>
      <c r="C23" s="36"/>
    </row>
    <row r="24" ht="15.75">
      <c r="A24" s="5" t="s">
        <v>185</v>
      </c>
      <c r="B24" s="5" t="s">
        <v>186</v>
      </c>
      <c r="C24" s="34">
        <v>1140</v>
      </c>
      <c r="D24" s="5" t="s">
        <v>166</v>
      </c>
    </row>
    <row r="25">
      <c r="A25" s="5" t="s">
        <v>187</v>
      </c>
      <c r="B25" s="5" t="s">
        <v>188</v>
      </c>
      <c r="C25" s="34">
        <v>6.36</v>
      </c>
      <c r="D25" s="5" t="s">
        <v>189</v>
      </c>
    </row>
    <row r="26">
      <c r="A26" s="5" t="s">
        <v>190</v>
      </c>
      <c r="B26" s="5" t="s">
        <v>191</v>
      </c>
      <c r="C26" s="34">
        <v>24.1</v>
      </c>
      <c r="D26" s="5" t="s">
        <v>11</v>
      </c>
    </row>
    <row r="27">
      <c r="A27" s="5" t="s">
        <v>192</v>
      </c>
      <c r="B27" s="5" t="s">
        <v>193</v>
      </c>
      <c r="C27" s="34">
        <v>115</v>
      </c>
      <c r="D27" s="5" t="s">
        <v>39</v>
      </c>
    </row>
    <row r="28">
      <c r="A28" s="2" t="s">
        <v>194</v>
      </c>
      <c r="C28" s="34">
        <v>100</v>
      </c>
      <c r="D28" s="5" t="s">
        <v>11</v>
      </c>
    </row>
    <row r="29">
      <c r="A29" s="2" t="s">
        <v>195</v>
      </c>
      <c r="C29" s="34">
        <v>0</v>
      </c>
      <c r="D29" s="5" t="s">
        <v>11</v>
      </c>
    </row>
    <row r="30">
      <c r="A30" s="2" t="s">
        <v>196</v>
      </c>
      <c r="C30" s="34">
        <v>0</v>
      </c>
      <c r="D30" s="5" t="s">
        <v>11</v>
      </c>
    </row>
    <row r="31" ht="14.25">
      <c r="A31" s="5" t="s">
        <v>197</v>
      </c>
      <c r="B31" s="5" t="s">
        <v>198</v>
      </c>
      <c r="C31" s="34">
        <v>1</v>
      </c>
      <c r="D31" s="5" t="s">
        <v>33</v>
      </c>
    </row>
    <row r="32" ht="14.25">
      <c r="A32" s="5" t="s">
        <v>199</v>
      </c>
      <c r="B32" s="5" t="s">
        <v>200</v>
      </c>
      <c r="C32" s="34">
        <v>2</v>
      </c>
      <c r="D32" s="5" t="s">
        <v>33</v>
      </c>
    </row>
    <row r="33">
      <c r="A33" s="10" t="s">
        <v>201</v>
      </c>
      <c r="C33" s="36"/>
    </row>
    <row r="34" ht="15.75">
      <c r="A34" s="5" t="s">
        <v>202</v>
      </c>
      <c r="B34" s="30" t="s">
        <v>203</v>
      </c>
      <c r="C34" s="34">
        <v>0</v>
      </c>
      <c r="D34" s="28" t="s">
        <v>14</v>
      </c>
    </row>
    <row r="35">
      <c r="A35" s="5" t="s">
        <v>204</v>
      </c>
      <c r="B35" s="5"/>
      <c r="C35" s="34">
        <v>0</v>
      </c>
      <c r="D35" s="5" t="s">
        <v>205</v>
      </c>
    </row>
    <row r="36">
      <c r="A36" s="5" t="s">
        <v>206</v>
      </c>
      <c r="B36" s="5" t="s">
        <v>207</v>
      </c>
      <c r="C36" s="34">
        <v>42</v>
      </c>
      <c r="D36" s="5" t="s">
        <v>11</v>
      </c>
    </row>
    <row r="37">
      <c r="A37" s="15" t="s">
        <v>208</v>
      </c>
      <c r="B37" s="5"/>
      <c r="C37" s="35"/>
      <c r="D37" s="5"/>
    </row>
    <row r="38" ht="15.75">
      <c r="A38" s="5" t="s">
        <v>209</v>
      </c>
      <c r="B38" s="5" t="s">
        <v>210</v>
      </c>
      <c r="C38" s="34">
        <v>260</v>
      </c>
      <c r="D38" s="5" t="s">
        <v>14</v>
      </c>
    </row>
    <row r="39">
      <c r="A39" s="16" t="s">
        <v>211</v>
      </c>
      <c r="B39" s="5" t="s">
        <v>212</v>
      </c>
      <c r="C39" s="34">
        <v>1.03</v>
      </c>
      <c r="D39" s="5" t="s">
        <v>11</v>
      </c>
    </row>
    <row r="40">
      <c r="A40" s="16" t="s">
        <v>213</v>
      </c>
      <c r="B40" s="5"/>
      <c r="C40" s="34">
        <v>1.26</v>
      </c>
      <c r="D40" s="5" t="s">
        <v>214</v>
      </c>
    </row>
    <row r="41">
      <c r="A41" s="15" t="s">
        <v>215</v>
      </c>
      <c r="B41" s="5"/>
      <c r="C41" s="34"/>
      <c r="D41" s="5"/>
    </row>
    <row r="42">
      <c r="A42" s="16" t="s">
        <v>216</v>
      </c>
      <c r="B42" s="5"/>
      <c r="C42" s="34">
        <v>328</v>
      </c>
      <c r="D42" s="5" t="s">
        <v>166</v>
      </c>
    </row>
    <row r="43">
      <c r="A43" s="16" t="s">
        <v>217</v>
      </c>
      <c r="B43" s="5"/>
      <c r="C43" s="34">
        <v>17.5</v>
      </c>
      <c r="D43" s="5" t="s">
        <v>11</v>
      </c>
    </row>
    <row r="44">
      <c r="A44" s="16" t="s">
        <v>218</v>
      </c>
      <c r="B44" s="5"/>
      <c r="C44" s="34">
        <v>24.1</v>
      </c>
      <c r="D44" s="5" t="s">
        <v>11</v>
      </c>
    </row>
    <row r="45">
      <c r="A45" s="16" t="s">
        <v>219</v>
      </c>
      <c r="B45" s="5"/>
      <c r="C45" s="34">
        <v>7</v>
      </c>
      <c r="D45" s="5" t="s">
        <v>11</v>
      </c>
    </row>
    <row r="46">
      <c r="A46" s="16" t="s">
        <v>220</v>
      </c>
      <c r="B46" s="5"/>
      <c r="C46" s="34">
        <v>51.4</v>
      </c>
      <c r="D46" s="5" t="s">
        <v>11</v>
      </c>
    </row>
    <row r="47">
      <c r="A47" s="15" t="s">
        <v>221</v>
      </c>
      <c r="B47" s="5"/>
      <c r="C47" s="35"/>
      <c r="D47" s="5"/>
    </row>
    <row r="48" ht="15.75">
      <c r="A48" s="5" t="s">
        <v>222</v>
      </c>
      <c r="B48" s="5" t="s">
        <v>223</v>
      </c>
      <c r="C48" s="34">
        <v>1716</v>
      </c>
      <c r="D48" s="5" t="s">
        <v>14</v>
      </c>
    </row>
    <row r="49" ht="15.75">
      <c r="A49" s="5" t="s">
        <v>224</v>
      </c>
      <c r="B49" s="5" t="s">
        <v>225</v>
      </c>
      <c r="C49" s="34">
        <v>0</v>
      </c>
      <c r="D49" s="5" t="s">
        <v>14</v>
      </c>
    </row>
    <row r="50">
      <c r="A50" s="5" t="s">
        <v>226</v>
      </c>
      <c r="B50" s="5"/>
      <c r="C50" s="34">
        <v>0</v>
      </c>
      <c r="D50" s="5" t="s">
        <v>205</v>
      </c>
    </row>
    <row r="51">
      <c r="A51" s="25"/>
      <c r="B51" s="17"/>
      <c r="C51" s="17"/>
      <c r="D51" s="17"/>
    </row>
    <row r="52">
      <c r="A52" s="26"/>
      <c r="B52" s="26"/>
      <c r="C52" s="26"/>
      <c r="D52" s="17"/>
    </row>
    <row r="53">
      <c r="A53" s="26"/>
      <c r="B53" s="26"/>
      <c r="C53" s="26"/>
      <c r="D53" s="17"/>
    </row>
  </sheetData>
  <phoneticPr fontId="0" type="noConversion"/>
  <dataValidations count="2">
    <dataValidation type="decimal" operator="greaterThanOrEqual" allowBlank="1" showInputMessage="1" showErrorMessage="1" sqref="C41" xr:uid="{00000000-0002-0000-0000-000000000000}">
      <formula1>0</formula1>
    </dataValidation>
    <dataValidation type="decimal" operator="greaterThanOrEqual" allowBlank="1" showInputMessage="1" showErrorMessage="1" errorTitle="Ошибка ввода" error="Введите неотрицательное значение!" sqref="C34:C36 C5:C14 C16 C18:C22 C24:C32 C48:C50 C42:C46 C38:C40" xr:uid="{00000000-0002-0000-0000-000001000000}">
      <formula1>0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opLeftCell="B1" zoomScaleNormal="100" workbookViewId="0">
      <selection activeCell="C5" sqref="C5:C34"/>
    </sheetView>
  </sheetViews>
  <sheetFormatPr defaultRowHeight="12.75" x14ac:dyDescent="0.2"/>
  <cols>
    <col min="1" max="1" bestFit="1" width="41.42578125" customWidth="1" style="2"/>
    <col min="2" max="2" bestFit="1" width="16.5703125" customWidth="1" style="2"/>
    <col min="3" max="3" bestFit="1" width="12.5703125" customWidth="1" style="2"/>
    <col min="4" max="4" width="17" customWidth="1" style="2"/>
    <col min="5" max="5" width="6.140625" customWidth="1" style="2"/>
    <col min="6" max="6" width="15.5703125" customWidth="1" style="2"/>
    <col min="7" max="7" bestFit="1" width="19.5703125" customWidth="1" style="2"/>
  </cols>
  <sheetData>
    <row r="1" ht="15.75">
      <c r="A1" s="9" t="s">
        <v>0</v>
      </c>
      <c r="B1" s="33" t="s">
        <v>1</v>
      </c>
      <c r="C1" s="29"/>
      <c r="D1" s="10" t="s">
        <v>2</v>
      </c>
    </row>
    <row r="2" ht="15.75">
      <c r="A2" s="9" t="s">
        <v>3</v>
      </c>
      <c r="C2" s="22"/>
      <c r="D2" s="10" t="s">
        <v>4</v>
      </c>
    </row>
    <row r="3" ht="15.75">
      <c r="A3" s="9"/>
    </row>
    <row r="4" ht="15.75">
      <c r="A4" s="31" t="s">
        <v>5</v>
      </c>
      <c r="B4" s="31" t="s">
        <v>6</v>
      </c>
      <c r="C4" s="31" t="s">
        <v>7</v>
      </c>
      <c r="D4" s="31" t="s">
        <v>8</v>
      </c>
    </row>
    <row r="5">
      <c r="A5" s="7" t="s">
        <v>9</v>
      </c>
      <c r="B5" s="4" t="s">
        <v>10</v>
      </c>
      <c r="C5" s="24">
        <f>100-'Исходные данные'!C5-'Исходные данные'!C6-'Исходные данные'!C7-'Исходные данные'!C8-'Исходные данные'!C9-'Исходные данные'!C10-'Исходные данные'!C11-'Исходные данные'!C12</f>
        <v>94.004</v>
      </c>
      <c r="D5" s="4" t="s">
        <v>11</v>
      </c>
    </row>
    <row r="6">
      <c r="A6" s="5" t="s">
        <v>12</v>
      </c>
      <c r="B6" s="5" t="s">
        <v>13</v>
      </c>
      <c r="C6" s="23">
        <f>C5*10*'Исходные данные'!C16*12/56</f>
        <v>70.503</v>
      </c>
      <c r="D6" s="5" t="s">
        <v>14</v>
      </c>
    </row>
    <row r="7">
      <c r="A7" s="5" t="s">
        <v>15</v>
      </c>
      <c r="B7" s="5" t="s">
        <v>16</v>
      </c>
      <c r="C7" s="23">
        <f>10*('Исходные данные'!C6*12/55+'Исходные данные'!C8*60/62+'Исходные данные'!C5*24/28+'Исходные данные'!C7*12/32+'Исходные данные'!C11*60/110+'Исходные данные'!C9*12/48+'Исходные данные'!C10*48/104)</f>
        <v>5.6929547065837385</v>
      </c>
      <c r="D7" s="5" t="s">
        <v>17</v>
      </c>
    </row>
    <row r="8">
      <c r="A8" s="2" t="s">
        <v>18</v>
      </c>
      <c r="B8" s="17" t="s">
        <v>19</v>
      </c>
      <c r="C8" s="37">
        <f>100-('Исходные данные'!C19+'Исходные данные'!C20+'Исходные данные'!C21)</f>
        <v>87</v>
      </c>
      <c r="D8" s="2" t="s">
        <v>11</v>
      </c>
    </row>
    <row r="9">
      <c r="A9" s="7" t="s">
        <v>20</v>
      </c>
      <c r="B9" s="7" t="s">
        <v>21</v>
      </c>
      <c r="C9" s="23">
        <f>0.01*'Исходные данные'!C18*'Промежуточные расчеты'!C8</f>
        <v>365.40000000000003</v>
      </c>
      <c r="D9" s="5" t="s">
        <v>17</v>
      </c>
    </row>
    <row r="10" ht="15.75">
      <c r="A10" s="5" t="s">
        <v>22</v>
      </c>
      <c r="B10" s="5" t="s">
        <v>23</v>
      </c>
      <c r="C10" s="23">
        <f>0.008*C9</f>
        <v>2.9232000000000005</v>
      </c>
      <c r="D10" s="5" t="s">
        <v>14</v>
      </c>
    </row>
    <row r="11">
      <c r="A11" s="5" t="s">
        <v>24</v>
      </c>
      <c r="B11" s="5" t="s">
        <v>25</v>
      </c>
      <c r="C11" s="23">
        <f>10*'Исходные данные'!C12</f>
        <v>51.3</v>
      </c>
      <c r="D11" s="5" t="s">
        <v>14</v>
      </c>
    </row>
    <row r="12">
      <c r="A12" s="5" t="s">
        <v>26</v>
      </c>
      <c r="B12" s="5" t="s">
        <v>27</v>
      </c>
      <c r="C12" s="23">
        <f>C9-(C11+C6+C7+C10)</f>
        <v>234.9808452934163</v>
      </c>
      <c r="D12" s="5" t="s">
        <v>14</v>
      </c>
    </row>
    <row r="13">
      <c r="A13" s="5" t="s">
        <v>28</v>
      </c>
      <c r="B13" s="5" t="s">
        <v>29</v>
      </c>
      <c r="C13" s="23">
        <f>0.9333/(0.01*'Исходные данные'!C26+0.00062*'Исходные данные'!C25)</f>
        <v>3.8102711159158527</v>
      </c>
      <c r="D13" s="5" t="s">
        <v>30</v>
      </c>
    </row>
    <row r="14" ht="14.25">
      <c r="A14" s="5" t="s">
        <v>31</v>
      </c>
      <c r="B14" s="5" t="s">
        <v>32</v>
      </c>
      <c r="C14" s="23">
        <f>0.5/(0.01*'Исходные данные'!C26+0.00062*'Исходные данные'!C25)</f>
        <v>2.041289572439651</v>
      </c>
      <c r="D14" s="5" t="s">
        <v>33</v>
      </c>
    </row>
    <row r="15">
      <c r="A15" s="2" t="s">
        <v>34</v>
      </c>
      <c r="C15" s="37">
        <f>'Исходные данные'!C27/'Промежуточные расчеты'!C12</f>
        <v>0.4894015929528281</v>
      </c>
      <c r="D15" s="5" t="s">
        <v>30</v>
      </c>
    </row>
    <row r="16">
      <c r="A16" s="5" t="s">
        <v>35</v>
      </c>
      <c r="B16" s="5" t="s">
        <v>36</v>
      </c>
      <c r="C16" s="23">
        <f>C13+C14*C15</f>
        <v>4.809281484345815</v>
      </c>
      <c r="D16" s="5" t="s">
        <v>30</v>
      </c>
    </row>
    <row r="17">
      <c r="A17" s="5" t="s">
        <v>37</v>
      </c>
      <c r="B17" s="5" t="s">
        <v>38</v>
      </c>
      <c r="C17" s="23">
        <f>C16*C12</f>
        <v>1130.0890284455556</v>
      </c>
      <c r="D17" s="5" t="s">
        <v>39</v>
      </c>
    </row>
    <row r="18">
      <c r="A18" s="5" t="s">
        <v>40</v>
      </c>
      <c r="B18" s="5" t="s">
        <v>41</v>
      </c>
      <c r="C18" s="23">
        <f>1.8667+'Исходные данные'!C27/C12*'Исходные данные'!C31</f>
        <v>2.356101592952828</v>
      </c>
      <c r="D18" s="5" t="s">
        <v>30</v>
      </c>
    </row>
    <row r="19">
      <c r="A19" s="5" t="s">
        <v>42</v>
      </c>
      <c r="B19" s="5" t="s">
        <v>43</v>
      </c>
      <c r="C19" s="23">
        <f>(0.9333+0.5*'Исходные данные'!C27/C12*1)/(0.01*'Исходные данные'!C26+0.00124*'Исходные данные'!C25)*0.00124*'Исходные данные'!C25+'Исходные данные'!C27/C12*'Исходные данные'!C32</f>
        <v>1.0161301972704058</v>
      </c>
      <c r="D19" s="5" t="s">
        <v>30</v>
      </c>
    </row>
    <row r="20">
      <c r="A20" s="5" t="s">
        <v>44</v>
      </c>
      <c r="B20" s="5" t="s">
        <v>45</v>
      </c>
      <c r="C20" s="23">
        <f>(0.9333+0.5*'Исходные данные'!C27/C12*1)/(0.01*'Исходные данные'!C26+0.00124*'Исходные данные'!C25)*(1-0.01*'Исходные данные'!C26)</f>
        <v>3.5924124601649514</v>
      </c>
      <c r="D20" s="5" t="s">
        <v>30</v>
      </c>
    </row>
    <row r="21" ht="15.75">
      <c r="A21" s="5" t="s">
        <v>46</v>
      </c>
      <c r="B21" s="5" t="s">
        <v>47</v>
      </c>
      <c r="C21" s="23">
        <f>10*22.4*(C5*'Исходные данные'!C16/56+'Исходные данные'!C6/55+2*'Исходные данные'!C5/28+'Исходные данные'!C39/32)</f>
        <v>148.0694181818182</v>
      </c>
      <c r="D21" s="5" t="s">
        <v>48</v>
      </c>
    </row>
    <row r="22" ht="16.5">
      <c r="A22" s="5" t="s">
        <v>49</v>
      </c>
      <c r="B22" s="8" t="s">
        <v>50</v>
      </c>
      <c r="C22" s="23">
        <f>'Исходные данные'!C43/('Исходные данные'!C43+'Исходные данные'!C44)</f>
        <v>0.4206730769230769</v>
      </c>
      <c r="D22" s="5"/>
    </row>
    <row r="23" ht="16.5">
      <c r="A23" s="5" t="s">
        <v>51</v>
      </c>
      <c r="B23" s="8" t="s">
        <v>52</v>
      </c>
      <c r="C23" s="23">
        <f>0.88*C22+0.1</f>
        <v>0.4701923076923077</v>
      </c>
      <c r="D23" s="5"/>
    </row>
    <row r="24" ht="15.75">
      <c r="A24" s="5" t="s">
        <v>53</v>
      </c>
      <c r="B24" s="5" t="s">
        <v>54</v>
      </c>
      <c r="C24" s="23">
        <f>C18*C12+C21</f>
        <v>701.7081620910385</v>
      </c>
      <c r="D24" s="5" t="s">
        <v>48</v>
      </c>
    </row>
    <row r="25" ht="15.75">
      <c r="A25" s="5" t="s">
        <v>55</v>
      </c>
      <c r="B25" s="5" t="s">
        <v>56</v>
      </c>
      <c r="C25" s="23">
        <f>C19*C12*(1-'Промежуточные расчеты'!C23)</f>
        <v>126.50278279634998</v>
      </c>
      <c r="D25" s="5" t="s">
        <v>48</v>
      </c>
    </row>
    <row r="26" ht="15.75">
      <c r="A26" s="5" t="s">
        <v>57</v>
      </c>
      <c r="B26" s="5" t="s">
        <v>58</v>
      </c>
      <c r="C26" s="23">
        <f>C20*C12</f>
        <v>844.1481165321616</v>
      </c>
      <c r="D26" s="5" t="s">
        <v>48</v>
      </c>
    </row>
    <row r="27" ht="15.75">
      <c r="A27" s="5" t="s">
        <v>59</v>
      </c>
      <c r="B27" s="4" t="s">
        <v>60</v>
      </c>
      <c r="C27" s="24">
        <f>0.01*'Исходные данные'!C34*22.4/44*'Исходные данные'!C36</f>
        <v>0</v>
      </c>
      <c r="D27" s="4" t="s">
        <v>61</v>
      </c>
    </row>
    <row r="28" ht="15.75">
      <c r="A28" s="5" t="s">
        <v>62</v>
      </c>
      <c r="B28" s="4" t="s">
        <v>63</v>
      </c>
      <c r="C28" s="24">
        <f>C24*C22</f>
        <v>295.1897316488744</v>
      </c>
      <c r="D28" s="4" t="s">
        <v>61</v>
      </c>
    </row>
    <row r="29" ht="15.75">
      <c r="A29" s="5" t="s">
        <v>64</v>
      </c>
      <c r="B29" s="4" t="s">
        <v>65</v>
      </c>
      <c r="C29" s="24">
        <f>C28+C27</f>
        <v>295.1897316488744</v>
      </c>
      <c r="D29" s="4" t="s">
        <v>61</v>
      </c>
    </row>
    <row r="30" ht="15.75">
      <c r="A30" s="5" t="s">
        <v>66</v>
      </c>
      <c r="B30" s="4" t="s">
        <v>67</v>
      </c>
      <c r="C30" s="24">
        <f>C24-C28</f>
        <v>406.5184304421641</v>
      </c>
      <c r="D30" s="4" t="s">
        <v>61</v>
      </c>
    </row>
    <row r="31" ht="15.75">
      <c r="A31" s="5" t="s">
        <v>68</v>
      </c>
      <c r="B31" s="4" t="s">
        <v>69</v>
      </c>
      <c r="C31" s="24">
        <f>C10*22.4/12</f>
        <v>5.45664</v>
      </c>
      <c r="D31" s="4" t="s">
        <v>61</v>
      </c>
    </row>
    <row r="32" ht="15.75">
      <c r="A32" s="5" t="s">
        <v>70</v>
      </c>
      <c r="B32" s="4" t="s">
        <v>71</v>
      </c>
      <c r="C32" s="24">
        <f>C26</f>
        <v>844.1481165321616</v>
      </c>
      <c r="D32" s="4" t="s">
        <v>61</v>
      </c>
    </row>
    <row r="33" ht="15.75">
      <c r="A33" s="5" t="s">
        <v>72</v>
      </c>
      <c r="B33" s="4" t="s">
        <v>73</v>
      </c>
      <c r="C33" s="24">
        <f>C25</f>
        <v>126.50278279634998</v>
      </c>
      <c r="D33" s="4" t="s">
        <v>61</v>
      </c>
    </row>
    <row r="34" ht="15.75">
      <c r="A34" s="5" t="s">
        <v>74</v>
      </c>
      <c r="B34" s="3" t="s">
        <v>75</v>
      </c>
      <c r="C34" s="24">
        <f>C29+C30+C32+C33+C31</f>
        <v>1677.8157014195501</v>
      </c>
      <c r="D34" s="3" t="s">
        <v>61</v>
      </c>
      <c r="E34" s="6"/>
    </row>
  </sheetData>
  <phoneticPr fontId="0" type="noConversion"/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tabSelected="1" topLeftCell="A25" zoomScale="85" zoomScaleNormal="85" workbookViewId="0">
      <selection activeCell="C4" sqref="C4:C81"/>
    </sheetView>
  </sheetViews>
  <sheetFormatPr defaultRowHeight="12.75" x14ac:dyDescent="0.2"/>
  <cols>
    <col min="1" max="1" width="70.28515625" customWidth="1" style="2"/>
    <col min="2" max="2" width="17.85546875" customWidth="1" style="2"/>
    <col min="3" max="3" width="14" customWidth="1" style="2"/>
    <col min="4" max="4" width="17.140625" customWidth="1" style="2"/>
    <col min="7" max="7" width="14.85546875" customWidth="1" style="2"/>
    <col min="8" max="8" width="18.85546875" customWidth="1" style="2"/>
  </cols>
  <sheetData>
    <row r="1" ht="15.75">
      <c r="A1" s="9" t="s">
        <v>0</v>
      </c>
    </row>
    <row r="2" ht="15.75">
      <c r="A2" s="31" t="s">
        <v>5</v>
      </c>
      <c r="B2" s="31" t="s">
        <v>6</v>
      </c>
      <c r="C2" s="31" t="s">
        <v>7</v>
      </c>
      <c r="D2" s="31" t="s">
        <v>8</v>
      </c>
    </row>
    <row r="3">
      <c r="A3" s="10" t="s">
        <v>76</v>
      </c>
    </row>
    <row r="4" ht="15.75">
      <c r="A4" s="4" t="s">
        <v>77</v>
      </c>
      <c r="B4" s="4"/>
      <c r="C4" s="24">
        <f>'Промежуточные расчеты'!C12*9800*0.001</f>
        <v>2302.81228387548</v>
      </c>
      <c r="D4" s="4" t="s">
        <v>78</v>
      </c>
      <c r="G4" s="32" t="s">
        <v>1</v>
      </c>
    </row>
    <row r="5">
      <c r="A5" s="4" t="s">
        <v>79</v>
      </c>
      <c r="B5" s="4"/>
      <c r="C5" s="38">
        <f>C4/C15</f>
        <v>0.5310727252278588</v>
      </c>
      <c r="D5" s="4" t="s">
        <v>11</v>
      </c>
    </row>
    <row r="6">
      <c r="A6" s="4" t="s">
        <v>80</v>
      </c>
      <c r="B6" s="4"/>
      <c r="C6" s="24">
        <f>1.2897+0.000121*'Исходные данные'!C24</f>
        <v>1.42764</v>
      </c>
      <c r="D6" s="4" t="s">
        <v>81</v>
      </c>
      <c r="G6" s="29"/>
      <c r="H6" s="10" t="s">
        <v>2</v>
      </c>
    </row>
    <row r="7">
      <c r="A7" s="4" t="s">
        <v>82</v>
      </c>
      <c r="B7" s="4"/>
      <c r="C7" s="24">
        <f>1.2897+0.000121*'Исходные данные'!C24</f>
        <v>1.42764</v>
      </c>
      <c r="D7" s="4" t="s">
        <v>81</v>
      </c>
      <c r="G7" s="22"/>
      <c r="H7" s="10" t="s">
        <v>4</v>
      </c>
    </row>
    <row r="8">
      <c r="A8" s="4" t="s">
        <v>83</v>
      </c>
      <c r="B8" s="4"/>
      <c r="C8" s="24">
        <f>1.456+0.000282*'Исходные данные'!C24</f>
        <v>1.77748</v>
      </c>
      <c r="D8" s="4" t="s">
        <v>81</v>
      </c>
    </row>
    <row r="9">
      <c r="A9" s="4" t="s">
        <v>84</v>
      </c>
      <c r="B9" s="4"/>
      <c r="C9" s="24">
        <f>0.001*'Промежуточные расчеты'!C17*((0.01*'Исходные данные'!C26*'Тепловой баланс'!C6+(1-0.01*'Исходные данные'!C26)*'Тепловой баланс'!C7)*(1-0.00124*'Исходные данные'!C25)+0.00124*'Исходные данные'!C25*'Тепловой баланс'!C8)*'Исходные данные'!C24</f>
        <v>1842.7851383515317</v>
      </c>
      <c r="D9" s="4" t="s">
        <v>78</v>
      </c>
    </row>
    <row r="10">
      <c r="A10" s="4" t="s">
        <v>85</v>
      </c>
      <c r="B10" s="4"/>
      <c r="C10" s="38">
        <f>C9/C15</f>
        <v>0.4249816332344453</v>
      </c>
      <c r="D10" s="4" t="s">
        <v>11</v>
      </c>
    </row>
    <row r="11">
      <c r="A11" s="4" t="s">
        <v>86</v>
      </c>
      <c r="B11" s="4"/>
      <c r="C11" s="24">
        <f>0.001*'Исходные данные'!C27*(0.01*(1657*'Исходные данные'!C28+6046*'Исходные данные'!C29-12644*'Исходные данные'!C30))</f>
        <v>190.555</v>
      </c>
      <c r="D11" s="4" t="s">
        <v>78</v>
      </c>
    </row>
    <row r="12">
      <c r="A12" s="4" t="s">
        <v>87</v>
      </c>
      <c r="B12" s="4"/>
      <c r="C12" s="38">
        <f>C11/C15</f>
        <v>0.04394564153769589</v>
      </c>
      <c r="D12" s="4" t="s">
        <v>11</v>
      </c>
    </row>
    <row r="13">
      <c r="A13" s="4" t="s">
        <v>88</v>
      </c>
      <c r="B13" s="4"/>
      <c r="C13" s="24">
        <f>1128*0.00001*'Исходные данные'!C34*'Исходные данные'!C36</f>
        <v>0</v>
      </c>
      <c r="D13" s="4" t="s">
        <v>78</v>
      </c>
    </row>
    <row r="14">
      <c r="A14" s="4" t="s">
        <v>89</v>
      </c>
      <c r="B14" s="4"/>
      <c r="C14" s="38">
        <f>C13/C15</f>
        <v>0</v>
      </c>
      <c r="D14" s="4" t="s">
        <v>11</v>
      </c>
    </row>
    <row r="15">
      <c r="A15" s="4" t="s">
        <v>90</v>
      </c>
      <c r="B15" s="4"/>
      <c r="C15" s="24">
        <f>C4+C9+C11+C13</f>
        <v>4336.152422227012</v>
      </c>
      <c r="D15" s="4" t="s">
        <v>78</v>
      </c>
    </row>
    <row r="16">
      <c r="A16" s="4" t="s">
        <v>91</v>
      </c>
      <c r="B16" s="4"/>
      <c r="C16" s="24">
        <f>C5+C10+C12+C14</f>
        <v>0.9999999999999999</v>
      </c>
      <c r="D16" s="4" t="s">
        <v>11</v>
      </c>
    </row>
    <row r="17">
      <c r="C17" s="21"/>
    </row>
    <row r="18">
      <c r="A18" s="10" t="s">
        <v>92</v>
      </c>
      <c r="C18" s="21"/>
    </row>
    <row r="19">
      <c r="A19" s="4" t="s">
        <v>93</v>
      </c>
      <c r="B19" s="4"/>
      <c r="C19" s="24">
        <f>0.01*'Промежуточные расчеты'!C5*'Исходные данные'!C16*2716</f>
        <v>893.602024</v>
      </c>
      <c r="D19" s="4" t="s">
        <v>78</v>
      </c>
    </row>
    <row r="20">
      <c r="A20" s="4" t="s">
        <v>94</v>
      </c>
      <c r="B20" s="4"/>
      <c r="C20" s="38">
        <f>C19/C46</f>
        <v>0.20608178333847718</v>
      </c>
      <c r="D20" s="4" t="s">
        <v>11</v>
      </c>
    </row>
    <row r="21">
      <c r="A21" s="4" t="s">
        <v>95</v>
      </c>
      <c r="B21" s="4"/>
      <c r="C21" s="24">
        <f>0.01*(5220*'Исходные данные'!C6+22600*'Исходные данные'!C5+15490*'Исходные данные'!C8+36167*'Исходные данные'!C9+7982*'Исходные данные'!C11)</f>
        <v>160.95226</v>
      </c>
      <c r="D21" s="4" t="s">
        <v>78</v>
      </c>
    </row>
    <row r="22">
      <c r="A22" s="4" t="s">
        <v>96</v>
      </c>
      <c r="B22" s="4"/>
      <c r="C22" s="38">
        <f>C21/C46</f>
        <v>0.03711868133946644</v>
      </c>
      <c r="D22" s="4" t="s">
        <v>11</v>
      </c>
    </row>
    <row r="23">
      <c r="A23" s="4" t="s">
        <v>97</v>
      </c>
      <c r="B23" s="4"/>
      <c r="C23" s="24">
        <f>1734*0.00001*'Исходные данные'!C38*'Исходные данные'!C39</f>
        <v>4.643652</v>
      </c>
      <c r="D23" s="4" t="s">
        <v>78</v>
      </c>
    </row>
    <row r="24">
      <c r="A24" s="4" t="s">
        <v>98</v>
      </c>
      <c r="B24" s="4"/>
      <c r="C24" s="38">
        <f>C23/C46</f>
        <v>0.0010709153064354365</v>
      </c>
      <c r="D24" s="4" t="s">
        <v>11</v>
      </c>
    </row>
    <row r="25">
      <c r="A25" s="4" t="s">
        <v>99</v>
      </c>
      <c r="B25" s="4"/>
      <c r="C25" s="24">
        <f>1731*0.0001*(0.00124*'Исходные данные'!C25*'Промежуточные расчеты'!C17+0.01*'Исходные данные'!C27*(2*'Исходные данные'!C28+3*'Исходные данные'!C29))*'Промежуточные расчеты'!C23</f>
        <v>19.445143790552468</v>
      </c>
      <c r="D25" s="4" t="s">
        <v>78</v>
      </c>
    </row>
    <row r="26">
      <c r="A26" s="4" t="s">
        <v>100</v>
      </c>
      <c r="B26" s="4"/>
      <c r="C26" s="38">
        <f>C25/C46</f>
        <v>0.00448442349278986</v>
      </c>
      <c r="D26" s="4" t="s">
        <v>11</v>
      </c>
    </row>
    <row r="27">
      <c r="A27" s="4" t="s">
        <v>101</v>
      </c>
      <c r="B27" s="4"/>
      <c r="C27" s="24">
        <f>1*'Исходные данные'!C14*'Исходные данные'!C13</f>
        <v>1264.5</v>
      </c>
      <c r="D27" s="4" t="s">
        <v>78</v>
      </c>
    </row>
    <row r="28">
      <c r="A28" s="4" t="s">
        <v>102</v>
      </c>
      <c r="B28" s="4"/>
      <c r="C28" s="38">
        <f>C27/C46</f>
        <v>0.2916179776149482</v>
      </c>
      <c r="D28" s="4" t="s">
        <v>11</v>
      </c>
    </row>
    <row r="29">
      <c r="A29" s="4" t="s">
        <v>103</v>
      </c>
      <c r="B29" s="4"/>
      <c r="C29" s="24">
        <f>0.001*'Исходные данные'!C38*'Исходные данные'!C40*('Исходные данные'!C13+50)</f>
        <v>476.658</v>
      </c>
      <c r="D29" s="4" t="s">
        <v>78</v>
      </c>
    </row>
    <row r="30">
      <c r="A30" s="4" t="s">
        <v>104</v>
      </c>
      <c r="B30" s="4"/>
      <c r="C30" s="38">
        <f>C29/C46</f>
        <v>0.10992648633767178</v>
      </c>
      <c r="D30" s="4" t="s">
        <v>11</v>
      </c>
    </row>
    <row r="31">
      <c r="A31" s="4" t="s">
        <v>105</v>
      </c>
      <c r="B31" s="4"/>
      <c r="C31" s="24">
        <f>1.24*0.0000001*'Промежуточные расчеты'!C17*'Исходные данные'!C25*6912</f>
        <v>6.160205339550511</v>
      </c>
      <c r="D31" s="4" t="s">
        <v>78</v>
      </c>
    </row>
    <row r="32">
      <c r="A32" s="4" t="s">
        <v>106</v>
      </c>
      <c r="B32" s="4"/>
      <c r="C32" s="38">
        <f>C31/C46</f>
        <v>0.001420661623418367</v>
      </c>
      <c r="D32" s="4" t="s">
        <v>11</v>
      </c>
    </row>
    <row r="33">
      <c r="A33" s="4" t="s">
        <v>107</v>
      </c>
      <c r="B33" s="4"/>
      <c r="C33" s="24">
        <f>4042*0.000001*'Исходные данные'!C34*'Исходные данные'!C36</f>
        <v>0</v>
      </c>
      <c r="D33" s="4" t="s">
        <v>78</v>
      </c>
    </row>
    <row r="34">
      <c r="A34" s="4" t="s">
        <v>108</v>
      </c>
      <c r="B34" s="4"/>
      <c r="C34" s="38">
        <f>C33/C46</f>
        <v>0</v>
      </c>
      <c r="D34" s="4" t="s">
        <v>11</v>
      </c>
    </row>
    <row r="35">
      <c r="A35" s="4" t="s">
        <v>109</v>
      </c>
      <c r="B35" s="4"/>
      <c r="C35" s="24">
        <f>2452*0.00001*('Исходные данные'!C48*'Исходные данные'!C50+'Исходные данные'!C34*'Исходные данные'!C35+'Исходные данные'!C18*'Исходные данные'!C22)</f>
        <v>43.253280000000004</v>
      </c>
      <c r="D35" s="4" t="s">
        <v>78</v>
      </c>
    </row>
    <row r="36">
      <c r="A36" s="4" t="s">
        <v>110</v>
      </c>
      <c r="B36" s="4"/>
      <c r="C36" s="38">
        <f>C35/C46</f>
        <v>0.009975036804122647</v>
      </c>
      <c r="D36" s="4" t="s">
        <v>11</v>
      </c>
    </row>
    <row r="37">
      <c r="A37" s="4" t="s">
        <v>111</v>
      </c>
      <c r="B37" s="4"/>
      <c r="C37" s="24">
        <f>1.2938+0.0000895*'Исходные данные'!C42</f>
        <v>1.323156</v>
      </c>
      <c r="D37" s="4" t="s">
        <v>112</v>
      </c>
    </row>
    <row r="38">
      <c r="A38" s="4" t="s">
        <v>113</v>
      </c>
      <c r="B38" s="4"/>
      <c r="C38" s="24">
        <f>1.6448+0.0007065*'Исходные данные'!C42</f>
        <v>1.876532</v>
      </c>
      <c r="D38" s="4" t="s">
        <v>112</v>
      </c>
    </row>
    <row r="39">
      <c r="A39" s="4" t="s">
        <v>114</v>
      </c>
      <c r="B39" s="4"/>
      <c r="C39" s="24">
        <f>1.3012</f>
        <v>1.3012</v>
      </c>
      <c r="D39" s="4" t="s">
        <v>112</v>
      </c>
    </row>
    <row r="40">
      <c r="A40" s="4" t="s">
        <v>115</v>
      </c>
      <c r="B40" s="4"/>
      <c r="C40" s="24">
        <f>1.4743+0.0002205*'Исходные данные'!C42</f>
        <v>1.546624</v>
      </c>
      <c r="D40" s="4" t="s">
        <v>112</v>
      </c>
    </row>
    <row r="41">
      <c r="A41" s="4" t="s">
        <v>116</v>
      </c>
      <c r="B41" s="4"/>
      <c r="C41" s="24">
        <f>1.308</f>
        <v>1.308</v>
      </c>
      <c r="D41" s="4" t="s">
        <v>112</v>
      </c>
    </row>
    <row r="42">
      <c r="A42" s="4" t="s">
        <v>117</v>
      </c>
      <c r="B42" s="4"/>
      <c r="C42" s="24">
        <f>0.00001*(('Исходные данные'!C43*'Тепловой баланс'!C38+'Исходные данные'!C44*'Тепловой баланс'!C37+'Исходные данные'!C46*'Тепловой баланс'!C41+'Исходные данные'!C45*'Тепловой баланс'!C39)*'Промежуточные расчеты'!C34+('Исходные данные'!C48*'Исходные данные'!C50+'Исходные данные'!C34*'Исходные данные'!C35+'Исходные данные'!C18*'Исходные данные'!C22+'Промежуточные расчеты'!C34*'Исходные данные'!C45*'Промежуточные расчеты'!C23/(1-'Промежуточные расчеты'!C23))*'Тепловой баланс'!C40)*'Исходные данные'!C42</f>
        <v>838.1493429618696</v>
      </c>
      <c r="D42" s="4" t="s">
        <v>78</v>
      </c>
    </row>
    <row r="43">
      <c r="A43" s="4" t="s">
        <v>118</v>
      </c>
      <c r="B43" s="4"/>
      <c r="C43" s="38">
        <f>C42/C46</f>
        <v>0.1932933304340356</v>
      </c>
      <c r="D43" s="4" t="s">
        <v>11</v>
      </c>
    </row>
    <row r="44">
      <c r="A44" s="4" t="s">
        <v>119</v>
      </c>
      <c r="B44" s="4"/>
      <c r="C44" s="24">
        <f>C15-(C19+C21+C23+C25+C27+C29+C31+C33+C35+C42)</f>
        <v>628.7885141350398</v>
      </c>
      <c r="D44" s="4" t="s">
        <v>78</v>
      </c>
    </row>
    <row r="45">
      <c r="A45" s="4" t="s">
        <v>120</v>
      </c>
      <c r="B45" s="4"/>
      <c r="C45" s="24">
        <f>C44/C46</f>
        <v>0.14501070370863467</v>
      </c>
      <c r="D45" s="4" t="s">
        <v>11</v>
      </c>
    </row>
    <row r="46">
      <c r="A46" s="4" t="s">
        <v>121</v>
      </c>
      <c r="B46" s="4"/>
      <c r="C46" s="24">
        <f>C19+C21+C23+C25+C27+C29+C31+C33+C35+C42+C44</f>
        <v>4336.152422227012</v>
      </c>
      <c r="D46" s="4" t="s">
        <v>78</v>
      </c>
    </row>
    <row r="47">
      <c r="A47" s="4" t="s">
        <v>122</v>
      </c>
      <c r="B47" s="4"/>
      <c r="C47" s="24">
        <f>C20+C22+C24+C26+C28+C30+C32+C34+C36+C43+C45</f>
        <v>1</v>
      </c>
      <c r="D47" s="4" t="s">
        <v>11</v>
      </c>
    </row>
    <row r="48">
      <c r="C48" s="21"/>
    </row>
    <row r="49">
      <c r="A49" s="10" t="s">
        <v>123</v>
      </c>
      <c r="C49" s="21"/>
    </row>
    <row r="50" ht="35.25" customHeight="1">
      <c r="A50" s="18" t="s">
        <v>124</v>
      </c>
      <c r="B50" s="4" t="s">
        <v>125</v>
      </c>
      <c r="C50" s="24">
        <f>C4+C9-C42</f>
        <v>3307.448079265142</v>
      </c>
      <c r="D50" s="4" t="s">
        <v>78</v>
      </c>
    </row>
    <row r="51" ht="15.75">
      <c r="A51" s="4" t="s">
        <v>126</v>
      </c>
      <c r="B51" s="4"/>
      <c r="C51" s="24">
        <f>C50/('Промежуточные расчеты'!C12*0.001)</f>
        <v>14075.39442261854</v>
      </c>
      <c r="D51" s="5" t="s">
        <v>127</v>
      </c>
    </row>
    <row r="52" ht="15.75">
      <c r="A52" s="4" t="s">
        <v>128</v>
      </c>
      <c r="B52" s="4" t="s">
        <v>129</v>
      </c>
      <c r="C52" s="24">
        <f>100-'Исходные данные'!C19-'Исходные данные'!C20-'Исходные данные'!C21-'Исходные данные'!C22</f>
        <v>82.8</v>
      </c>
      <c r="D52" s="5" t="s">
        <v>11</v>
      </c>
    </row>
    <row r="53">
      <c r="A53" s="4"/>
      <c r="B53" s="4"/>
      <c r="C53" s="24"/>
      <c r="D53" s="5"/>
    </row>
    <row r="54">
      <c r="A54" s="19" t="s">
        <v>130</v>
      </c>
      <c r="B54" s="20"/>
      <c r="C54" s="24"/>
      <c r="D54" s="4"/>
    </row>
    <row r="55">
      <c r="A55" s="4" t="s">
        <v>131</v>
      </c>
      <c r="B55" s="4"/>
      <c r="C55" s="24">
        <f>0.01*C19/'Исходные данные'!C16</f>
        <v>25.531486400000006</v>
      </c>
      <c r="D55" s="5" t="s">
        <v>78</v>
      </c>
    </row>
    <row r="56">
      <c r="A56" s="4" t="s">
        <v>132</v>
      </c>
      <c r="B56" s="20" t="s">
        <v>133</v>
      </c>
      <c r="C56" s="24">
        <f>(C55*1000)/($C$51*0.01*$C$52)</f>
        <v>2.1907115052395807</v>
      </c>
      <c r="D56" s="5" t="s">
        <v>14</v>
      </c>
    </row>
    <row r="57">
      <c r="A57" s="4"/>
      <c r="B57" s="20"/>
      <c r="C57" s="24"/>
      <c r="D57" s="5"/>
    </row>
    <row r="58">
      <c r="A58" s="19" t="s">
        <v>134</v>
      </c>
      <c r="B58" s="4"/>
      <c r="C58" s="24"/>
      <c r="D58" s="4"/>
    </row>
    <row r="59" ht="26.25" customHeight="1">
      <c r="A59" s="18" t="s">
        <v>135</v>
      </c>
      <c r="B59" s="4"/>
      <c r="C59" s="24">
        <f>IF('Исходные данные'!C34=0,0,C45/'Исходные данные'!C34*10)</f>
        <v>0</v>
      </c>
      <c r="D59" s="5" t="s">
        <v>78</v>
      </c>
    </row>
    <row r="60">
      <c r="A60" s="4" t="s">
        <v>132</v>
      </c>
      <c r="B60" s="20" t="s">
        <v>133</v>
      </c>
      <c r="C60" s="24">
        <f>(C59*1000)/($C$51*0.01*$C$52)</f>
        <v>0</v>
      </c>
      <c r="D60" s="5" t="s">
        <v>14</v>
      </c>
    </row>
    <row r="61" ht="27.75" customHeight="1">
      <c r="A61" s="18" t="s">
        <v>136</v>
      </c>
      <c r="B61" s="20" t="s">
        <v>133</v>
      </c>
      <c r="C61" s="24">
        <f>C60*'Исходные данные'!C34/10</f>
        <v>0</v>
      </c>
      <c r="D61" s="5" t="s">
        <v>14</v>
      </c>
    </row>
    <row r="62">
      <c r="A62" s="4"/>
      <c r="B62" s="4"/>
      <c r="C62" s="24"/>
      <c r="D62" s="4"/>
    </row>
    <row r="63">
      <c r="A63" s="19" t="s">
        <v>137</v>
      </c>
      <c r="B63" s="4"/>
      <c r="C63" s="24"/>
      <c r="D63" s="4"/>
    </row>
    <row r="64">
      <c r="A64" s="4" t="s">
        <v>138</v>
      </c>
      <c r="B64" s="4"/>
      <c r="C64" s="24">
        <f>C9/'Исходные данные'!C24*10</f>
        <v>16.164781915364312</v>
      </c>
      <c r="D64" s="5" t="s">
        <v>78</v>
      </c>
    </row>
    <row r="65">
      <c r="A65" s="4" t="s">
        <v>139</v>
      </c>
      <c r="B65" s="20" t="s">
        <v>133</v>
      </c>
      <c r="C65" s="24">
        <f>(C64*1000)/($C$51*0.01*$C$52)</f>
        <v>1.3870079151238646</v>
      </c>
      <c r="D65" s="5" t="s">
        <v>14</v>
      </c>
    </row>
    <row r="66">
      <c r="A66" s="4"/>
      <c r="B66" s="20"/>
      <c r="C66" s="24"/>
      <c r="D66" s="5"/>
    </row>
    <row r="67">
      <c r="A67" s="19" t="s">
        <v>140</v>
      </c>
      <c r="B67" s="20"/>
      <c r="C67" s="24"/>
      <c r="D67" s="5"/>
    </row>
    <row r="68" ht="27.75" customHeight="1">
      <c r="A68" s="18" t="s">
        <v>141</v>
      </c>
      <c r="B68" s="20"/>
      <c r="C68" s="24">
        <f>C11/'Исходные данные'!C27*10</f>
        <v>16.57</v>
      </c>
      <c r="D68" s="5" t="s">
        <v>78</v>
      </c>
    </row>
    <row r="69" ht="15" customHeight="1">
      <c r="A69" s="18" t="s">
        <v>142</v>
      </c>
      <c r="B69" s="20" t="s">
        <v>133</v>
      </c>
      <c r="C69" s="24">
        <f>(C68*1000)/($C$51*0.01*$C$52)</f>
        <v>1.421777372186989</v>
      </c>
      <c r="D69" s="5" t="s">
        <v>14</v>
      </c>
    </row>
    <row r="70">
      <c r="A70" s="18"/>
      <c r="B70" s="20"/>
      <c r="C70" s="24"/>
      <c r="D70" s="5"/>
    </row>
    <row r="71">
      <c r="A71" s="19" t="s">
        <v>143</v>
      </c>
      <c r="B71" s="20"/>
      <c r="C71" s="24"/>
      <c r="D71" s="5"/>
    </row>
    <row r="72" ht="30" customHeight="1">
      <c r="A72" s="18" t="s">
        <v>144</v>
      </c>
      <c r="B72" s="20"/>
      <c r="C72" s="24">
        <f>C31/'Исходные данные'!C25</f>
        <v>0.9685857452123444</v>
      </c>
      <c r="D72" s="5" t="s">
        <v>78</v>
      </c>
    </row>
    <row r="73">
      <c r="A73" s="4" t="s">
        <v>145</v>
      </c>
      <c r="B73" s="20" t="s">
        <v>133</v>
      </c>
      <c r="C73" s="24">
        <f>(C72*1000)/($C$51*0.01*$C$52)</f>
        <v>0.0831088289418095</v>
      </c>
      <c r="D73" s="5" t="s">
        <v>14</v>
      </c>
    </row>
    <row r="74">
      <c r="A74" s="4"/>
      <c r="B74" s="4"/>
      <c r="C74" s="24"/>
      <c r="D74" s="4"/>
    </row>
    <row r="75">
      <c r="A75" s="19" t="s">
        <v>146</v>
      </c>
      <c r="B75" s="4"/>
      <c r="C75" s="24"/>
      <c r="D75" s="4"/>
    </row>
    <row r="76">
      <c r="A76" s="4" t="s">
        <v>147</v>
      </c>
      <c r="B76" s="4"/>
      <c r="C76" s="24">
        <f>C29/'Исходные данные'!C38*10</f>
        <v>18.333000000000002</v>
      </c>
      <c r="D76" s="5" t="s">
        <v>78</v>
      </c>
    </row>
    <row r="77">
      <c r="A77" s="4" t="s">
        <v>148</v>
      </c>
      <c r="B77" s="20" t="s">
        <v>133</v>
      </c>
      <c r="C77" s="24">
        <f>(C76*1000)/($C$51*0.01*$C$52)</f>
        <v>1.5730503659809338</v>
      </c>
      <c r="D77" s="5" t="s">
        <v>14</v>
      </c>
    </row>
    <row r="78">
      <c r="A78" s="4"/>
      <c r="B78" s="4"/>
      <c r="C78" s="24"/>
      <c r="D78" s="4"/>
    </row>
    <row r="79">
      <c r="A79" s="19" t="s">
        <v>149</v>
      </c>
      <c r="B79" s="4"/>
      <c r="C79" s="24"/>
      <c r="D79" s="4"/>
    </row>
    <row r="80">
      <c r="A80" s="4" t="s">
        <v>150</v>
      </c>
      <c r="B80" s="4"/>
      <c r="C80" s="24">
        <f>C15/100</f>
        <v>43.36152422227012</v>
      </c>
      <c r="D80" s="5" t="s">
        <v>78</v>
      </c>
    </row>
    <row r="81">
      <c r="A81" s="4" t="s">
        <v>151</v>
      </c>
      <c r="B81" s="20" t="s">
        <v>133</v>
      </c>
      <c r="C81" s="24">
        <f>(C80*1000)/($C$51*0.01*$C$52)</f>
        <v>3.7206055499554425</v>
      </c>
      <c r="D81" s="5" t="s">
        <v>14</v>
      </c>
    </row>
    <row r="83">
      <c r="C83" s="21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Промежуточные расчеты</vt:lpstr>
      <vt:lpstr>Тепловой баланс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Сахаров</dc:creator>
  <cp:lastModifiedBy>Антон</cp:lastModifiedBy>
  <dcterms:created xsi:type="dcterms:W3CDTF">1996-10-08T23:32:33Z</dcterms:created>
  <dcterms:modified xsi:type="dcterms:W3CDTF">2019-02-26T18:39:38Z</dcterms:modified>
</cp:coreProperties>
</file>