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dou\Documents\Github\FixedIncome-CheatProgram\"/>
    </mc:Choice>
  </mc:AlternateContent>
  <xr:revisionPtr revIDLastSave="0" documentId="13_ncr:1_{14ECEB3E-7695-4404-8262-577348B86FB1}" xr6:coauthVersionLast="47" xr6:coauthVersionMax="47" xr10:uidLastSave="{00000000-0000-0000-0000-000000000000}"/>
  <bookViews>
    <workbookView xWindow="19110" yWindow="-75" windowWidth="19410" windowHeight="21135" activeTab="2" xr2:uid="{77F4B5DE-C807-4EE3-8874-A4C344818973}"/>
  </bookViews>
  <sheets>
    <sheet name="Resume" sheetId="1" r:id="rId1"/>
    <sheet name="Rate and discount" sheetId="3" r:id="rId2"/>
    <sheet name="Bond pricing" sheetId="2" r:id="rId3"/>
    <sheet name="Forwards on bonds" sheetId="4" r:id="rId4"/>
    <sheet name="FRA - Forward Rate Agreement" sheetId="5" r:id="rId5"/>
    <sheet name="IRS - Interest Rate Sw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" l="1"/>
  <c r="O65" i="2"/>
  <c r="P65" i="2"/>
  <c r="Q65" i="2"/>
  <c r="R65" i="2"/>
  <c r="N66" i="2"/>
  <c r="O66" i="2"/>
  <c r="P66" i="2"/>
  <c r="Q66" i="2"/>
  <c r="R66" i="2"/>
  <c r="N67" i="2"/>
  <c r="O67" i="2"/>
  <c r="P67" i="2"/>
  <c r="Q67" i="2"/>
  <c r="R67" i="2"/>
  <c r="N68" i="2"/>
  <c r="O68" i="2"/>
  <c r="P68" i="2"/>
  <c r="Q68" i="2"/>
  <c r="R68" i="2"/>
  <c r="O64" i="2"/>
  <c r="P64" i="2"/>
  <c r="Q64" i="2"/>
  <c r="R64" i="2"/>
  <c r="N64" i="2"/>
  <c r="L68" i="2"/>
  <c r="L67" i="2"/>
  <c r="L66" i="2"/>
  <c r="L65" i="2"/>
  <c r="L64" i="2"/>
  <c r="D65" i="2"/>
  <c r="D21" i="6"/>
  <c r="W20" i="6" a="1"/>
  <c r="W20" i="6" s="1"/>
  <c r="V20" i="6"/>
  <c r="V20" i="6" a="1"/>
  <c r="U20" i="6" a="1"/>
  <c r="U20" i="6" s="1"/>
  <c r="T20" i="6" a="1"/>
  <c r="T20" i="6" s="1"/>
  <c r="S20" i="6" a="1"/>
  <c r="S20" i="6" s="1"/>
  <c r="R20" i="6" a="1"/>
  <c r="R20" i="6" s="1"/>
  <c r="Q20" i="6" a="1"/>
  <c r="Q20" i="6" s="1"/>
  <c r="P20" i="6"/>
  <c r="P20" i="6" a="1"/>
  <c r="O20" i="6" a="1"/>
  <c r="O20" i="6" s="1"/>
  <c r="N20" i="6" a="1"/>
  <c r="N20" i="6" s="1"/>
  <c r="M20" i="6" a="1"/>
  <c r="M20" i="6" s="1"/>
  <c r="L20" i="6" a="1"/>
  <c r="L20" i="6" s="1"/>
  <c r="K20" i="6" a="1"/>
  <c r="K20" i="6" s="1"/>
  <c r="J20" i="6"/>
  <c r="J20" i="6" a="1"/>
  <c r="I20" i="6" a="1"/>
  <c r="I20" i="6" s="1"/>
  <c r="H20" i="6" a="1"/>
  <c r="H20" i="6" s="1"/>
  <c r="D19" i="6"/>
  <c r="D9" i="6"/>
  <c r="W8" i="6" s="1" a="1"/>
  <c r="W8" i="6" s="1"/>
  <c r="D7" i="6"/>
  <c r="AG37" i="5"/>
  <c r="AF16" i="5"/>
  <c r="AO16" i="5"/>
  <c r="AP16" i="5"/>
  <c r="AR16" i="5"/>
  <c r="I13" i="5"/>
  <c r="AD37" i="5" s="1"/>
  <c r="J13" i="5"/>
  <c r="AE37" i="5" s="1"/>
  <c r="K13" i="5"/>
  <c r="AF37" i="5" s="1"/>
  <c r="L13" i="5"/>
  <c r="AG16" i="5" s="1"/>
  <c r="M13" i="5"/>
  <c r="AH16" i="5" s="1"/>
  <c r="N13" i="5"/>
  <c r="AI16" i="5" s="1"/>
  <c r="O13" i="5"/>
  <c r="AJ37" i="5" s="1"/>
  <c r="P13" i="5"/>
  <c r="AK37" i="5" s="1"/>
  <c r="Q13" i="5"/>
  <c r="AL37" i="5" s="1"/>
  <c r="R13" i="5"/>
  <c r="AM37" i="5" s="1"/>
  <c r="S13" i="5"/>
  <c r="AN37" i="5" s="1"/>
  <c r="T13" i="5"/>
  <c r="AO37" i="5" s="1"/>
  <c r="U13" i="5"/>
  <c r="AP37" i="5" s="1"/>
  <c r="V13" i="5"/>
  <c r="AQ37" i="5" s="1"/>
  <c r="W13" i="5"/>
  <c r="AR37" i="5" s="1"/>
  <c r="H13" i="5"/>
  <c r="AC16" i="5" s="1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C38" i="5"/>
  <c r="AB54" i="5"/>
  <c r="AB43" i="5"/>
  <c r="AB42" i="5"/>
  <c r="AB39" i="5" a="1"/>
  <c r="AB53" i="5" s="1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C17" i="5"/>
  <c r="AB18" i="5" a="1"/>
  <c r="AB33" i="5" s="1"/>
  <c r="AB17" i="5"/>
  <c r="G39" i="5" a="1"/>
  <c r="G39" i="5" s="1"/>
  <c r="G49" i="5"/>
  <c r="G50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I37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J52" i="5"/>
  <c r="K52" i="5"/>
  <c r="L52" i="5"/>
  <c r="M52" i="5"/>
  <c r="N52" i="5"/>
  <c r="O52" i="5"/>
  <c r="P52" i="5"/>
  <c r="Q52" i="5"/>
  <c r="R52" i="5"/>
  <c r="S52" i="5"/>
  <c r="T52" i="5"/>
  <c r="U52" i="5"/>
  <c r="J51" i="5"/>
  <c r="K51" i="5"/>
  <c r="L51" i="5"/>
  <c r="M51" i="5"/>
  <c r="N51" i="5"/>
  <c r="O51" i="5"/>
  <c r="P51" i="5"/>
  <c r="Q51" i="5"/>
  <c r="R51" i="5"/>
  <c r="S51" i="5"/>
  <c r="T51" i="5"/>
  <c r="J50" i="5"/>
  <c r="K50" i="5"/>
  <c r="L50" i="5"/>
  <c r="M50" i="5"/>
  <c r="N50" i="5"/>
  <c r="O50" i="5"/>
  <c r="P50" i="5"/>
  <c r="Q50" i="5"/>
  <c r="R50" i="5"/>
  <c r="S50" i="5"/>
  <c r="J49" i="5"/>
  <c r="K49" i="5"/>
  <c r="L49" i="5"/>
  <c r="M49" i="5"/>
  <c r="N49" i="5"/>
  <c r="O49" i="5"/>
  <c r="P49" i="5"/>
  <c r="Q49" i="5"/>
  <c r="R49" i="5"/>
  <c r="J48" i="5"/>
  <c r="K48" i="5"/>
  <c r="L48" i="5"/>
  <c r="M48" i="5"/>
  <c r="N48" i="5"/>
  <c r="O48" i="5"/>
  <c r="P48" i="5"/>
  <c r="Q48" i="5"/>
  <c r="J47" i="5"/>
  <c r="K47" i="5"/>
  <c r="L47" i="5"/>
  <c r="M47" i="5"/>
  <c r="N47" i="5"/>
  <c r="O47" i="5"/>
  <c r="P47" i="5"/>
  <c r="J46" i="5"/>
  <c r="K46" i="5"/>
  <c r="L46" i="5"/>
  <c r="M46" i="5"/>
  <c r="N46" i="5"/>
  <c r="O46" i="5"/>
  <c r="J45" i="5"/>
  <c r="K45" i="5"/>
  <c r="L45" i="5"/>
  <c r="M45" i="5"/>
  <c r="N45" i="5"/>
  <c r="J44" i="5"/>
  <c r="K44" i="5"/>
  <c r="L44" i="5"/>
  <c r="M44" i="5"/>
  <c r="J43" i="5"/>
  <c r="K43" i="5"/>
  <c r="L43" i="5"/>
  <c r="J42" i="5"/>
  <c r="K42" i="5"/>
  <c r="J41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40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I38" i="5"/>
  <c r="H44" i="5"/>
  <c r="H39" i="5" a="1"/>
  <c r="H54" i="5" s="1"/>
  <c r="H38" i="5"/>
  <c r="G18" i="5" a="1"/>
  <c r="G18" i="5" s="1"/>
  <c r="I16" i="5" a="1"/>
  <c r="I16" i="5" s="1"/>
  <c r="L8" i="6" l="1" a="1"/>
  <c r="L8" i="6" s="1"/>
  <c r="M8" i="6" a="1"/>
  <c r="M8" i="6" s="1"/>
  <c r="N8" i="6" a="1"/>
  <c r="N8" i="6" s="1"/>
  <c r="Q8" i="6" a="1"/>
  <c r="Q8" i="6" s="1"/>
  <c r="O8" i="6" a="1"/>
  <c r="O8" i="6" s="1"/>
  <c r="P8" i="6" a="1"/>
  <c r="P8" i="6" s="1"/>
  <c r="R8" i="6" a="1"/>
  <c r="R8" i="6" s="1"/>
  <c r="H8" i="6" a="1"/>
  <c r="H8" i="6" s="1"/>
  <c r="T8" i="6" a="1"/>
  <c r="T8" i="6" s="1"/>
  <c r="I8" i="6" a="1"/>
  <c r="I8" i="6" s="1"/>
  <c r="U8" i="6" a="1"/>
  <c r="U8" i="6" s="1"/>
  <c r="J8" i="6" a="1"/>
  <c r="J8" i="6" s="1"/>
  <c r="V8" i="6" a="1"/>
  <c r="V8" i="6" s="1"/>
  <c r="S8" i="6" a="1"/>
  <c r="S8" i="6" s="1"/>
  <c r="K8" i="6" a="1"/>
  <c r="K8" i="6" s="1"/>
  <c r="AN16" i="5"/>
  <c r="AD16" i="5"/>
  <c r="AC37" i="5"/>
  <c r="AQ16" i="5"/>
  <c r="AE16" i="5"/>
  <c r="AI37" i="5"/>
  <c r="AH37" i="5"/>
  <c r="AM16" i="5"/>
  <c r="AL16" i="5"/>
  <c r="AK16" i="5"/>
  <c r="AA39" i="5" a="1"/>
  <c r="AA43" i="5" s="1"/>
  <c r="AJ16" i="5"/>
  <c r="AA18" i="5" a="1"/>
  <c r="AA26" i="5" s="1"/>
  <c r="AB45" i="5"/>
  <c r="AB46" i="5"/>
  <c r="AB47" i="5"/>
  <c r="AB48" i="5"/>
  <c r="AB50" i="5"/>
  <c r="AB49" i="5"/>
  <c r="AB39" i="5"/>
  <c r="AB51" i="5"/>
  <c r="AB44" i="5"/>
  <c r="AB40" i="5"/>
  <c r="AB52" i="5"/>
  <c r="AB41" i="5"/>
  <c r="AB28" i="5"/>
  <c r="AB24" i="5"/>
  <c r="AB23" i="5"/>
  <c r="AB25" i="5"/>
  <c r="AB22" i="5"/>
  <c r="AB26" i="5"/>
  <c r="AB27" i="5"/>
  <c r="AB19" i="5"/>
  <c r="AB31" i="5"/>
  <c r="AB18" i="5"/>
  <c r="AB20" i="5"/>
  <c r="AB32" i="5"/>
  <c r="AB29" i="5"/>
  <c r="AB30" i="5"/>
  <c r="AB21" i="5"/>
  <c r="G41" i="5"/>
  <c r="G40" i="5"/>
  <c r="G48" i="5"/>
  <c r="G47" i="5"/>
  <c r="G46" i="5"/>
  <c r="G45" i="5"/>
  <c r="G44" i="5"/>
  <c r="G43" i="5"/>
  <c r="G54" i="5"/>
  <c r="G42" i="5"/>
  <c r="G53" i="5"/>
  <c r="G52" i="5"/>
  <c r="G51" i="5"/>
  <c r="H43" i="5"/>
  <c r="H46" i="5"/>
  <c r="H49" i="5"/>
  <c r="H45" i="5"/>
  <c r="H47" i="5"/>
  <c r="H48" i="5"/>
  <c r="H39" i="5"/>
  <c r="H50" i="5"/>
  <c r="H51" i="5"/>
  <c r="H40" i="5"/>
  <c r="H52" i="5"/>
  <c r="H41" i="5"/>
  <c r="H53" i="5"/>
  <c r="H42" i="5"/>
  <c r="G19" i="5"/>
  <c r="I19" i="5" s="1"/>
  <c r="G29" i="5"/>
  <c r="G28" i="5"/>
  <c r="G27" i="5"/>
  <c r="G26" i="5"/>
  <c r="G25" i="5"/>
  <c r="G24" i="5"/>
  <c r="G23" i="5"/>
  <c r="G22" i="5"/>
  <c r="G33" i="5"/>
  <c r="G21" i="5"/>
  <c r="G32" i="5"/>
  <c r="G20" i="5"/>
  <c r="G31" i="5"/>
  <c r="G30" i="5"/>
  <c r="AA44" i="5" l="1"/>
  <c r="AA45" i="5"/>
  <c r="AA47" i="5"/>
  <c r="AA40" i="5"/>
  <c r="AA52" i="5"/>
  <c r="AA53" i="5"/>
  <c r="AA48" i="5"/>
  <c r="AA54" i="5"/>
  <c r="AC26" i="5"/>
  <c r="AC47" i="5" s="1"/>
  <c r="AD26" i="5"/>
  <c r="AD47" i="5" s="1"/>
  <c r="AE26" i="5"/>
  <c r="AE47" i="5" s="1"/>
  <c r="AF26" i="5"/>
  <c r="AF47" i="5" s="1"/>
  <c r="AG26" i="5"/>
  <c r="AH26" i="5"/>
  <c r="AI26" i="5"/>
  <c r="AJ26" i="5"/>
  <c r="AJ47" i="5" s="1"/>
  <c r="AA51" i="5"/>
  <c r="AA42" i="5"/>
  <c r="AA39" i="5"/>
  <c r="AA49" i="5"/>
  <c r="AA50" i="5"/>
  <c r="AA41" i="5"/>
  <c r="AA46" i="5"/>
  <c r="AA22" i="5"/>
  <c r="AA21" i="5"/>
  <c r="AA33" i="5"/>
  <c r="AH47" i="5"/>
  <c r="AA25" i="5"/>
  <c r="AA23" i="5"/>
  <c r="AA31" i="5"/>
  <c r="AA30" i="5"/>
  <c r="AA24" i="5"/>
  <c r="AA20" i="5"/>
  <c r="AA19" i="5"/>
  <c r="AC19" i="5" s="1"/>
  <c r="AC40" i="5" s="1"/>
  <c r="AA32" i="5"/>
  <c r="AA18" i="5"/>
  <c r="AA28" i="5"/>
  <c r="AA27" i="5"/>
  <c r="AA29" i="5"/>
  <c r="AG47" i="5"/>
  <c r="AI47" i="5"/>
  <c r="S32" i="5"/>
  <c r="Q32" i="5"/>
  <c r="U32" i="5"/>
  <c r="M32" i="5"/>
  <c r="L32" i="5"/>
  <c r="N32" i="5"/>
  <c r="K32" i="5"/>
  <c r="R32" i="5"/>
  <c r="O32" i="5"/>
  <c r="J32" i="5"/>
  <c r="I32" i="5"/>
  <c r="T32" i="5"/>
  <c r="P32" i="5"/>
  <c r="V32" i="5"/>
  <c r="W33" i="5"/>
  <c r="V33" i="5"/>
  <c r="S33" i="5"/>
  <c r="I33" i="5"/>
  <c r="U33" i="5"/>
  <c r="M33" i="5"/>
  <c r="L33" i="5"/>
  <c r="P33" i="5"/>
  <c r="Q33" i="5"/>
  <c r="N33" i="5"/>
  <c r="K33" i="5"/>
  <c r="R33" i="5"/>
  <c r="O33" i="5"/>
  <c r="J33" i="5"/>
  <c r="T33" i="5"/>
  <c r="I23" i="5"/>
  <c r="M23" i="5"/>
  <c r="L23" i="5"/>
  <c r="K23" i="5"/>
  <c r="J23" i="5"/>
  <c r="M30" i="5"/>
  <c r="L30" i="5"/>
  <c r="Q30" i="5"/>
  <c r="R30" i="5"/>
  <c r="O30" i="5"/>
  <c r="J30" i="5"/>
  <c r="T30" i="5"/>
  <c r="N30" i="5"/>
  <c r="I30" i="5"/>
  <c r="K30" i="5"/>
  <c r="P30" i="5"/>
  <c r="S30" i="5"/>
  <c r="Q31" i="5"/>
  <c r="N31" i="5"/>
  <c r="K31" i="5"/>
  <c r="T31" i="5"/>
  <c r="L31" i="5"/>
  <c r="S31" i="5"/>
  <c r="U31" i="5"/>
  <c r="R31" i="5"/>
  <c r="O31" i="5"/>
  <c r="J31" i="5"/>
  <c r="I31" i="5"/>
  <c r="P31" i="5"/>
  <c r="M31" i="5"/>
  <c r="M29" i="5"/>
  <c r="L29" i="5"/>
  <c r="N29" i="5"/>
  <c r="K29" i="5"/>
  <c r="R29" i="5"/>
  <c r="O29" i="5"/>
  <c r="J29" i="5"/>
  <c r="P29" i="5"/>
  <c r="S29" i="5"/>
  <c r="I29" i="5"/>
  <c r="Q29" i="5"/>
  <c r="K21" i="5"/>
  <c r="J21" i="5"/>
  <c r="I21" i="5"/>
  <c r="I22" i="5"/>
  <c r="K22" i="5"/>
  <c r="L22" i="5"/>
  <c r="J22" i="5"/>
  <c r="N24" i="5"/>
  <c r="K24" i="5"/>
  <c r="M24" i="5"/>
  <c r="L24" i="5"/>
  <c r="J24" i="5"/>
  <c r="I24" i="5"/>
  <c r="I25" i="5"/>
  <c r="L25" i="5"/>
  <c r="N25" i="5"/>
  <c r="K25" i="5"/>
  <c r="M25" i="5"/>
  <c r="J25" i="5"/>
  <c r="O25" i="5"/>
  <c r="O26" i="5"/>
  <c r="J26" i="5"/>
  <c r="I26" i="5"/>
  <c r="L26" i="5"/>
  <c r="K26" i="5"/>
  <c r="M26" i="5"/>
  <c r="N26" i="5"/>
  <c r="P26" i="5"/>
  <c r="O27" i="5"/>
  <c r="J27" i="5"/>
  <c r="Q27" i="5"/>
  <c r="L27" i="5"/>
  <c r="P27" i="5"/>
  <c r="I27" i="5"/>
  <c r="K27" i="5"/>
  <c r="N27" i="5"/>
  <c r="M27" i="5"/>
  <c r="N28" i="5"/>
  <c r="K28" i="5"/>
  <c r="I28" i="5"/>
  <c r="O28" i="5"/>
  <c r="J28" i="5"/>
  <c r="P28" i="5"/>
  <c r="Q28" i="5"/>
  <c r="M28" i="5"/>
  <c r="R28" i="5"/>
  <c r="L28" i="5"/>
  <c r="J20" i="5"/>
  <c r="I20" i="5"/>
  <c r="O13" i="1"/>
  <c r="D7" i="5"/>
  <c r="H17" i="5"/>
  <c r="D9" i="5"/>
  <c r="I8" i="5" s="1" a="1"/>
  <c r="I8" i="5" s="1"/>
  <c r="D10" i="4"/>
  <c r="G8" i="4"/>
  <c r="D9" i="4"/>
  <c r="N56" i="3"/>
  <c r="O56" i="3"/>
  <c r="P56" i="3"/>
  <c r="Q56" i="3"/>
  <c r="R56" i="3"/>
  <c r="S56" i="3"/>
  <c r="T56" i="3"/>
  <c r="U56" i="3"/>
  <c r="V56" i="3"/>
  <c r="W56" i="3"/>
  <c r="I54" i="3"/>
  <c r="I56" i="3" s="1"/>
  <c r="J54" i="3"/>
  <c r="J56" i="3" s="1"/>
  <c r="K54" i="3"/>
  <c r="K56" i="3" s="1"/>
  <c r="L54" i="3"/>
  <c r="L56" i="3" s="1"/>
  <c r="M54" i="3"/>
  <c r="M56" i="3" s="1"/>
  <c r="N54" i="3"/>
  <c r="O54" i="3"/>
  <c r="P54" i="3"/>
  <c r="Q54" i="3"/>
  <c r="R54" i="3"/>
  <c r="S54" i="3"/>
  <c r="T54" i="3"/>
  <c r="U54" i="3"/>
  <c r="V54" i="3"/>
  <c r="W54" i="3"/>
  <c r="H54" i="3"/>
  <c r="H56" i="3" s="1"/>
  <c r="D51" i="3"/>
  <c r="I51" i="3" s="1"/>
  <c r="O7" i="1"/>
  <c r="V43" i="3"/>
  <c r="T43" i="3"/>
  <c r="R43" i="3"/>
  <c r="P43" i="3"/>
  <c r="N43" i="3"/>
  <c r="L43" i="3"/>
  <c r="J43" i="3"/>
  <c r="H43" i="3"/>
  <c r="W43" i="3"/>
  <c r="U43" i="3"/>
  <c r="S43" i="3"/>
  <c r="Q43" i="3"/>
  <c r="O43" i="3"/>
  <c r="M43" i="3"/>
  <c r="K43" i="3"/>
  <c r="I43" i="3"/>
  <c r="L41" i="3"/>
  <c r="N41" i="3"/>
  <c r="P41" i="3"/>
  <c r="D43" i="3"/>
  <c r="I41" i="3" s="1"/>
  <c r="D42" i="3"/>
  <c r="K34" i="3"/>
  <c r="N34" i="3"/>
  <c r="O34" i="3"/>
  <c r="P34" i="3"/>
  <c r="Q34" i="3"/>
  <c r="R34" i="3"/>
  <c r="S34" i="3"/>
  <c r="T34" i="3"/>
  <c r="U34" i="3"/>
  <c r="V34" i="3"/>
  <c r="W34" i="3"/>
  <c r="D31" i="3"/>
  <c r="O31" i="3" s="1"/>
  <c r="O14" i="1"/>
  <c r="O15" i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M21" i="2"/>
  <c r="N21" i="2"/>
  <c r="O21" i="2"/>
  <c r="P21" i="2"/>
  <c r="Q21" i="2"/>
  <c r="R21" i="2"/>
  <c r="S21" i="2"/>
  <c r="T21" i="2"/>
  <c r="U21" i="2"/>
  <c r="V21" i="2"/>
  <c r="W21" i="2"/>
  <c r="H22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H53" i="2"/>
  <c r="N52" i="2"/>
  <c r="O52" i="2"/>
  <c r="P52" i="2"/>
  <c r="Q52" i="2"/>
  <c r="R52" i="2"/>
  <c r="R54" i="2" s="1"/>
  <c r="R55" i="2" s="1"/>
  <c r="S52" i="2"/>
  <c r="S54" i="2" s="1"/>
  <c r="S55" i="2" s="1"/>
  <c r="T52" i="2"/>
  <c r="T54" i="2" s="1"/>
  <c r="T55" i="2" s="1"/>
  <c r="U52" i="2"/>
  <c r="U54" i="2" s="1"/>
  <c r="U55" i="2" s="1"/>
  <c r="V52" i="2"/>
  <c r="W52" i="2"/>
  <c r="D50" i="2"/>
  <c r="I50" i="2" s="1"/>
  <c r="E35" i="2"/>
  <c r="O4" i="1"/>
  <c r="D39" i="2"/>
  <c r="I39" i="2" s="1"/>
  <c r="O5" i="1"/>
  <c r="M23" i="3"/>
  <c r="N23" i="3"/>
  <c r="O23" i="3"/>
  <c r="P23" i="3"/>
  <c r="Q23" i="3"/>
  <c r="R23" i="3"/>
  <c r="S23" i="3"/>
  <c r="T23" i="3"/>
  <c r="U23" i="3"/>
  <c r="V23" i="3"/>
  <c r="W23" i="3"/>
  <c r="D19" i="3"/>
  <c r="O54" i="2" l="1"/>
  <c r="O55" i="2" s="1"/>
  <c r="M52" i="2"/>
  <c r="L52" i="2"/>
  <c r="K52" i="2"/>
  <c r="AD22" i="5"/>
  <c r="AD43" i="5" s="1"/>
  <c r="AE22" i="5"/>
  <c r="AE43" i="5" s="1"/>
  <c r="AF22" i="5"/>
  <c r="AF43" i="5" s="1"/>
  <c r="AC22" i="5"/>
  <c r="AC43" i="5" s="1"/>
  <c r="AD30" i="5"/>
  <c r="AD51" i="5" s="1"/>
  <c r="AG30" i="5"/>
  <c r="AG51" i="5" s="1"/>
  <c r="AE30" i="5"/>
  <c r="AE51" i="5" s="1"/>
  <c r="AF30" i="5"/>
  <c r="AF51" i="5" s="1"/>
  <c r="AH30" i="5"/>
  <c r="AH51" i="5" s="1"/>
  <c r="AC30" i="5"/>
  <c r="AC51" i="5" s="1"/>
  <c r="AJ30" i="5"/>
  <c r="AJ51" i="5" s="1"/>
  <c r="AI30" i="5"/>
  <c r="AI51" i="5" s="1"/>
  <c r="AK30" i="5"/>
  <c r="AK51" i="5" s="1"/>
  <c r="AL30" i="5"/>
  <c r="AL51" i="5" s="1"/>
  <c r="AM30" i="5"/>
  <c r="AM51" i="5" s="1"/>
  <c r="AN30" i="5"/>
  <c r="AN51" i="5" s="1"/>
  <c r="AO31" i="5"/>
  <c r="AO52" i="5" s="1"/>
  <c r="AD31" i="5"/>
  <c r="AD52" i="5" s="1"/>
  <c r="AE31" i="5"/>
  <c r="AE52" i="5" s="1"/>
  <c r="AF31" i="5"/>
  <c r="AF52" i="5" s="1"/>
  <c r="AG31" i="5"/>
  <c r="AH31" i="5"/>
  <c r="AH52" i="5" s="1"/>
  <c r="AI31" i="5"/>
  <c r="AI52" i="5" s="1"/>
  <c r="AC31" i="5"/>
  <c r="AC52" i="5" s="1"/>
  <c r="AJ31" i="5"/>
  <c r="AK31" i="5"/>
  <c r="AL31" i="5"/>
  <c r="AM31" i="5"/>
  <c r="AN31" i="5"/>
  <c r="AN52" i="5" s="1"/>
  <c r="AD29" i="5"/>
  <c r="AD50" i="5" s="1"/>
  <c r="AE29" i="5"/>
  <c r="AE50" i="5" s="1"/>
  <c r="AH29" i="5"/>
  <c r="AH50" i="5" s="1"/>
  <c r="AF29" i="5"/>
  <c r="AF50" i="5" s="1"/>
  <c r="AC29" i="5"/>
  <c r="AC50" i="5" s="1"/>
  <c r="AG29" i="5"/>
  <c r="AG50" i="5" s="1"/>
  <c r="AI29" i="5"/>
  <c r="AJ29" i="5"/>
  <c r="AJ50" i="5" s="1"/>
  <c r="AK29" i="5"/>
  <c r="AL29" i="5"/>
  <c r="AM29" i="5"/>
  <c r="AG23" i="5"/>
  <c r="AG44" i="5" s="1"/>
  <c r="AD23" i="5"/>
  <c r="AD44" i="5" s="1"/>
  <c r="AE23" i="5"/>
  <c r="AE44" i="5" s="1"/>
  <c r="AC23" i="5"/>
  <c r="AC44" i="5" s="1"/>
  <c r="AF23" i="5"/>
  <c r="AF44" i="5" s="1"/>
  <c r="AF25" i="5"/>
  <c r="AF46" i="5" s="1"/>
  <c r="AC25" i="5"/>
  <c r="AC46" i="5" s="1"/>
  <c r="AG25" i="5"/>
  <c r="AG46" i="5" s="1"/>
  <c r="AH25" i="5"/>
  <c r="AI25" i="5"/>
  <c r="AD25" i="5"/>
  <c r="AD46" i="5" s="1"/>
  <c r="AE25" i="5"/>
  <c r="AE46" i="5" s="1"/>
  <c r="AF28" i="5"/>
  <c r="AG28" i="5"/>
  <c r="AG49" i="5" s="1"/>
  <c r="AH28" i="5"/>
  <c r="AH49" i="5" s="1"/>
  <c r="AJ28" i="5"/>
  <c r="AJ49" i="5" s="1"/>
  <c r="AI28" i="5"/>
  <c r="AI49" i="5" s="1"/>
  <c r="AC28" i="5"/>
  <c r="AC49" i="5" s="1"/>
  <c r="AK28" i="5"/>
  <c r="AL28" i="5"/>
  <c r="AD28" i="5"/>
  <c r="AD49" i="5" s="1"/>
  <c r="AE28" i="5"/>
  <c r="AE49" i="5" s="1"/>
  <c r="AD32" i="5"/>
  <c r="AD53" i="5" s="1"/>
  <c r="AP32" i="5"/>
  <c r="AP53" i="5" s="1"/>
  <c r="AE32" i="5"/>
  <c r="AE53" i="5" s="1"/>
  <c r="AF32" i="5"/>
  <c r="AH32" i="5"/>
  <c r="AH53" i="5" s="1"/>
  <c r="AG32" i="5"/>
  <c r="AG53" i="5" s="1"/>
  <c r="AI32" i="5"/>
  <c r="AI53" i="5" s="1"/>
  <c r="AK32" i="5"/>
  <c r="AK53" i="5" s="1"/>
  <c r="AC32" i="5"/>
  <c r="AC53" i="5" s="1"/>
  <c r="AJ32" i="5"/>
  <c r="AJ53" i="5" s="1"/>
  <c r="AL32" i="5"/>
  <c r="AL53" i="5" s="1"/>
  <c r="AM32" i="5"/>
  <c r="AM53" i="5" s="1"/>
  <c r="AN32" i="5"/>
  <c r="AN53" i="5" s="1"/>
  <c r="AO32" i="5"/>
  <c r="AO53" i="5" s="1"/>
  <c r="AF33" i="5"/>
  <c r="AF54" i="5" s="1"/>
  <c r="AG33" i="5"/>
  <c r="AG54" i="5" s="1"/>
  <c r="AJ33" i="5"/>
  <c r="AJ54" i="5" s="1"/>
  <c r="AH33" i="5"/>
  <c r="AH54" i="5" s="1"/>
  <c r="AI33" i="5"/>
  <c r="AI54" i="5" s="1"/>
  <c r="AC33" i="5"/>
  <c r="AC54" i="5" s="1"/>
  <c r="AK33" i="5"/>
  <c r="AK54" i="5" s="1"/>
  <c r="AL33" i="5"/>
  <c r="AL54" i="5" s="1"/>
  <c r="AM33" i="5"/>
  <c r="AM54" i="5" s="1"/>
  <c r="AN33" i="5"/>
  <c r="AN54" i="5" s="1"/>
  <c r="AO33" i="5"/>
  <c r="AO54" i="5" s="1"/>
  <c r="AD33" i="5"/>
  <c r="AD54" i="5" s="1"/>
  <c r="AP33" i="5"/>
  <c r="AP54" i="5" s="1"/>
  <c r="AE33" i="5"/>
  <c r="AE54" i="5" s="1"/>
  <c r="AQ33" i="5"/>
  <c r="AQ54" i="5" s="1"/>
  <c r="AE45" i="5"/>
  <c r="AD24" i="5"/>
  <c r="AD45" i="5" s="1"/>
  <c r="AE24" i="5"/>
  <c r="AG24" i="5"/>
  <c r="AG45" i="5" s="1"/>
  <c r="AF24" i="5"/>
  <c r="AF45" i="5" s="1"/>
  <c r="AH24" i="5"/>
  <c r="AH45" i="5" s="1"/>
  <c r="AC24" i="5"/>
  <c r="AC45" i="5" s="1"/>
  <c r="AB38" i="5"/>
  <c r="AI27" i="5"/>
  <c r="AI48" i="5" s="1"/>
  <c r="AJ27" i="5"/>
  <c r="AJ48" i="5" s="1"/>
  <c r="AK27" i="5"/>
  <c r="AC27" i="5"/>
  <c r="AC48" i="5" s="1"/>
  <c r="AD27" i="5"/>
  <c r="AD48" i="5" s="1"/>
  <c r="AE27" i="5"/>
  <c r="AE48" i="5" s="1"/>
  <c r="AF27" i="5"/>
  <c r="AG27" i="5"/>
  <c r="AG48" i="5" s="1"/>
  <c r="AH27" i="5"/>
  <c r="AH48" i="5" s="1"/>
  <c r="AD20" i="5"/>
  <c r="AD41" i="5" s="1"/>
  <c r="AC20" i="5"/>
  <c r="AC41" i="5" s="1"/>
  <c r="AD21" i="5"/>
  <c r="AD42" i="5" s="1"/>
  <c r="AE21" i="5"/>
  <c r="AE42" i="5" s="1"/>
  <c r="AC21" i="5"/>
  <c r="AC42" i="5" s="1"/>
  <c r="AK48" i="5"/>
  <c r="AF48" i="5"/>
  <c r="AL49" i="5"/>
  <c r="AK49" i="5"/>
  <c r="AI50" i="5"/>
  <c r="AM50" i="5"/>
  <c r="AF49" i="5"/>
  <c r="AF53" i="5"/>
  <c r="AM52" i="5"/>
  <c r="AH46" i="5"/>
  <c r="AI46" i="5"/>
  <c r="AJ52" i="5"/>
  <c r="AK52" i="5"/>
  <c r="AK50" i="5"/>
  <c r="AL52" i="5"/>
  <c r="AG52" i="5"/>
  <c r="AL50" i="5"/>
  <c r="J17" i="5"/>
  <c r="P8" i="5" a="1"/>
  <c r="P8" i="5" s="1"/>
  <c r="Q8" i="5" a="1"/>
  <c r="Q8" i="5" s="1"/>
  <c r="N8" i="5" a="1"/>
  <c r="N8" i="5" s="1"/>
  <c r="M8" i="5" a="1"/>
  <c r="M8" i="5" s="1"/>
  <c r="W8" i="5" a="1"/>
  <c r="W8" i="5" s="1"/>
  <c r="L8" i="5" a="1"/>
  <c r="L8" i="5" s="1"/>
  <c r="O8" i="5" a="1"/>
  <c r="O8" i="5" s="1"/>
  <c r="S8" i="5" a="1"/>
  <c r="S8" i="5" s="1"/>
  <c r="K8" i="5" a="1"/>
  <c r="K8" i="5" s="1"/>
  <c r="H8" i="5" a="1"/>
  <c r="H8" i="5" s="1"/>
  <c r="U8" i="5" a="1"/>
  <c r="U8" i="5" s="1"/>
  <c r="J8" i="5" a="1"/>
  <c r="J8" i="5" s="1"/>
  <c r="V8" i="5" a="1"/>
  <c r="V8" i="5" s="1"/>
  <c r="T8" i="5" a="1"/>
  <c r="T8" i="5" s="1"/>
  <c r="R8" i="5" a="1"/>
  <c r="R8" i="5" s="1"/>
  <c r="H41" i="3"/>
  <c r="T41" i="3"/>
  <c r="S41" i="3"/>
  <c r="T51" i="3"/>
  <c r="R41" i="3"/>
  <c r="P51" i="3"/>
  <c r="Q41" i="3"/>
  <c r="O51" i="3"/>
  <c r="O41" i="3"/>
  <c r="M41" i="3"/>
  <c r="V51" i="3"/>
  <c r="W41" i="3"/>
  <c r="K41" i="3"/>
  <c r="S51" i="3"/>
  <c r="M34" i="3"/>
  <c r="V41" i="3"/>
  <c r="J41" i="3"/>
  <c r="R51" i="3"/>
  <c r="L34" i="3"/>
  <c r="U41" i="3"/>
  <c r="Q51" i="3"/>
  <c r="N51" i="3"/>
  <c r="M51" i="3"/>
  <c r="H51" i="3"/>
  <c r="L51" i="3"/>
  <c r="W51" i="3"/>
  <c r="K51" i="3"/>
  <c r="J51" i="3"/>
  <c r="U51" i="3"/>
  <c r="M31" i="3"/>
  <c r="V31" i="3"/>
  <c r="I31" i="3"/>
  <c r="T31" i="3"/>
  <c r="H34" i="3"/>
  <c r="N31" i="3"/>
  <c r="J31" i="3"/>
  <c r="S31" i="3"/>
  <c r="H31" i="3"/>
  <c r="R31" i="3"/>
  <c r="J34" i="3"/>
  <c r="L31" i="3"/>
  <c r="Q31" i="3"/>
  <c r="I34" i="3"/>
  <c r="K31" i="3"/>
  <c r="P31" i="3"/>
  <c r="W31" i="3"/>
  <c r="U31" i="3"/>
  <c r="Q54" i="2"/>
  <c r="Q55" i="2" s="1"/>
  <c r="P54" i="2"/>
  <c r="P55" i="2" s="1"/>
  <c r="L54" i="2"/>
  <c r="L55" i="2" s="1"/>
  <c r="V54" i="2"/>
  <c r="V55" i="2" s="1"/>
  <c r="J52" i="2"/>
  <c r="J54" i="2" s="1"/>
  <c r="J55" i="2" s="1"/>
  <c r="I52" i="2"/>
  <c r="I54" i="2" s="1"/>
  <c r="I55" i="2" s="1"/>
  <c r="H52" i="2"/>
  <c r="H54" i="2" s="1"/>
  <c r="H55" i="2" s="1"/>
  <c r="K54" i="2"/>
  <c r="K55" i="2" s="1"/>
  <c r="N54" i="2"/>
  <c r="N55" i="2" s="1"/>
  <c r="M54" i="2"/>
  <c r="M55" i="2" s="1"/>
  <c r="W54" i="2"/>
  <c r="W55" i="2" s="1"/>
  <c r="S50" i="2"/>
  <c r="R50" i="2"/>
  <c r="T50" i="2"/>
  <c r="Q50" i="2"/>
  <c r="O50" i="2"/>
  <c r="M50" i="2"/>
  <c r="H50" i="2"/>
  <c r="L50" i="2"/>
  <c r="W50" i="2"/>
  <c r="K50" i="2"/>
  <c r="P50" i="2"/>
  <c r="V50" i="2"/>
  <c r="J50" i="2"/>
  <c r="N50" i="2"/>
  <c r="U50" i="2"/>
  <c r="I42" i="2" a="1"/>
  <c r="I42" i="2" s="1"/>
  <c r="T39" i="2"/>
  <c r="R39" i="2"/>
  <c r="P39" i="2"/>
  <c r="M39" i="2"/>
  <c r="H39" i="2"/>
  <c r="L39" i="2"/>
  <c r="N39" i="2"/>
  <c r="W39" i="2"/>
  <c r="K39" i="2"/>
  <c r="V39" i="2"/>
  <c r="J39" i="2"/>
  <c r="S39" i="2"/>
  <c r="Q39" i="2"/>
  <c r="O39" i="2"/>
  <c r="U39" i="2"/>
  <c r="M12" i="3"/>
  <c r="N12" i="3"/>
  <c r="O12" i="3"/>
  <c r="P12" i="3"/>
  <c r="Q12" i="3"/>
  <c r="R12" i="3"/>
  <c r="S12" i="3"/>
  <c r="T12" i="3"/>
  <c r="U12" i="3"/>
  <c r="V12" i="3"/>
  <c r="W12" i="3"/>
  <c r="D8" i="3"/>
  <c r="J8" i="3" s="1"/>
  <c r="J12" i="3" s="1"/>
  <c r="O12" i="1"/>
  <c r="K29" i="2"/>
  <c r="K28" i="2"/>
  <c r="K26" i="2"/>
  <c r="K27" i="2"/>
  <c r="D22" i="2"/>
  <c r="H10" i="2"/>
  <c r="D12" i="2"/>
  <c r="H8" i="2" s="1"/>
  <c r="H57" i="2" l="1"/>
  <c r="X17" i="5"/>
  <c r="T17" i="5"/>
  <c r="M17" i="5"/>
  <c r="N17" i="5"/>
  <c r="O17" i="5"/>
  <c r="R17" i="5"/>
  <c r="W17" i="5"/>
  <c r="Q17" i="5"/>
  <c r="K17" i="5"/>
  <c r="V17" i="5"/>
  <c r="P17" i="5"/>
  <c r="S17" i="5"/>
  <c r="U17" i="5"/>
  <c r="I17" i="5"/>
  <c r="L17" i="5"/>
  <c r="N8" i="3"/>
  <c r="S8" i="3"/>
  <c r="R8" i="3"/>
  <c r="Q8" i="3"/>
  <c r="O8" i="3"/>
  <c r="P8" i="3"/>
  <c r="G8" i="3"/>
  <c r="L8" i="3"/>
  <c r="L12" i="3" s="1"/>
  <c r="K8" i="3"/>
  <c r="K12" i="3" s="1"/>
  <c r="W8" i="3"/>
  <c r="V8" i="3"/>
  <c r="J19" i="3"/>
  <c r="J23" i="3" s="1"/>
  <c r="G31" i="3"/>
  <c r="T19" i="3"/>
  <c r="H19" i="3"/>
  <c r="H23" i="3" s="1"/>
  <c r="S19" i="3"/>
  <c r="G19" i="3"/>
  <c r="Q19" i="3"/>
  <c r="L19" i="3"/>
  <c r="L23" i="3" s="1"/>
  <c r="R19" i="3"/>
  <c r="O19" i="3"/>
  <c r="I19" i="3"/>
  <c r="I23" i="3" s="1"/>
  <c r="P19" i="3"/>
  <c r="G51" i="3"/>
  <c r="G41" i="3"/>
  <c r="U19" i="3"/>
  <c r="N19" i="3"/>
  <c r="M19" i="3"/>
  <c r="W19" i="3"/>
  <c r="K19" i="3"/>
  <c r="K23" i="3" s="1"/>
  <c r="V19" i="3"/>
  <c r="M8" i="3"/>
  <c r="U8" i="3"/>
  <c r="I8" i="3"/>
  <c r="I12" i="3" s="1"/>
  <c r="T8" i="3"/>
  <c r="H8" i="3"/>
  <c r="H12" i="3" s="1"/>
  <c r="I20" i="2" a="1"/>
  <c r="I20" i="2" s="1"/>
  <c r="I21" i="2"/>
  <c r="K21" i="2"/>
  <c r="H21" i="2"/>
  <c r="J21" i="2"/>
  <c r="L21" i="2"/>
  <c r="H11" i="2"/>
  <c r="I23" i="2"/>
  <c r="P20" i="2" a="1"/>
  <c r="P20" i="2" s="1"/>
  <c r="W20" i="2" a="1"/>
  <c r="W20" i="2" s="1"/>
  <c r="V20" i="2" a="1"/>
  <c r="V20" i="2" s="1"/>
  <c r="U20" i="2" a="1"/>
  <c r="U20" i="2" s="1"/>
  <c r="L20" i="2" a="1"/>
  <c r="L20" i="2" s="1"/>
  <c r="R20" i="2" a="1"/>
  <c r="R20" i="2" s="1"/>
  <c r="J20" i="2" a="1"/>
  <c r="J20" i="2" s="1"/>
  <c r="H20" i="2" a="1"/>
  <c r="H20" i="2" s="1"/>
  <c r="O20" i="2" a="1"/>
  <c r="O20" i="2" s="1"/>
  <c r="N20" i="2" a="1"/>
  <c r="N20" i="2" s="1"/>
  <c r="M20" i="2" a="1"/>
  <c r="M20" i="2" s="1"/>
  <c r="T20" i="2" a="1"/>
  <c r="T20" i="2" s="1"/>
  <c r="S20" i="2" a="1"/>
  <c r="S20" i="2" s="1"/>
  <c r="K20" i="2" a="1"/>
  <c r="K20" i="2" s="1"/>
  <c r="Q20" i="2" a="1"/>
  <c r="Q20" i="2" s="1"/>
  <c r="H18" i="5" l="1" a="1"/>
  <c r="M23" i="2"/>
  <c r="H18" i="5" l="1"/>
  <c r="H20" i="5"/>
  <c r="H32" i="5"/>
  <c r="H31" i="5"/>
  <c r="H29" i="5"/>
  <c r="H30" i="5"/>
  <c r="H28" i="5"/>
  <c r="H26" i="5"/>
  <c r="H25" i="5"/>
  <c r="H24" i="5"/>
  <c r="H23" i="5"/>
  <c r="H22" i="5"/>
  <c r="H33" i="5"/>
  <c r="H21" i="5"/>
  <c r="H19" i="5"/>
  <c r="H27" i="5"/>
  <c r="W23" i="2"/>
  <c r="T23" i="2"/>
  <c r="J23" i="2"/>
  <c r="K23" i="2"/>
  <c r="R23" i="2"/>
  <c r="Q23" i="2"/>
  <c r="L23" i="2"/>
  <c r="V23" i="2"/>
  <c r="U23" i="2"/>
  <c r="P23" i="2"/>
  <c r="S23" i="2"/>
  <c r="O23" i="2"/>
  <c r="N23" i="2"/>
  <c r="H23" i="2"/>
  <c r="I29" i="2" l="1" a="1"/>
  <c r="I29" i="2" s="1"/>
  <c r="I28" i="2" a="1"/>
  <c r="I28" i="2" s="1"/>
  <c r="I27" i="2" a="1"/>
  <c r="I27" i="2" s="1"/>
  <c r="I26" i="2" a="1"/>
  <c r="I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<sst xmlns="http://schemas.openxmlformats.org/spreadsheetml/2006/main" count="271" uniqueCount="133">
  <si>
    <t>Rates</t>
  </si>
  <si>
    <t>Bonds</t>
  </si>
  <si>
    <t>Bound Pricing</t>
  </si>
  <si>
    <t>Inputs</t>
  </si>
  <si>
    <t>Nominal value</t>
  </si>
  <si>
    <t>N</t>
  </si>
  <si>
    <t>Coupon rate</t>
  </si>
  <si>
    <t>c</t>
  </si>
  <si>
    <t>Frequency of coupon</t>
  </si>
  <si>
    <t>n</t>
  </si>
  <si>
    <t>delta</t>
  </si>
  <si>
    <t>∆</t>
  </si>
  <si>
    <t>Computation of the Dirty Price</t>
  </si>
  <si>
    <t>Dirty price</t>
  </si>
  <si>
    <t>days</t>
  </si>
  <si>
    <t>Outputs</t>
  </si>
  <si>
    <t>Accrued interest</t>
  </si>
  <si>
    <t>Clean Price</t>
  </si>
  <si>
    <t>Yield To Maturity</t>
  </si>
  <si>
    <t>Nominal</t>
  </si>
  <si>
    <t>Delta</t>
  </si>
  <si>
    <t>i</t>
  </si>
  <si>
    <t>Ti</t>
  </si>
  <si>
    <t>CF(coupons)</t>
  </si>
  <si>
    <t>CF(Nominal)</t>
  </si>
  <si>
    <t>Last coupon payment</t>
  </si>
  <si>
    <t>Coupon price</t>
  </si>
  <si>
    <t>PV(2-compounded)</t>
  </si>
  <si>
    <t>Objective</t>
  </si>
  <si>
    <t>CF(Total)</t>
  </si>
  <si>
    <t>PV(1-compounded)</t>
  </si>
  <si>
    <t>PV(4-compounded)</t>
  </si>
  <si>
    <t>PV(c-compounded)</t>
  </si>
  <si>
    <t>Present values</t>
  </si>
  <si>
    <t>n-comp</t>
  </si>
  <si>
    <t>Bound value</t>
  </si>
  <si>
    <t>y</t>
  </si>
  <si>
    <t>Use goal seeker to have Bound value = objective by changing y</t>
  </si>
  <si>
    <t>To find YTM use PV=price</t>
  </si>
  <si>
    <t>Computation of dirty price</t>
  </si>
  <si>
    <t xml:space="preserve">Computation of YTM </t>
  </si>
  <si>
    <t>Compute discount factors from interest rates</t>
  </si>
  <si>
    <t>Rates and discounts</t>
  </si>
  <si>
    <t>Compute Discount rates from interest rates</t>
  </si>
  <si>
    <t>Input</t>
  </si>
  <si>
    <t>r(0, Ti)</t>
  </si>
  <si>
    <t xml:space="preserve">The interest rate is </t>
  </si>
  <si>
    <t>Compounded</t>
  </si>
  <si>
    <t>Z(0, Ti)</t>
  </si>
  <si>
    <t>Cont</t>
  </si>
  <si>
    <t>Frequency</t>
  </si>
  <si>
    <t>t</t>
  </si>
  <si>
    <t>Compute Interest rates from Discount rates</t>
  </si>
  <si>
    <t>Compute interest rate from discount factor</t>
  </si>
  <si>
    <t>Find coupon rate c from Discount factors Z IF the bond quotes at par</t>
  </si>
  <si>
    <t>We can recover Z(0, Ti) from r(0, Ti) here</t>
  </si>
  <si>
    <t>c=</t>
  </si>
  <si>
    <t>Annualized coupon rate</t>
  </si>
  <si>
    <t>Find Bound Price From (c, N, Z)</t>
  </si>
  <si>
    <t xml:space="preserve">Nominal </t>
  </si>
  <si>
    <t>Bound price</t>
  </si>
  <si>
    <t>PV(CF)</t>
  </si>
  <si>
    <t>Last i</t>
  </si>
  <si>
    <t>Coupon quotes at</t>
  </si>
  <si>
    <t>time since last coupon</t>
  </si>
  <si>
    <t>Z(t, Ti)</t>
  </si>
  <si>
    <t>Compute Interpolation of the discount factors given t</t>
  </si>
  <si>
    <t>Compute Interpolation of the discount factors from one frequency to another</t>
  </si>
  <si>
    <t>Frequency initial</t>
  </si>
  <si>
    <t>Frequency new</t>
  </si>
  <si>
    <t>n2</t>
  </si>
  <si>
    <t>n1</t>
  </si>
  <si>
    <t>delta initial</t>
  </si>
  <si>
    <t>delta new</t>
  </si>
  <si>
    <t>∆1</t>
  </si>
  <si>
    <t>∆2</t>
  </si>
  <si>
    <t>Z1(0, Ti)</t>
  </si>
  <si>
    <t>Z2(0, Ti)</t>
  </si>
  <si>
    <t>Forward on bonds</t>
  </si>
  <si>
    <t>Compute discount factor from T2 to T1 at t, F(t, T1, T2)</t>
  </si>
  <si>
    <t>F(0, Ti-1, Ti)</t>
  </si>
  <si>
    <t>fn(0, Ti-1, Ti)</t>
  </si>
  <si>
    <t>Forward on a simple underlying</t>
  </si>
  <si>
    <t>Final time</t>
  </si>
  <si>
    <t>T</t>
  </si>
  <si>
    <t>Constant interest rate</t>
  </si>
  <si>
    <t>r</t>
  </si>
  <si>
    <t>F_0,T</t>
  </si>
  <si>
    <t>Evaluation time</t>
  </si>
  <si>
    <t>Underlying price at t=t</t>
  </si>
  <si>
    <t>S_t</t>
  </si>
  <si>
    <t>Forward discount factor</t>
  </si>
  <si>
    <t>Forward rate agreement</t>
  </si>
  <si>
    <t>Z(0,Ti)</t>
  </si>
  <si>
    <t>F(0, T1, T2)</t>
  </si>
  <si>
    <t>T1</t>
  </si>
  <si>
    <t>T2</t>
  </si>
  <si>
    <t>The rate is</t>
  </si>
  <si>
    <t>f_n(0, T1, T2)</t>
  </si>
  <si>
    <t>Interpolation of Z given T</t>
  </si>
  <si>
    <t xml:space="preserve">Compute FRA values having discount factors Z </t>
  </si>
  <si>
    <t>Days elapsed</t>
  </si>
  <si>
    <t>Rate and discount'!B27</t>
  </si>
  <si>
    <t>F(t, T1, T2)</t>
  </si>
  <si>
    <t>f_n(t, T1, T2)</t>
  </si>
  <si>
    <t>Forward contract duration</t>
  </si>
  <si>
    <t>Or, obtain Z(t, Ti) using:</t>
  </si>
  <si>
    <t xml:space="preserve">Then, Compute the value of the FRA using </t>
  </si>
  <si>
    <t>Swaps</t>
  </si>
  <si>
    <t>Compute swap rates given Z</t>
  </si>
  <si>
    <t>Compute Z from the swap rate</t>
  </si>
  <si>
    <t>c(0,Ti)</t>
  </si>
  <si>
    <t>Z(0, ti)</t>
  </si>
  <si>
    <t>Find Z using the coupon rate and observed market prices</t>
  </si>
  <si>
    <t>Facial</t>
  </si>
  <si>
    <t>Number of bonds</t>
  </si>
  <si>
    <t>P</t>
  </si>
  <si>
    <t>=</t>
  </si>
  <si>
    <t>C</t>
  </si>
  <si>
    <t>x</t>
  </si>
  <si>
    <t>Z</t>
  </si>
  <si>
    <t>Thus,</t>
  </si>
  <si>
    <t>Z=</t>
  </si>
  <si>
    <t>Z(0, T1)</t>
  </si>
  <si>
    <t>Z(0, T2)</t>
  </si>
  <si>
    <t>Z(0, T3)</t>
  </si>
  <si>
    <t>Z(0, T4)</t>
  </si>
  <si>
    <t>Z(0, T5)</t>
  </si>
  <si>
    <t xml:space="preserve">Bond </t>
  </si>
  <si>
    <t>Obs. Price</t>
  </si>
  <si>
    <t>Coup. Rate</t>
  </si>
  <si>
    <t>Maturity</t>
  </si>
  <si>
    <t>nb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</si>
</sst>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Grotesque"/>
      <family val="2"/>
    </font>
    <font>
      <sz val="11"/>
      <color theme="5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7" fillId="0" borderId="0" applyNumberFormat="0" applyFill="0" applyBorder="0" applyAlignment="0" applyProtection="0"/>
  </cellStyleXfs>
  <cellXfs count="135">
    <xf numFmtId="0" fontId="0" fillId="0" borderId="0" xfId="0"/>
    <xf numFmtId="0" fontId="0" fillId="3" borderId="0" xfId="0" applyFill="1"/>
    <xf numFmtId="0" fontId="2" fillId="3" borderId="1" xfId="2" applyFill="1"/>
    <xf numFmtId="0" fontId="7" fillId="3" borderId="0" xfId="5" applyFill="1"/>
    <xf numFmtId="0" fontId="7" fillId="3" borderId="0" xfId="5" quotePrefix="1" applyFill="1"/>
    <xf numFmtId="0" fontId="0" fillId="0" borderId="7" xfId="0" applyBorder="1"/>
    <xf numFmtId="0" fontId="0" fillId="4" borderId="8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8" fillId="3" borderId="0" xfId="0" applyFont="1" applyFill="1"/>
    <xf numFmtId="0" fontId="4" fillId="6" borderId="12" xfId="4" applyFill="1" applyBorder="1"/>
    <xf numFmtId="10" fontId="4" fillId="6" borderId="13" xfId="1" applyNumberFormat="1" applyFont="1" applyFill="1" applyBorder="1"/>
    <xf numFmtId="0" fontId="4" fillId="6" borderId="13" xfId="4" applyFill="1" applyBorder="1"/>
    <xf numFmtId="10" fontId="4" fillId="6" borderId="14" xfId="4" applyNumberFormat="1" applyFill="1" applyBorder="1"/>
    <xf numFmtId="0" fontId="3" fillId="3" borderId="2" xfId="3" applyFill="1"/>
    <xf numFmtId="0" fontId="0" fillId="6" borderId="0" xfId="0" applyFill="1"/>
    <xf numFmtId="0" fontId="0" fillId="7" borderId="11" xfId="1" applyNumberFormat="1" applyFont="1" applyFill="1" applyBorder="1"/>
    <xf numFmtId="0" fontId="0" fillId="7" borderId="8" xfId="0" applyFill="1" applyBorder="1"/>
    <xf numFmtId="0" fontId="0" fillId="6" borderId="6" xfId="0" applyFill="1" applyBorder="1"/>
    <xf numFmtId="10" fontId="0" fillId="6" borderId="8" xfId="0" applyNumberFormat="1" applyFill="1" applyBorder="1"/>
    <xf numFmtId="0" fontId="0" fillId="6" borderId="8" xfId="0" quotePrefix="1" applyFill="1" applyBorder="1"/>
    <xf numFmtId="0" fontId="0" fillId="6" borderId="8" xfId="0" applyFill="1" applyBorder="1"/>
    <xf numFmtId="0" fontId="0" fillId="6" borderId="11" xfId="0" applyFill="1" applyBorder="1"/>
    <xf numFmtId="0" fontId="0" fillId="3" borderId="11" xfId="0" applyFill="1" applyBorder="1"/>
    <xf numFmtId="0" fontId="5" fillId="3" borderId="0" xfId="0" applyFont="1" applyFill="1"/>
    <xf numFmtId="0" fontId="9" fillId="3" borderId="0" xfId="0" applyFont="1" applyFill="1"/>
    <xf numFmtId="0" fontId="0" fillId="3" borderId="0" xfId="0" applyFill="1" applyAlignment="1">
      <alignment horizontal="right"/>
    </xf>
    <xf numFmtId="10" fontId="0" fillId="5" borderId="8" xfId="0" applyNumberFormat="1" applyFill="1" applyBorder="1"/>
    <xf numFmtId="0" fontId="0" fillId="3" borderId="7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5" fillId="3" borderId="10" xfId="0" applyFont="1" applyFill="1" applyBorder="1"/>
    <xf numFmtId="0" fontId="0" fillId="3" borderId="10" xfId="0" applyFill="1" applyBorder="1" applyAlignment="1">
      <alignment horizontal="right"/>
    </xf>
    <xf numFmtId="10" fontId="0" fillId="5" borderId="11" xfId="0" applyNumberFormat="1" applyFill="1" applyBorder="1"/>
    <xf numFmtId="0" fontId="2" fillId="3" borderId="1" xfId="2" applyFill="1" applyAlignment="1">
      <alignment horizontal="left"/>
    </xf>
    <xf numFmtId="0" fontId="8" fillId="3" borderId="10" xfId="0" applyFont="1" applyFill="1" applyBorder="1"/>
    <xf numFmtId="0" fontId="0" fillId="4" borderId="11" xfId="0" applyFill="1" applyBorder="1"/>
    <xf numFmtId="0" fontId="0" fillId="6" borderId="6" xfId="0" quotePrefix="1" applyFill="1" applyBorder="1"/>
    <xf numFmtId="0" fontId="0" fillId="6" borderId="10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right"/>
    </xf>
    <xf numFmtId="10" fontId="0" fillId="5" borderId="17" xfId="0" applyNumberFormat="1" applyFill="1" applyBorder="1"/>
    <xf numFmtId="0" fontId="0" fillId="3" borderId="17" xfId="0" applyFill="1" applyBorder="1"/>
    <xf numFmtId="0" fontId="4" fillId="6" borderId="6" xfId="4" applyFill="1" applyBorder="1"/>
    <xf numFmtId="0" fontId="6" fillId="3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6" fillId="3" borderId="7" xfId="0" applyFont="1" applyFill="1" applyBorder="1"/>
    <xf numFmtId="0" fontId="0" fillId="8" borderId="0" xfId="0" applyFill="1"/>
    <xf numFmtId="0" fontId="0" fillId="8" borderId="8" xfId="0" applyFill="1" applyBorder="1"/>
    <xf numFmtId="0" fontId="6" fillId="3" borderId="9" xfId="0" applyFont="1" applyFill="1" applyBorder="1"/>
    <xf numFmtId="0" fontId="0" fillId="8" borderId="10" xfId="0" applyFill="1" applyBorder="1"/>
    <xf numFmtId="10" fontId="0" fillId="6" borderId="10" xfId="0" applyNumberFormat="1" applyFill="1" applyBorder="1"/>
    <xf numFmtId="10" fontId="0" fillId="6" borderId="11" xfId="0" applyNumberFormat="1" applyFill="1" applyBorder="1"/>
    <xf numFmtId="0" fontId="6" fillId="3" borderId="15" xfId="0" applyFont="1" applyFill="1" applyBorder="1"/>
    <xf numFmtId="0" fontId="0" fillId="8" borderId="16" xfId="0" applyFill="1" applyBorder="1"/>
    <xf numFmtId="0" fontId="0" fillId="8" borderId="17" xfId="0" applyFill="1" applyBorder="1"/>
    <xf numFmtId="10" fontId="0" fillId="8" borderId="16" xfId="0" applyNumberFormat="1" applyFill="1" applyBorder="1"/>
    <xf numFmtId="10" fontId="0" fillId="8" borderId="17" xfId="0" applyNumberFormat="1" applyFill="1" applyBorder="1"/>
    <xf numFmtId="0" fontId="0" fillId="5" borderId="17" xfId="0" applyFill="1" applyBorder="1"/>
    <xf numFmtId="0" fontId="0" fillId="8" borderId="15" xfId="0" applyFill="1" applyBorder="1"/>
    <xf numFmtId="2" fontId="4" fillId="6" borderId="13" xfId="1" applyNumberFormat="1" applyFont="1" applyFill="1" applyBorder="1"/>
    <xf numFmtId="9" fontId="4" fillId="6" borderId="14" xfId="1" applyFont="1" applyFill="1" applyBorder="1"/>
    <xf numFmtId="2" fontId="4" fillId="6" borderId="13" xfId="4" applyNumberFormat="1" applyFill="1" applyBorder="1"/>
    <xf numFmtId="0" fontId="0" fillId="0" borderId="15" xfId="0" applyBorder="1"/>
    <xf numFmtId="0" fontId="0" fillId="0" borderId="17" xfId="0" applyBorder="1"/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9" borderId="10" xfId="0" applyFill="1" applyBorder="1"/>
    <xf numFmtId="0" fontId="0" fillId="3" borderId="18" xfId="0" applyFill="1" applyBorder="1"/>
    <xf numFmtId="0" fontId="0" fillId="3" borderId="19" xfId="0" applyFill="1" applyBorder="1"/>
    <xf numFmtId="0" fontId="7" fillId="3" borderId="19" xfId="5" applyFill="1" applyBorder="1"/>
    <xf numFmtId="0" fontId="0" fillId="0" borderId="19" xfId="0" applyBorder="1"/>
    <xf numFmtId="0" fontId="0" fillId="10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1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11" borderId="22" xfId="0" applyFill="1" applyBorder="1"/>
    <xf numFmtId="0" fontId="0" fillId="11" borderId="0" xfId="0" applyFill="1"/>
    <xf numFmtId="0" fontId="0" fillId="11" borderId="8" xfId="0" applyFill="1" applyBorder="1"/>
    <xf numFmtId="0" fontId="0" fillId="11" borderId="11" xfId="0" applyFill="1" applyBorder="1"/>
    <xf numFmtId="0" fontId="0" fillId="11" borderId="23" xfId="0" applyFill="1" applyBorder="1"/>
    <xf numFmtId="0" fontId="0" fillId="11" borderId="24" xfId="0" applyFill="1" applyBorder="1"/>
    <xf numFmtId="0" fontId="6" fillId="12" borderId="4" xfId="0" applyFont="1" applyFill="1" applyBorder="1"/>
    <xf numFmtId="0" fontId="0" fillId="13" borderId="0" xfId="0" applyFill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quotePrefix="1" applyFill="1" applyBorder="1"/>
    <xf numFmtId="0" fontId="0" fillId="13" borderId="8" xfId="0" applyFill="1" applyBorder="1"/>
    <xf numFmtId="0" fontId="8" fillId="13" borderId="0" xfId="0" applyFont="1" applyFill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9" fontId="0" fillId="3" borderId="8" xfId="1" applyFont="1" applyFill="1" applyBorder="1"/>
    <xf numFmtId="9" fontId="0" fillId="6" borderId="10" xfId="1" applyFont="1" applyFill="1" applyBorder="1"/>
    <xf numFmtId="9" fontId="0" fillId="6" borderId="11" xfId="1" applyFont="1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9" fontId="0" fillId="6" borderId="0" xfId="1" applyFont="1" applyFill="1" applyBorder="1" applyAlignment="1"/>
    <xf numFmtId="9" fontId="0" fillId="6" borderId="10" xfId="1" applyFont="1" applyFill="1" applyBorder="1" applyAlignment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10" fillId="3" borderId="0" xfId="0" applyFont="1" applyFill="1"/>
    <xf numFmtId="0" fontId="3" fillId="3" borderId="2" xfId="3" applyFill="1" applyAlignment="1">
      <alignment horizontal="left"/>
    </xf>
    <xf numFmtId="0" fontId="3" fillId="3" borderId="2" xfId="3" applyFill="1" applyAlignment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2" fillId="0" borderId="1" xfId="2" applyAlignment="1">
      <alignment horizontal="left"/>
    </xf>
    <xf numFmtId="0" fontId="3" fillId="0" borderId="2" xfId="3" applyAlignment="1">
      <alignment horizontal="left"/>
    </xf>
    <xf numFmtId="0" fontId="2" fillId="3" borderId="1" xfId="2" applyFill="1" applyAlignment="1">
      <alignment horizontal="left"/>
    </xf>
    <xf numFmtId="0" fontId="7" fillId="3" borderId="10" xfId="5" quotePrefix="1" applyFill="1" applyBorder="1" applyAlignment="1">
      <alignment horizontal="left"/>
    </xf>
  </cellXfs>
  <cellStyles count="6">
    <cellStyle name="Heading 1" xfId="2" builtinId="16"/>
    <cellStyle name="Heading 2" xfId="3" builtinId="17"/>
    <cellStyle name="Hyperlink" xfId="5" builtinId="8"/>
    <cellStyle name="Input" xfId="4" builtinId="20"/>
    <cellStyle name="Normal" xfId="0" builtinId="0"/>
    <cellStyle name="Per cent" xfId="1" builtinId="5"/>
  </cellStyles>
  <dxfs count="14"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6" tint="0.79998168889431442"/>
        </patternFill>
      </fill>
    </dxf>
    <dxf>
      <fill>
        <patternFill>
          <bgColor rgb="FFFFFF00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67</xdr:row>
      <xdr:rowOff>180975</xdr:rowOff>
    </xdr:from>
    <xdr:to>
      <xdr:col>1</xdr:col>
      <xdr:colOff>1133635</xdr:colOff>
      <xdr:row>69</xdr:row>
      <xdr:rowOff>161977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0556F-B3B6-277F-B21C-200B074D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3468350"/>
          <a:ext cx="1143160" cy="371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56</xdr:row>
      <xdr:rowOff>1</xdr:rowOff>
    </xdr:from>
    <xdr:to>
      <xdr:col>17</xdr:col>
      <xdr:colOff>215901</xdr:colOff>
      <xdr:row>61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75074-4AEE-3FAC-0D7E-B4A6F01B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10896601"/>
          <a:ext cx="5092701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2DEB-917D-4EC9-BF4D-5D2CFFA26CEC}">
  <sheetPr codeName="Sheet1"/>
  <dimension ref="A1:X45"/>
  <sheetViews>
    <sheetView workbookViewId="0">
      <selection activeCell="B17" sqref="B17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0.25" thickBot="1" x14ac:dyDescent="0.3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Top="1" x14ac:dyDescent="0.25">
      <c r="A4" s="1"/>
      <c r="B4" s="1"/>
      <c r="C4" s="1" t="s">
        <v>41</v>
      </c>
      <c r="D4" s="1"/>
      <c r="E4" s="1"/>
      <c r="F4" s="1"/>
      <c r="G4" s="1"/>
      <c r="H4" s="78"/>
      <c r="I4" s="78"/>
      <c r="J4" s="78"/>
      <c r="K4" s="78"/>
      <c r="L4" s="78"/>
      <c r="M4" s="78"/>
      <c r="N4" s="78"/>
      <c r="O4" s="3" t="str">
        <f>HYPERLINK("#Rate and discount!B4", "Interest rate to Discount factor")</f>
        <v>Interest rate to Discount factor</v>
      </c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 t="s">
        <v>53</v>
      </c>
      <c r="D5" s="1"/>
      <c r="E5" s="1"/>
      <c r="F5" s="1"/>
      <c r="G5" s="1"/>
      <c r="H5" s="79"/>
      <c r="I5" s="79"/>
      <c r="J5" s="79"/>
      <c r="K5" s="79"/>
      <c r="L5" s="79"/>
      <c r="M5" s="79"/>
      <c r="N5" s="79"/>
      <c r="O5" s="3" t="str">
        <f>HYPERLINK("#Rate and discount!B15", "Discount Factor to Interest rate")</f>
        <v>Discount Factor to Interest rate</v>
      </c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 t="s">
        <v>66</v>
      </c>
      <c r="D6" s="1"/>
      <c r="E6" s="1"/>
      <c r="F6" s="1"/>
      <c r="G6" s="1"/>
      <c r="H6" s="1"/>
      <c r="I6" s="80"/>
      <c r="J6" s="79"/>
      <c r="K6" s="79"/>
      <c r="L6" s="79"/>
      <c r="M6" s="81"/>
      <c r="N6" s="79"/>
      <c r="O6" s="3" t="s">
        <v>99</v>
      </c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 t="s">
        <v>67</v>
      </c>
      <c r="D7" s="1"/>
      <c r="E7" s="1"/>
      <c r="F7" s="1"/>
      <c r="G7" s="1"/>
      <c r="H7" s="1"/>
      <c r="I7" s="1"/>
      <c r="J7" s="1"/>
      <c r="K7" s="81"/>
      <c r="L7" s="79"/>
      <c r="M7" s="79"/>
      <c r="N7" s="79"/>
      <c r="O7" s="3" t="str">
        <f>HYPERLINK("#Rate and discount!B37", "Interpolation of Z from one frequency to another")</f>
        <v>Interpolation of Z from one frequency to another</v>
      </c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0.25" thickBot="1" x14ac:dyDescent="0.35">
      <c r="A11" s="1"/>
      <c r="B11" s="2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thickTop="1" x14ac:dyDescent="0.25">
      <c r="A12" s="1"/>
      <c r="B12" s="1"/>
      <c r="C12" s="1" t="s">
        <v>39</v>
      </c>
      <c r="D12" s="1"/>
      <c r="E12" s="1"/>
      <c r="F12" s="78"/>
      <c r="G12" s="78"/>
      <c r="H12" s="78"/>
      <c r="I12" s="78"/>
      <c r="J12" s="78"/>
      <c r="K12" s="78"/>
      <c r="L12" s="78"/>
      <c r="M12" s="78"/>
      <c r="N12" s="78"/>
      <c r="O12" s="4" t="str">
        <f>HYPERLINK("#Bond pricing!B5", "Computation dirty price")</f>
        <v>Computation dirty price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 t="s">
        <v>40</v>
      </c>
      <c r="D13" s="1"/>
      <c r="E13" s="1"/>
      <c r="F13" s="79"/>
      <c r="G13" s="79"/>
      <c r="H13" s="79"/>
      <c r="I13" s="79"/>
      <c r="J13" s="79"/>
      <c r="K13" s="79"/>
      <c r="L13" s="79"/>
      <c r="M13" s="79"/>
      <c r="N13" s="79"/>
      <c r="O13" s="3" t="str">
        <f>HYPERLINK("#Bond pricing!B16", "Computation YTM rate")</f>
        <v>Computation YTM rate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 t="s">
        <v>54</v>
      </c>
      <c r="D14" s="1"/>
      <c r="E14" s="1"/>
      <c r="F14" s="1"/>
      <c r="G14" s="1"/>
      <c r="H14" s="1"/>
      <c r="I14" s="1"/>
      <c r="J14" s="79"/>
      <c r="K14" s="79"/>
      <c r="L14" s="79"/>
      <c r="M14" s="79"/>
      <c r="N14" s="79"/>
      <c r="O14" s="3" t="str">
        <f>HYPERLINK("#Bond pricing!B33", "Coupon rate from Z if bond quotes at par")</f>
        <v>Coupon rate from Z if bond quotes at par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 t="s">
        <v>58</v>
      </c>
      <c r="D15" s="1"/>
      <c r="E15" s="1"/>
      <c r="F15" s="1"/>
      <c r="G15" s="78"/>
      <c r="H15" s="78"/>
      <c r="I15" s="78"/>
      <c r="J15" s="78"/>
      <c r="K15" s="78"/>
      <c r="L15" s="78"/>
      <c r="M15" s="78"/>
      <c r="N15" s="78"/>
      <c r="O15" s="3" t="str">
        <f>HYPERLINK("#Bond pricing!B45", "Bond Price from (c, N, Z)")</f>
        <v>Bond Price from (c, N, Z)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</sheetData>
  <hyperlinks>
    <hyperlink ref="O12" location="'Bond pricing'!A1" display="'Bond pricing'!A1" xr:uid="{26397C27-0F47-45D0-AE69-51A8AFEEF9CA}"/>
    <hyperlink ref="O6" location="'Rate and discount'!B27" display="Interpolation of Z given T" xr:uid="{C58778F2-4A13-4F8E-AB39-9B854AA490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D7BE-0078-4114-BD6B-C29203F310B7}">
  <sheetPr codeName="Sheet2"/>
  <dimension ref="A1:AC103"/>
  <sheetViews>
    <sheetView workbookViewId="0">
      <selection activeCell="H21" sqref="H21"/>
    </sheetView>
  </sheetViews>
  <sheetFormatPr defaultRowHeight="15" x14ac:dyDescent="0.25"/>
  <cols>
    <col min="2" max="2" width="20" bestFit="1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0.25" thickBot="1" x14ac:dyDescent="0.35">
      <c r="A2" s="1"/>
      <c r="B2" s="41" t="s">
        <v>42</v>
      </c>
      <c r="C2" s="4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thickTop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" thickBot="1" x14ac:dyDescent="0.35">
      <c r="A4" s="1"/>
      <c r="B4" s="125" t="s">
        <v>43</v>
      </c>
      <c r="C4" s="125"/>
      <c r="D4" s="125"/>
      <c r="E4" s="125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thickTop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thickBot="1" x14ac:dyDescent="0.3">
      <c r="A6" s="1"/>
      <c r="B6" s="1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8" t="s">
        <v>50</v>
      </c>
      <c r="C7" s="9" t="s">
        <v>9</v>
      </c>
      <c r="D7" s="16">
        <v>2</v>
      </c>
      <c r="E7" s="1"/>
      <c r="F7" s="52" t="s">
        <v>21</v>
      </c>
      <c r="G7" s="53">
        <v>0</v>
      </c>
      <c r="H7" s="53">
        <v>1</v>
      </c>
      <c r="I7" s="53">
        <v>2</v>
      </c>
      <c r="J7" s="53">
        <v>3</v>
      </c>
      <c r="K7" s="53">
        <v>4</v>
      </c>
      <c r="L7" s="53">
        <v>5</v>
      </c>
      <c r="M7" s="53">
        <v>6</v>
      </c>
      <c r="N7" s="53">
        <v>7</v>
      </c>
      <c r="O7" s="53">
        <v>8</v>
      </c>
      <c r="P7" s="53">
        <v>9</v>
      </c>
      <c r="Q7" s="53">
        <v>10</v>
      </c>
      <c r="R7" s="53">
        <v>11</v>
      </c>
      <c r="S7" s="53">
        <v>12</v>
      </c>
      <c r="T7" s="53">
        <v>13</v>
      </c>
      <c r="U7" s="53">
        <v>14</v>
      </c>
      <c r="V7" s="53">
        <v>15</v>
      </c>
      <c r="W7" s="54">
        <v>16</v>
      </c>
      <c r="X7" s="1"/>
      <c r="Y7" s="1"/>
      <c r="Z7" s="1"/>
      <c r="AA7" s="1"/>
      <c r="AB7" s="1"/>
      <c r="AC7" s="1"/>
    </row>
    <row r="8" spans="1:29" ht="15.75" thickBot="1" x14ac:dyDescent="0.3">
      <c r="A8" s="1"/>
      <c r="B8" s="13" t="s">
        <v>10</v>
      </c>
      <c r="C8" s="42" t="s">
        <v>11</v>
      </c>
      <c r="D8" s="43">
        <f>1/D7</f>
        <v>0.5</v>
      </c>
      <c r="E8" s="1"/>
      <c r="F8" s="55" t="s">
        <v>22</v>
      </c>
      <c r="G8" s="56">
        <f>$D$8*G7</f>
        <v>0</v>
      </c>
      <c r="H8" s="56">
        <f t="shared" ref="H8:W8" si="0">$D$8*H7</f>
        <v>0.5</v>
      </c>
      <c r="I8" s="56">
        <f t="shared" si="0"/>
        <v>1</v>
      </c>
      <c r="J8" s="56">
        <f t="shared" si="0"/>
        <v>1.5</v>
      </c>
      <c r="K8" s="56">
        <f t="shared" si="0"/>
        <v>2</v>
      </c>
      <c r="L8" s="56">
        <f t="shared" si="0"/>
        <v>2.5</v>
      </c>
      <c r="M8" s="56">
        <f t="shared" si="0"/>
        <v>3</v>
      </c>
      <c r="N8" s="56">
        <f t="shared" si="0"/>
        <v>3.5</v>
      </c>
      <c r="O8" s="56">
        <f t="shared" si="0"/>
        <v>4</v>
      </c>
      <c r="P8" s="56">
        <f t="shared" si="0"/>
        <v>4.5</v>
      </c>
      <c r="Q8" s="56">
        <f t="shared" si="0"/>
        <v>5</v>
      </c>
      <c r="R8" s="56">
        <f t="shared" si="0"/>
        <v>5.5</v>
      </c>
      <c r="S8" s="56">
        <f t="shared" si="0"/>
        <v>6</v>
      </c>
      <c r="T8" s="56">
        <f t="shared" si="0"/>
        <v>6.5</v>
      </c>
      <c r="U8" s="56">
        <f t="shared" si="0"/>
        <v>7</v>
      </c>
      <c r="V8" s="56">
        <f t="shared" si="0"/>
        <v>7.5</v>
      </c>
      <c r="W8" s="57">
        <f t="shared" si="0"/>
        <v>8</v>
      </c>
      <c r="X8" s="1"/>
      <c r="Y8" s="1"/>
      <c r="Z8" s="1"/>
      <c r="AA8" s="1"/>
      <c r="AB8" s="1"/>
      <c r="AC8" s="1"/>
    </row>
    <row r="9" spans="1:29" ht="15.75" thickBot="1" x14ac:dyDescent="0.3">
      <c r="A9" s="1"/>
      <c r="B9" s="1"/>
      <c r="C9" s="1" t="s">
        <v>51</v>
      </c>
      <c r="D9" s="1">
        <v>0</v>
      </c>
      <c r="E9" s="1"/>
      <c r="F9" s="58" t="s">
        <v>45</v>
      </c>
      <c r="G9" s="59">
        <v>1</v>
      </c>
      <c r="H9" s="60">
        <v>2.7605000000000001E-2</v>
      </c>
      <c r="I9" s="60">
        <v>2.7140999999999998E-2</v>
      </c>
      <c r="J9" s="60">
        <v>2.7470999999999999E-2</v>
      </c>
      <c r="K9" s="60">
        <v>2.8125000000000001E-2</v>
      </c>
      <c r="L9" s="60">
        <v>2.8884E-2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 t="s">
        <v>46</v>
      </c>
      <c r="G10" s="1"/>
      <c r="H10" s="21" t="s">
        <v>49</v>
      </c>
      <c r="I10" s="1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62" t="s">
        <v>48</v>
      </c>
      <c r="G12" s="63">
        <v>1</v>
      </c>
      <c r="H12" s="63">
        <f>IF(H9=0, 0, IF(TYPE($H$10)=1, (1+(H9/$H$10))^(-$H$10*(H8-$H$10)), EXP(-H9*(H8-$D$9))))</f>
        <v>0.98629231776110371</v>
      </c>
      <c r="I12" s="63">
        <f t="shared" ref="I12:W12" si="1">IF(I9=0, 0, IF(TYPE($H$10)=1, (1+(I9/$H$10))^(-$H$10*(I8-$H$10)), EXP(-I9*(I8-$D$9))))</f>
        <v>0.97322400726452452</v>
      </c>
      <c r="J12" s="63">
        <f t="shared" si="1"/>
        <v>0.95963094569569296</v>
      </c>
      <c r="K12" s="63">
        <f t="shared" si="1"/>
        <v>0.94530278065205953</v>
      </c>
      <c r="L12" s="63">
        <f t="shared" si="1"/>
        <v>0.93033550483985539</v>
      </c>
      <c r="M12" s="63">
        <f t="shared" si="1"/>
        <v>0</v>
      </c>
      <c r="N12" s="63">
        <f t="shared" si="1"/>
        <v>0</v>
      </c>
      <c r="O12" s="63">
        <f t="shared" si="1"/>
        <v>0</v>
      </c>
      <c r="P12" s="63">
        <f t="shared" si="1"/>
        <v>0</v>
      </c>
      <c r="Q12" s="63">
        <f t="shared" si="1"/>
        <v>0</v>
      </c>
      <c r="R12" s="63">
        <f t="shared" si="1"/>
        <v>0</v>
      </c>
      <c r="S12" s="63">
        <f t="shared" si="1"/>
        <v>0</v>
      </c>
      <c r="T12" s="63">
        <f t="shared" si="1"/>
        <v>0</v>
      </c>
      <c r="U12" s="63">
        <f t="shared" si="1"/>
        <v>0</v>
      </c>
      <c r="V12" s="63">
        <f t="shared" si="1"/>
        <v>0</v>
      </c>
      <c r="W12" s="64">
        <f t="shared" si="1"/>
        <v>0</v>
      </c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" thickBot="1" x14ac:dyDescent="0.35">
      <c r="A15" s="1"/>
      <c r="B15" s="125" t="s">
        <v>52</v>
      </c>
      <c r="C15" s="125"/>
      <c r="D15" s="125"/>
      <c r="E15" s="125"/>
      <c r="F15" s="1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thickTop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thickBot="1" x14ac:dyDescent="0.3">
      <c r="A17" s="1"/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8" t="s">
        <v>50</v>
      </c>
      <c r="C18" s="9" t="s">
        <v>9</v>
      </c>
      <c r="D18" s="16">
        <v>2</v>
      </c>
      <c r="E18" s="1"/>
      <c r="F18" s="52" t="s">
        <v>21</v>
      </c>
      <c r="G18" s="53">
        <v>0</v>
      </c>
      <c r="H18" s="53">
        <v>1</v>
      </c>
      <c r="I18" s="53">
        <v>2</v>
      </c>
      <c r="J18" s="53">
        <v>3</v>
      </c>
      <c r="K18" s="53">
        <v>4</v>
      </c>
      <c r="L18" s="53">
        <v>5</v>
      </c>
      <c r="M18" s="53">
        <v>6</v>
      </c>
      <c r="N18" s="53">
        <v>7</v>
      </c>
      <c r="O18" s="53">
        <v>8</v>
      </c>
      <c r="P18" s="53">
        <v>9</v>
      </c>
      <c r="Q18" s="53">
        <v>10</v>
      </c>
      <c r="R18" s="53">
        <v>11</v>
      </c>
      <c r="S18" s="53">
        <v>12</v>
      </c>
      <c r="T18" s="53">
        <v>13</v>
      </c>
      <c r="U18" s="53">
        <v>14</v>
      </c>
      <c r="V18" s="53">
        <v>15</v>
      </c>
      <c r="W18" s="54">
        <v>16</v>
      </c>
      <c r="X18" s="1"/>
      <c r="Y18" s="1"/>
      <c r="Z18" s="1"/>
      <c r="AA18" s="1"/>
      <c r="AB18" s="1"/>
      <c r="AC18" s="1"/>
    </row>
    <row r="19" spans="1:29" ht="15.75" thickBot="1" x14ac:dyDescent="0.3">
      <c r="A19" s="1"/>
      <c r="B19" s="13" t="s">
        <v>10</v>
      </c>
      <c r="C19" s="42" t="s">
        <v>11</v>
      </c>
      <c r="D19" s="43">
        <f>1/D18</f>
        <v>0.5</v>
      </c>
      <c r="E19" s="1"/>
      <c r="F19" s="55" t="s">
        <v>22</v>
      </c>
      <c r="G19" s="56">
        <f>$D$8*G18</f>
        <v>0</v>
      </c>
      <c r="H19" s="56">
        <f t="shared" ref="H19" si="2">$D$8*H18</f>
        <v>0.5</v>
      </c>
      <c r="I19" s="56">
        <f t="shared" ref="I19" si="3">$D$8*I18</f>
        <v>1</v>
      </c>
      <c r="J19" s="56">
        <f t="shared" ref="J19" si="4">$D$8*J18</f>
        <v>1.5</v>
      </c>
      <c r="K19" s="56">
        <f t="shared" ref="K19" si="5">$D$8*K18</f>
        <v>2</v>
      </c>
      <c r="L19" s="56">
        <f t="shared" ref="L19" si="6">$D$8*L18</f>
        <v>2.5</v>
      </c>
      <c r="M19" s="56">
        <f t="shared" ref="M19" si="7">$D$8*M18</f>
        <v>3</v>
      </c>
      <c r="N19" s="56">
        <f t="shared" ref="N19" si="8">$D$8*N18</f>
        <v>3.5</v>
      </c>
      <c r="O19" s="56">
        <f t="shared" ref="O19" si="9">$D$8*O18</f>
        <v>4</v>
      </c>
      <c r="P19" s="56">
        <f t="shared" ref="P19" si="10">$D$8*P18</f>
        <v>4.5</v>
      </c>
      <c r="Q19" s="56">
        <f t="shared" ref="Q19" si="11">$D$8*Q18</f>
        <v>5</v>
      </c>
      <c r="R19" s="56">
        <f t="shared" ref="R19" si="12">$D$8*R18</f>
        <v>5.5</v>
      </c>
      <c r="S19" s="56">
        <f t="shared" ref="S19" si="13">$D$8*S18</f>
        <v>6</v>
      </c>
      <c r="T19" s="56">
        <f t="shared" ref="T19" si="14">$D$8*T18</f>
        <v>6.5</v>
      </c>
      <c r="U19" s="56">
        <f t="shared" ref="U19" si="15">$D$8*U18</f>
        <v>7</v>
      </c>
      <c r="V19" s="56">
        <f t="shared" ref="V19" si="16">$D$8*V18</f>
        <v>7.5</v>
      </c>
      <c r="W19" s="57">
        <f t="shared" ref="W19" si="17">$D$8*W18</f>
        <v>8</v>
      </c>
      <c r="X19" s="1"/>
      <c r="Y19" s="1"/>
      <c r="Z19" s="1"/>
      <c r="AA19" s="1"/>
      <c r="AB19" s="1"/>
      <c r="AC19" s="1"/>
    </row>
    <row r="20" spans="1:29" ht="15.75" thickBot="1" x14ac:dyDescent="0.3">
      <c r="A20" s="1"/>
      <c r="B20" s="1"/>
      <c r="C20" s="1" t="s">
        <v>51</v>
      </c>
      <c r="D20" s="1">
        <v>0</v>
      </c>
      <c r="E20" s="1"/>
      <c r="F20" s="58" t="s">
        <v>48</v>
      </c>
      <c r="G20" s="59">
        <v>1</v>
      </c>
      <c r="H20" s="45">
        <v>0.97799999999999998</v>
      </c>
      <c r="I20" s="45">
        <v>0.94599999999999995</v>
      </c>
      <c r="J20" s="45">
        <v>0.91400000000000003</v>
      </c>
      <c r="K20" s="45">
        <v>0.88300000000000001</v>
      </c>
      <c r="L20" s="45">
        <v>0.85450000000000004</v>
      </c>
      <c r="M20" s="45">
        <v>0.82750000000000001</v>
      </c>
      <c r="N20" s="45">
        <v>0.8024</v>
      </c>
      <c r="O20" s="45">
        <v>0.77910000000000001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28">
        <v>0</v>
      </c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 t="s">
        <v>46</v>
      </c>
      <c r="G21" s="1"/>
      <c r="H21" s="21" t="s">
        <v>49</v>
      </c>
      <c r="I21" s="1" t="s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thickBot="1" x14ac:dyDescent="0.3">
      <c r="A23" s="1"/>
      <c r="B23" s="1"/>
      <c r="C23" s="1"/>
      <c r="D23" s="1"/>
      <c r="E23" s="1"/>
      <c r="F23" s="62" t="s">
        <v>45</v>
      </c>
      <c r="G23" s="63">
        <v>1</v>
      </c>
      <c r="H23" s="65">
        <f>IF(H20=0, 0, IF(TYPE($H$21)=1, $H$21*(H20^(-1/($H$21*(H19-$D$20)))-1), -LN(H20)/(H19-$D$20)))</f>
        <v>4.4491217894639473E-2</v>
      </c>
      <c r="I23" s="65">
        <f t="shared" ref="I23:W23" si="18">IF(I20=0, 0, IF(TYPE($H$21)=1, $H$21*(I20^(-1/($H$21*(I19-$D$20)))-1), -LN(I20)/(I19-$D$20)))</f>
        <v>5.5512709930258829E-2</v>
      </c>
      <c r="J23" s="65">
        <f t="shared" si="18"/>
        <v>5.9949805018658008E-2</v>
      </c>
      <c r="K23" s="65">
        <f t="shared" si="18"/>
        <v>6.2215039189088515E-2</v>
      </c>
      <c r="L23" s="65">
        <f t="shared" si="18"/>
        <v>6.2895510570596572E-2</v>
      </c>
      <c r="M23" s="65">
        <f t="shared" si="18"/>
        <v>6.3115390576973032E-2</v>
      </c>
      <c r="N23" s="65">
        <f t="shared" si="18"/>
        <v>6.2899440666974643E-2</v>
      </c>
      <c r="O23" s="65">
        <f t="shared" si="18"/>
        <v>6.2403967911331147E-2</v>
      </c>
      <c r="P23" s="65">
        <f t="shared" si="18"/>
        <v>0</v>
      </c>
      <c r="Q23" s="65">
        <f t="shared" si="18"/>
        <v>0</v>
      </c>
      <c r="R23" s="65">
        <f t="shared" si="18"/>
        <v>0</v>
      </c>
      <c r="S23" s="65">
        <f t="shared" si="18"/>
        <v>0</v>
      </c>
      <c r="T23" s="65">
        <f t="shared" si="18"/>
        <v>0</v>
      </c>
      <c r="U23" s="65">
        <f t="shared" si="18"/>
        <v>0</v>
      </c>
      <c r="V23" s="65">
        <f t="shared" si="18"/>
        <v>0</v>
      </c>
      <c r="W23" s="66">
        <f t="shared" si="18"/>
        <v>0</v>
      </c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thickBot="1" x14ac:dyDescent="0.35">
      <c r="A27" s="1"/>
      <c r="B27" s="125" t="s">
        <v>66</v>
      </c>
      <c r="C27" s="125"/>
      <c r="D27" s="125"/>
      <c r="E27" s="125"/>
      <c r="F27" s="1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thickTop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thickBot="1" x14ac:dyDescent="0.3">
      <c r="A29" s="1"/>
      <c r="B29" s="1" t="s">
        <v>44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8" t="s">
        <v>50</v>
      </c>
      <c r="C30" s="9" t="s">
        <v>9</v>
      </c>
      <c r="D30" s="51">
        <v>2</v>
      </c>
      <c r="E30" s="1"/>
      <c r="F30" s="52" t="s">
        <v>21</v>
      </c>
      <c r="G30" s="53">
        <v>0</v>
      </c>
      <c r="H30" s="53">
        <v>1</v>
      </c>
      <c r="I30" s="53">
        <v>2</v>
      </c>
      <c r="J30" s="53">
        <v>3</v>
      </c>
      <c r="K30" s="53">
        <v>4</v>
      </c>
      <c r="L30" s="53">
        <v>5</v>
      </c>
      <c r="M30" s="53">
        <v>6</v>
      </c>
      <c r="N30" s="53">
        <v>7</v>
      </c>
      <c r="O30" s="53">
        <v>8</v>
      </c>
      <c r="P30" s="53">
        <v>9</v>
      </c>
      <c r="Q30" s="53">
        <v>10</v>
      </c>
      <c r="R30" s="53">
        <v>11</v>
      </c>
      <c r="S30" s="53">
        <v>12</v>
      </c>
      <c r="T30" s="53">
        <v>13</v>
      </c>
      <c r="U30" s="53">
        <v>14</v>
      </c>
      <c r="V30" s="53">
        <v>15</v>
      </c>
      <c r="W30" s="54">
        <v>16</v>
      </c>
      <c r="X30" s="1"/>
      <c r="Y30" s="1"/>
      <c r="Z30" s="1"/>
      <c r="AA30" s="1"/>
      <c r="AB30" s="1"/>
      <c r="AC30" s="1"/>
    </row>
    <row r="31" spans="1:29" x14ac:dyDescent="0.25">
      <c r="A31" s="1"/>
      <c r="B31" s="11" t="s">
        <v>10</v>
      </c>
      <c r="C31" s="15" t="s">
        <v>11</v>
      </c>
      <c r="D31" s="6">
        <f>1/D30</f>
        <v>0.5</v>
      </c>
      <c r="E31" s="1"/>
      <c r="F31" s="55" t="s">
        <v>22</v>
      </c>
      <c r="G31" s="56">
        <f>$D$8*G30</f>
        <v>0</v>
      </c>
      <c r="H31" s="56">
        <f>H30*$D$31</f>
        <v>0.5</v>
      </c>
      <c r="I31" s="56">
        <f t="shared" ref="I31:W31" si="19">I30*$D$31</f>
        <v>1</v>
      </c>
      <c r="J31" s="56">
        <f t="shared" si="19"/>
        <v>1.5</v>
      </c>
      <c r="K31" s="56">
        <f t="shared" si="19"/>
        <v>2</v>
      </c>
      <c r="L31" s="56">
        <f t="shared" si="19"/>
        <v>2.5</v>
      </c>
      <c r="M31" s="56">
        <f t="shared" si="19"/>
        <v>3</v>
      </c>
      <c r="N31" s="56">
        <f t="shared" si="19"/>
        <v>3.5</v>
      </c>
      <c r="O31" s="56">
        <f t="shared" si="19"/>
        <v>4</v>
      </c>
      <c r="P31" s="56">
        <f t="shared" si="19"/>
        <v>4.5</v>
      </c>
      <c r="Q31" s="56">
        <f t="shared" si="19"/>
        <v>5</v>
      </c>
      <c r="R31" s="56">
        <f t="shared" si="19"/>
        <v>5.5</v>
      </c>
      <c r="S31" s="56">
        <f t="shared" si="19"/>
        <v>6</v>
      </c>
      <c r="T31" s="56">
        <f t="shared" si="19"/>
        <v>6.5</v>
      </c>
      <c r="U31" s="56">
        <f t="shared" si="19"/>
        <v>7</v>
      </c>
      <c r="V31" s="56">
        <f t="shared" si="19"/>
        <v>7.5</v>
      </c>
      <c r="W31" s="57">
        <f t="shared" si="19"/>
        <v>8</v>
      </c>
      <c r="X31" s="1"/>
      <c r="Y31" s="1"/>
      <c r="Z31" s="1"/>
      <c r="AA31" s="1"/>
      <c r="AB31" s="1"/>
      <c r="AC31" s="1"/>
    </row>
    <row r="32" spans="1:29" ht="15.75" thickBot="1" x14ac:dyDescent="0.3">
      <c r="A32" s="1"/>
      <c r="B32" s="13" t="s">
        <v>64</v>
      </c>
      <c r="C32" s="14" t="s">
        <v>51</v>
      </c>
      <c r="D32" s="28">
        <v>43</v>
      </c>
      <c r="E32" s="1"/>
      <c r="F32" s="58" t="s">
        <v>48</v>
      </c>
      <c r="G32" s="59">
        <v>1</v>
      </c>
      <c r="H32" s="45">
        <v>0.97970000000000002</v>
      </c>
      <c r="I32" s="45">
        <v>0.95789999999999997</v>
      </c>
      <c r="J32" s="45">
        <v>0.93679999999999997</v>
      </c>
      <c r="K32" s="45">
        <v>0.92969999999999997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28">
        <v>0</v>
      </c>
      <c r="X32" s="1"/>
      <c r="Y32" s="1"/>
      <c r="Z32" s="1"/>
      <c r="AA32" s="1"/>
      <c r="AB32" s="1"/>
      <c r="AC32" s="1"/>
    </row>
    <row r="33" spans="1:29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thickBot="1" x14ac:dyDescent="0.3">
      <c r="A34" s="1"/>
      <c r="B34" s="1"/>
      <c r="C34" s="1"/>
      <c r="D34" s="1"/>
      <c r="E34" s="1"/>
      <c r="F34" s="62" t="s">
        <v>65</v>
      </c>
      <c r="G34" s="63">
        <v>1</v>
      </c>
      <c r="H34" s="63">
        <f>IF(H32=0, 0, (G32*$D$32+H32*(360*$D$31-$D$32))/(360*$D$31))</f>
        <v>0.98454944444444437</v>
      </c>
      <c r="I34" s="63">
        <f t="shared" ref="I34:W34" si="20">IF(I32=0, 0, (H32*$D$32+I32*(360*$D$31-$D$32))/(360*$D$31))</f>
        <v>0.96310777777777778</v>
      </c>
      <c r="J34" s="63">
        <f t="shared" si="20"/>
        <v>0.94184055555555546</v>
      </c>
      <c r="K34" s="63">
        <f t="shared" si="20"/>
        <v>0.93139611111111109</v>
      </c>
      <c r="L34" s="63">
        <f t="shared" si="20"/>
        <v>0</v>
      </c>
      <c r="M34" s="63">
        <f t="shared" si="20"/>
        <v>0</v>
      </c>
      <c r="N34" s="63">
        <f t="shared" si="20"/>
        <v>0</v>
      </c>
      <c r="O34" s="63">
        <f t="shared" si="20"/>
        <v>0</v>
      </c>
      <c r="P34" s="63">
        <f t="shared" si="20"/>
        <v>0</v>
      </c>
      <c r="Q34" s="63">
        <f t="shared" si="20"/>
        <v>0</v>
      </c>
      <c r="R34" s="63">
        <f t="shared" si="20"/>
        <v>0</v>
      </c>
      <c r="S34" s="63">
        <f t="shared" si="20"/>
        <v>0</v>
      </c>
      <c r="T34" s="63">
        <f t="shared" si="20"/>
        <v>0</v>
      </c>
      <c r="U34" s="63">
        <f t="shared" si="20"/>
        <v>0</v>
      </c>
      <c r="V34" s="63">
        <f t="shared" si="20"/>
        <v>0</v>
      </c>
      <c r="W34" s="63">
        <f t="shared" si="20"/>
        <v>0</v>
      </c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" thickBot="1" x14ac:dyDescent="0.35">
      <c r="A37" s="1"/>
      <c r="B37" s="125" t="s">
        <v>67</v>
      </c>
      <c r="C37" s="125"/>
      <c r="D37" s="125"/>
      <c r="E37" s="125"/>
      <c r="F37" s="125"/>
      <c r="G37" s="125"/>
      <c r="H37" s="125"/>
      <c r="I37" s="12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thickTop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thickBot="1" x14ac:dyDescent="0.3">
      <c r="A39" s="1"/>
      <c r="B39" s="1" t="s">
        <v>44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8" t="s">
        <v>68</v>
      </c>
      <c r="C40" s="9" t="s">
        <v>71</v>
      </c>
      <c r="D40" s="51">
        <v>2</v>
      </c>
      <c r="E40" s="1"/>
      <c r="F40" s="52" t="s">
        <v>21</v>
      </c>
      <c r="G40" s="53">
        <v>0</v>
      </c>
      <c r="H40" s="53">
        <v>1</v>
      </c>
      <c r="I40" s="53">
        <v>2</v>
      </c>
      <c r="J40" s="53">
        <v>3</v>
      </c>
      <c r="K40" s="53">
        <v>4</v>
      </c>
      <c r="L40" s="53">
        <v>5</v>
      </c>
      <c r="M40" s="53">
        <v>6</v>
      </c>
      <c r="N40" s="53">
        <v>7</v>
      </c>
      <c r="O40" s="53">
        <v>8</v>
      </c>
      <c r="P40" s="53">
        <v>9</v>
      </c>
      <c r="Q40" s="53">
        <v>10</v>
      </c>
      <c r="R40" s="53">
        <v>11</v>
      </c>
      <c r="S40" s="53">
        <v>12</v>
      </c>
      <c r="T40" s="53">
        <v>13</v>
      </c>
      <c r="U40" s="53">
        <v>14</v>
      </c>
      <c r="V40" s="53">
        <v>15</v>
      </c>
      <c r="W40" s="54">
        <v>16</v>
      </c>
      <c r="X40" s="1"/>
      <c r="Y40" s="1"/>
      <c r="Z40" s="1"/>
      <c r="AA40" s="1"/>
      <c r="AB40" s="1"/>
      <c r="AC40" s="1"/>
    </row>
    <row r="41" spans="1:29" x14ac:dyDescent="0.25">
      <c r="A41" s="1"/>
      <c r="B41" s="5" t="s">
        <v>69</v>
      </c>
      <c r="C41" t="s">
        <v>70</v>
      </c>
      <c r="D41" s="27">
        <v>4</v>
      </c>
      <c r="E41" s="1"/>
      <c r="F41" s="55" t="s">
        <v>22</v>
      </c>
      <c r="G41" s="56">
        <f>$D$8*G40</f>
        <v>0</v>
      </c>
      <c r="H41" s="56">
        <f t="shared" ref="H41:W41" si="21">H40*$D$43</f>
        <v>0.25</v>
      </c>
      <c r="I41" s="56">
        <f t="shared" si="21"/>
        <v>0.5</v>
      </c>
      <c r="J41" s="56">
        <f t="shared" si="21"/>
        <v>0.75</v>
      </c>
      <c r="K41" s="56">
        <f t="shared" si="21"/>
        <v>1</v>
      </c>
      <c r="L41" s="56">
        <f t="shared" si="21"/>
        <v>1.25</v>
      </c>
      <c r="M41" s="56">
        <f t="shared" si="21"/>
        <v>1.5</v>
      </c>
      <c r="N41" s="56">
        <f t="shared" si="21"/>
        <v>1.75</v>
      </c>
      <c r="O41" s="56">
        <f t="shared" si="21"/>
        <v>2</v>
      </c>
      <c r="P41" s="56">
        <f t="shared" si="21"/>
        <v>2.25</v>
      </c>
      <c r="Q41" s="56">
        <f t="shared" si="21"/>
        <v>2.5</v>
      </c>
      <c r="R41" s="56">
        <f t="shared" si="21"/>
        <v>2.75</v>
      </c>
      <c r="S41" s="56">
        <f t="shared" si="21"/>
        <v>3</v>
      </c>
      <c r="T41" s="56">
        <f t="shared" si="21"/>
        <v>3.25</v>
      </c>
      <c r="U41" s="56">
        <f t="shared" si="21"/>
        <v>3.5</v>
      </c>
      <c r="V41" s="56">
        <f t="shared" si="21"/>
        <v>3.75</v>
      </c>
      <c r="W41" s="57">
        <f t="shared" si="21"/>
        <v>4</v>
      </c>
      <c r="X41" s="1"/>
      <c r="Y41" s="1"/>
      <c r="Z41" s="1"/>
      <c r="AA41" s="1"/>
      <c r="AB41" s="1"/>
      <c r="AC41" s="1"/>
    </row>
    <row r="42" spans="1:29" ht="15.75" thickBot="1" x14ac:dyDescent="0.3">
      <c r="A42" s="1"/>
      <c r="B42" s="11" t="s">
        <v>72</v>
      </c>
      <c r="C42" s="15" t="s">
        <v>74</v>
      </c>
      <c r="D42" s="6">
        <f>1/D40</f>
        <v>0.5</v>
      </c>
      <c r="E42" s="1"/>
      <c r="F42" s="58" t="s">
        <v>76</v>
      </c>
      <c r="G42" s="59">
        <v>1</v>
      </c>
      <c r="H42" s="59">
        <v>0</v>
      </c>
      <c r="I42" s="45">
        <v>0.97970000000000002</v>
      </c>
      <c r="J42" s="59">
        <v>0</v>
      </c>
      <c r="K42" s="45">
        <v>0.95789999999999997</v>
      </c>
      <c r="L42" s="59">
        <v>0</v>
      </c>
      <c r="M42" s="45">
        <v>0.93679999999999997</v>
      </c>
      <c r="N42" s="59">
        <v>0</v>
      </c>
      <c r="O42" s="45">
        <v>0</v>
      </c>
      <c r="P42" s="59">
        <v>0</v>
      </c>
      <c r="Q42" s="45">
        <v>0</v>
      </c>
      <c r="R42" s="59">
        <v>0</v>
      </c>
      <c r="S42" s="45">
        <v>0</v>
      </c>
      <c r="T42" s="59">
        <v>0</v>
      </c>
      <c r="U42" s="45">
        <v>0</v>
      </c>
      <c r="V42" s="59">
        <v>0</v>
      </c>
      <c r="W42" s="28">
        <v>0</v>
      </c>
      <c r="X42" s="1"/>
      <c r="Y42" s="1"/>
      <c r="Z42" s="1"/>
      <c r="AA42" s="1"/>
      <c r="AB42" s="1"/>
      <c r="AC42" s="1"/>
    </row>
    <row r="43" spans="1:29" ht="15.75" thickBot="1" x14ac:dyDescent="0.3">
      <c r="A43" s="1"/>
      <c r="B43" s="11" t="s">
        <v>73</v>
      </c>
      <c r="C43" s="15" t="s">
        <v>75</v>
      </c>
      <c r="D43" s="6">
        <f>1/D41</f>
        <v>0.25</v>
      </c>
      <c r="E43" s="1"/>
      <c r="F43" s="58" t="s">
        <v>77</v>
      </c>
      <c r="G43" s="68">
        <v>1</v>
      </c>
      <c r="H43" s="63">
        <f>AVERAGE(G42,I42)</f>
        <v>0.98985000000000001</v>
      </c>
      <c r="I43" s="63">
        <f>I42</f>
        <v>0.97970000000000002</v>
      </c>
      <c r="J43" s="63">
        <f>AVERAGE(I42,K42)</f>
        <v>0.96879999999999999</v>
      </c>
      <c r="K43" s="63">
        <f>K42</f>
        <v>0.95789999999999997</v>
      </c>
      <c r="L43" s="63">
        <f>AVERAGE(K42,M42)</f>
        <v>0.94734999999999991</v>
      </c>
      <c r="M43" s="63">
        <f>M42</f>
        <v>0.93679999999999997</v>
      </c>
      <c r="N43" s="63">
        <f>AVERAGE(M42,O42)</f>
        <v>0.46839999999999998</v>
      </c>
      <c r="O43" s="63">
        <f>O42</f>
        <v>0</v>
      </c>
      <c r="P43" s="63">
        <f>AVERAGE(O42,Q42)</f>
        <v>0</v>
      </c>
      <c r="Q43" s="63">
        <f>Q42</f>
        <v>0</v>
      </c>
      <c r="R43" s="63">
        <f>AVERAGE(Q42,S42)</f>
        <v>0</v>
      </c>
      <c r="S43" s="63">
        <f>S42</f>
        <v>0</v>
      </c>
      <c r="T43" s="63">
        <f>AVERAGE(S42,U42)</f>
        <v>0</v>
      </c>
      <c r="U43" s="63">
        <f>U42</f>
        <v>0</v>
      </c>
      <c r="V43" s="63">
        <f>AVERAGE(U42,W42)</f>
        <v>0</v>
      </c>
      <c r="W43" s="64">
        <f>W42</f>
        <v>0</v>
      </c>
      <c r="X43" s="1"/>
      <c r="Y43" s="1"/>
      <c r="Z43" s="1"/>
      <c r="AA43" s="1"/>
      <c r="AB43" s="1"/>
      <c r="AC43" s="1"/>
    </row>
    <row r="44" spans="1:29" ht="15.75" thickBot="1" x14ac:dyDescent="0.3">
      <c r="A44" s="1"/>
      <c r="B44" s="13" t="s">
        <v>62</v>
      </c>
      <c r="C44" s="14"/>
      <c r="D44" s="28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" thickBot="1" x14ac:dyDescent="0.35">
      <c r="A47" s="1"/>
      <c r="B47" s="125" t="s">
        <v>79</v>
      </c>
      <c r="C47" s="125"/>
      <c r="D47" s="125"/>
      <c r="E47" s="125"/>
      <c r="F47" s="125"/>
      <c r="G47" s="125"/>
      <c r="H47" s="125"/>
      <c r="I47" s="12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thickTop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thickBot="1" x14ac:dyDescent="0.3">
      <c r="A49" s="1"/>
      <c r="B49" s="1" t="s">
        <v>44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8" t="s">
        <v>50</v>
      </c>
      <c r="C50" s="9" t="s">
        <v>9</v>
      </c>
      <c r="D50" s="51">
        <v>2</v>
      </c>
      <c r="E50" s="1"/>
      <c r="F50" s="52" t="s">
        <v>21</v>
      </c>
      <c r="G50" s="53">
        <v>0</v>
      </c>
      <c r="H50" s="53">
        <v>1</v>
      </c>
      <c r="I50" s="53">
        <v>2</v>
      </c>
      <c r="J50" s="53">
        <v>3</v>
      </c>
      <c r="K50" s="53">
        <v>4</v>
      </c>
      <c r="L50" s="53">
        <v>5</v>
      </c>
      <c r="M50" s="53">
        <v>6</v>
      </c>
      <c r="N50" s="53">
        <v>7</v>
      </c>
      <c r="O50" s="53">
        <v>8</v>
      </c>
      <c r="P50" s="53">
        <v>9</v>
      </c>
      <c r="Q50" s="53">
        <v>10</v>
      </c>
      <c r="R50" s="53">
        <v>11</v>
      </c>
      <c r="S50" s="53">
        <v>12</v>
      </c>
      <c r="T50" s="53">
        <v>13</v>
      </c>
      <c r="U50" s="53">
        <v>14</v>
      </c>
      <c r="V50" s="53">
        <v>15</v>
      </c>
      <c r="W50" s="54">
        <v>16</v>
      </c>
      <c r="X50" s="1"/>
      <c r="Y50" s="1"/>
      <c r="Z50" s="1"/>
      <c r="AA50" s="1"/>
      <c r="AB50" s="1"/>
      <c r="AC50" s="1"/>
    </row>
    <row r="51" spans="1:29" ht="15.75" thickBot="1" x14ac:dyDescent="0.3">
      <c r="A51" s="1"/>
      <c r="B51" s="13" t="s">
        <v>10</v>
      </c>
      <c r="C51" s="42" t="s">
        <v>11</v>
      </c>
      <c r="D51" s="43">
        <f>1/D50</f>
        <v>0.5</v>
      </c>
      <c r="E51" s="1"/>
      <c r="F51" s="55" t="s">
        <v>22</v>
      </c>
      <c r="G51" s="56">
        <f>$D$8*G50</f>
        <v>0</v>
      </c>
      <c r="H51" s="56">
        <f>H50*$D$51</f>
        <v>0.5</v>
      </c>
      <c r="I51" s="56">
        <f t="shared" ref="I51:W51" si="22">I50*$D$51</f>
        <v>1</v>
      </c>
      <c r="J51" s="56">
        <f t="shared" si="22"/>
        <v>1.5</v>
      </c>
      <c r="K51" s="56">
        <f t="shared" si="22"/>
        <v>2</v>
      </c>
      <c r="L51" s="56">
        <f t="shared" si="22"/>
        <v>2.5</v>
      </c>
      <c r="M51" s="56">
        <f t="shared" si="22"/>
        <v>3</v>
      </c>
      <c r="N51" s="56">
        <f t="shared" si="22"/>
        <v>3.5</v>
      </c>
      <c r="O51" s="56">
        <f t="shared" si="22"/>
        <v>4</v>
      </c>
      <c r="P51" s="56">
        <f t="shared" si="22"/>
        <v>4.5</v>
      </c>
      <c r="Q51" s="56">
        <f t="shared" si="22"/>
        <v>5</v>
      </c>
      <c r="R51" s="56">
        <f t="shared" si="22"/>
        <v>5.5</v>
      </c>
      <c r="S51" s="56">
        <f t="shared" si="22"/>
        <v>6</v>
      </c>
      <c r="T51" s="56">
        <f t="shared" si="22"/>
        <v>6.5</v>
      </c>
      <c r="U51" s="56">
        <f t="shared" si="22"/>
        <v>7</v>
      </c>
      <c r="V51" s="56">
        <f t="shared" si="22"/>
        <v>7.5</v>
      </c>
      <c r="W51" s="56">
        <f t="shared" si="22"/>
        <v>8</v>
      </c>
      <c r="X51" s="1"/>
      <c r="Y51" s="1"/>
      <c r="Z51" s="1"/>
      <c r="AA51" s="1"/>
      <c r="AB51" s="1"/>
      <c r="AC51" s="1"/>
    </row>
    <row r="52" spans="1:29" ht="15.75" thickBot="1" x14ac:dyDescent="0.3">
      <c r="A52" s="1"/>
      <c r="B52" s="1"/>
      <c r="C52" s="1"/>
      <c r="D52" s="1"/>
      <c r="E52" s="1"/>
      <c r="F52" s="58" t="s">
        <v>48</v>
      </c>
      <c r="G52" s="59">
        <v>1</v>
      </c>
      <c r="H52" s="45">
        <v>0.98941000000000001</v>
      </c>
      <c r="I52" s="45">
        <v>0.97716000000000003</v>
      </c>
      <c r="J52" s="45">
        <v>0.96464000000000005</v>
      </c>
      <c r="K52" s="45">
        <v>0.95218000000000003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28">
        <v>0</v>
      </c>
      <c r="X52" s="1"/>
      <c r="Y52" s="1"/>
      <c r="Z52" s="1"/>
      <c r="AA52" s="1"/>
      <c r="AB52" s="1"/>
      <c r="AC52" s="1"/>
    </row>
    <row r="53" spans="1:29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 s="1"/>
      <c r="B54" s="1"/>
      <c r="C54" s="1"/>
      <c r="D54" s="1"/>
      <c r="E54" s="1"/>
      <c r="F54" s="62" t="s">
        <v>80</v>
      </c>
      <c r="G54" s="47"/>
      <c r="H54" s="47">
        <f>IF(I52=0, 0, I52/H52)</f>
        <v>0.98761888398136266</v>
      </c>
      <c r="I54" s="47">
        <f t="shared" ref="I54:W54" si="23">IF(J52=0, 0, J52/I52)</f>
        <v>0.98718735928609447</v>
      </c>
      <c r="J54" s="47">
        <f t="shared" si="23"/>
        <v>0.98708326422292247</v>
      </c>
      <c r="K54" s="47">
        <f t="shared" si="23"/>
        <v>0</v>
      </c>
      <c r="L54" s="47">
        <f t="shared" si="23"/>
        <v>0</v>
      </c>
      <c r="M54" s="47">
        <f t="shared" si="23"/>
        <v>0</v>
      </c>
      <c r="N54" s="47">
        <f t="shared" si="23"/>
        <v>0</v>
      </c>
      <c r="O54" s="47">
        <f t="shared" si="23"/>
        <v>0</v>
      </c>
      <c r="P54" s="47">
        <f t="shared" si="23"/>
        <v>0</v>
      </c>
      <c r="Q54" s="47">
        <f t="shared" si="23"/>
        <v>0</v>
      </c>
      <c r="R54" s="47">
        <f t="shared" si="23"/>
        <v>0</v>
      </c>
      <c r="S54" s="47">
        <f t="shared" si="23"/>
        <v>0</v>
      </c>
      <c r="T54" s="47">
        <f t="shared" si="23"/>
        <v>0</v>
      </c>
      <c r="U54" s="47">
        <f t="shared" si="23"/>
        <v>0</v>
      </c>
      <c r="V54" s="47">
        <f t="shared" si="23"/>
        <v>0</v>
      </c>
      <c r="W54" s="50">
        <f t="shared" si="23"/>
        <v>0</v>
      </c>
      <c r="X54" s="1"/>
      <c r="Y54" s="1"/>
      <c r="Z54" s="1"/>
      <c r="AA54" s="1"/>
      <c r="AB54" s="1"/>
      <c r="AC54" s="1"/>
    </row>
    <row r="55" spans="1:29" ht="15.75" thickBot="1" x14ac:dyDescent="0.3">
      <c r="A55" s="1"/>
      <c r="B55" s="1"/>
      <c r="C55" s="1"/>
      <c r="D55" s="1"/>
      <c r="E55" s="1"/>
      <c r="F55" s="1" t="s">
        <v>46</v>
      </c>
      <c r="G55" s="1"/>
      <c r="H55" s="21">
        <v>2</v>
      </c>
      <c r="I55" s="1" t="s">
        <v>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 s="1"/>
      <c r="B56" s="1"/>
      <c r="C56" s="1"/>
      <c r="D56" s="1"/>
      <c r="E56" s="1"/>
      <c r="F56" s="62" t="s">
        <v>81</v>
      </c>
      <c r="G56" s="47"/>
      <c r="H56" s="47">
        <f>IF(H54=0, 0, IF(TYPE($H$55)=1, $H$55*(H54^(-1/($H$55*(I51-H51)))-1), -LN(H54)/(I51-H51)))</f>
        <v>2.5072659543984521E-2</v>
      </c>
      <c r="I56" s="47">
        <f t="shared" ref="I56:W56" si="24">IF(I54=0, 0, IF(TYPE($H$55)=1, $H$55*(I54^(-1/($H$55*(J51-I51)))-1), -LN(I54)/(J51-I51)))</f>
        <v>2.5957870293580765E-2</v>
      </c>
      <c r="J56" s="47">
        <f t="shared" si="24"/>
        <v>2.6171522191182461E-2</v>
      </c>
      <c r="K56" s="47">
        <f t="shared" si="24"/>
        <v>0</v>
      </c>
      <c r="L56" s="47">
        <f t="shared" si="24"/>
        <v>0</v>
      </c>
      <c r="M56" s="47">
        <f t="shared" si="24"/>
        <v>0</v>
      </c>
      <c r="N56" s="47">
        <f t="shared" si="24"/>
        <v>0</v>
      </c>
      <c r="O56" s="47">
        <f t="shared" si="24"/>
        <v>0</v>
      </c>
      <c r="P56" s="47">
        <f t="shared" si="24"/>
        <v>0</v>
      </c>
      <c r="Q56" s="47">
        <f t="shared" si="24"/>
        <v>0</v>
      </c>
      <c r="R56" s="47">
        <f t="shared" si="24"/>
        <v>0</v>
      </c>
      <c r="S56" s="47">
        <f t="shared" si="24"/>
        <v>0</v>
      </c>
      <c r="T56" s="47">
        <f t="shared" si="24"/>
        <v>0</v>
      </c>
      <c r="U56" s="47">
        <f t="shared" si="24"/>
        <v>0</v>
      </c>
      <c r="V56" s="47">
        <f t="shared" si="24"/>
        <v>0</v>
      </c>
      <c r="W56" s="47">
        <f t="shared" si="24"/>
        <v>0</v>
      </c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</sheetData>
  <mergeCells count="5">
    <mergeCell ref="B47:I47"/>
    <mergeCell ref="B4:F4"/>
    <mergeCell ref="B15:F15"/>
    <mergeCell ref="B27:F27"/>
    <mergeCell ref="B37:I37"/>
  </mergeCells>
  <dataValidations count="1">
    <dataValidation type="list" allowBlank="1" showInputMessage="1" showErrorMessage="1" sqref="H10 H21 H55" xr:uid="{F7DF095D-7648-4E59-9C05-3483436B3C37}">
      <formula1>"1,2,4,Cont"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F752-69E2-4C64-9AFB-94CD930917B5}">
  <sheetPr codeName="Sheet3"/>
  <dimension ref="A1:AT174"/>
  <sheetViews>
    <sheetView tabSelected="1" topLeftCell="C35" workbookViewId="0">
      <selection activeCell="G71" sqref="G71"/>
    </sheetView>
  </sheetViews>
  <sheetFormatPr defaultRowHeight="15" x14ac:dyDescent="0.25"/>
  <cols>
    <col min="2" max="2" width="36.5703125" bestFit="1" customWidth="1"/>
    <col min="14" max="14" width="9.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thickBot="1" x14ac:dyDescent="0.3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Top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 x14ac:dyDescent="0.35">
      <c r="A5" s="1"/>
      <c r="B5" s="126" t="s">
        <v>12</v>
      </c>
      <c r="C5" s="126"/>
      <c r="D5" s="1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Top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 t="s">
        <v>3</v>
      </c>
      <c r="C7" s="1"/>
      <c r="D7" s="1"/>
      <c r="E7" s="1"/>
      <c r="F7" s="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8" t="s">
        <v>4</v>
      </c>
      <c r="C8" s="9" t="s">
        <v>5</v>
      </c>
      <c r="D8" s="16">
        <v>25</v>
      </c>
      <c r="E8" s="1"/>
      <c r="F8" s="127" t="s">
        <v>16</v>
      </c>
      <c r="G8" s="128"/>
      <c r="H8" s="7">
        <f>D8*D9*D12*(D11/(360/D10))</f>
        <v>0.32274305555555555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1" t="s">
        <v>6</v>
      </c>
      <c r="C9" s="1" t="s">
        <v>7</v>
      </c>
      <c r="D9" s="17">
        <v>3.2500000000000001E-2</v>
      </c>
      <c r="E9" s="1"/>
      <c r="F9" s="11"/>
      <c r="G9" s="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1" t="s">
        <v>8</v>
      </c>
      <c r="C10" s="1" t="s">
        <v>9</v>
      </c>
      <c r="D10" s="18">
        <v>2</v>
      </c>
      <c r="E10" s="1"/>
      <c r="F10" s="11" t="s">
        <v>17</v>
      </c>
      <c r="G10" s="1"/>
      <c r="H10" s="23">
        <f>D8*D13</f>
        <v>26.334999999999997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1" t="s">
        <v>25</v>
      </c>
      <c r="C11" s="1" t="s">
        <v>14</v>
      </c>
      <c r="D11" s="18">
        <v>143</v>
      </c>
      <c r="E11" s="1"/>
      <c r="F11" s="129" t="s">
        <v>13</v>
      </c>
      <c r="G11" s="130"/>
      <c r="H11" s="22">
        <f>H10+H8</f>
        <v>26.657743055555553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1" t="s">
        <v>10</v>
      </c>
      <c r="C12" s="15" t="s">
        <v>11</v>
      </c>
      <c r="D12" s="6">
        <f>1/D10</f>
        <v>0.5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3" t="s">
        <v>63</v>
      </c>
      <c r="C13" s="14"/>
      <c r="D13" s="19">
        <v>1.0533999999999999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 x14ac:dyDescent="0.35">
      <c r="A16" s="1"/>
      <c r="B16" s="20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 t="s">
        <v>3</v>
      </c>
      <c r="C18" s="1"/>
      <c r="D18" s="1"/>
      <c r="E18" s="1"/>
      <c r="F18" s="1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8" t="s">
        <v>19</v>
      </c>
      <c r="C19" s="9" t="s">
        <v>5</v>
      </c>
      <c r="D19" s="24">
        <v>100</v>
      </c>
      <c r="E19" s="1"/>
      <c r="F19" s="8" t="s">
        <v>21</v>
      </c>
      <c r="G19" s="9">
        <v>0</v>
      </c>
      <c r="H19" s="9">
        <v>1</v>
      </c>
      <c r="I19" s="9">
        <v>2</v>
      </c>
      <c r="J19" s="9">
        <v>3</v>
      </c>
      <c r="K19" s="9">
        <v>4</v>
      </c>
      <c r="L19" s="9">
        <v>5</v>
      </c>
      <c r="M19" s="9">
        <v>6</v>
      </c>
      <c r="N19" s="9">
        <v>7</v>
      </c>
      <c r="O19" s="9">
        <v>8</v>
      </c>
      <c r="P19" s="9">
        <v>9</v>
      </c>
      <c r="Q19" s="9">
        <v>10</v>
      </c>
      <c r="R19" s="9">
        <v>11</v>
      </c>
      <c r="S19" s="9">
        <v>12</v>
      </c>
      <c r="T19" s="9">
        <v>13</v>
      </c>
      <c r="U19" s="9">
        <v>14</v>
      </c>
      <c r="V19" s="9">
        <v>15</v>
      </c>
      <c r="W19" s="10">
        <v>16</v>
      </c>
      <c r="X19" s="1"/>
      <c r="Y19" s="1"/>
      <c r="Z19" s="1"/>
    </row>
    <row r="20" spans="1:26" x14ac:dyDescent="0.25">
      <c r="A20" s="1"/>
      <c r="B20" s="11" t="s">
        <v>57</v>
      </c>
      <c r="C20" s="1" t="s">
        <v>7</v>
      </c>
      <c r="D20" s="25">
        <v>4.3200000000000002E-2</v>
      </c>
      <c r="E20" s="1"/>
      <c r="F20" s="11" t="s">
        <v>22</v>
      </c>
      <c r="G20" s="1"/>
      <c r="H20" s="1" cm="1">
        <f t="array" ref="H20">IF(TYPE($D$21)=1, $D$22*H19, Cont)</f>
        <v>0.25</v>
      </c>
      <c r="I20" s="1" cm="1">
        <f t="array" ref="I20">IF(TYPE($D$21)=1, $D$22*I19, Cont)</f>
        <v>0.5</v>
      </c>
      <c r="J20" s="1" cm="1">
        <f t="array" ref="J20">IF(TYPE($D$21)=1, $D$22*J19, Cont)</f>
        <v>0.75</v>
      </c>
      <c r="K20" s="1" cm="1">
        <f t="array" ref="K20">IF(TYPE($D$21)=1, $D$22*K19, Cont)</f>
        <v>1</v>
      </c>
      <c r="L20" s="1" cm="1">
        <f t="array" ref="L20">IF(TYPE($D$21)=1, $D$22*L19, Cont)</f>
        <v>1.25</v>
      </c>
      <c r="M20" s="1" cm="1">
        <f t="array" ref="M20">IF(TYPE($D$21)=1, $D$22*M19, Cont)</f>
        <v>1.5</v>
      </c>
      <c r="N20" s="1" cm="1">
        <f t="array" ref="N20">IF(TYPE($D$21)=1, $D$22*N19, Cont)</f>
        <v>1.75</v>
      </c>
      <c r="O20" s="1" cm="1">
        <f t="array" ref="O20">IF(TYPE($D$21)=1, $D$22*O19, Cont)</f>
        <v>2</v>
      </c>
      <c r="P20" s="1" cm="1">
        <f t="array" ref="P20">IF(TYPE($D$21)=1, $D$22*P19, Cont)</f>
        <v>2.25</v>
      </c>
      <c r="Q20" s="1" cm="1">
        <f t="array" ref="Q20">IF(TYPE($D$21)=1, $D$22*Q19, Cont)</f>
        <v>2.5</v>
      </c>
      <c r="R20" s="1" cm="1">
        <f t="array" ref="R20">IF(TYPE($D$21)=1, $D$22*R19, Cont)</f>
        <v>2.75</v>
      </c>
      <c r="S20" s="1" cm="1">
        <f t="array" ref="S20">IF(TYPE($D$21)=1, $D$22*S19, Cont)</f>
        <v>3</v>
      </c>
      <c r="T20" s="1" cm="1">
        <f t="array" ref="T20">IF(TYPE($D$21)=1, $D$22*T19, Cont)</f>
        <v>3.25</v>
      </c>
      <c r="U20" s="1" cm="1">
        <f t="array" ref="U20">IF(TYPE($D$21)=1, $D$22*U19, Cont)</f>
        <v>3.5</v>
      </c>
      <c r="V20" s="1" cm="1">
        <f t="array" ref="V20">IF(TYPE($D$21)=1, $D$22*V19, Cont)</f>
        <v>3.75</v>
      </c>
      <c r="W20" s="12" cm="1">
        <f t="array" ref="W20">IF(TYPE($D$21)=1, $D$22*W19, Cont)</f>
        <v>4</v>
      </c>
      <c r="X20" s="1"/>
      <c r="Y20" s="1"/>
      <c r="Z20" s="1"/>
    </row>
    <row r="21" spans="1:26" x14ac:dyDescent="0.25">
      <c r="A21" s="1"/>
      <c r="B21" s="11" t="s">
        <v>8</v>
      </c>
      <c r="C21" s="1" t="s">
        <v>9</v>
      </c>
      <c r="D21" s="26">
        <v>4</v>
      </c>
      <c r="E21" s="1"/>
      <c r="F21" s="11" t="s">
        <v>23</v>
      </c>
      <c r="G21" s="1"/>
      <c r="H21" s="1">
        <f>IF(H19&lt;=$D$23, $D$19 * $D$20 * $D$22, 0)</f>
        <v>1.08</v>
      </c>
      <c r="I21" s="1">
        <f t="shared" ref="I21:W21" si="0">IF(I19&lt;=$D$23, $D$19 * $D$20 * $D$22, 0)</f>
        <v>1.08</v>
      </c>
      <c r="J21" s="1">
        <f t="shared" si="0"/>
        <v>1.08</v>
      </c>
      <c r="K21" s="1">
        <f t="shared" si="0"/>
        <v>1.08</v>
      </c>
      <c r="L21" s="1">
        <f t="shared" si="0"/>
        <v>1.08</v>
      </c>
      <c r="M21" s="1">
        <f t="shared" si="0"/>
        <v>1.08</v>
      </c>
      <c r="N21" s="1">
        <f t="shared" si="0"/>
        <v>0</v>
      </c>
      <c r="O21" s="1">
        <f t="shared" si="0"/>
        <v>0</v>
      </c>
      <c r="P21" s="1">
        <f t="shared" si="0"/>
        <v>0</v>
      </c>
      <c r="Q21" s="1">
        <f t="shared" si="0"/>
        <v>0</v>
      </c>
      <c r="R21" s="1">
        <f t="shared" si="0"/>
        <v>0</v>
      </c>
      <c r="S21" s="1">
        <f t="shared" si="0"/>
        <v>0</v>
      </c>
      <c r="T21" s="1">
        <f t="shared" si="0"/>
        <v>0</v>
      </c>
      <c r="U21" s="1">
        <f t="shared" si="0"/>
        <v>0</v>
      </c>
      <c r="V21" s="1">
        <f t="shared" si="0"/>
        <v>0</v>
      </c>
      <c r="W21" s="12">
        <f t="shared" si="0"/>
        <v>0</v>
      </c>
      <c r="X21" s="1"/>
      <c r="Y21" s="1"/>
      <c r="Z21" s="1"/>
    </row>
    <row r="22" spans="1:26" x14ac:dyDescent="0.25">
      <c r="A22" s="1"/>
      <c r="B22" s="11" t="s">
        <v>20</v>
      </c>
      <c r="C22" s="15" t="s">
        <v>11</v>
      </c>
      <c r="D22" s="6">
        <f>1/D21</f>
        <v>0.25</v>
      </c>
      <c r="E22" s="1"/>
      <c r="F22" s="11" t="s">
        <v>24</v>
      </c>
      <c r="G22" s="1"/>
      <c r="H22" s="1">
        <f>IF(H19=$D$23, $D$19, 0)</f>
        <v>0</v>
      </c>
      <c r="I22" s="1">
        <f t="shared" ref="I22:W22" si="1">IF(I19=$D$23, $D$19, 0)</f>
        <v>0</v>
      </c>
      <c r="J22" s="1">
        <f t="shared" si="1"/>
        <v>0</v>
      </c>
      <c r="K22" s="1">
        <f t="shared" si="1"/>
        <v>0</v>
      </c>
      <c r="L22" s="1">
        <f t="shared" si="1"/>
        <v>0</v>
      </c>
      <c r="M22" s="1">
        <f t="shared" si="1"/>
        <v>100</v>
      </c>
      <c r="N22" s="1">
        <f t="shared" si="1"/>
        <v>0</v>
      </c>
      <c r="O22" s="1">
        <f t="shared" si="1"/>
        <v>0</v>
      </c>
      <c r="P22" s="1">
        <f t="shared" si="1"/>
        <v>0</v>
      </c>
      <c r="Q22" s="1">
        <f t="shared" si="1"/>
        <v>0</v>
      </c>
      <c r="R22" s="1">
        <f t="shared" si="1"/>
        <v>0</v>
      </c>
      <c r="S22" s="1">
        <f t="shared" si="1"/>
        <v>0</v>
      </c>
      <c r="T22" s="1">
        <f t="shared" si="1"/>
        <v>0</v>
      </c>
      <c r="U22" s="1">
        <f t="shared" si="1"/>
        <v>0</v>
      </c>
      <c r="V22" s="1">
        <f t="shared" si="1"/>
        <v>0</v>
      </c>
      <c r="W22" s="12">
        <f t="shared" si="1"/>
        <v>0</v>
      </c>
      <c r="X22" s="1"/>
      <c r="Y22" s="1"/>
      <c r="Z22" s="1"/>
    </row>
    <row r="23" spans="1:26" ht="15.75" thickBot="1" x14ac:dyDescent="0.3">
      <c r="A23" s="1"/>
      <c r="B23" s="11" t="s">
        <v>62</v>
      </c>
      <c r="C23" s="1"/>
      <c r="D23" s="27">
        <v>6</v>
      </c>
      <c r="E23" s="1"/>
      <c r="F23" s="13" t="s">
        <v>29</v>
      </c>
      <c r="G23" s="14"/>
      <c r="H23" s="14">
        <f>H22+H21</f>
        <v>1.08</v>
      </c>
      <c r="I23" s="14">
        <f t="shared" ref="I23:W23" si="2">I22+I21</f>
        <v>1.08</v>
      </c>
      <c r="J23" s="14">
        <f t="shared" si="2"/>
        <v>1.08</v>
      </c>
      <c r="K23" s="14">
        <f t="shared" si="2"/>
        <v>1.08</v>
      </c>
      <c r="L23" s="14">
        <f t="shared" si="2"/>
        <v>1.08</v>
      </c>
      <c r="M23" s="14">
        <f t="shared" si="2"/>
        <v>101.08</v>
      </c>
      <c r="N23" s="14">
        <f t="shared" si="2"/>
        <v>0</v>
      </c>
      <c r="O23" s="14">
        <f t="shared" si="2"/>
        <v>0</v>
      </c>
      <c r="P23" s="14">
        <f t="shared" si="2"/>
        <v>0</v>
      </c>
      <c r="Q23" s="14">
        <f t="shared" si="2"/>
        <v>0</v>
      </c>
      <c r="R23" s="14">
        <f t="shared" si="2"/>
        <v>0</v>
      </c>
      <c r="S23" s="14">
        <f t="shared" si="2"/>
        <v>0</v>
      </c>
      <c r="T23" s="14">
        <f t="shared" si="2"/>
        <v>0</v>
      </c>
      <c r="U23" s="14">
        <f t="shared" si="2"/>
        <v>0</v>
      </c>
      <c r="V23" s="14">
        <f t="shared" si="2"/>
        <v>0</v>
      </c>
      <c r="W23" s="29">
        <f t="shared" si="2"/>
        <v>0</v>
      </c>
      <c r="X23" s="1"/>
      <c r="Y23" s="1"/>
      <c r="Z23" s="1"/>
    </row>
    <row r="24" spans="1:26" ht="15.75" thickBot="1" x14ac:dyDescent="0.3">
      <c r="A24" s="1"/>
      <c r="B24" s="11" t="s">
        <v>25</v>
      </c>
      <c r="C24" s="1" t="s">
        <v>14</v>
      </c>
      <c r="D24" s="27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3" t="s">
        <v>26</v>
      </c>
      <c r="C25" s="14"/>
      <c r="D25" s="28">
        <v>100.38460000000001</v>
      </c>
      <c r="E25" s="1"/>
      <c r="F25" s="8" t="s">
        <v>33</v>
      </c>
      <c r="G25" s="9"/>
      <c r="H25" s="9" t="s">
        <v>34</v>
      </c>
      <c r="I25" s="9" t="s">
        <v>35</v>
      </c>
      <c r="J25" s="9"/>
      <c r="K25" s="9" t="s">
        <v>28</v>
      </c>
      <c r="L25" s="9"/>
      <c r="M25" s="9"/>
      <c r="N25" s="1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1" t="s">
        <v>30</v>
      </c>
      <c r="G26" s="1"/>
      <c r="H26" s="1">
        <v>1</v>
      </c>
      <c r="I26" s="30" cm="1">
        <f t="array" ref="I26">SUMPRODUCT($H$23:$W$23,(1+(N26/H26))^(-H26*($H$20:$W$20-($D$24/360))))</f>
        <v>107.23546145236857</v>
      </c>
      <c r="K26" s="1">
        <f>D25</f>
        <v>100.38460000000001</v>
      </c>
      <c r="L26" s="31"/>
      <c r="M26" s="32" t="s">
        <v>36</v>
      </c>
      <c r="N26" s="33">
        <v>-4.8238935573608798E-3</v>
      </c>
      <c r="O26" s="1"/>
      <c r="P26" s="1" t="s">
        <v>37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 t="s">
        <v>38</v>
      </c>
      <c r="C27" s="1"/>
      <c r="D27" s="1"/>
      <c r="E27" s="1"/>
      <c r="F27" s="34" t="s">
        <v>27</v>
      </c>
      <c r="G27" s="35"/>
      <c r="H27">
        <v>2</v>
      </c>
      <c r="I27" s="30" cm="1">
        <f t="array" ref="I27">SUMPRODUCT($H$23:$W$23,(1+(N27/H27))^(-H27*($H$20:$W$20-($D$24/360))))</f>
        <v>102.08446123775774</v>
      </c>
      <c r="J27" s="1"/>
      <c r="K27" s="1">
        <f>D25</f>
        <v>100.38460000000001</v>
      </c>
      <c r="L27" s="1"/>
      <c r="M27" s="32" t="s">
        <v>36</v>
      </c>
      <c r="N27" s="33">
        <v>2.9054228490730052E-2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34" t="s">
        <v>31</v>
      </c>
      <c r="G28" s="35"/>
      <c r="H28" s="1">
        <v>4</v>
      </c>
      <c r="I28" s="30" cm="1">
        <f t="array" ref="I28">SUMPRODUCT($H$23:$W$23,(1+(N28/H28))^(-H28*($H$20:$W$20-($D$24/360))))</f>
        <v>107.23546079782245</v>
      </c>
      <c r="J28" s="1"/>
      <c r="K28" s="1">
        <f>D25</f>
        <v>100.38460000000001</v>
      </c>
      <c r="L28" s="1"/>
      <c r="M28" s="32" t="s">
        <v>36</v>
      </c>
      <c r="N28" s="33">
        <v>-4.8326402554808683E-3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36" t="s">
        <v>32</v>
      </c>
      <c r="G29" s="37"/>
      <c r="H29" s="14"/>
      <c r="I29" s="38" cm="1">
        <f t="array" ref="I29">SUMPRODUCT($H$23:$W$23,EXP(-N29*($H$20:$W$20-($D$24/360))))</f>
        <v>107.23546088705233</v>
      </c>
      <c r="J29" s="14"/>
      <c r="K29" s="14">
        <f>D25</f>
        <v>100.38460000000001</v>
      </c>
      <c r="L29" s="14"/>
      <c r="M29" s="39" t="s">
        <v>36</v>
      </c>
      <c r="N29" s="40">
        <v>-4.8355624795138729E-3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 x14ac:dyDescent="0.35">
      <c r="A33" s="1"/>
      <c r="B33" s="125" t="s">
        <v>54</v>
      </c>
      <c r="C33" s="125"/>
      <c r="D33" s="125"/>
      <c r="E33" s="125"/>
      <c r="F33" s="125"/>
      <c r="G33" s="125"/>
      <c r="H33" s="1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Top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 t="s">
        <v>55</v>
      </c>
      <c r="C35" s="1"/>
      <c r="D35" s="1"/>
      <c r="E35" s="3" t="str">
        <f>HYPERLINK("#Rate and discount!B4", "Interest rate -&gt; Discount factor")</f>
        <v>Interest rate -&gt; Discount factor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 t="s">
        <v>3</v>
      </c>
      <c r="C37" s="1"/>
      <c r="D37" s="1"/>
      <c r="E37" s="1"/>
      <c r="F37" s="1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8" t="s">
        <v>8</v>
      </c>
      <c r="C38" s="9" t="s">
        <v>9</v>
      </c>
      <c r="D38" s="44">
        <v>2</v>
      </c>
      <c r="E38" s="1"/>
      <c r="F38" s="8" t="s">
        <v>21</v>
      </c>
      <c r="G38" s="9">
        <v>0</v>
      </c>
      <c r="H38" s="9">
        <v>1</v>
      </c>
      <c r="I38" s="9">
        <v>2</v>
      </c>
      <c r="J38" s="9">
        <v>3</v>
      </c>
      <c r="K38" s="9">
        <v>4</v>
      </c>
      <c r="L38" s="9">
        <v>5</v>
      </c>
      <c r="M38" s="9">
        <v>6</v>
      </c>
      <c r="N38" s="9">
        <v>7</v>
      </c>
      <c r="O38" s="9">
        <v>8</v>
      </c>
      <c r="P38" s="9">
        <v>9</v>
      </c>
      <c r="Q38" s="9">
        <v>10</v>
      </c>
      <c r="R38" s="9">
        <v>11</v>
      </c>
      <c r="S38" s="9">
        <v>12</v>
      </c>
      <c r="T38" s="9">
        <v>13</v>
      </c>
      <c r="U38" s="9">
        <v>14</v>
      </c>
      <c r="V38" s="9">
        <v>15</v>
      </c>
      <c r="W38" s="10">
        <v>16</v>
      </c>
      <c r="X38" s="1"/>
      <c r="Y38" s="1"/>
      <c r="Z38" s="1"/>
    </row>
    <row r="39" spans="1:26" x14ac:dyDescent="0.25">
      <c r="A39" s="1"/>
      <c r="B39" s="11" t="s">
        <v>20</v>
      </c>
      <c r="C39" s="15" t="s">
        <v>11</v>
      </c>
      <c r="D39" s="6">
        <f>1/D38</f>
        <v>0.5</v>
      </c>
      <c r="E39" s="1"/>
      <c r="F39" s="11" t="s">
        <v>22</v>
      </c>
      <c r="G39" s="1"/>
      <c r="H39" s="1">
        <f t="shared" ref="H39:W39" si="3">H38*$D$39</f>
        <v>0.5</v>
      </c>
      <c r="I39" s="1">
        <f t="shared" si="3"/>
        <v>1</v>
      </c>
      <c r="J39" s="1">
        <f t="shared" si="3"/>
        <v>1.5</v>
      </c>
      <c r="K39" s="1">
        <f t="shared" si="3"/>
        <v>2</v>
      </c>
      <c r="L39" s="1">
        <f t="shared" si="3"/>
        <v>2.5</v>
      </c>
      <c r="M39" s="1">
        <f t="shared" si="3"/>
        <v>3</v>
      </c>
      <c r="N39" s="1">
        <f t="shared" si="3"/>
        <v>3.5</v>
      </c>
      <c r="O39" s="1">
        <f t="shared" si="3"/>
        <v>4</v>
      </c>
      <c r="P39" s="1">
        <f t="shared" si="3"/>
        <v>4.5</v>
      </c>
      <c r="Q39" s="1">
        <f t="shared" si="3"/>
        <v>5</v>
      </c>
      <c r="R39" s="1">
        <f t="shared" si="3"/>
        <v>5.5</v>
      </c>
      <c r="S39" s="1">
        <f t="shared" si="3"/>
        <v>6</v>
      </c>
      <c r="T39" s="1">
        <f t="shared" si="3"/>
        <v>6.5</v>
      </c>
      <c r="U39" s="1">
        <f t="shared" si="3"/>
        <v>7</v>
      </c>
      <c r="V39" s="1">
        <f t="shared" si="3"/>
        <v>7.5</v>
      </c>
      <c r="W39" s="12">
        <f t="shared" si="3"/>
        <v>8</v>
      </c>
      <c r="X39" s="1"/>
      <c r="Y39" s="1"/>
      <c r="Z39" s="1"/>
    </row>
    <row r="40" spans="1:26" ht="15.75" thickBot="1" x14ac:dyDescent="0.3">
      <c r="A40" s="1"/>
      <c r="B40" s="13" t="s">
        <v>62</v>
      </c>
      <c r="C40" s="14"/>
      <c r="D40" s="28">
        <v>4</v>
      </c>
      <c r="E40" s="1"/>
      <c r="F40" s="13" t="s">
        <v>48</v>
      </c>
      <c r="G40" s="14"/>
      <c r="H40" s="45">
        <v>0.98941000000000001</v>
      </c>
      <c r="I40" s="45">
        <v>0.97716000000000003</v>
      </c>
      <c r="J40" s="45">
        <v>0.96464000000000005</v>
      </c>
      <c r="K40" s="45">
        <v>0.95218000000000003</v>
      </c>
      <c r="L40" s="45">
        <v>0</v>
      </c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28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46" t="s">
        <v>6</v>
      </c>
      <c r="G42" s="47"/>
      <c r="H42" s="48" t="s">
        <v>56</v>
      </c>
      <c r="I42" s="49" cm="1">
        <f t="array" ref="I42">(1-INDEX($H$40:$W$40, $D$40))/($D$39*SUM($H$40:$W$40))</f>
        <v>2.4627966802201154E-2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 x14ac:dyDescent="0.35">
      <c r="A45" s="1"/>
      <c r="B45" s="125" t="s">
        <v>58</v>
      </c>
      <c r="C45" s="125"/>
      <c r="D45" s="125"/>
      <c r="E45" s="125"/>
      <c r="F45" s="125"/>
      <c r="G45" s="125"/>
      <c r="H45" s="1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 t="s">
        <v>3</v>
      </c>
      <c r="C48" s="1"/>
      <c r="D48" s="1"/>
      <c r="E48" s="1"/>
      <c r="F48" s="1" t="s">
        <v>15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46" x14ac:dyDescent="0.25">
      <c r="A49" s="1"/>
      <c r="B49" s="8" t="s">
        <v>8</v>
      </c>
      <c r="C49" s="9" t="s">
        <v>9</v>
      </c>
      <c r="D49" s="44">
        <v>2</v>
      </c>
      <c r="E49" s="1"/>
      <c r="F49" s="8" t="s">
        <v>21</v>
      </c>
      <c r="G49" s="9">
        <v>0</v>
      </c>
      <c r="H49" s="9">
        <v>1</v>
      </c>
      <c r="I49" s="9">
        <v>2</v>
      </c>
      <c r="J49" s="9">
        <v>3</v>
      </c>
      <c r="K49" s="9">
        <v>4</v>
      </c>
      <c r="L49" s="9">
        <v>5</v>
      </c>
      <c r="M49" s="9">
        <v>6</v>
      </c>
      <c r="N49" s="9">
        <v>7</v>
      </c>
      <c r="O49" s="9">
        <v>8</v>
      </c>
      <c r="P49" s="9">
        <v>9</v>
      </c>
      <c r="Q49" s="9">
        <v>10</v>
      </c>
      <c r="R49" s="9">
        <v>11</v>
      </c>
      <c r="S49" s="9">
        <v>12</v>
      </c>
      <c r="T49" s="9">
        <v>13</v>
      </c>
      <c r="U49" s="9">
        <v>14</v>
      </c>
      <c r="V49" s="9">
        <v>15</v>
      </c>
      <c r="W49" s="10">
        <v>16</v>
      </c>
      <c r="X49" s="1"/>
      <c r="Y49" s="1"/>
      <c r="Z49" s="1"/>
    </row>
    <row r="50" spans="1:46" x14ac:dyDescent="0.25">
      <c r="A50" s="1"/>
      <c r="B50" s="11" t="s">
        <v>20</v>
      </c>
      <c r="C50" s="15" t="s">
        <v>11</v>
      </c>
      <c r="D50" s="6">
        <f>1/D49</f>
        <v>0.5</v>
      </c>
      <c r="E50" s="1"/>
      <c r="F50" s="11" t="s">
        <v>22</v>
      </c>
      <c r="G50" s="1"/>
      <c r="H50" s="1">
        <f>H49*$D$50</f>
        <v>0.5</v>
      </c>
      <c r="I50" s="1">
        <f t="shared" ref="I50:W50" si="4">I49*$D$50</f>
        <v>1</v>
      </c>
      <c r="J50" s="1">
        <f t="shared" si="4"/>
        <v>1.5</v>
      </c>
      <c r="K50" s="1">
        <f t="shared" si="4"/>
        <v>2</v>
      </c>
      <c r="L50" s="1">
        <f t="shared" si="4"/>
        <v>2.5</v>
      </c>
      <c r="M50" s="1">
        <f t="shared" si="4"/>
        <v>3</v>
      </c>
      <c r="N50" s="1">
        <f t="shared" si="4"/>
        <v>3.5</v>
      </c>
      <c r="O50" s="1">
        <f t="shared" si="4"/>
        <v>4</v>
      </c>
      <c r="P50" s="1">
        <f t="shared" si="4"/>
        <v>4.5</v>
      </c>
      <c r="Q50" s="1">
        <f t="shared" si="4"/>
        <v>5</v>
      </c>
      <c r="R50" s="1">
        <f t="shared" si="4"/>
        <v>5.5</v>
      </c>
      <c r="S50" s="1">
        <f t="shared" si="4"/>
        <v>6</v>
      </c>
      <c r="T50" s="1">
        <f t="shared" si="4"/>
        <v>6.5</v>
      </c>
      <c r="U50" s="1">
        <f t="shared" si="4"/>
        <v>7</v>
      </c>
      <c r="V50" s="1">
        <f t="shared" si="4"/>
        <v>7.5</v>
      </c>
      <c r="W50" s="12">
        <f t="shared" si="4"/>
        <v>8</v>
      </c>
      <c r="X50" s="1"/>
      <c r="Y50" s="1"/>
      <c r="Z50" s="1"/>
    </row>
    <row r="51" spans="1:46" ht="15.75" thickBot="1" x14ac:dyDescent="0.3">
      <c r="A51" s="1"/>
      <c r="B51" s="11" t="s">
        <v>62</v>
      </c>
      <c r="C51" s="1"/>
      <c r="D51" s="27">
        <v>8</v>
      </c>
      <c r="E51" s="1"/>
      <c r="F51" s="13" t="s">
        <v>48</v>
      </c>
      <c r="G51" s="14">
        <v>1</v>
      </c>
      <c r="H51" s="45">
        <v>0.97799999999999998</v>
      </c>
      <c r="I51" s="45">
        <v>0.94599999999999995</v>
      </c>
      <c r="J51" s="45">
        <v>0.91400000000000003</v>
      </c>
      <c r="K51" s="45">
        <v>0.88300000000000001</v>
      </c>
      <c r="L51" s="45">
        <v>0.85450000000000004</v>
      </c>
      <c r="M51" s="45">
        <v>0.82750000000000001</v>
      </c>
      <c r="N51" s="45">
        <v>0.8024</v>
      </c>
      <c r="O51" s="45">
        <v>0.77910000000000001</v>
      </c>
      <c r="P51" s="45"/>
      <c r="Q51" s="45"/>
      <c r="R51" s="45"/>
      <c r="S51" s="45"/>
      <c r="T51" s="45"/>
      <c r="U51" s="45"/>
      <c r="V51" s="45"/>
      <c r="W51" s="28"/>
      <c r="X51" s="1"/>
      <c r="Y51" s="1"/>
      <c r="Z51" s="1"/>
    </row>
    <row r="52" spans="1:46" x14ac:dyDescent="0.25">
      <c r="A52" s="1"/>
      <c r="B52" s="11" t="s">
        <v>57</v>
      </c>
      <c r="C52" s="1" t="s">
        <v>7</v>
      </c>
      <c r="D52" s="25">
        <v>0.06</v>
      </c>
      <c r="E52" s="1"/>
      <c r="F52" s="8" t="s">
        <v>23</v>
      </c>
      <c r="G52" s="9"/>
      <c r="H52" s="9">
        <f>IF(H49&lt;=$D$51, $D$53*$D$50*$D$52, 0)</f>
        <v>3</v>
      </c>
      <c r="I52" s="9">
        <f t="shared" ref="I52:W52" si="5">IF(I49&lt;=$D$51, $D$53*$D$50*$D$52, 0)</f>
        <v>3</v>
      </c>
      <c r="J52" s="9">
        <f t="shared" si="5"/>
        <v>3</v>
      </c>
      <c r="K52" s="9">
        <f t="shared" si="5"/>
        <v>3</v>
      </c>
      <c r="L52" s="9">
        <f t="shared" si="5"/>
        <v>3</v>
      </c>
      <c r="M52" s="9">
        <f t="shared" si="5"/>
        <v>3</v>
      </c>
      <c r="N52" s="9">
        <f t="shared" si="5"/>
        <v>3</v>
      </c>
      <c r="O52" s="9">
        <f t="shared" si="5"/>
        <v>3</v>
      </c>
      <c r="P52" s="9">
        <f t="shared" si="5"/>
        <v>0</v>
      </c>
      <c r="Q52" s="9">
        <f t="shared" si="5"/>
        <v>0</v>
      </c>
      <c r="R52" s="9">
        <f t="shared" si="5"/>
        <v>0</v>
      </c>
      <c r="S52" s="9">
        <f t="shared" si="5"/>
        <v>0</v>
      </c>
      <c r="T52" s="9">
        <f t="shared" si="5"/>
        <v>0</v>
      </c>
      <c r="U52" s="9">
        <f t="shared" si="5"/>
        <v>0</v>
      </c>
      <c r="V52" s="9">
        <f t="shared" si="5"/>
        <v>0</v>
      </c>
      <c r="W52" s="10">
        <f t="shared" si="5"/>
        <v>0</v>
      </c>
      <c r="X52" s="1"/>
      <c r="Y52" s="1"/>
      <c r="Z52" s="1"/>
    </row>
    <row r="53" spans="1:46" ht="15.75" thickBot="1" x14ac:dyDescent="0.3">
      <c r="A53" s="1"/>
      <c r="B53" s="13" t="s">
        <v>59</v>
      </c>
      <c r="C53" s="14" t="s">
        <v>5</v>
      </c>
      <c r="D53" s="28">
        <v>100</v>
      </c>
      <c r="E53" s="1"/>
      <c r="F53" s="11" t="s">
        <v>24</v>
      </c>
      <c r="G53" s="1"/>
      <c r="H53" s="1">
        <f>IF(H49=$D$51, $D$53, 0)</f>
        <v>0</v>
      </c>
      <c r="I53" s="1">
        <f t="shared" ref="I53:W53" si="6">IF(I49=$D$51, $D$53, 0)</f>
        <v>0</v>
      </c>
      <c r="J53" s="1">
        <f t="shared" si="6"/>
        <v>0</v>
      </c>
      <c r="K53" s="1">
        <f t="shared" si="6"/>
        <v>0</v>
      </c>
      <c r="L53" s="1">
        <f t="shared" si="6"/>
        <v>0</v>
      </c>
      <c r="M53" s="1">
        <f t="shared" si="6"/>
        <v>0</v>
      </c>
      <c r="N53" s="1">
        <f t="shared" si="6"/>
        <v>0</v>
      </c>
      <c r="O53" s="1">
        <f t="shared" si="6"/>
        <v>100</v>
      </c>
      <c r="P53" s="1">
        <f t="shared" si="6"/>
        <v>0</v>
      </c>
      <c r="Q53" s="1">
        <f t="shared" si="6"/>
        <v>0</v>
      </c>
      <c r="R53" s="1">
        <f t="shared" si="6"/>
        <v>0</v>
      </c>
      <c r="S53" s="1">
        <f t="shared" si="6"/>
        <v>0</v>
      </c>
      <c r="T53" s="1">
        <f t="shared" si="6"/>
        <v>0</v>
      </c>
      <c r="U53" s="1">
        <f t="shared" si="6"/>
        <v>0</v>
      </c>
      <c r="V53" s="1">
        <f t="shared" si="6"/>
        <v>0</v>
      </c>
      <c r="W53" s="12">
        <f t="shared" si="6"/>
        <v>0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thickBot="1" x14ac:dyDescent="0.3">
      <c r="A54" s="1"/>
      <c r="B54" s="1"/>
      <c r="C54" s="1"/>
      <c r="D54" s="1"/>
      <c r="E54" s="1"/>
      <c r="F54" s="13" t="s">
        <v>29</v>
      </c>
      <c r="G54" s="14"/>
      <c r="H54" s="14">
        <f>H52+H53</f>
        <v>3</v>
      </c>
      <c r="I54" s="14">
        <f t="shared" ref="I54:W54" si="7">I52+I53</f>
        <v>3</v>
      </c>
      <c r="J54" s="14">
        <f t="shared" si="7"/>
        <v>3</v>
      </c>
      <c r="K54" s="14">
        <f t="shared" si="7"/>
        <v>3</v>
      </c>
      <c r="L54" s="14">
        <f t="shared" si="7"/>
        <v>3</v>
      </c>
      <c r="M54" s="14">
        <f t="shared" si="7"/>
        <v>3</v>
      </c>
      <c r="N54" s="14">
        <f t="shared" si="7"/>
        <v>3</v>
      </c>
      <c r="O54" s="14">
        <f t="shared" si="7"/>
        <v>103</v>
      </c>
      <c r="P54" s="14">
        <f t="shared" si="7"/>
        <v>0</v>
      </c>
      <c r="Q54" s="14">
        <f t="shared" si="7"/>
        <v>0</v>
      </c>
      <c r="R54" s="14">
        <f t="shared" si="7"/>
        <v>0</v>
      </c>
      <c r="S54" s="14">
        <f t="shared" si="7"/>
        <v>0</v>
      </c>
      <c r="T54" s="14">
        <f t="shared" si="7"/>
        <v>0</v>
      </c>
      <c r="U54" s="14">
        <f t="shared" si="7"/>
        <v>0</v>
      </c>
      <c r="V54" s="14">
        <f t="shared" si="7"/>
        <v>0</v>
      </c>
      <c r="W54" s="29">
        <f t="shared" si="7"/>
        <v>0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thickBot="1" x14ac:dyDescent="0.3">
      <c r="A55" s="1"/>
      <c r="B55" s="1"/>
      <c r="C55" s="1"/>
      <c r="D55" s="1"/>
      <c r="E55" s="1"/>
      <c r="F55" s="46" t="s">
        <v>61</v>
      </c>
      <c r="G55" s="47"/>
      <c r="H55" s="47">
        <f>H54*H51</f>
        <v>2.9340000000000002</v>
      </c>
      <c r="I55" s="47">
        <f t="shared" ref="I55:W55" si="8">I54*I51</f>
        <v>2.8380000000000001</v>
      </c>
      <c r="J55" s="47">
        <f t="shared" si="8"/>
        <v>2.742</v>
      </c>
      <c r="K55" s="47">
        <f t="shared" si="8"/>
        <v>2.649</v>
      </c>
      <c r="L55" s="47">
        <f t="shared" si="8"/>
        <v>2.5635000000000003</v>
      </c>
      <c r="M55" s="47">
        <f t="shared" si="8"/>
        <v>2.4824999999999999</v>
      </c>
      <c r="N55" s="47">
        <f t="shared" si="8"/>
        <v>2.4072</v>
      </c>
      <c r="O55" s="47">
        <f t="shared" si="8"/>
        <v>80.247299999999996</v>
      </c>
      <c r="P55" s="47">
        <f t="shared" si="8"/>
        <v>0</v>
      </c>
      <c r="Q55" s="47">
        <f t="shared" si="8"/>
        <v>0</v>
      </c>
      <c r="R55" s="47">
        <f t="shared" si="8"/>
        <v>0</v>
      </c>
      <c r="S55" s="47">
        <f t="shared" si="8"/>
        <v>0</v>
      </c>
      <c r="T55" s="47">
        <f t="shared" si="8"/>
        <v>0</v>
      </c>
      <c r="U55" s="47">
        <f t="shared" si="8"/>
        <v>0</v>
      </c>
      <c r="V55" s="47">
        <f t="shared" si="8"/>
        <v>0</v>
      </c>
      <c r="W55" s="50">
        <f t="shared" si="8"/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thickBot="1" x14ac:dyDescent="0.3">
      <c r="A57" s="1"/>
      <c r="B57" s="1"/>
      <c r="C57" s="1"/>
      <c r="D57" s="1"/>
      <c r="E57" s="1"/>
      <c r="F57" s="46" t="s">
        <v>60</v>
      </c>
      <c r="G57" s="47"/>
      <c r="H57" s="67">
        <f>SUM(H55:W55)</f>
        <v>98.863500000000002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8" thickBot="1" x14ac:dyDescent="0.35">
      <c r="A61" s="1"/>
      <c r="B61" s="125" t="s">
        <v>113</v>
      </c>
      <c r="C61" s="125"/>
      <c r="D61" s="125"/>
      <c r="E61" s="125"/>
      <c r="F61" s="125"/>
      <c r="G61" s="125"/>
      <c r="H61" s="1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6.5" thickTop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thickBot="1" x14ac:dyDescent="0.3">
      <c r="A63" s="1"/>
      <c r="B63" s="1" t="s">
        <v>3</v>
      </c>
      <c r="C63" s="1"/>
      <c r="D63" s="1"/>
      <c r="E63" s="1"/>
      <c r="F63" s="121" t="s">
        <v>128</v>
      </c>
      <c r="G63" s="122" t="s">
        <v>129</v>
      </c>
      <c r="H63" s="122" t="s">
        <v>130</v>
      </c>
      <c r="I63" s="122" t="s">
        <v>114</v>
      </c>
      <c r="J63" s="123" t="s">
        <v>131</v>
      </c>
      <c r="K63" s="1"/>
      <c r="L63" s="1" t="s">
        <v>116</v>
      </c>
      <c r="M63" s="1"/>
      <c r="N63" s="1" t="s">
        <v>118</v>
      </c>
      <c r="O63" s="1"/>
      <c r="P63" s="1"/>
      <c r="Q63" s="1"/>
      <c r="R63" s="1"/>
      <c r="T63" s="1"/>
      <c r="U63" s="1" t="s">
        <v>120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/>
      <c r="B64" s="8" t="s">
        <v>8</v>
      </c>
      <c r="C64" s="9" t="s">
        <v>9</v>
      </c>
      <c r="D64" s="44">
        <v>2</v>
      </c>
      <c r="E64" s="1"/>
      <c r="F64" s="5">
        <v>1</v>
      </c>
      <c r="G64" s="21">
        <v>99.072800000000001</v>
      </c>
      <c r="H64" s="119">
        <v>2.1999999999999999E-2</v>
      </c>
      <c r="I64" s="21">
        <v>100</v>
      </c>
      <c r="J64" s="27">
        <v>1</v>
      </c>
      <c r="K64" s="1"/>
      <c r="L64" s="109">
        <f>G64</f>
        <v>99.072800000000001</v>
      </c>
      <c r="M64" s="1"/>
      <c r="N64" s="112">
        <f>IF(AND(N$69&lt;=$D$66, $F64&lt;=$D$67),IF(N$69=$D$66,  $H$64*$I$64 + $I64, $H$64*$I$64), 0)</f>
        <v>2.1999999999999997</v>
      </c>
      <c r="O64" s="113">
        <f t="shared" ref="O64:R68" si="9">IF(AND(O$69&lt;=$D$66, $F64&lt;=$D$67),IF(O$69=$D$66,  $H$64*$I$64 + $I64, $H$64*$I$64), 0)</f>
        <v>102.2</v>
      </c>
      <c r="P64" s="113">
        <f t="shared" si="9"/>
        <v>0</v>
      </c>
      <c r="Q64" s="113">
        <f t="shared" si="9"/>
        <v>0</v>
      </c>
      <c r="R64" s="24">
        <f t="shared" si="9"/>
        <v>0</v>
      </c>
      <c r="S64" s="124">
        <v>1</v>
      </c>
      <c r="T64" s="1"/>
      <c r="U64" s="116" t="s">
        <v>123</v>
      </c>
      <c r="V64" s="1"/>
      <c r="W64" s="1"/>
      <c r="X64" s="116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/>
      <c r="B65" s="11" t="s">
        <v>20</v>
      </c>
      <c r="C65" s="15" t="s">
        <v>11</v>
      </c>
      <c r="D65" s="6">
        <f>1/D64</f>
        <v>0.5</v>
      </c>
      <c r="E65" s="1"/>
      <c r="F65" s="11">
        <v>2</v>
      </c>
      <c r="G65" s="21">
        <v>50.000599999999999</v>
      </c>
      <c r="H65" s="119">
        <v>3.15E-2</v>
      </c>
      <c r="I65" s="21">
        <v>50</v>
      </c>
      <c r="J65" s="27">
        <v>1</v>
      </c>
      <c r="K65" s="1"/>
      <c r="L65" s="110">
        <f>G65</f>
        <v>50.000599999999999</v>
      </c>
      <c r="M65" s="1"/>
      <c r="N65" s="114">
        <f t="shared" ref="N65:N68" si="10">IF(AND(N$69&lt;=$D$66, $F65&lt;=$D$67),IF(N$69=$D$66,  $H$64*$I$64 + $I65, $H$64*$I$64), 0)</f>
        <v>2.1999999999999997</v>
      </c>
      <c r="O65" s="21">
        <f t="shared" si="9"/>
        <v>52.2</v>
      </c>
      <c r="P65" s="21">
        <f t="shared" si="9"/>
        <v>0</v>
      </c>
      <c r="Q65" s="21">
        <f t="shared" si="9"/>
        <v>0</v>
      </c>
      <c r="R65" s="27">
        <f t="shared" si="9"/>
        <v>0</v>
      </c>
      <c r="S65" s="124">
        <v>2</v>
      </c>
      <c r="T65" s="1"/>
      <c r="U65" s="117" t="s">
        <v>124</v>
      </c>
      <c r="V65" s="1"/>
      <c r="W65" s="1"/>
      <c r="X65" s="117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/>
      <c r="B66" s="11" t="s">
        <v>132</v>
      </c>
      <c r="D66" s="27">
        <v>2</v>
      </c>
      <c r="E66" s="1"/>
      <c r="F66" s="11">
        <v>3</v>
      </c>
      <c r="G66" s="21">
        <v>0</v>
      </c>
      <c r="H66" s="119">
        <v>0</v>
      </c>
      <c r="I66" s="21">
        <v>0</v>
      </c>
      <c r="J66" s="27">
        <v>0</v>
      </c>
      <c r="K66" s="1"/>
      <c r="L66" s="110">
        <f>G66</f>
        <v>0</v>
      </c>
      <c r="M66" s="74" t="s">
        <v>117</v>
      </c>
      <c r="N66" s="114">
        <f t="shared" si="10"/>
        <v>0</v>
      </c>
      <c r="O66" s="21">
        <f t="shared" si="9"/>
        <v>0</v>
      </c>
      <c r="P66" s="21">
        <f t="shared" si="9"/>
        <v>0</v>
      </c>
      <c r="Q66" s="21">
        <f t="shared" si="9"/>
        <v>0</v>
      </c>
      <c r="R66" s="27">
        <f t="shared" si="9"/>
        <v>0</v>
      </c>
      <c r="S66" s="124">
        <v>3</v>
      </c>
      <c r="T66" s="74" t="s">
        <v>119</v>
      </c>
      <c r="U66" s="117" t="s">
        <v>125</v>
      </c>
      <c r="V66" s="74" t="s">
        <v>121</v>
      </c>
      <c r="W66" s="32" t="s">
        <v>122</v>
      </c>
      <c r="X66" s="117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thickBot="1" x14ac:dyDescent="0.3">
      <c r="A67" s="1"/>
      <c r="B67" s="13" t="s">
        <v>115</v>
      </c>
      <c r="C67" s="14"/>
      <c r="D67" s="28">
        <v>2</v>
      </c>
      <c r="E67" s="1"/>
      <c r="F67" s="11">
        <v>4</v>
      </c>
      <c r="G67" s="21">
        <v>0</v>
      </c>
      <c r="H67" s="119">
        <v>0</v>
      </c>
      <c r="I67" s="21">
        <v>0</v>
      </c>
      <c r="J67" s="27">
        <v>0</v>
      </c>
      <c r="K67" s="1"/>
      <c r="L67" s="110">
        <f>G67</f>
        <v>0</v>
      </c>
      <c r="M67" s="1"/>
      <c r="N67" s="114">
        <f t="shared" si="10"/>
        <v>0</v>
      </c>
      <c r="O67" s="21">
        <f t="shared" si="9"/>
        <v>0</v>
      </c>
      <c r="P67" s="21">
        <f t="shared" si="9"/>
        <v>0</v>
      </c>
      <c r="Q67" s="21">
        <f t="shared" si="9"/>
        <v>0</v>
      </c>
      <c r="R67" s="27">
        <f t="shared" si="9"/>
        <v>0</v>
      </c>
      <c r="S67" s="124">
        <v>4</v>
      </c>
      <c r="T67" s="1"/>
      <c r="U67" s="117" t="s">
        <v>126</v>
      </c>
      <c r="V67" s="1"/>
      <c r="W67" s="1"/>
      <c r="X67" s="117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thickBot="1" x14ac:dyDescent="0.3">
      <c r="A68" s="1"/>
      <c r="C68" s="1"/>
      <c r="D68" s="1"/>
      <c r="E68" s="1"/>
      <c r="F68" s="13">
        <v>5</v>
      </c>
      <c r="G68" s="45">
        <v>0</v>
      </c>
      <c r="H68" s="120">
        <v>0</v>
      </c>
      <c r="I68" s="45">
        <v>0</v>
      </c>
      <c r="J68" s="28">
        <v>0</v>
      </c>
      <c r="K68" s="1"/>
      <c r="L68" s="111">
        <f>G68</f>
        <v>0</v>
      </c>
      <c r="M68" s="1"/>
      <c r="N68" s="115">
        <f t="shared" si="10"/>
        <v>0</v>
      </c>
      <c r="O68" s="45">
        <f t="shared" si="9"/>
        <v>0</v>
      </c>
      <c r="P68" s="45">
        <f t="shared" si="9"/>
        <v>0</v>
      </c>
      <c r="Q68" s="45">
        <f t="shared" si="9"/>
        <v>0</v>
      </c>
      <c r="R68" s="28">
        <f t="shared" si="9"/>
        <v>0</v>
      </c>
      <c r="S68" s="124">
        <v>5</v>
      </c>
      <c r="T68" s="1"/>
      <c r="U68" s="118" t="s">
        <v>127</v>
      </c>
      <c r="V68" s="1"/>
      <c r="W68" s="1"/>
      <c r="X68" s="11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24">
        <v>1</v>
      </c>
      <c r="O69" s="124">
        <v>2</v>
      </c>
      <c r="P69" s="124">
        <v>3</v>
      </c>
      <c r="Q69" s="124">
        <v>4</v>
      </c>
      <c r="R69" s="124">
        <v>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4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4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4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4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4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4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4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4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4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</sheetData>
  <mergeCells count="6">
    <mergeCell ref="B61:H61"/>
    <mergeCell ref="B33:H33"/>
    <mergeCell ref="B45:H45"/>
    <mergeCell ref="B5:D5"/>
    <mergeCell ref="F8:G8"/>
    <mergeCell ref="F11:G11"/>
  </mergeCells>
  <conditionalFormatting sqref="F64:F68 L64:L68 N64:R68">
    <cfRule type="expression" dxfId="13" priority="25">
      <formula>$F64 &gt; $D$67</formula>
    </cfRule>
    <cfRule type="expression" dxfId="12" priority="26">
      <formula>$F64 &lt;= $D$67</formula>
    </cfRule>
  </conditionalFormatting>
  <conditionalFormatting sqref="F64:F68 X64:X68">
    <cfRule type="expression" dxfId="11" priority="4">
      <formula>$F64&gt;$D$67</formula>
    </cfRule>
    <cfRule type="expression" dxfId="10" priority="5">
      <formula>$F64 &lt;= $D$67</formula>
    </cfRule>
  </conditionalFormatting>
  <conditionalFormatting sqref="F64:J68">
    <cfRule type="expression" dxfId="9" priority="23">
      <formula>$F64 &gt; $D$67</formula>
    </cfRule>
    <cfRule type="expression" dxfId="8" priority="24">
      <formula>$F64&lt;=$D$67</formula>
    </cfRule>
  </conditionalFormatting>
  <conditionalFormatting sqref="N64:R68">
    <cfRule type="expression" dxfId="7" priority="6">
      <formula>N$69 &gt; $D$66</formula>
    </cfRule>
  </conditionalFormatting>
  <dataValidations disablePrompts="1" count="1">
    <dataValidation type="list" allowBlank="1" showInputMessage="1" showErrorMessage="1" sqref="D21 D38 D49 D64" xr:uid="{3C6B4766-2E96-4404-970B-5807C3EDB4AF}">
      <formula1>"1,2,4,Continuous"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B1CC-A810-43EF-BD32-D524E5A2EAFD}">
  <sheetPr codeName="Sheet4"/>
  <dimension ref="B2:G15"/>
  <sheetViews>
    <sheetView workbookViewId="0">
      <selection activeCell="B16" sqref="B16"/>
    </sheetView>
  </sheetViews>
  <sheetFormatPr defaultRowHeight="15" x14ac:dyDescent="0.25"/>
  <cols>
    <col min="2" max="2" width="20.7109375" bestFit="1" customWidth="1"/>
  </cols>
  <sheetData>
    <row r="2" spans="2:7" ht="20.25" thickBot="1" x14ac:dyDescent="0.35">
      <c r="B2" s="131" t="s">
        <v>78</v>
      </c>
      <c r="C2" s="131"/>
      <c r="D2" s="131"/>
    </row>
    <row r="3" spans="2:7" ht="15.75" thickTop="1" x14ac:dyDescent="0.25"/>
    <row r="5" spans="2:7" ht="18" thickBot="1" x14ac:dyDescent="0.35">
      <c r="B5" s="132" t="s">
        <v>82</v>
      </c>
      <c r="C5" s="132"/>
      <c r="D5" s="132"/>
      <c r="E5" s="132"/>
    </row>
    <row r="6" spans="2:7" ht="15.75" thickTop="1" x14ac:dyDescent="0.25"/>
    <row r="7" spans="2:7" ht="15.75" thickBot="1" x14ac:dyDescent="0.3">
      <c r="B7" s="1" t="s">
        <v>3</v>
      </c>
      <c r="C7" s="1"/>
      <c r="D7" s="1"/>
      <c r="F7" t="s">
        <v>15</v>
      </c>
    </row>
    <row r="8" spans="2:7" ht="15.75" thickBot="1" x14ac:dyDescent="0.3">
      <c r="B8" s="8" t="s">
        <v>89</v>
      </c>
      <c r="C8" s="9" t="s">
        <v>90</v>
      </c>
      <c r="D8" s="16">
        <v>12.15</v>
      </c>
      <c r="F8" s="72" t="s">
        <v>87</v>
      </c>
      <c r="G8" s="73">
        <f>D8*(1+D11)^(D9-D10)</f>
        <v>12.23425190509416</v>
      </c>
    </row>
    <row r="9" spans="2:7" x14ac:dyDescent="0.25">
      <c r="B9" s="11" t="s">
        <v>83</v>
      </c>
      <c r="C9" s="1" t="s">
        <v>84</v>
      </c>
      <c r="D9" s="69">
        <f>125/360</f>
        <v>0.34722222222222221</v>
      </c>
    </row>
    <row r="10" spans="2:7" x14ac:dyDescent="0.25">
      <c r="B10" s="11" t="s">
        <v>88</v>
      </c>
      <c r="C10" t="s">
        <v>51</v>
      </c>
      <c r="D10" s="71">
        <f>40/360</f>
        <v>0.1111111111111111</v>
      </c>
    </row>
    <row r="11" spans="2:7" ht="15.75" thickBot="1" x14ac:dyDescent="0.3">
      <c r="B11" s="13" t="s">
        <v>85</v>
      </c>
      <c r="C11" s="14" t="s">
        <v>86</v>
      </c>
      <c r="D11" s="70">
        <v>2.9700000000000001E-2</v>
      </c>
    </row>
    <row r="14" spans="2:7" ht="18" thickBot="1" x14ac:dyDescent="0.35">
      <c r="B14" s="125" t="s">
        <v>91</v>
      </c>
      <c r="C14" s="125"/>
      <c r="D14" s="125"/>
    </row>
    <row r="15" spans="2:7" ht="15.75" thickTop="1" x14ac:dyDescent="0.25"/>
  </sheetData>
  <mergeCells count="3">
    <mergeCell ref="B2:D2"/>
    <mergeCell ref="B5:E5"/>
    <mergeCell ref="B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B611-7607-46F7-BB33-9888887E235D}">
  <sheetPr codeName="Sheet5"/>
  <dimension ref="A1:BL110"/>
  <sheetViews>
    <sheetView workbookViewId="0">
      <selection activeCell="B21" sqref="B21"/>
    </sheetView>
  </sheetViews>
  <sheetFormatPr defaultRowHeight="15" x14ac:dyDescent="0.25"/>
  <cols>
    <col min="2" max="2" width="22.28515625" bestFit="1" customWidth="1"/>
    <col min="6" max="6" width="12" bestFit="1" customWidth="1"/>
    <col min="26" max="26" width="11.85546875" bestFit="1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thickBot="1" x14ac:dyDescent="0.35">
      <c r="A2" s="1"/>
      <c r="B2" s="133" t="s">
        <v>92</v>
      </c>
      <c r="C2" s="133"/>
      <c r="D2" s="133"/>
      <c r="E2" s="133"/>
      <c r="F2" s="13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5.75" thickTop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thickBot="1" x14ac:dyDescent="0.35">
      <c r="A4" s="1"/>
      <c r="B4" s="125" t="s">
        <v>100</v>
      </c>
      <c r="C4" s="125"/>
      <c r="D4" s="125"/>
      <c r="E4" s="125"/>
      <c r="F4" s="125"/>
      <c r="G4" s="1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5.75" thickTop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5.75" thickBot="1" x14ac:dyDescent="0.3">
      <c r="A6" s="1"/>
      <c r="B6" s="1" t="s">
        <v>3</v>
      </c>
      <c r="C6" s="1"/>
      <c r="D6" s="1"/>
      <c r="E6" s="1"/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/>
      <c r="B7" s="8" t="s">
        <v>19</v>
      </c>
      <c r="C7" s="9" t="s">
        <v>5</v>
      </c>
      <c r="D7" s="24">
        <f>1000000</f>
        <v>1000000</v>
      </c>
      <c r="E7" s="1"/>
      <c r="F7" s="8" t="s">
        <v>21</v>
      </c>
      <c r="G7" s="9">
        <v>0</v>
      </c>
      <c r="H7" s="9">
        <v>1</v>
      </c>
      <c r="I7" s="9">
        <v>2</v>
      </c>
      <c r="J7" s="9">
        <v>3</v>
      </c>
      <c r="K7" s="9">
        <v>4</v>
      </c>
      <c r="L7" s="9">
        <v>5</v>
      </c>
      <c r="M7" s="9">
        <v>6</v>
      </c>
      <c r="N7" s="9">
        <v>7</v>
      </c>
      <c r="O7" s="9">
        <v>8</v>
      </c>
      <c r="P7" s="9">
        <v>9</v>
      </c>
      <c r="Q7" s="9">
        <v>10</v>
      </c>
      <c r="R7" s="9">
        <v>11</v>
      </c>
      <c r="S7" s="9">
        <v>12</v>
      </c>
      <c r="T7" s="9">
        <v>13</v>
      </c>
      <c r="U7" s="9">
        <v>14</v>
      </c>
      <c r="V7" s="9">
        <v>15</v>
      </c>
      <c r="W7" s="10">
        <v>16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/>
      <c r="B8" s="11" t="s">
        <v>8</v>
      </c>
      <c r="C8" s="1" t="s">
        <v>9</v>
      </c>
      <c r="D8" s="26">
        <v>2</v>
      </c>
      <c r="E8" s="1"/>
      <c r="F8" s="11" t="s">
        <v>22</v>
      </c>
      <c r="G8" s="1"/>
      <c r="H8" s="1" cm="1">
        <f t="array" ref="H8">IF(TYPE($D$9)=1, $D$9*H7, Cont)</f>
        <v>0.5</v>
      </c>
      <c r="I8" s="1" cm="1">
        <f t="array" ref="I8">IF(TYPE($D$9)=1, $D$9*I7, Cont)</f>
        <v>1</v>
      </c>
      <c r="J8" s="1" cm="1">
        <f t="array" ref="J8">IF(TYPE($D$9)=1, $D$9*J7, Cont)</f>
        <v>1.5</v>
      </c>
      <c r="K8" s="1" cm="1">
        <f t="array" ref="K8">IF(TYPE($D$9)=1, $D$9*K7, Cont)</f>
        <v>2</v>
      </c>
      <c r="L8" s="1" cm="1">
        <f t="array" ref="L8">IF(TYPE($D$9)=1, $D$9*L7, Cont)</f>
        <v>2.5</v>
      </c>
      <c r="M8" s="1" cm="1">
        <f t="array" ref="M8">IF(TYPE($D$9)=1, $D$9*M7, Cont)</f>
        <v>3</v>
      </c>
      <c r="N8" s="1" cm="1">
        <f t="array" ref="N8">IF(TYPE($D$9)=1, $D$9*N7, Cont)</f>
        <v>3.5</v>
      </c>
      <c r="O8" s="1" cm="1">
        <f t="array" ref="O8">IF(TYPE($D$9)=1, $D$9*O7, Cont)</f>
        <v>4</v>
      </c>
      <c r="P8" s="1" cm="1">
        <f t="array" ref="P8">IF(TYPE($D$9)=1, $D$9*P7, Cont)</f>
        <v>4.5</v>
      </c>
      <c r="Q8" s="1" cm="1">
        <f t="array" ref="Q8">IF(TYPE($D$9)=1, $D$9*Q7, Cont)</f>
        <v>5</v>
      </c>
      <c r="R8" s="1" cm="1">
        <f t="array" ref="R8">IF(TYPE($D$9)=1, $D$9*R7, Cont)</f>
        <v>5.5</v>
      </c>
      <c r="S8" s="1" cm="1">
        <f t="array" ref="S8">IF(TYPE($D$9)=1, $D$9*S7, Cont)</f>
        <v>6</v>
      </c>
      <c r="T8" s="1" cm="1">
        <f t="array" ref="T8">IF(TYPE($D$9)=1, $D$9*T7, Cont)</f>
        <v>6.5</v>
      </c>
      <c r="U8" s="1" cm="1">
        <f t="array" ref="U8">IF(TYPE($D$9)=1, $D$9*U7, Cont)</f>
        <v>7</v>
      </c>
      <c r="V8" s="1" cm="1">
        <f t="array" ref="V8">IF(TYPE($D$9)=1, $D$9*V7, Cont)</f>
        <v>7.5</v>
      </c>
      <c r="W8" s="12" cm="1">
        <f t="array" ref="W8">IF(TYPE($D$9)=1, $D$9*W7, Cont)</f>
        <v>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5.75" thickBot="1" x14ac:dyDescent="0.3">
      <c r="A9" s="1"/>
      <c r="B9" s="11" t="s">
        <v>20</v>
      </c>
      <c r="C9" s="15" t="s">
        <v>11</v>
      </c>
      <c r="D9" s="6">
        <f>1/D8</f>
        <v>0.5</v>
      </c>
      <c r="E9" s="1"/>
      <c r="F9" s="13" t="s">
        <v>93</v>
      </c>
      <c r="G9" s="77">
        <v>1</v>
      </c>
      <c r="H9" s="75">
        <v>0.97970000000000002</v>
      </c>
      <c r="I9" s="75">
        <v>0.95789999999999997</v>
      </c>
      <c r="J9" s="75">
        <v>0.93679999999999997</v>
      </c>
      <c r="K9" s="75">
        <v>0.92969999999999997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6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5.75" thickBot="1" x14ac:dyDescent="0.3">
      <c r="A10" s="1"/>
      <c r="B10" s="13" t="s">
        <v>62</v>
      </c>
      <c r="C10" s="14"/>
      <c r="D10" s="28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5.75" thickBot="1" x14ac:dyDescent="0.3">
      <c r="A11" s="1"/>
      <c r="B11" s="1"/>
      <c r="C11" s="1"/>
      <c r="D11" s="1"/>
      <c r="E11" s="1"/>
      <c r="F11" s="1" t="s">
        <v>101</v>
      </c>
      <c r="G11" s="1"/>
      <c r="H11" s="21">
        <v>43</v>
      </c>
      <c r="I11" s="1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5.75" thickBot="1" x14ac:dyDescent="0.3">
      <c r="A12" s="1"/>
      <c r="B12" s="8" t="s">
        <v>105</v>
      </c>
      <c r="C12" s="9"/>
      <c r="D12" s="24">
        <v>0.5</v>
      </c>
      <c r="E12" s="1"/>
      <c r="F12" s="1" t="s">
        <v>106</v>
      </c>
      <c r="G12" s="1"/>
      <c r="H12" s="134" t="s">
        <v>102</v>
      </c>
      <c r="I12" s="134"/>
      <c r="J12" s="13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5.75" thickBot="1" x14ac:dyDescent="0.3">
      <c r="A13" s="1"/>
      <c r="B13" s="11" t="s">
        <v>95</v>
      </c>
      <c r="C13" s="1"/>
      <c r="D13" s="27">
        <v>0.5</v>
      </c>
      <c r="E13" s="1"/>
      <c r="F13" s="46" t="s">
        <v>65</v>
      </c>
      <c r="G13" s="47">
        <v>1</v>
      </c>
      <c r="H13" s="47">
        <f>IF(H9&gt;0, ($H$11/360/$D$9)*G9+(($D$9-($H$11/360))/$D$9)*H9, 0)</f>
        <v>0.98454944444444448</v>
      </c>
      <c r="I13" s="47">
        <f t="shared" ref="I13:W13" si="0">IF(I9&gt;0, ($H$11/360/$D$9)*H9+(($D$9-($H$11/360))/$D$9)*I9, 0)</f>
        <v>0.96310777777777778</v>
      </c>
      <c r="J13" s="47">
        <f t="shared" si="0"/>
        <v>0.94184055555555546</v>
      </c>
      <c r="K13" s="47">
        <f t="shared" si="0"/>
        <v>0.93139611111111109</v>
      </c>
      <c r="L13" s="47">
        <f t="shared" si="0"/>
        <v>0</v>
      </c>
      <c r="M13" s="47">
        <f t="shared" si="0"/>
        <v>0</v>
      </c>
      <c r="N13" s="47">
        <f t="shared" si="0"/>
        <v>0</v>
      </c>
      <c r="O13" s="47">
        <f t="shared" si="0"/>
        <v>0</v>
      </c>
      <c r="P13" s="47">
        <f t="shared" si="0"/>
        <v>0</v>
      </c>
      <c r="Q13" s="47">
        <f t="shared" si="0"/>
        <v>0</v>
      </c>
      <c r="R13" s="47">
        <f t="shared" si="0"/>
        <v>0</v>
      </c>
      <c r="S13" s="47">
        <f t="shared" si="0"/>
        <v>0</v>
      </c>
      <c r="T13" s="47">
        <f t="shared" si="0"/>
        <v>0</v>
      </c>
      <c r="U13" s="47">
        <f t="shared" si="0"/>
        <v>0</v>
      </c>
      <c r="V13" s="47">
        <f t="shared" si="0"/>
        <v>0</v>
      </c>
      <c r="W13" s="47">
        <f t="shared" si="0"/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5.75" thickBot="1" x14ac:dyDescent="0.3">
      <c r="A14" s="1"/>
      <c r="B14" s="13" t="s">
        <v>96</v>
      </c>
      <c r="C14" s="14"/>
      <c r="D14" s="28">
        <v>1</v>
      </c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/>
      <c r="B16" s="1"/>
      <c r="C16" s="1"/>
      <c r="D16" s="1"/>
      <c r="E16" s="1"/>
      <c r="F16" s="94" t="s">
        <v>94</v>
      </c>
      <c r="G16" s="9" t="s">
        <v>95</v>
      </c>
      <c r="H16" s="83">
        <v>1</v>
      </c>
      <c r="I16" s="83" cm="1">
        <f t="array" ref="I16:X16">H9:W9</f>
        <v>0.97970000000000002</v>
      </c>
      <c r="J16" s="83">
        <v>0.95789999999999997</v>
      </c>
      <c r="K16" s="83">
        <v>0.93679999999999997</v>
      </c>
      <c r="L16" s="83">
        <v>0.92969999999999997</v>
      </c>
      <c r="M16" s="83">
        <v>0</v>
      </c>
      <c r="N16" s="83">
        <v>0</v>
      </c>
      <c r="O16" s="83">
        <v>0</v>
      </c>
      <c r="P16" s="83">
        <v>0</v>
      </c>
      <c r="Q16" s="83">
        <v>0</v>
      </c>
      <c r="R16" s="83">
        <v>0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4">
        <v>0</v>
      </c>
      <c r="Y16" s="1"/>
      <c r="Z16" s="94" t="s">
        <v>103</v>
      </c>
      <c r="AA16" s="9" t="s">
        <v>95</v>
      </c>
      <c r="AB16" s="83">
        <v>1</v>
      </c>
      <c r="AC16" s="83">
        <f>H13</f>
        <v>0.98454944444444448</v>
      </c>
      <c r="AD16" s="83">
        <f t="shared" ref="AD16:AR16" si="1">I13</f>
        <v>0.96310777777777778</v>
      </c>
      <c r="AE16" s="83">
        <f t="shared" si="1"/>
        <v>0.94184055555555546</v>
      </c>
      <c r="AF16" s="83">
        <f t="shared" si="1"/>
        <v>0.93139611111111109</v>
      </c>
      <c r="AG16" s="83">
        <f t="shared" si="1"/>
        <v>0</v>
      </c>
      <c r="AH16" s="83">
        <f t="shared" si="1"/>
        <v>0</v>
      </c>
      <c r="AI16" s="83">
        <f t="shared" si="1"/>
        <v>0</v>
      </c>
      <c r="AJ16" s="83">
        <f t="shared" si="1"/>
        <v>0</v>
      </c>
      <c r="AK16" s="83">
        <f t="shared" si="1"/>
        <v>0</v>
      </c>
      <c r="AL16" s="83">
        <f t="shared" si="1"/>
        <v>0</v>
      </c>
      <c r="AM16" s="83">
        <f t="shared" si="1"/>
        <v>0</v>
      </c>
      <c r="AN16" s="83">
        <f t="shared" si="1"/>
        <v>0</v>
      </c>
      <c r="AO16" s="83">
        <f t="shared" si="1"/>
        <v>0</v>
      </c>
      <c r="AP16" s="83">
        <f t="shared" si="1"/>
        <v>0</v>
      </c>
      <c r="AQ16" s="83">
        <f t="shared" si="1"/>
        <v>0</v>
      </c>
      <c r="AR16" s="84">
        <f t="shared" si="1"/>
        <v>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/>
      <c r="B17" s="1"/>
      <c r="C17" s="1"/>
      <c r="D17" s="1"/>
      <c r="E17" s="1"/>
      <c r="F17" s="5" t="s">
        <v>96</v>
      </c>
      <c r="G17" s="82">
        <v>1</v>
      </c>
      <c r="H17" s="56">
        <f t="shared" ref="H17:X17" si="2">G8</f>
        <v>0</v>
      </c>
      <c r="I17" s="56">
        <f t="shared" si="2"/>
        <v>0.5</v>
      </c>
      <c r="J17" s="56">
        <f t="shared" si="2"/>
        <v>1</v>
      </c>
      <c r="K17" s="56">
        <f t="shared" si="2"/>
        <v>1.5</v>
      </c>
      <c r="L17" s="56">
        <f t="shared" si="2"/>
        <v>2</v>
      </c>
      <c r="M17" s="56">
        <f t="shared" si="2"/>
        <v>2.5</v>
      </c>
      <c r="N17" s="56">
        <f t="shared" si="2"/>
        <v>3</v>
      </c>
      <c r="O17" s="56">
        <f t="shared" si="2"/>
        <v>3.5</v>
      </c>
      <c r="P17" s="56">
        <f t="shared" si="2"/>
        <v>4</v>
      </c>
      <c r="Q17" s="56">
        <f t="shared" si="2"/>
        <v>4.5</v>
      </c>
      <c r="R17" s="56">
        <f t="shared" si="2"/>
        <v>5</v>
      </c>
      <c r="S17" s="56">
        <f t="shared" si="2"/>
        <v>5.5</v>
      </c>
      <c r="T17" s="56">
        <f t="shared" si="2"/>
        <v>6</v>
      </c>
      <c r="U17" s="56">
        <f t="shared" si="2"/>
        <v>6.5</v>
      </c>
      <c r="V17" s="56">
        <f t="shared" si="2"/>
        <v>7</v>
      </c>
      <c r="W17" s="56">
        <f t="shared" si="2"/>
        <v>7.5</v>
      </c>
      <c r="X17" s="57">
        <f t="shared" si="2"/>
        <v>8</v>
      </c>
      <c r="Y17" s="1"/>
      <c r="Z17" s="5" t="s">
        <v>96</v>
      </c>
      <c r="AA17" s="82">
        <v>1</v>
      </c>
      <c r="AB17" s="56">
        <f>AA8</f>
        <v>0</v>
      </c>
      <c r="AC17" s="56">
        <f>H8</f>
        <v>0.5</v>
      </c>
      <c r="AD17" s="56">
        <f t="shared" ref="AD17:AR17" si="3">I8</f>
        <v>1</v>
      </c>
      <c r="AE17" s="56">
        <f t="shared" si="3"/>
        <v>1.5</v>
      </c>
      <c r="AF17" s="56">
        <f t="shared" si="3"/>
        <v>2</v>
      </c>
      <c r="AG17" s="56">
        <f t="shared" si="3"/>
        <v>2.5</v>
      </c>
      <c r="AH17" s="56">
        <f t="shared" si="3"/>
        <v>3</v>
      </c>
      <c r="AI17" s="56">
        <f t="shared" si="3"/>
        <v>3.5</v>
      </c>
      <c r="AJ17" s="56">
        <f t="shared" si="3"/>
        <v>4</v>
      </c>
      <c r="AK17" s="56">
        <f t="shared" si="3"/>
        <v>4.5</v>
      </c>
      <c r="AL17" s="56">
        <f t="shared" si="3"/>
        <v>5</v>
      </c>
      <c r="AM17" s="56">
        <f t="shared" si="3"/>
        <v>5.5</v>
      </c>
      <c r="AN17" s="56">
        <f t="shared" si="3"/>
        <v>6</v>
      </c>
      <c r="AO17" s="56">
        <f t="shared" si="3"/>
        <v>6.5</v>
      </c>
      <c r="AP17" s="56">
        <f t="shared" si="3"/>
        <v>7</v>
      </c>
      <c r="AQ17" s="56">
        <f t="shared" si="3"/>
        <v>7.5</v>
      </c>
      <c r="AR17" s="57">
        <f t="shared" si="3"/>
        <v>8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/>
      <c r="B18" s="1"/>
      <c r="C18" s="1"/>
      <c r="D18" s="1"/>
      <c r="E18" s="1"/>
      <c r="F18" s="11"/>
      <c r="G18" s="82">
        <f t="array" ref="G18:G33">TRANSPOSE(H9:W9)</f>
        <v>0.97970000000000002</v>
      </c>
      <c r="H18" s="56">
        <f t="array" ref="H18:H33">TRANSPOSE($I$17:$X$17)</f>
        <v>0.5</v>
      </c>
      <c r="I18" s="88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3"/>
      <c r="Y18" s="1"/>
      <c r="Z18" s="11"/>
      <c r="AA18" s="82">
        <f t="array" ref="AA18:AA33">TRANSPOSE(H13:W13)</f>
        <v>0.98454944444444448</v>
      </c>
      <c r="AB18" s="56">
        <f t="array" ref="AB18:AB33">TRANSPOSE($I$17:$X$17)</f>
        <v>0.5</v>
      </c>
      <c r="AC18" s="88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3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5">
      <c r="A19" s="1"/>
      <c r="B19" s="1"/>
      <c r="C19" s="1"/>
      <c r="D19" s="1"/>
      <c r="E19" s="1"/>
      <c r="F19" s="5"/>
      <c r="G19" s="82">
        <v>0.95789999999999997</v>
      </c>
      <c r="H19" s="56">
        <v>1</v>
      </c>
      <c r="I19" s="86">
        <f>IF(G19&gt;0, G19/$I$16, 0)</f>
        <v>0.97774829029294674</v>
      </c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90"/>
      <c r="Y19" s="1"/>
      <c r="Z19" s="5"/>
      <c r="AA19" s="82">
        <v>0.96310777777777778</v>
      </c>
      <c r="AB19" s="56">
        <v>1</v>
      </c>
      <c r="AC19" s="86">
        <f>IF($AA19&gt;0, $AA19/AC$16, 0)</f>
        <v>0.9782218487982941</v>
      </c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90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/>
      <c r="B20" s="1"/>
      <c r="C20" s="1"/>
      <c r="D20" s="1"/>
      <c r="E20" s="1"/>
      <c r="F20" s="11"/>
      <c r="G20" s="82">
        <v>0.93679999999999997</v>
      </c>
      <c r="H20" s="56">
        <v>1.5</v>
      </c>
      <c r="I20" s="86">
        <f t="shared" ref="I20:I33" si="4">IF(G20&gt;0, G20/$I$16, 0)</f>
        <v>0.95621108502602836</v>
      </c>
      <c r="J20" s="1">
        <f>IF(G20&gt;0, G20/$J$16, 0)</f>
        <v>0.97797264850193133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90"/>
      <c r="Y20" s="1"/>
      <c r="Z20" s="11"/>
      <c r="AA20" s="82">
        <v>0.94184055555555546</v>
      </c>
      <c r="AB20" s="56">
        <v>1.5</v>
      </c>
      <c r="AC20" s="86">
        <f t="shared" ref="AC20:AQ33" si="5">IF($AA20&gt;0, $AA20/AC$16, 0)</f>
        <v>0.95662087960144193</v>
      </c>
      <c r="AD20" s="86">
        <f t="shared" si="5"/>
        <v>0.97791812846606518</v>
      </c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90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5">
      <c r="A21" s="1"/>
      <c r="B21" s="1"/>
      <c r="C21" s="1"/>
      <c r="D21" s="1"/>
      <c r="E21" s="1"/>
      <c r="F21" s="11"/>
      <c r="G21" s="82">
        <v>0.92969999999999997</v>
      </c>
      <c r="H21" s="56">
        <v>2</v>
      </c>
      <c r="I21" s="86">
        <f t="shared" si="4"/>
        <v>0.94896396856180454</v>
      </c>
      <c r="J21" s="1">
        <f t="shared" ref="J21:J33" si="6">IF(G21&gt;0, G21/$J$16, 0)</f>
        <v>0.97056060131537736</v>
      </c>
      <c r="K21" s="1">
        <f>IF(G21&gt;0, G21/$K$16, 0)</f>
        <v>0.99242100768573871</v>
      </c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90"/>
      <c r="Y21" s="1"/>
      <c r="Z21" s="11"/>
      <c r="AA21" s="82">
        <v>0.93139611111111109</v>
      </c>
      <c r="AB21" s="56">
        <v>2</v>
      </c>
      <c r="AC21" s="86">
        <f t="shared" si="5"/>
        <v>0.94601253026624132</v>
      </c>
      <c r="AD21" s="86">
        <f t="shared" si="5"/>
        <v>0.9670736054693313</v>
      </c>
      <c r="AE21" s="86">
        <f t="shared" si="5"/>
        <v>0.9889106023489469</v>
      </c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90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5">
      <c r="A22" s="1"/>
      <c r="B22" s="1"/>
      <c r="C22" s="1"/>
      <c r="D22" s="1"/>
      <c r="E22" s="1"/>
      <c r="F22" s="11"/>
      <c r="G22" s="82">
        <v>0</v>
      </c>
      <c r="H22" s="56">
        <v>2.5</v>
      </c>
      <c r="I22" s="86">
        <f t="shared" si="4"/>
        <v>0</v>
      </c>
      <c r="J22" s="1">
        <f t="shared" si="6"/>
        <v>0</v>
      </c>
      <c r="K22" s="1">
        <f t="shared" ref="K22:K33" si="7">IF(G22&gt;0, G22/$K$16, 0)</f>
        <v>0</v>
      </c>
      <c r="L22" s="1">
        <f>IF(G22&gt;0, G22/$L$16, 0)</f>
        <v>0</v>
      </c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90"/>
      <c r="Y22" s="1"/>
      <c r="Z22" s="11"/>
      <c r="AA22" s="82">
        <v>0</v>
      </c>
      <c r="AB22" s="56">
        <v>2.5</v>
      </c>
      <c r="AC22" s="86">
        <f t="shared" si="5"/>
        <v>0</v>
      </c>
      <c r="AD22" s="86">
        <f t="shared" si="5"/>
        <v>0</v>
      </c>
      <c r="AE22" s="86">
        <f t="shared" si="5"/>
        <v>0</v>
      </c>
      <c r="AF22" s="86">
        <f t="shared" si="5"/>
        <v>0</v>
      </c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9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5">
      <c r="A23" s="1"/>
      <c r="B23" s="1"/>
      <c r="C23" s="1"/>
      <c r="D23" s="1"/>
      <c r="E23" s="1"/>
      <c r="F23" s="11"/>
      <c r="G23" s="82">
        <v>0</v>
      </c>
      <c r="H23" s="56">
        <v>3</v>
      </c>
      <c r="I23" s="86">
        <f t="shared" si="4"/>
        <v>0</v>
      </c>
      <c r="J23" s="1">
        <f t="shared" si="6"/>
        <v>0</v>
      </c>
      <c r="K23" s="1">
        <f t="shared" si="7"/>
        <v>0</v>
      </c>
      <c r="L23" s="1">
        <f t="shared" ref="L23:L33" si="8">IF(G23&gt;0, G23/$L$16, 0)</f>
        <v>0</v>
      </c>
      <c r="M23" s="1">
        <f>IF(G23&gt;0, G23/$M$16, 0)</f>
        <v>0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1"/>
      <c r="Z23" s="11"/>
      <c r="AA23" s="82">
        <v>0</v>
      </c>
      <c r="AB23" s="56">
        <v>3</v>
      </c>
      <c r="AC23" s="86">
        <f t="shared" si="5"/>
        <v>0</v>
      </c>
      <c r="AD23" s="86">
        <f t="shared" si="5"/>
        <v>0</v>
      </c>
      <c r="AE23" s="86">
        <f t="shared" si="5"/>
        <v>0</v>
      </c>
      <c r="AF23" s="86">
        <f t="shared" si="5"/>
        <v>0</v>
      </c>
      <c r="AG23" s="86">
        <f t="shared" si="5"/>
        <v>0</v>
      </c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90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5">
      <c r="A24" s="1"/>
      <c r="B24" s="1"/>
      <c r="C24" s="1"/>
      <c r="D24" s="1"/>
      <c r="E24" s="1"/>
      <c r="F24" s="11"/>
      <c r="G24" s="82">
        <v>0</v>
      </c>
      <c r="H24" s="56">
        <v>3.5</v>
      </c>
      <c r="I24" s="86">
        <f t="shared" si="4"/>
        <v>0</v>
      </c>
      <c r="J24" s="1">
        <f t="shared" si="6"/>
        <v>0</v>
      </c>
      <c r="K24" s="1">
        <f t="shared" si="7"/>
        <v>0</v>
      </c>
      <c r="L24" s="1">
        <f t="shared" si="8"/>
        <v>0</v>
      </c>
      <c r="M24" s="1">
        <f t="shared" ref="M24:M33" si="9">IF(G24&gt;0, G24/$M$16, 0)</f>
        <v>0</v>
      </c>
      <c r="N24" s="1">
        <f>IF(G24&gt;0, G24/$N$16, 0)</f>
        <v>0</v>
      </c>
      <c r="O24" s="89"/>
      <c r="P24" s="89"/>
      <c r="Q24" s="89"/>
      <c r="R24" s="89"/>
      <c r="S24" s="89"/>
      <c r="T24" s="89"/>
      <c r="U24" s="89"/>
      <c r="V24" s="89"/>
      <c r="W24" s="89"/>
      <c r="X24" s="90"/>
      <c r="Y24" s="1"/>
      <c r="Z24" s="11"/>
      <c r="AA24" s="82">
        <v>0</v>
      </c>
      <c r="AB24" s="56">
        <v>3.5</v>
      </c>
      <c r="AC24" s="86">
        <f t="shared" si="5"/>
        <v>0</v>
      </c>
      <c r="AD24" s="86">
        <f t="shared" si="5"/>
        <v>0</v>
      </c>
      <c r="AE24" s="86">
        <f t="shared" si="5"/>
        <v>0</v>
      </c>
      <c r="AF24" s="86">
        <f t="shared" si="5"/>
        <v>0</v>
      </c>
      <c r="AG24" s="86">
        <f t="shared" si="5"/>
        <v>0</v>
      </c>
      <c r="AH24" s="86">
        <f t="shared" si="5"/>
        <v>0</v>
      </c>
      <c r="AI24" s="89"/>
      <c r="AJ24" s="89"/>
      <c r="AK24" s="89"/>
      <c r="AL24" s="89"/>
      <c r="AM24" s="89"/>
      <c r="AN24" s="89"/>
      <c r="AO24" s="89"/>
      <c r="AP24" s="89"/>
      <c r="AQ24" s="89"/>
      <c r="AR24" s="90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5">
      <c r="A25" s="1"/>
      <c r="B25" s="1"/>
      <c r="C25" s="1"/>
      <c r="D25" s="1"/>
      <c r="E25" s="1"/>
      <c r="F25" s="11"/>
      <c r="G25" s="82">
        <v>0</v>
      </c>
      <c r="H25" s="56">
        <v>4</v>
      </c>
      <c r="I25" s="86">
        <f t="shared" si="4"/>
        <v>0</v>
      </c>
      <c r="J25" s="1">
        <f t="shared" si="6"/>
        <v>0</v>
      </c>
      <c r="K25" s="1">
        <f t="shared" si="7"/>
        <v>0</v>
      </c>
      <c r="L25" s="1">
        <f t="shared" si="8"/>
        <v>0</v>
      </c>
      <c r="M25" s="1">
        <f t="shared" si="9"/>
        <v>0</v>
      </c>
      <c r="N25" s="1">
        <f t="shared" ref="N25:N33" si="10">IF(G25&gt;0, G25/$N$16, 0)</f>
        <v>0</v>
      </c>
      <c r="O25" s="1">
        <f>IF(G25&gt;0, G25/$O$16, 0)</f>
        <v>0</v>
      </c>
      <c r="P25" s="89"/>
      <c r="Q25" s="89"/>
      <c r="R25" s="89"/>
      <c r="S25" s="89"/>
      <c r="T25" s="89"/>
      <c r="U25" s="89"/>
      <c r="V25" s="89"/>
      <c r="W25" s="89"/>
      <c r="X25" s="90"/>
      <c r="Y25" s="1"/>
      <c r="Z25" s="11"/>
      <c r="AA25" s="82">
        <v>0</v>
      </c>
      <c r="AB25" s="56">
        <v>4</v>
      </c>
      <c r="AC25" s="86">
        <f t="shared" si="5"/>
        <v>0</v>
      </c>
      <c r="AD25" s="86">
        <f t="shared" si="5"/>
        <v>0</v>
      </c>
      <c r="AE25" s="86">
        <f t="shared" si="5"/>
        <v>0</v>
      </c>
      <c r="AF25" s="86">
        <f t="shared" si="5"/>
        <v>0</v>
      </c>
      <c r="AG25" s="86">
        <f t="shared" si="5"/>
        <v>0</v>
      </c>
      <c r="AH25" s="86">
        <f t="shared" si="5"/>
        <v>0</v>
      </c>
      <c r="AI25" s="86">
        <f t="shared" si="5"/>
        <v>0</v>
      </c>
      <c r="AJ25" s="89"/>
      <c r="AK25" s="89"/>
      <c r="AL25" s="89"/>
      <c r="AM25" s="89"/>
      <c r="AN25" s="89"/>
      <c r="AO25" s="89"/>
      <c r="AP25" s="89"/>
      <c r="AQ25" s="89"/>
      <c r="AR25" s="90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5">
      <c r="A26" s="1"/>
      <c r="B26" s="1"/>
      <c r="C26" s="1"/>
      <c r="D26" s="1"/>
      <c r="E26" s="1"/>
      <c r="F26" s="11"/>
      <c r="G26" s="82">
        <v>0</v>
      </c>
      <c r="H26" s="56">
        <v>4.5</v>
      </c>
      <c r="I26" s="86">
        <f t="shared" si="4"/>
        <v>0</v>
      </c>
      <c r="J26" s="1">
        <f t="shared" si="6"/>
        <v>0</v>
      </c>
      <c r="K26" s="1">
        <f t="shared" si="7"/>
        <v>0</v>
      </c>
      <c r="L26" s="1">
        <f t="shared" si="8"/>
        <v>0</v>
      </c>
      <c r="M26" s="1">
        <f t="shared" si="9"/>
        <v>0</v>
      </c>
      <c r="N26" s="1">
        <f t="shared" si="10"/>
        <v>0</v>
      </c>
      <c r="O26" s="1">
        <f t="shared" ref="O26:O33" si="11">IF(G26&gt;0, G26/$O$16, 0)</f>
        <v>0</v>
      </c>
      <c r="P26" s="1">
        <f>IF(G26&gt;0, G26/$P$16, 0)</f>
        <v>0</v>
      </c>
      <c r="Q26" s="89"/>
      <c r="R26" s="89"/>
      <c r="S26" s="89"/>
      <c r="T26" s="89"/>
      <c r="U26" s="89"/>
      <c r="V26" s="89"/>
      <c r="W26" s="89"/>
      <c r="X26" s="90"/>
      <c r="Y26" s="1"/>
      <c r="Z26" s="11"/>
      <c r="AA26" s="82">
        <v>0</v>
      </c>
      <c r="AB26" s="56">
        <v>4.5</v>
      </c>
      <c r="AC26" s="86">
        <f t="shared" si="5"/>
        <v>0</v>
      </c>
      <c r="AD26" s="86">
        <f t="shared" si="5"/>
        <v>0</v>
      </c>
      <c r="AE26" s="86">
        <f t="shared" si="5"/>
        <v>0</v>
      </c>
      <c r="AF26" s="86">
        <f t="shared" si="5"/>
        <v>0</v>
      </c>
      <c r="AG26" s="86">
        <f t="shared" si="5"/>
        <v>0</v>
      </c>
      <c r="AH26" s="86">
        <f t="shared" si="5"/>
        <v>0</v>
      </c>
      <c r="AI26" s="86">
        <f t="shared" si="5"/>
        <v>0</v>
      </c>
      <c r="AJ26" s="86">
        <f t="shared" si="5"/>
        <v>0</v>
      </c>
      <c r="AK26" s="89"/>
      <c r="AL26" s="89"/>
      <c r="AM26" s="89"/>
      <c r="AN26" s="89"/>
      <c r="AO26" s="89"/>
      <c r="AP26" s="89"/>
      <c r="AQ26" s="89"/>
      <c r="AR26" s="90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5">
      <c r="A27" s="1"/>
      <c r="B27" s="1"/>
      <c r="C27" s="1"/>
      <c r="D27" s="1"/>
      <c r="E27" s="1"/>
      <c r="F27" s="11"/>
      <c r="G27" s="82">
        <v>0</v>
      </c>
      <c r="H27" s="56">
        <v>5</v>
      </c>
      <c r="I27" s="86">
        <f t="shared" si="4"/>
        <v>0</v>
      </c>
      <c r="J27" s="1">
        <f t="shared" si="6"/>
        <v>0</v>
      </c>
      <c r="K27" s="1">
        <f t="shared" si="7"/>
        <v>0</v>
      </c>
      <c r="L27" s="1">
        <f t="shared" si="8"/>
        <v>0</v>
      </c>
      <c r="M27" s="1">
        <f t="shared" si="9"/>
        <v>0</v>
      </c>
      <c r="N27" s="1">
        <f t="shared" si="10"/>
        <v>0</v>
      </c>
      <c r="O27" s="1">
        <f t="shared" si="11"/>
        <v>0</v>
      </c>
      <c r="P27" s="1">
        <f t="shared" ref="P27:P33" si="12">IF(G27&gt;0, G27/$P$16, 0)</f>
        <v>0</v>
      </c>
      <c r="Q27" s="1">
        <f>IF(G27&gt;0, G27/$Q$16, 0)</f>
        <v>0</v>
      </c>
      <c r="R27" s="89"/>
      <c r="S27" s="89"/>
      <c r="T27" s="89"/>
      <c r="U27" s="89"/>
      <c r="V27" s="89"/>
      <c r="W27" s="89"/>
      <c r="X27" s="90"/>
      <c r="Y27" s="1"/>
      <c r="Z27" s="11"/>
      <c r="AA27" s="82">
        <v>0</v>
      </c>
      <c r="AB27" s="56">
        <v>5</v>
      </c>
      <c r="AC27" s="86">
        <f t="shared" si="5"/>
        <v>0</v>
      </c>
      <c r="AD27" s="86">
        <f t="shared" si="5"/>
        <v>0</v>
      </c>
      <c r="AE27" s="86">
        <f t="shared" si="5"/>
        <v>0</v>
      </c>
      <c r="AF27" s="86">
        <f t="shared" si="5"/>
        <v>0</v>
      </c>
      <c r="AG27" s="86">
        <f t="shared" si="5"/>
        <v>0</v>
      </c>
      <c r="AH27" s="86">
        <f t="shared" si="5"/>
        <v>0</v>
      </c>
      <c r="AI27" s="86">
        <f t="shared" si="5"/>
        <v>0</v>
      </c>
      <c r="AJ27" s="86">
        <f t="shared" si="5"/>
        <v>0</v>
      </c>
      <c r="AK27" s="86">
        <f t="shared" si="5"/>
        <v>0</v>
      </c>
      <c r="AL27" s="89"/>
      <c r="AM27" s="89"/>
      <c r="AN27" s="89"/>
      <c r="AO27" s="89"/>
      <c r="AP27" s="89"/>
      <c r="AQ27" s="89"/>
      <c r="AR27" s="90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5">
      <c r="A28" s="1"/>
      <c r="B28" s="1"/>
      <c r="C28" s="1"/>
      <c r="D28" s="1"/>
      <c r="E28" s="1"/>
      <c r="F28" s="11"/>
      <c r="G28" s="82">
        <v>0</v>
      </c>
      <c r="H28" s="56">
        <v>5.5</v>
      </c>
      <c r="I28" s="86">
        <f t="shared" si="4"/>
        <v>0</v>
      </c>
      <c r="J28" s="1">
        <f t="shared" si="6"/>
        <v>0</v>
      </c>
      <c r="K28" s="1">
        <f t="shared" si="7"/>
        <v>0</v>
      </c>
      <c r="L28" s="1">
        <f t="shared" si="8"/>
        <v>0</v>
      </c>
      <c r="M28" s="1">
        <f t="shared" si="9"/>
        <v>0</v>
      </c>
      <c r="N28" s="1">
        <f t="shared" si="10"/>
        <v>0</v>
      </c>
      <c r="O28" s="1">
        <f t="shared" si="11"/>
        <v>0</v>
      </c>
      <c r="P28" s="1">
        <f t="shared" si="12"/>
        <v>0</v>
      </c>
      <c r="Q28" s="1">
        <f t="shared" ref="Q28:Q33" si="13">IF(G28&gt;0, G28/$Q$16, 0)</f>
        <v>0</v>
      </c>
      <c r="R28" s="1">
        <f>IF(G28&gt;0, G28/$R$16, 0)</f>
        <v>0</v>
      </c>
      <c r="S28" s="89"/>
      <c r="T28" s="89"/>
      <c r="U28" s="89"/>
      <c r="V28" s="89"/>
      <c r="W28" s="89"/>
      <c r="X28" s="90"/>
      <c r="Y28" s="1"/>
      <c r="Z28" s="11"/>
      <c r="AA28" s="82">
        <v>0</v>
      </c>
      <c r="AB28" s="56">
        <v>5.5</v>
      </c>
      <c r="AC28" s="86">
        <f t="shared" si="5"/>
        <v>0</v>
      </c>
      <c r="AD28" s="86">
        <f t="shared" si="5"/>
        <v>0</v>
      </c>
      <c r="AE28" s="86">
        <f t="shared" si="5"/>
        <v>0</v>
      </c>
      <c r="AF28" s="86">
        <f t="shared" si="5"/>
        <v>0</v>
      </c>
      <c r="AG28" s="86">
        <f t="shared" si="5"/>
        <v>0</v>
      </c>
      <c r="AH28" s="86">
        <f t="shared" si="5"/>
        <v>0</v>
      </c>
      <c r="AI28" s="86">
        <f t="shared" si="5"/>
        <v>0</v>
      </c>
      <c r="AJ28" s="86">
        <f t="shared" si="5"/>
        <v>0</v>
      </c>
      <c r="AK28" s="86">
        <f t="shared" si="5"/>
        <v>0</v>
      </c>
      <c r="AL28" s="86">
        <f t="shared" si="5"/>
        <v>0</v>
      </c>
      <c r="AM28" s="89"/>
      <c r="AN28" s="89"/>
      <c r="AO28" s="89"/>
      <c r="AP28" s="89"/>
      <c r="AQ28" s="89"/>
      <c r="AR28" s="90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1"/>
      <c r="B29" s="1"/>
      <c r="C29" s="1"/>
      <c r="D29" s="1"/>
      <c r="E29" s="1"/>
      <c r="F29" s="11"/>
      <c r="G29" s="82">
        <v>0</v>
      </c>
      <c r="H29" s="56">
        <v>6</v>
      </c>
      <c r="I29" s="86">
        <f t="shared" si="4"/>
        <v>0</v>
      </c>
      <c r="J29" s="1">
        <f t="shared" si="6"/>
        <v>0</v>
      </c>
      <c r="K29" s="1">
        <f t="shared" si="7"/>
        <v>0</v>
      </c>
      <c r="L29" s="1">
        <f t="shared" si="8"/>
        <v>0</v>
      </c>
      <c r="M29" s="1">
        <f t="shared" si="9"/>
        <v>0</v>
      </c>
      <c r="N29" s="1">
        <f t="shared" si="10"/>
        <v>0</v>
      </c>
      <c r="O29" s="1">
        <f t="shared" si="11"/>
        <v>0</v>
      </c>
      <c r="P29" s="1">
        <f t="shared" si="12"/>
        <v>0</v>
      </c>
      <c r="Q29" s="1">
        <f t="shared" si="13"/>
        <v>0</v>
      </c>
      <c r="R29" s="1">
        <f t="shared" ref="R29:R33" si="14">IF(G29&gt;0, G29/$R$16, 0)</f>
        <v>0</v>
      </c>
      <c r="S29" s="1">
        <f>IF(G29&gt;0, G29/$S$16, 0)</f>
        <v>0</v>
      </c>
      <c r="T29" s="89"/>
      <c r="U29" s="89"/>
      <c r="V29" s="89"/>
      <c r="W29" s="89"/>
      <c r="X29" s="90"/>
      <c r="Y29" s="1"/>
      <c r="Z29" s="11"/>
      <c r="AA29" s="82">
        <v>0</v>
      </c>
      <c r="AB29" s="56">
        <v>6</v>
      </c>
      <c r="AC29" s="86">
        <f t="shared" si="5"/>
        <v>0</v>
      </c>
      <c r="AD29" s="86">
        <f t="shared" si="5"/>
        <v>0</v>
      </c>
      <c r="AE29" s="86">
        <f t="shared" si="5"/>
        <v>0</v>
      </c>
      <c r="AF29" s="86">
        <f t="shared" si="5"/>
        <v>0</v>
      </c>
      <c r="AG29" s="86">
        <f t="shared" si="5"/>
        <v>0</v>
      </c>
      <c r="AH29" s="86">
        <f t="shared" si="5"/>
        <v>0</v>
      </c>
      <c r="AI29" s="86">
        <f t="shared" si="5"/>
        <v>0</v>
      </c>
      <c r="AJ29" s="86">
        <f t="shared" si="5"/>
        <v>0</v>
      </c>
      <c r="AK29" s="86">
        <f t="shared" si="5"/>
        <v>0</v>
      </c>
      <c r="AL29" s="86">
        <f t="shared" si="5"/>
        <v>0</v>
      </c>
      <c r="AM29" s="86">
        <f t="shared" si="5"/>
        <v>0</v>
      </c>
      <c r="AN29" s="89"/>
      <c r="AO29" s="89"/>
      <c r="AP29" s="89"/>
      <c r="AQ29" s="89"/>
      <c r="AR29" s="90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5">
      <c r="A30" s="1"/>
      <c r="B30" s="1"/>
      <c r="C30" s="1"/>
      <c r="D30" s="1"/>
      <c r="E30" s="1"/>
      <c r="F30" s="11"/>
      <c r="G30" s="82">
        <v>0</v>
      </c>
      <c r="H30" s="56">
        <v>6.5</v>
      </c>
      <c r="I30" s="86">
        <f t="shared" si="4"/>
        <v>0</v>
      </c>
      <c r="J30" s="1">
        <f t="shared" si="6"/>
        <v>0</v>
      </c>
      <c r="K30" s="1">
        <f t="shared" si="7"/>
        <v>0</v>
      </c>
      <c r="L30" s="1">
        <f t="shared" si="8"/>
        <v>0</v>
      </c>
      <c r="M30" s="1">
        <f t="shared" si="9"/>
        <v>0</v>
      </c>
      <c r="N30" s="1">
        <f t="shared" si="10"/>
        <v>0</v>
      </c>
      <c r="O30" s="1">
        <f t="shared" si="11"/>
        <v>0</v>
      </c>
      <c r="P30" s="1">
        <f t="shared" si="12"/>
        <v>0</v>
      </c>
      <c r="Q30" s="1">
        <f t="shared" si="13"/>
        <v>0</v>
      </c>
      <c r="R30" s="1">
        <f t="shared" si="14"/>
        <v>0</v>
      </c>
      <c r="S30" s="1">
        <f t="shared" ref="S30:S33" si="15">IF(G30&gt;0, G30/$S$16, 0)</f>
        <v>0</v>
      </c>
      <c r="T30" s="1">
        <f>IF(G30&gt;0, G30/$T$16, 0)</f>
        <v>0</v>
      </c>
      <c r="U30" s="89"/>
      <c r="V30" s="89"/>
      <c r="W30" s="89"/>
      <c r="X30" s="90"/>
      <c r="Y30" s="1"/>
      <c r="Z30" s="11"/>
      <c r="AA30" s="82">
        <v>0</v>
      </c>
      <c r="AB30" s="56">
        <v>6.5</v>
      </c>
      <c r="AC30" s="86">
        <f t="shared" si="5"/>
        <v>0</v>
      </c>
      <c r="AD30" s="86">
        <f t="shared" si="5"/>
        <v>0</v>
      </c>
      <c r="AE30" s="86">
        <f t="shared" si="5"/>
        <v>0</v>
      </c>
      <c r="AF30" s="86">
        <f t="shared" si="5"/>
        <v>0</v>
      </c>
      <c r="AG30" s="86">
        <f t="shared" si="5"/>
        <v>0</v>
      </c>
      <c r="AH30" s="86">
        <f t="shared" si="5"/>
        <v>0</v>
      </c>
      <c r="AI30" s="86">
        <f t="shared" si="5"/>
        <v>0</v>
      </c>
      <c r="AJ30" s="86">
        <f t="shared" si="5"/>
        <v>0</v>
      </c>
      <c r="AK30" s="86">
        <f t="shared" si="5"/>
        <v>0</v>
      </c>
      <c r="AL30" s="86">
        <f t="shared" si="5"/>
        <v>0</v>
      </c>
      <c r="AM30" s="86">
        <f t="shared" si="5"/>
        <v>0</v>
      </c>
      <c r="AN30" s="86">
        <f t="shared" si="5"/>
        <v>0</v>
      </c>
      <c r="AO30" s="89"/>
      <c r="AP30" s="89"/>
      <c r="AQ30" s="89"/>
      <c r="AR30" s="90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5">
      <c r="A31" s="1"/>
      <c r="B31" s="1"/>
      <c r="C31" s="1"/>
      <c r="D31" s="1"/>
      <c r="E31" s="1"/>
      <c r="F31" s="11"/>
      <c r="G31" s="82">
        <v>0</v>
      </c>
      <c r="H31" s="56">
        <v>7</v>
      </c>
      <c r="I31" s="86">
        <f t="shared" si="4"/>
        <v>0</v>
      </c>
      <c r="J31" s="1">
        <f t="shared" si="6"/>
        <v>0</v>
      </c>
      <c r="K31" s="1">
        <f t="shared" si="7"/>
        <v>0</v>
      </c>
      <c r="L31" s="1">
        <f t="shared" si="8"/>
        <v>0</v>
      </c>
      <c r="M31" s="1">
        <f t="shared" si="9"/>
        <v>0</v>
      </c>
      <c r="N31" s="1">
        <f t="shared" si="10"/>
        <v>0</v>
      </c>
      <c r="O31" s="1">
        <f t="shared" si="11"/>
        <v>0</v>
      </c>
      <c r="P31" s="1">
        <f t="shared" si="12"/>
        <v>0</v>
      </c>
      <c r="Q31" s="1">
        <f t="shared" si="13"/>
        <v>0</v>
      </c>
      <c r="R31" s="1">
        <f t="shared" si="14"/>
        <v>0</v>
      </c>
      <c r="S31" s="1">
        <f t="shared" si="15"/>
        <v>0</v>
      </c>
      <c r="T31" s="1">
        <f t="shared" ref="T31:T33" si="16">IF(G31&gt;0, G31/$T$16, 0)</f>
        <v>0</v>
      </c>
      <c r="U31" s="1">
        <f>IF(G31&gt;0, G31/$U$16, 0)</f>
        <v>0</v>
      </c>
      <c r="V31" s="89"/>
      <c r="W31" s="89"/>
      <c r="X31" s="90"/>
      <c r="Y31" s="1"/>
      <c r="Z31" s="11"/>
      <c r="AA31" s="82">
        <v>0</v>
      </c>
      <c r="AB31" s="56">
        <v>7</v>
      </c>
      <c r="AC31" s="86">
        <f t="shared" si="5"/>
        <v>0</v>
      </c>
      <c r="AD31" s="86">
        <f t="shared" si="5"/>
        <v>0</v>
      </c>
      <c r="AE31" s="86">
        <f t="shared" si="5"/>
        <v>0</v>
      </c>
      <c r="AF31" s="86">
        <f t="shared" si="5"/>
        <v>0</v>
      </c>
      <c r="AG31" s="86">
        <f t="shared" si="5"/>
        <v>0</v>
      </c>
      <c r="AH31" s="86">
        <f t="shared" si="5"/>
        <v>0</v>
      </c>
      <c r="AI31" s="86">
        <f t="shared" si="5"/>
        <v>0</v>
      </c>
      <c r="AJ31" s="86">
        <f t="shared" si="5"/>
        <v>0</v>
      </c>
      <c r="AK31" s="86">
        <f t="shared" si="5"/>
        <v>0</v>
      </c>
      <c r="AL31" s="86">
        <f t="shared" si="5"/>
        <v>0</v>
      </c>
      <c r="AM31" s="86">
        <f t="shared" si="5"/>
        <v>0</v>
      </c>
      <c r="AN31" s="86">
        <f t="shared" si="5"/>
        <v>0</v>
      </c>
      <c r="AO31" s="86">
        <f t="shared" si="5"/>
        <v>0</v>
      </c>
      <c r="AP31" s="89"/>
      <c r="AQ31" s="89"/>
      <c r="AR31" s="90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5">
      <c r="A32" s="1"/>
      <c r="B32" s="1"/>
      <c r="C32" s="1"/>
      <c r="D32" s="1"/>
      <c r="E32" s="1"/>
      <c r="F32" s="11"/>
      <c r="G32" s="82">
        <v>0</v>
      </c>
      <c r="H32" s="56">
        <v>7.5</v>
      </c>
      <c r="I32" s="86">
        <f t="shared" si="4"/>
        <v>0</v>
      </c>
      <c r="J32" s="1">
        <f t="shared" si="6"/>
        <v>0</v>
      </c>
      <c r="K32" s="1">
        <f t="shared" si="7"/>
        <v>0</v>
      </c>
      <c r="L32" s="1">
        <f t="shared" si="8"/>
        <v>0</v>
      </c>
      <c r="M32" s="1">
        <f t="shared" si="9"/>
        <v>0</v>
      </c>
      <c r="N32" s="1">
        <f t="shared" si="10"/>
        <v>0</v>
      </c>
      <c r="O32" s="1">
        <f t="shared" si="11"/>
        <v>0</v>
      </c>
      <c r="P32" s="1">
        <f t="shared" si="12"/>
        <v>0</v>
      </c>
      <c r="Q32" s="1">
        <f t="shared" si="13"/>
        <v>0</v>
      </c>
      <c r="R32" s="1">
        <f t="shared" si="14"/>
        <v>0</v>
      </c>
      <c r="S32" s="1">
        <f t="shared" si="15"/>
        <v>0</v>
      </c>
      <c r="T32" s="1">
        <f t="shared" si="16"/>
        <v>0</v>
      </c>
      <c r="U32" s="1">
        <f t="shared" ref="U32:U33" si="17">IF(G32&gt;0, G32/$U$16, 0)</f>
        <v>0</v>
      </c>
      <c r="V32" s="1">
        <f>IF(G32&gt;0, G32/$V$16, 0)</f>
        <v>0</v>
      </c>
      <c r="W32" s="89"/>
      <c r="X32" s="90"/>
      <c r="Y32" s="1"/>
      <c r="Z32" s="11"/>
      <c r="AA32" s="82">
        <v>0</v>
      </c>
      <c r="AB32" s="56">
        <v>7.5</v>
      </c>
      <c r="AC32" s="86">
        <f t="shared" si="5"/>
        <v>0</v>
      </c>
      <c r="AD32" s="86">
        <f t="shared" si="5"/>
        <v>0</v>
      </c>
      <c r="AE32" s="86">
        <f t="shared" si="5"/>
        <v>0</v>
      </c>
      <c r="AF32" s="86">
        <f t="shared" si="5"/>
        <v>0</v>
      </c>
      <c r="AG32" s="86">
        <f t="shared" si="5"/>
        <v>0</v>
      </c>
      <c r="AH32" s="86">
        <f t="shared" si="5"/>
        <v>0</v>
      </c>
      <c r="AI32" s="86">
        <f t="shared" si="5"/>
        <v>0</v>
      </c>
      <c r="AJ32" s="86">
        <f t="shared" si="5"/>
        <v>0</v>
      </c>
      <c r="AK32" s="86">
        <f t="shared" si="5"/>
        <v>0</v>
      </c>
      <c r="AL32" s="86">
        <f t="shared" si="5"/>
        <v>0</v>
      </c>
      <c r="AM32" s="86">
        <f t="shared" si="5"/>
        <v>0</v>
      </c>
      <c r="AN32" s="86">
        <f t="shared" si="5"/>
        <v>0</v>
      </c>
      <c r="AO32" s="86">
        <f t="shared" si="5"/>
        <v>0</v>
      </c>
      <c r="AP32" s="86">
        <f t="shared" si="5"/>
        <v>0</v>
      </c>
      <c r="AQ32" s="89"/>
      <c r="AR32" s="90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5.75" thickBot="1" x14ac:dyDescent="0.3">
      <c r="A33" s="1"/>
      <c r="B33" s="1"/>
      <c r="C33" s="1"/>
      <c r="D33" s="1"/>
      <c r="E33" s="1"/>
      <c r="F33" s="13"/>
      <c r="G33" s="85">
        <v>0</v>
      </c>
      <c r="H33" s="59">
        <v>8</v>
      </c>
      <c r="I33" s="87">
        <f t="shared" si="4"/>
        <v>0</v>
      </c>
      <c r="J33" s="14">
        <f t="shared" si="6"/>
        <v>0</v>
      </c>
      <c r="K33" s="14">
        <f t="shared" si="7"/>
        <v>0</v>
      </c>
      <c r="L33" s="14">
        <f t="shared" si="8"/>
        <v>0</v>
      </c>
      <c r="M33" s="14">
        <f t="shared" si="9"/>
        <v>0</v>
      </c>
      <c r="N33" s="14">
        <f t="shared" si="10"/>
        <v>0</v>
      </c>
      <c r="O33" s="14">
        <f t="shared" si="11"/>
        <v>0</v>
      </c>
      <c r="P33" s="14">
        <f t="shared" si="12"/>
        <v>0</v>
      </c>
      <c r="Q33" s="14">
        <f t="shared" si="13"/>
        <v>0</v>
      </c>
      <c r="R33" s="14">
        <f t="shared" si="14"/>
        <v>0</v>
      </c>
      <c r="S33" s="14">
        <f t="shared" si="15"/>
        <v>0</v>
      </c>
      <c r="T33" s="14">
        <f t="shared" si="16"/>
        <v>0</v>
      </c>
      <c r="U33" s="14">
        <f t="shared" si="17"/>
        <v>0</v>
      </c>
      <c r="V33" s="14">
        <f>IF(G33&gt;0, G33/$V$16, 0)</f>
        <v>0</v>
      </c>
      <c r="W33" s="14">
        <f>IF(G33&gt;0, G33/$W$16, 0)</f>
        <v>0</v>
      </c>
      <c r="X33" s="91"/>
      <c r="Y33" s="1"/>
      <c r="Z33" s="13"/>
      <c r="AA33" s="85">
        <v>0</v>
      </c>
      <c r="AB33" s="59">
        <v>8</v>
      </c>
      <c r="AC33" s="87">
        <f t="shared" si="5"/>
        <v>0</v>
      </c>
      <c r="AD33" s="87">
        <f t="shared" si="5"/>
        <v>0</v>
      </c>
      <c r="AE33" s="87">
        <f t="shared" si="5"/>
        <v>0</v>
      </c>
      <c r="AF33" s="87">
        <f t="shared" si="5"/>
        <v>0</v>
      </c>
      <c r="AG33" s="87">
        <f t="shared" si="5"/>
        <v>0</v>
      </c>
      <c r="AH33" s="87">
        <f t="shared" si="5"/>
        <v>0</v>
      </c>
      <c r="AI33" s="87">
        <f t="shared" si="5"/>
        <v>0</v>
      </c>
      <c r="AJ33" s="87">
        <f t="shared" si="5"/>
        <v>0</v>
      </c>
      <c r="AK33" s="87">
        <f t="shared" si="5"/>
        <v>0</v>
      </c>
      <c r="AL33" s="87">
        <f t="shared" si="5"/>
        <v>0</v>
      </c>
      <c r="AM33" s="87">
        <f t="shared" si="5"/>
        <v>0</v>
      </c>
      <c r="AN33" s="87">
        <f t="shared" si="5"/>
        <v>0</v>
      </c>
      <c r="AO33" s="87">
        <f t="shared" si="5"/>
        <v>0</v>
      </c>
      <c r="AP33" s="87">
        <f t="shared" si="5"/>
        <v>0</v>
      </c>
      <c r="AQ33" s="87">
        <f t="shared" si="5"/>
        <v>0</v>
      </c>
      <c r="AR33" s="9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5">
      <c r="A35" s="1"/>
      <c r="B35" s="1"/>
      <c r="C35" s="1"/>
      <c r="D35" s="1"/>
      <c r="E35" s="1"/>
      <c r="F35" s="1" t="s">
        <v>97</v>
      </c>
      <c r="G35" s="21">
        <v>2</v>
      </c>
      <c r="H35" s="1" t="s">
        <v>47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1"/>
      <c r="B37" s="1"/>
      <c r="C37" s="1"/>
      <c r="D37" s="1"/>
      <c r="E37" s="1"/>
      <c r="F37" s="94" t="s">
        <v>98</v>
      </c>
      <c r="G37" s="9" t="s">
        <v>95</v>
      </c>
      <c r="H37" s="83">
        <v>1</v>
      </c>
      <c r="I37" s="83">
        <f>H9</f>
        <v>0.97970000000000002</v>
      </c>
      <c r="J37" s="83">
        <f t="shared" ref="J37:X37" si="18">I9</f>
        <v>0.95789999999999997</v>
      </c>
      <c r="K37" s="83">
        <f t="shared" si="18"/>
        <v>0.93679999999999997</v>
      </c>
      <c r="L37" s="83">
        <f t="shared" si="18"/>
        <v>0.92969999999999997</v>
      </c>
      <c r="M37" s="83">
        <f t="shared" si="18"/>
        <v>0</v>
      </c>
      <c r="N37" s="83">
        <f t="shared" si="18"/>
        <v>0</v>
      </c>
      <c r="O37" s="83">
        <f t="shared" si="18"/>
        <v>0</v>
      </c>
      <c r="P37" s="83">
        <f t="shared" si="18"/>
        <v>0</v>
      </c>
      <c r="Q37" s="83">
        <f t="shared" si="18"/>
        <v>0</v>
      </c>
      <c r="R37" s="83">
        <f t="shared" si="18"/>
        <v>0</v>
      </c>
      <c r="S37" s="83">
        <f t="shared" si="18"/>
        <v>0</v>
      </c>
      <c r="T37" s="83">
        <f t="shared" si="18"/>
        <v>0</v>
      </c>
      <c r="U37" s="83">
        <f t="shared" si="18"/>
        <v>0</v>
      </c>
      <c r="V37" s="83">
        <f t="shared" si="18"/>
        <v>0</v>
      </c>
      <c r="W37" s="83">
        <f t="shared" si="18"/>
        <v>0</v>
      </c>
      <c r="X37" s="84">
        <f t="shared" si="18"/>
        <v>0</v>
      </c>
      <c r="Y37" s="1"/>
      <c r="Z37" s="94" t="s">
        <v>104</v>
      </c>
      <c r="AA37" s="9" t="s">
        <v>95</v>
      </c>
      <c r="AB37" s="83">
        <v>1</v>
      </c>
      <c r="AC37" s="83">
        <f>H13</f>
        <v>0.98454944444444448</v>
      </c>
      <c r="AD37" s="83">
        <f t="shared" ref="AD37:AR37" si="19">I13</f>
        <v>0.96310777777777778</v>
      </c>
      <c r="AE37" s="83">
        <f t="shared" si="19"/>
        <v>0.94184055555555546</v>
      </c>
      <c r="AF37" s="83">
        <f t="shared" si="19"/>
        <v>0.93139611111111109</v>
      </c>
      <c r="AG37" s="83">
        <f t="shared" si="19"/>
        <v>0</v>
      </c>
      <c r="AH37" s="83">
        <f t="shared" si="19"/>
        <v>0</v>
      </c>
      <c r="AI37" s="83">
        <f t="shared" si="19"/>
        <v>0</v>
      </c>
      <c r="AJ37" s="83">
        <f t="shared" si="19"/>
        <v>0</v>
      </c>
      <c r="AK37" s="83">
        <f t="shared" si="19"/>
        <v>0</v>
      </c>
      <c r="AL37" s="83">
        <f t="shared" si="19"/>
        <v>0</v>
      </c>
      <c r="AM37" s="83">
        <f t="shared" si="19"/>
        <v>0</v>
      </c>
      <c r="AN37" s="83">
        <f t="shared" si="19"/>
        <v>0</v>
      </c>
      <c r="AO37" s="83">
        <f t="shared" si="19"/>
        <v>0</v>
      </c>
      <c r="AP37" s="83">
        <f t="shared" si="19"/>
        <v>0</v>
      </c>
      <c r="AQ37" s="83">
        <f t="shared" si="19"/>
        <v>0</v>
      </c>
      <c r="AR37" s="84">
        <f t="shared" si="19"/>
        <v>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1"/>
      <c r="B38" s="1"/>
      <c r="C38" s="1"/>
      <c r="D38" s="1"/>
      <c r="E38" s="1"/>
      <c r="F38" s="5" t="s">
        <v>96</v>
      </c>
      <c r="G38" s="82">
        <v>1</v>
      </c>
      <c r="H38" s="56">
        <f>G27</f>
        <v>0</v>
      </c>
      <c r="I38" s="56">
        <f>H8</f>
        <v>0.5</v>
      </c>
      <c r="J38" s="56">
        <f t="shared" ref="J38:X38" si="20">I8</f>
        <v>1</v>
      </c>
      <c r="K38" s="56">
        <f t="shared" si="20"/>
        <v>1.5</v>
      </c>
      <c r="L38" s="56">
        <f t="shared" si="20"/>
        <v>2</v>
      </c>
      <c r="M38" s="56">
        <f t="shared" si="20"/>
        <v>2.5</v>
      </c>
      <c r="N38" s="56">
        <f t="shared" si="20"/>
        <v>3</v>
      </c>
      <c r="O38" s="56">
        <f t="shared" si="20"/>
        <v>3.5</v>
      </c>
      <c r="P38" s="56">
        <f t="shared" si="20"/>
        <v>4</v>
      </c>
      <c r="Q38" s="56">
        <f t="shared" si="20"/>
        <v>4.5</v>
      </c>
      <c r="R38" s="56">
        <f t="shared" si="20"/>
        <v>5</v>
      </c>
      <c r="S38" s="56">
        <f t="shared" si="20"/>
        <v>5.5</v>
      </c>
      <c r="T38" s="56">
        <f t="shared" si="20"/>
        <v>6</v>
      </c>
      <c r="U38" s="56">
        <f t="shared" si="20"/>
        <v>6.5</v>
      </c>
      <c r="V38" s="56">
        <f t="shared" si="20"/>
        <v>7</v>
      </c>
      <c r="W38" s="56">
        <f t="shared" si="20"/>
        <v>7.5</v>
      </c>
      <c r="X38" s="57">
        <f t="shared" si="20"/>
        <v>8</v>
      </c>
      <c r="Y38" s="1"/>
      <c r="Z38" s="5" t="s">
        <v>96</v>
      </c>
      <c r="AA38" s="82">
        <v>1</v>
      </c>
      <c r="AB38" s="56">
        <f>AA27</f>
        <v>0</v>
      </c>
      <c r="AC38" s="56">
        <f>AC17</f>
        <v>0.5</v>
      </c>
      <c r="AD38" s="56">
        <f t="shared" ref="AD38:AR38" si="21">AD17</f>
        <v>1</v>
      </c>
      <c r="AE38" s="56">
        <f t="shared" si="21"/>
        <v>1.5</v>
      </c>
      <c r="AF38" s="56">
        <f t="shared" si="21"/>
        <v>2</v>
      </c>
      <c r="AG38" s="56">
        <f t="shared" si="21"/>
        <v>2.5</v>
      </c>
      <c r="AH38" s="56">
        <f t="shared" si="21"/>
        <v>3</v>
      </c>
      <c r="AI38" s="56">
        <f t="shared" si="21"/>
        <v>3.5</v>
      </c>
      <c r="AJ38" s="56">
        <f t="shared" si="21"/>
        <v>4</v>
      </c>
      <c r="AK38" s="56">
        <f t="shared" si="21"/>
        <v>4.5</v>
      </c>
      <c r="AL38" s="56">
        <f t="shared" si="21"/>
        <v>5</v>
      </c>
      <c r="AM38" s="56">
        <f t="shared" si="21"/>
        <v>5.5</v>
      </c>
      <c r="AN38" s="56">
        <f t="shared" si="21"/>
        <v>6</v>
      </c>
      <c r="AO38" s="56">
        <f t="shared" si="21"/>
        <v>6.5</v>
      </c>
      <c r="AP38" s="56">
        <f t="shared" si="21"/>
        <v>7</v>
      </c>
      <c r="AQ38" s="56">
        <f t="shared" si="21"/>
        <v>7.5</v>
      </c>
      <c r="AR38" s="57">
        <f t="shared" si="21"/>
        <v>8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"/>
      <c r="B39" s="1"/>
      <c r="C39" s="1"/>
      <c r="D39" s="1"/>
      <c r="E39" s="1"/>
      <c r="F39" s="11"/>
      <c r="G39" s="82">
        <f t="array" ref="G39:G54">TRANSPOSE(H9:W9)</f>
        <v>0.97970000000000002</v>
      </c>
      <c r="H39" s="56">
        <f t="array" ref="H39:H54">TRANSPOSE($I$17:$X$17)</f>
        <v>0.5</v>
      </c>
      <c r="I39" s="88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3"/>
      <c r="Y39" s="1"/>
      <c r="Z39" s="11"/>
      <c r="AA39" s="82">
        <f t="array" ref="AA39:AA54">TRANSPOSE(H13:W13)</f>
        <v>0.98454944444444448</v>
      </c>
      <c r="AB39" s="56">
        <f t="array" ref="AB39:AB54">TRANSPOSE($I$17:$X$17)</f>
        <v>0.5</v>
      </c>
      <c r="AC39" s="88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3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1"/>
      <c r="B40" s="1"/>
      <c r="C40" s="1"/>
      <c r="D40" s="1"/>
      <c r="E40" s="1"/>
      <c r="F40" s="5"/>
      <c r="G40" s="82">
        <v>0.95789999999999997</v>
      </c>
      <c r="H40" s="56">
        <v>1</v>
      </c>
      <c r="I40" s="86">
        <f>IF(I19&gt;0, IF(TYPE($G$35)=1, $G$35 * ((I19^(-1/($G$35*($H40-I$38))))-1), -(LN(I19)/($H40-I$38))), 0)</f>
        <v>4.5516233427289166E-2</v>
      </c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90"/>
      <c r="Y40" s="1"/>
      <c r="Z40" s="5"/>
      <c r="AA40" s="82">
        <v>0.96310777777777778</v>
      </c>
      <c r="AB40" s="56">
        <v>1</v>
      </c>
      <c r="AC40" s="86">
        <f>IF(AC19&gt;0, IF(TYPE($G$35)=1, $G$35 * ((AC19^(-1/($G$35*($AB40-AC$38))))-1), -(LN(AC19)/($AB40-AC$38))), 0)</f>
        <v>4.4525996282866576E-2</v>
      </c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90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1"/>
      <c r="B41" s="1"/>
      <c r="C41" s="1"/>
      <c r="D41" s="1"/>
      <c r="E41" s="1"/>
      <c r="F41" s="11"/>
      <c r="G41" s="82">
        <v>0.93679999999999997</v>
      </c>
      <c r="H41" s="56">
        <v>1.5</v>
      </c>
      <c r="I41" s="86">
        <f t="shared" ref="I41:W54" si="22">IF(I20&gt;0, IF(TYPE($G$35)=1, $G$35 * ((I20^(-1/($G$35*($H41-I$38))))-1), -(LN(I20)/($H41-I$38))), 0)</f>
        <v>4.5281587456786454E-2</v>
      </c>
      <c r="J41" s="86">
        <f t="shared" si="22"/>
        <v>4.5046968403074317E-2</v>
      </c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90"/>
      <c r="Y41" s="1"/>
      <c r="Z41" s="11"/>
      <c r="AA41" s="82">
        <v>0.94184055555555546</v>
      </c>
      <c r="AB41" s="56">
        <v>1.5</v>
      </c>
      <c r="AC41" s="86">
        <f t="shared" ref="AC41:AC54" si="23">IF(AC20&gt;0, IF(TYPE($G$35)=1, $G$35 * ((AC20^(-1/($G$35*($AB41-AC$38))))-1), -(LN(AC20)/($AB41-AC$38))), 0)</f>
        <v>4.484346452981347E-2</v>
      </c>
      <c r="AD41" s="86">
        <f t="shared" ref="AD41" si="24">IF(AD20&gt;0, IF(TYPE($G$35)=1, $G$35 * ((AD20^(-1/($G$35*($H41-AD$38))))-1), -(LN(AD20)/($H41-AD$38))), 0)</f>
        <v>4.5160982072337319E-2</v>
      </c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90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1"/>
      <c r="B42" s="1"/>
      <c r="C42" s="1"/>
      <c r="D42" s="1"/>
      <c r="E42" s="1"/>
      <c r="F42" s="11"/>
      <c r="G42" s="82">
        <v>0.92969999999999997</v>
      </c>
      <c r="H42" s="56">
        <v>2</v>
      </c>
      <c r="I42" s="86">
        <f t="shared" si="22"/>
        <v>3.5229651775862347E-2</v>
      </c>
      <c r="J42" s="86">
        <f t="shared" si="22"/>
        <v>3.0105775844325056E-2</v>
      </c>
      <c r="K42" s="86">
        <f t="shared" si="22"/>
        <v>1.5273744218565088E-2</v>
      </c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90"/>
      <c r="Y42" s="1"/>
      <c r="Z42" s="11"/>
      <c r="AA42" s="82">
        <v>0.93139611111111109</v>
      </c>
      <c r="AB42" s="56">
        <v>2</v>
      </c>
      <c r="AC42" s="86">
        <f t="shared" si="23"/>
        <v>3.7344006668738494E-2</v>
      </c>
      <c r="AD42" s="86">
        <f t="shared" ref="AD42:AE42" si="25">IF(AD21&gt;0, IF(TYPE($G$35)=1, $G$35 * ((AD21^(-1/($G$35*($H42-AD$38))))-1), -(LN(AD21)/($H42-AD$38))), 0)</f>
        <v>3.3762478214807157E-2</v>
      </c>
      <c r="AE42" s="86">
        <f t="shared" si="25"/>
        <v>2.2427502798964216E-2</v>
      </c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90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1"/>
      <c r="B43" s="1"/>
      <c r="C43" s="1"/>
      <c r="D43" s="1"/>
      <c r="E43" s="1"/>
      <c r="F43" s="11"/>
      <c r="G43" s="82">
        <v>0</v>
      </c>
      <c r="H43" s="56">
        <v>2.5</v>
      </c>
      <c r="I43" s="86">
        <f t="shared" si="22"/>
        <v>0</v>
      </c>
      <c r="J43" s="86">
        <f t="shared" si="22"/>
        <v>0</v>
      </c>
      <c r="K43" s="86">
        <f t="shared" si="22"/>
        <v>0</v>
      </c>
      <c r="L43" s="86">
        <f t="shared" si="22"/>
        <v>0</v>
      </c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90"/>
      <c r="Y43" s="1"/>
      <c r="Z43" s="11"/>
      <c r="AA43" s="82">
        <v>0</v>
      </c>
      <c r="AB43" s="56">
        <v>2.5</v>
      </c>
      <c r="AC43" s="86">
        <f t="shared" si="23"/>
        <v>0</v>
      </c>
      <c r="AD43" s="86">
        <f t="shared" ref="AD43:AF43" si="26">IF(AD22&gt;0, IF(TYPE($G$35)=1, $G$35 * ((AD22^(-1/($G$35*($H43-AD$38))))-1), -(LN(AD22)/($H43-AD$38))), 0)</f>
        <v>0</v>
      </c>
      <c r="AE43" s="86">
        <f t="shared" si="26"/>
        <v>0</v>
      </c>
      <c r="AF43" s="86">
        <f t="shared" si="26"/>
        <v>0</v>
      </c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90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1"/>
      <c r="B44" s="1"/>
      <c r="C44" s="1"/>
      <c r="D44" s="1"/>
      <c r="E44" s="1"/>
      <c r="F44" s="11"/>
      <c r="G44" s="82">
        <v>0</v>
      </c>
      <c r="H44" s="56">
        <v>3</v>
      </c>
      <c r="I44" s="86">
        <f t="shared" si="22"/>
        <v>0</v>
      </c>
      <c r="J44" s="86">
        <f t="shared" si="22"/>
        <v>0</v>
      </c>
      <c r="K44" s="86">
        <f t="shared" si="22"/>
        <v>0</v>
      </c>
      <c r="L44" s="86">
        <f t="shared" si="22"/>
        <v>0</v>
      </c>
      <c r="M44" s="86">
        <f t="shared" si="22"/>
        <v>0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90"/>
      <c r="Y44" s="1"/>
      <c r="Z44" s="11"/>
      <c r="AA44" s="82">
        <v>0</v>
      </c>
      <c r="AB44" s="56">
        <v>3</v>
      </c>
      <c r="AC44" s="86">
        <f t="shared" si="23"/>
        <v>0</v>
      </c>
      <c r="AD44" s="86">
        <f t="shared" ref="AD44:AG44" si="27">IF(AD23&gt;0, IF(TYPE($G$35)=1, $G$35 * ((AD23^(-1/($G$35*($H44-AD$38))))-1), -(LN(AD23)/($H44-AD$38))), 0)</f>
        <v>0</v>
      </c>
      <c r="AE44" s="86">
        <f t="shared" si="27"/>
        <v>0</v>
      </c>
      <c r="AF44" s="86">
        <f t="shared" si="27"/>
        <v>0</v>
      </c>
      <c r="AG44" s="86">
        <f t="shared" si="27"/>
        <v>0</v>
      </c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90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1"/>
      <c r="B45" s="1"/>
      <c r="C45" s="1"/>
      <c r="D45" s="1"/>
      <c r="E45" s="1"/>
      <c r="F45" s="11"/>
      <c r="G45" s="82">
        <v>0</v>
      </c>
      <c r="H45" s="56">
        <v>3.5</v>
      </c>
      <c r="I45" s="86">
        <f t="shared" si="22"/>
        <v>0</v>
      </c>
      <c r="J45" s="86">
        <f t="shared" si="22"/>
        <v>0</v>
      </c>
      <c r="K45" s="86">
        <f t="shared" si="22"/>
        <v>0</v>
      </c>
      <c r="L45" s="86">
        <f t="shared" si="22"/>
        <v>0</v>
      </c>
      <c r="M45" s="86">
        <f t="shared" si="22"/>
        <v>0</v>
      </c>
      <c r="N45" s="86">
        <f t="shared" si="22"/>
        <v>0</v>
      </c>
      <c r="O45" s="89"/>
      <c r="P45" s="89"/>
      <c r="Q45" s="89"/>
      <c r="R45" s="89"/>
      <c r="S45" s="89"/>
      <c r="T45" s="89"/>
      <c r="U45" s="89"/>
      <c r="V45" s="89"/>
      <c r="W45" s="89"/>
      <c r="X45" s="90"/>
      <c r="Y45" s="1"/>
      <c r="Z45" s="11"/>
      <c r="AA45" s="82">
        <v>0</v>
      </c>
      <c r="AB45" s="56">
        <v>3.5</v>
      </c>
      <c r="AC45" s="86">
        <f t="shared" si="23"/>
        <v>0</v>
      </c>
      <c r="AD45" s="86">
        <f t="shared" ref="AD45:AH45" si="28">IF(AD24&gt;0, IF(TYPE($G$35)=1, $G$35 * ((AD24^(-1/($G$35*($H45-AD$38))))-1), -(LN(AD24)/($H45-AD$38))), 0)</f>
        <v>0</v>
      </c>
      <c r="AE45" s="86">
        <f t="shared" si="28"/>
        <v>0</v>
      </c>
      <c r="AF45" s="86">
        <f t="shared" si="28"/>
        <v>0</v>
      </c>
      <c r="AG45" s="86">
        <f t="shared" si="28"/>
        <v>0</v>
      </c>
      <c r="AH45" s="86">
        <f t="shared" si="28"/>
        <v>0</v>
      </c>
      <c r="AI45" s="89"/>
      <c r="AJ45" s="89"/>
      <c r="AK45" s="89"/>
      <c r="AL45" s="89"/>
      <c r="AM45" s="89"/>
      <c r="AN45" s="89"/>
      <c r="AO45" s="89"/>
      <c r="AP45" s="89"/>
      <c r="AQ45" s="89"/>
      <c r="AR45" s="90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1"/>
      <c r="B46" s="1"/>
      <c r="C46" s="1"/>
      <c r="D46" s="1"/>
      <c r="E46" s="1"/>
      <c r="F46" s="11"/>
      <c r="G46" s="82">
        <v>0</v>
      </c>
      <c r="H46" s="56">
        <v>4</v>
      </c>
      <c r="I46" s="86">
        <f t="shared" si="22"/>
        <v>0</v>
      </c>
      <c r="J46" s="86">
        <f t="shared" si="22"/>
        <v>0</v>
      </c>
      <c r="K46" s="86">
        <f t="shared" si="22"/>
        <v>0</v>
      </c>
      <c r="L46" s="86">
        <f t="shared" si="22"/>
        <v>0</v>
      </c>
      <c r="M46" s="86">
        <f t="shared" si="22"/>
        <v>0</v>
      </c>
      <c r="N46" s="86">
        <f t="shared" si="22"/>
        <v>0</v>
      </c>
      <c r="O46" s="86">
        <f t="shared" si="22"/>
        <v>0</v>
      </c>
      <c r="P46" s="89"/>
      <c r="Q46" s="89"/>
      <c r="R46" s="89"/>
      <c r="S46" s="89"/>
      <c r="T46" s="89"/>
      <c r="U46" s="89"/>
      <c r="V46" s="89"/>
      <c r="W46" s="89"/>
      <c r="X46" s="90"/>
      <c r="Y46" s="1"/>
      <c r="Z46" s="11"/>
      <c r="AA46" s="82">
        <v>0</v>
      </c>
      <c r="AB46" s="56">
        <v>4</v>
      </c>
      <c r="AC46" s="86">
        <f t="shared" si="23"/>
        <v>0</v>
      </c>
      <c r="AD46" s="86">
        <f t="shared" ref="AD46:AI46" si="29">IF(AD25&gt;0, IF(TYPE($G$35)=1, $G$35 * ((AD25^(-1/($G$35*($H46-AD$38))))-1), -(LN(AD25)/($H46-AD$38))), 0)</f>
        <v>0</v>
      </c>
      <c r="AE46" s="86">
        <f t="shared" si="29"/>
        <v>0</v>
      </c>
      <c r="AF46" s="86">
        <f t="shared" si="29"/>
        <v>0</v>
      </c>
      <c r="AG46" s="86">
        <f t="shared" si="29"/>
        <v>0</v>
      </c>
      <c r="AH46" s="86">
        <f t="shared" si="29"/>
        <v>0</v>
      </c>
      <c r="AI46" s="86">
        <f t="shared" si="29"/>
        <v>0</v>
      </c>
      <c r="AJ46" s="89"/>
      <c r="AK46" s="89"/>
      <c r="AL46" s="89"/>
      <c r="AM46" s="89"/>
      <c r="AN46" s="89"/>
      <c r="AO46" s="89"/>
      <c r="AP46" s="89"/>
      <c r="AQ46" s="89"/>
      <c r="AR46" s="90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1"/>
      <c r="B47" s="1"/>
      <c r="C47" s="1"/>
      <c r="D47" s="1"/>
      <c r="E47" s="1"/>
      <c r="F47" s="11"/>
      <c r="G47" s="82">
        <v>0</v>
      </c>
      <c r="H47" s="56">
        <v>4.5</v>
      </c>
      <c r="I47" s="86">
        <f t="shared" si="22"/>
        <v>0</v>
      </c>
      <c r="J47" s="86">
        <f t="shared" si="22"/>
        <v>0</v>
      </c>
      <c r="K47" s="86">
        <f t="shared" si="22"/>
        <v>0</v>
      </c>
      <c r="L47" s="86">
        <f t="shared" si="22"/>
        <v>0</v>
      </c>
      <c r="M47" s="86">
        <f t="shared" si="22"/>
        <v>0</v>
      </c>
      <c r="N47" s="86">
        <f t="shared" si="22"/>
        <v>0</v>
      </c>
      <c r="O47" s="86">
        <f t="shared" si="22"/>
        <v>0</v>
      </c>
      <c r="P47" s="86">
        <f t="shared" si="22"/>
        <v>0</v>
      </c>
      <c r="Q47" s="89"/>
      <c r="R47" s="89"/>
      <c r="S47" s="89"/>
      <c r="T47" s="89"/>
      <c r="U47" s="89"/>
      <c r="V47" s="89"/>
      <c r="W47" s="89"/>
      <c r="X47" s="90"/>
      <c r="Y47" s="1"/>
      <c r="Z47" s="11"/>
      <c r="AA47" s="82">
        <v>0</v>
      </c>
      <c r="AB47" s="56">
        <v>4.5</v>
      </c>
      <c r="AC47" s="86">
        <f t="shared" si="23"/>
        <v>0</v>
      </c>
      <c r="AD47" s="86">
        <f t="shared" ref="AD47:AJ47" si="30">IF(AD26&gt;0, IF(TYPE($G$35)=1, $G$35 * ((AD26^(-1/($G$35*($H47-AD$38))))-1), -(LN(AD26)/($H47-AD$38))), 0)</f>
        <v>0</v>
      </c>
      <c r="AE47" s="86">
        <f t="shared" si="30"/>
        <v>0</v>
      </c>
      <c r="AF47" s="86">
        <f t="shared" si="30"/>
        <v>0</v>
      </c>
      <c r="AG47" s="86">
        <f t="shared" si="30"/>
        <v>0</v>
      </c>
      <c r="AH47" s="86">
        <f t="shared" si="30"/>
        <v>0</v>
      </c>
      <c r="AI47" s="86">
        <f t="shared" si="30"/>
        <v>0</v>
      </c>
      <c r="AJ47" s="86">
        <f t="shared" si="30"/>
        <v>0</v>
      </c>
      <c r="AK47" s="89"/>
      <c r="AL47" s="89"/>
      <c r="AM47" s="89"/>
      <c r="AN47" s="89"/>
      <c r="AO47" s="89"/>
      <c r="AP47" s="89"/>
      <c r="AQ47" s="89"/>
      <c r="AR47" s="90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1"/>
      <c r="B48" s="1"/>
      <c r="C48" s="1"/>
      <c r="D48" s="1"/>
      <c r="E48" s="1"/>
      <c r="F48" s="11"/>
      <c r="G48" s="82">
        <v>0</v>
      </c>
      <c r="H48" s="56">
        <v>5</v>
      </c>
      <c r="I48" s="86">
        <f t="shared" si="22"/>
        <v>0</v>
      </c>
      <c r="J48" s="86">
        <f t="shared" si="22"/>
        <v>0</v>
      </c>
      <c r="K48" s="86">
        <f t="shared" si="22"/>
        <v>0</v>
      </c>
      <c r="L48" s="86">
        <f t="shared" si="22"/>
        <v>0</v>
      </c>
      <c r="M48" s="86">
        <f t="shared" si="22"/>
        <v>0</v>
      </c>
      <c r="N48" s="86">
        <f t="shared" si="22"/>
        <v>0</v>
      </c>
      <c r="O48" s="86">
        <f t="shared" si="22"/>
        <v>0</v>
      </c>
      <c r="P48" s="86">
        <f t="shared" si="22"/>
        <v>0</v>
      </c>
      <c r="Q48" s="86">
        <f t="shared" si="22"/>
        <v>0</v>
      </c>
      <c r="R48" s="89"/>
      <c r="S48" s="89"/>
      <c r="T48" s="89"/>
      <c r="U48" s="89"/>
      <c r="V48" s="89"/>
      <c r="W48" s="89"/>
      <c r="X48" s="90"/>
      <c r="Y48" s="1"/>
      <c r="Z48" s="11"/>
      <c r="AA48" s="82">
        <v>0</v>
      </c>
      <c r="AB48" s="56">
        <v>5</v>
      </c>
      <c r="AC48" s="86">
        <f t="shared" si="23"/>
        <v>0</v>
      </c>
      <c r="AD48" s="86">
        <f t="shared" ref="AD48:AK48" si="31">IF(AD27&gt;0, IF(TYPE($G$35)=1, $G$35 * ((AD27^(-1/($G$35*($H48-AD$38))))-1), -(LN(AD27)/($H48-AD$38))), 0)</f>
        <v>0</v>
      </c>
      <c r="AE48" s="86">
        <f t="shared" si="31"/>
        <v>0</v>
      </c>
      <c r="AF48" s="86">
        <f t="shared" si="31"/>
        <v>0</v>
      </c>
      <c r="AG48" s="86">
        <f t="shared" si="31"/>
        <v>0</v>
      </c>
      <c r="AH48" s="86">
        <f t="shared" si="31"/>
        <v>0</v>
      </c>
      <c r="AI48" s="86">
        <f t="shared" si="31"/>
        <v>0</v>
      </c>
      <c r="AJ48" s="86">
        <f t="shared" si="31"/>
        <v>0</v>
      </c>
      <c r="AK48" s="86">
        <f t="shared" si="31"/>
        <v>0</v>
      </c>
      <c r="AL48" s="89"/>
      <c r="AM48" s="89"/>
      <c r="AN48" s="89"/>
      <c r="AO48" s="89"/>
      <c r="AP48" s="89"/>
      <c r="AQ48" s="89"/>
      <c r="AR48" s="90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1"/>
      <c r="B49" s="1"/>
      <c r="C49" s="1"/>
      <c r="D49" s="1"/>
      <c r="E49" s="1"/>
      <c r="F49" s="11"/>
      <c r="G49" s="82">
        <v>0</v>
      </c>
      <c r="H49" s="56">
        <v>5.5</v>
      </c>
      <c r="I49" s="86">
        <f t="shared" si="22"/>
        <v>0</v>
      </c>
      <c r="J49" s="86">
        <f t="shared" si="22"/>
        <v>0</v>
      </c>
      <c r="K49" s="86">
        <f t="shared" si="22"/>
        <v>0</v>
      </c>
      <c r="L49" s="86">
        <f t="shared" si="22"/>
        <v>0</v>
      </c>
      <c r="M49" s="86">
        <f t="shared" si="22"/>
        <v>0</v>
      </c>
      <c r="N49" s="86">
        <f t="shared" si="22"/>
        <v>0</v>
      </c>
      <c r="O49" s="86">
        <f t="shared" si="22"/>
        <v>0</v>
      </c>
      <c r="P49" s="86">
        <f t="shared" si="22"/>
        <v>0</v>
      </c>
      <c r="Q49" s="86">
        <f t="shared" si="22"/>
        <v>0</v>
      </c>
      <c r="R49" s="86">
        <f t="shared" si="22"/>
        <v>0</v>
      </c>
      <c r="S49" s="89"/>
      <c r="T49" s="89"/>
      <c r="U49" s="89"/>
      <c r="V49" s="89"/>
      <c r="W49" s="89"/>
      <c r="X49" s="90"/>
      <c r="Y49" s="1"/>
      <c r="Z49" s="11"/>
      <c r="AA49" s="82">
        <v>0</v>
      </c>
      <c r="AB49" s="56">
        <v>5.5</v>
      </c>
      <c r="AC49" s="86">
        <f t="shared" si="23"/>
        <v>0</v>
      </c>
      <c r="AD49" s="86">
        <f t="shared" ref="AD49:AL49" si="32">IF(AD28&gt;0, IF(TYPE($G$35)=1, $G$35 * ((AD28^(-1/($G$35*($H49-AD$38))))-1), -(LN(AD28)/($H49-AD$38))), 0)</f>
        <v>0</v>
      </c>
      <c r="AE49" s="86">
        <f t="shared" si="32"/>
        <v>0</v>
      </c>
      <c r="AF49" s="86">
        <f t="shared" si="32"/>
        <v>0</v>
      </c>
      <c r="AG49" s="86">
        <f t="shared" si="32"/>
        <v>0</v>
      </c>
      <c r="AH49" s="86">
        <f t="shared" si="32"/>
        <v>0</v>
      </c>
      <c r="AI49" s="86">
        <f t="shared" si="32"/>
        <v>0</v>
      </c>
      <c r="AJ49" s="86">
        <f t="shared" si="32"/>
        <v>0</v>
      </c>
      <c r="AK49" s="86">
        <f t="shared" si="32"/>
        <v>0</v>
      </c>
      <c r="AL49" s="86">
        <f t="shared" si="32"/>
        <v>0</v>
      </c>
      <c r="AM49" s="89"/>
      <c r="AN49" s="89"/>
      <c r="AO49" s="89"/>
      <c r="AP49" s="89"/>
      <c r="AQ49" s="89"/>
      <c r="AR49" s="90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1"/>
      <c r="B50" s="1"/>
      <c r="C50" s="1"/>
      <c r="D50" s="1"/>
      <c r="E50" s="1"/>
      <c r="F50" s="11"/>
      <c r="G50" s="82">
        <v>0</v>
      </c>
      <c r="H50" s="56">
        <v>6</v>
      </c>
      <c r="I50" s="86">
        <f t="shared" si="22"/>
        <v>0</v>
      </c>
      <c r="J50" s="86">
        <f t="shared" si="22"/>
        <v>0</v>
      </c>
      <c r="K50" s="86">
        <f t="shared" si="22"/>
        <v>0</v>
      </c>
      <c r="L50" s="86">
        <f t="shared" si="22"/>
        <v>0</v>
      </c>
      <c r="M50" s="86">
        <f t="shared" si="22"/>
        <v>0</v>
      </c>
      <c r="N50" s="86">
        <f t="shared" si="22"/>
        <v>0</v>
      </c>
      <c r="O50" s="86">
        <f t="shared" si="22"/>
        <v>0</v>
      </c>
      <c r="P50" s="86">
        <f t="shared" si="22"/>
        <v>0</v>
      </c>
      <c r="Q50" s="86">
        <f t="shared" si="22"/>
        <v>0</v>
      </c>
      <c r="R50" s="86">
        <f t="shared" si="22"/>
        <v>0</v>
      </c>
      <c r="S50" s="86">
        <f t="shared" si="22"/>
        <v>0</v>
      </c>
      <c r="T50" s="89"/>
      <c r="U50" s="89"/>
      <c r="V50" s="89"/>
      <c r="W50" s="89"/>
      <c r="X50" s="90"/>
      <c r="Y50" s="1"/>
      <c r="Z50" s="11"/>
      <c r="AA50" s="82">
        <v>0</v>
      </c>
      <c r="AB50" s="56">
        <v>6</v>
      </c>
      <c r="AC50" s="86">
        <f t="shared" si="23"/>
        <v>0</v>
      </c>
      <c r="AD50" s="86">
        <f t="shared" ref="AD50:AM50" si="33">IF(AD29&gt;0, IF(TYPE($G$35)=1, $G$35 * ((AD29^(-1/($G$35*($H50-AD$38))))-1), -(LN(AD29)/($H50-AD$38))), 0)</f>
        <v>0</v>
      </c>
      <c r="AE50" s="86">
        <f t="shared" si="33"/>
        <v>0</v>
      </c>
      <c r="AF50" s="86">
        <f t="shared" si="33"/>
        <v>0</v>
      </c>
      <c r="AG50" s="86">
        <f t="shared" si="33"/>
        <v>0</v>
      </c>
      <c r="AH50" s="86">
        <f t="shared" si="33"/>
        <v>0</v>
      </c>
      <c r="AI50" s="86">
        <f t="shared" si="33"/>
        <v>0</v>
      </c>
      <c r="AJ50" s="86">
        <f t="shared" si="33"/>
        <v>0</v>
      </c>
      <c r="AK50" s="86">
        <f t="shared" si="33"/>
        <v>0</v>
      </c>
      <c r="AL50" s="86">
        <f t="shared" si="33"/>
        <v>0</v>
      </c>
      <c r="AM50" s="86">
        <f t="shared" si="33"/>
        <v>0</v>
      </c>
      <c r="AN50" s="89"/>
      <c r="AO50" s="89"/>
      <c r="AP50" s="89"/>
      <c r="AQ50" s="89"/>
      <c r="AR50" s="90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1"/>
      <c r="B51" s="1"/>
      <c r="C51" s="1"/>
      <c r="D51" s="1"/>
      <c r="E51" s="1"/>
      <c r="F51" s="11"/>
      <c r="G51" s="82">
        <v>0</v>
      </c>
      <c r="H51" s="56">
        <v>6.5</v>
      </c>
      <c r="I51" s="86">
        <f t="shared" si="22"/>
        <v>0</v>
      </c>
      <c r="J51" s="86">
        <f t="shared" si="22"/>
        <v>0</v>
      </c>
      <c r="K51" s="86">
        <f t="shared" si="22"/>
        <v>0</v>
      </c>
      <c r="L51" s="86">
        <f t="shared" si="22"/>
        <v>0</v>
      </c>
      <c r="M51" s="86">
        <f t="shared" si="22"/>
        <v>0</v>
      </c>
      <c r="N51" s="86">
        <f t="shared" si="22"/>
        <v>0</v>
      </c>
      <c r="O51" s="86">
        <f t="shared" si="22"/>
        <v>0</v>
      </c>
      <c r="P51" s="86">
        <f t="shared" si="22"/>
        <v>0</v>
      </c>
      <c r="Q51" s="86">
        <f t="shared" si="22"/>
        <v>0</v>
      </c>
      <c r="R51" s="86">
        <f t="shared" si="22"/>
        <v>0</v>
      </c>
      <c r="S51" s="86">
        <f t="shared" si="22"/>
        <v>0</v>
      </c>
      <c r="T51" s="86">
        <f t="shared" si="22"/>
        <v>0</v>
      </c>
      <c r="U51" s="89"/>
      <c r="V51" s="89"/>
      <c r="W51" s="89"/>
      <c r="X51" s="90"/>
      <c r="Y51" s="1"/>
      <c r="Z51" s="11"/>
      <c r="AA51" s="82">
        <v>0</v>
      </c>
      <c r="AB51" s="56">
        <v>6.5</v>
      </c>
      <c r="AC51" s="86">
        <f t="shared" si="23"/>
        <v>0</v>
      </c>
      <c r="AD51" s="86">
        <f t="shared" ref="AD51:AN51" si="34">IF(AD30&gt;0, IF(TYPE($G$35)=1, $G$35 * ((AD30^(-1/($G$35*($H51-AD$38))))-1), -(LN(AD30)/($H51-AD$38))), 0)</f>
        <v>0</v>
      </c>
      <c r="AE51" s="86">
        <f t="shared" si="34"/>
        <v>0</v>
      </c>
      <c r="AF51" s="86">
        <f t="shared" si="34"/>
        <v>0</v>
      </c>
      <c r="AG51" s="86">
        <f t="shared" si="34"/>
        <v>0</v>
      </c>
      <c r="AH51" s="86">
        <f t="shared" si="34"/>
        <v>0</v>
      </c>
      <c r="AI51" s="86">
        <f t="shared" si="34"/>
        <v>0</v>
      </c>
      <c r="AJ51" s="86">
        <f t="shared" si="34"/>
        <v>0</v>
      </c>
      <c r="AK51" s="86">
        <f t="shared" si="34"/>
        <v>0</v>
      </c>
      <c r="AL51" s="86">
        <f t="shared" si="34"/>
        <v>0</v>
      </c>
      <c r="AM51" s="86">
        <f t="shared" si="34"/>
        <v>0</v>
      </c>
      <c r="AN51" s="86">
        <f t="shared" si="34"/>
        <v>0</v>
      </c>
      <c r="AO51" s="89"/>
      <c r="AP51" s="89"/>
      <c r="AQ51" s="89"/>
      <c r="AR51" s="90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1"/>
      <c r="B52" s="1"/>
      <c r="C52" s="1"/>
      <c r="D52" s="1"/>
      <c r="E52" s="1"/>
      <c r="F52" s="11"/>
      <c r="G52" s="82">
        <v>0</v>
      </c>
      <c r="H52" s="56">
        <v>7</v>
      </c>
      <c r="I52" s="86">
        <f t="shared" si="22"/>
        <v>0</v>
      </c>
      <c r="J52" s="86">
        <f t="shared" si="22"/>
        <v>0</v>
      </c>
      <c r="K52" s="86">
        <f t="shared" si="22"/>
        <v>0</v>
      </c>
      <c r="L52" s="86">
        <f t="shared" si="22"/>
        <v>0</v>
      </c>
      <c r="M52" s="86">
        <f t="shared" si="22"/>
        <v>0</v>
      </c>
      <c r="N52" s="86">
        <f t="shared" si="22"/>
        <v>0</v>
      </c>
      <c r="O52" s="86">
        <f t="shared" si="22"/>
        <v>0</v>
      </c>
      <c r="P52" s="86">
        <f t="shared" si="22"/>
        <v>0</v>
      </c>
      <c r="Q52" s="86">
        <f t="shared" si="22"/>
        <v>0</v>
      </c>
      <c r="R52" s="86">
        <f t="shared" si="22"/>
        <v>0</v>
      </c>
      <c r="S52" s="86">
        <f t="shared" si="22"/>
        <v>0</v>
      </c>
      <c r="T52" s="86">
        <f t="shared" si="22"/>
        <v>0</v>
      </c>
      <c r="U52" s="86">
        <f t="shared" si="22"/>
        <v>0</v>
      </c>
      <c r="V52" s="89"/>
      <c r="W52" s="89"/>
      <c r="X52" s="90"/>
      <c r="Y52" s="1"/>
      <c r="Z52" s="11"/>
      <c r="AA52" s="82">
        <v>0</v>
      </c>
      <c r="AB52" s="56">
        <v>7</v>
      </c>
      <c r="AC52" s="86">
        <f t="shared" si="23"/>
        <v>0</v>
      </c>
      <c r="AD52" s="86">
        <f t="shared" ref="AD52:AO52" si="35">IF(AD31&gt;0, IF(TYPE($G$35)=1, $G$35 * ((AD31^(-1/($G$35*($H52-AD$38))))-1), -(LN(AD31)/($H52-AD$38))), 0)</f>
        <v>0</v>
      </c>
      <c r="AE52" s="86">
        <f t="shared" si="35"/>
        <v>0</v>
      </c>
      <c r="AF52" s="86">
        <f t="shared" si="35"/>
        <v>0</v>
      </c>
      <c r="AG52" s="86">
        <f t="shared" si="35"/>
        <v>0</v>
      </c>
      <c r="AH52" s="86">
        <f t="shared" si="35"/>
        <v>0</v>
      </c>
      <c r="AI52" s="86">
        <f t="shared" si="35"/>
        <v>0</v>
      </c>
      <c r="AJ52" s="86">
        <f t="shared" si="35"/>
        <v>0</v>
      </c>
      <c r="AK52" s="86">
        <f t="shared" si="35"/>
        <v>0</v>
      </c>
      <c r="AL52" s="86">
        <f t="shared" si="35"/>
        <v>0</v>
      </c>
      <c r="AM52" s="86">
        <f t="shared" si="35"/>
        <v>0</v>
      </c>
      <c r="AN52" s="86">
        <f t="shared" si="35"/>
        <v>0</v>
      </c>
      <c r="AO52" s="86">
        <f t="shared" si="35"/>
        <v>0</v>
      </c>
      <c r="AP52" s="89"/>
      <c r="AQ52" s="89"/>
      <c r="AR52" s="90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1"/>
      <c r="B53" s="1"/>
      <c r="C53" s="1"/>
      <c r="D53" s="1"/>
      <c r="E53" s="1"/>
      <c r="F53" s="11"/>
      <c r="G53" s="82">
        <v>0</v>
      </c>
      <c r="H53" s="56">
        <v>7.5</v>
      </c>
      <c r="I53" s="86">
        <f t="shared" si="22"/>
        <v>0</v>
      </c>
      <c r="J53" s="86">
        <f t="shared" si="22"/>
        <v>0</v>
      </c>
      <c r="K53" s="86">
        <f t="shared" si="22"/>
        <v>0</v>
      </c>
      <c r="L53" s="86">
        <f t="shared" si="22"/>
        <v>0</v>
      </c>
      <c r="M53" s="86">
        <f t="shared" si="22"/>
        <v>0</v>
      </c>
      <c r="N53" s="86">
        <f t="shared" si="22"/>
        <v>0</v>
      </c>
      <c r="O53" s="86">
        <f t="shared" si="22"/>
        <v>0</v>
      </c>
      <c r="P53" s="86">
        <f t="shared" si="22"/>
        <v>0</v>
      </c>
      <c r="Q53" s="86">
        <f t="shared" si="22"/>
        <v>0</v>
      </c>
      <c r="R53" s="86">
        <f t="shared" si="22"/>
        <v>0</v>
      </c>
      <c r="S53" s="86">
        <f t="shared" si="22"/>
        <v>0</v>
      </c>
      <c r="T53" s="86">
        <f t="shared" si="22"/>
        <v>0</v>
      </c>
      <c r="U53" s="86">
        <f t="shared" si="22"/>
        <v>0</v>
      </c>
      <c r="V53" s="86">
        <f t="shared" si="22"/>
        <v>0</v>
      </c>
      <c r="W53" s="89"/>
      <c r="X53" s="90"/>
      <c r="Y53" s="1"/>
      <c r="Z53" s="11"/>
      <c r="AA53" s="82">
        <v>0</v>
      </c>
      <c r="AB53" s="56">
        <v>7.5</v>
      </c>
      <c r="AC53" s="86">
        <f t="shared" si="23"/>
        <v>0</v>
      </c>
      <c r="AD53" s="86">
        <f t="shared" ref="AD53:AP53" si="36">IF(AD32&gt;0, IF(TYPE($G$35)=1, $G$35 * ((AD32^(-1/($G$35*($H53-AD$38))))-1), -(LN(AD32)/($H53-AD$38))), 0)</f>
        <v>0</v>
      </c>
      <c r="AE53" s="86">
        <f t="shared" si="36"/>
        <v>0</v>
      </c>
      <c r="AF53" s="86">
        <f t="shared" si="36"/>
        <v>0</v>
      </c>
      <c r="AG53" s="86">
        <f t="shared" si="36"/>
        <v>0</v>
      </c>
      <c r="AH53" s="86">
        <f t="shared" si="36"/>
        <v>0</v>
      </c>
      <c r="AI53" s="86">
        <f t="shared" si="36"/>
        <v>0</v>
      </c>
      <c r="AJ53" s="86">
        <f t="shared" si="36"/>
        <v>0</v>
      </c>
      <c r="AK53" s="86">
        <f t="shared" si="36"/>
        <v>0</v>
      </c>
      <c r="AL53" s="86">
        <f t="shared" si="36"/>
        <v>0</v>
      </c>
      <c r="AM53" s="86">
        <f t="shared" si="36"/>
        <v>0</v>
      </c>
      <c r="AN53" s="86">
        <f t="shared" si="36"/>
        <v>0</v>
      </c>
      <c r="AO53" s="86">
        <f t="shared" si="36"/>
        <v>0</v>
      </c>
      <c r="AP53" s="86">
        <f t="shared" si="36"/>
        <v>0</v>
      </c>
      <c r="AQ53" s="89"/>
      <c r="AR53" s="90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5.75" thickBot="1" x14ac:dyDescent="0.3">
      <c r="A54" s="1"/>
      <c r="B54" s="1"/>
      <c r="C54" s="1"/>
      <c r="D54" s="1"/>
      <c r="E54" s="1"/>
      <c r="F54" s="13"/>
      <c r="G54" s="85">
        <v>0</v>
      </c>
      <c r="H54" s="59">
        <v>8</v>
      </c>
      <c r="I54" s="87">
        <f t="shared" si="22"/>
        <v>0</v>
      </c>
      <c r="J54" s="87">
        <f t="shared" si="22"/>
        <v>0</v>
      </c>
      <c r="K54" s="87">
        <f t="shared" si="22"/>
        <v>0</v>
      </c>
      <c r="L54" s="87">
        <f t="shared" si="22"/>
        <v>0</v>
      </c>
      <c r="M54" s="87">
        <f t="shared" si="22"/>
        <v>0</v>
      </c>
      <c r="N54" s="87">
        <f t="shared" si="22"/>
        <v>0</v>
      </c>
      <c r="O54" s="87">
        <f t="shared" si="22"/>
        <v>0</v>
      </c>
      <c r="P54" s="87">
        <f t="shared" si="22"/>
        <v>0</v>
      </c>
      <c r="Q54" s="87">
        <f t="shared" si="22"/>
        <v>0</v>
      </c>
      <c r="R54" s="87">
        <f t="shared" si="22"/>
        <v>0</v>
      </c>
      <c r="S54" s="87">
        <f t="shared" si="22"/>
        <v>0</v>
      </c>
      <c r="T54" s="87">
        <f t="shared" si="22"/>
        <v>0</v>
      </c>
      <c r="U54" s="87">
        <f t="shared" si="22"/>
        <v>0</v>
      </c>
      <c r="V54" s="87">
        <f t="shared" si="22"/>
        <v>0</v>
      </c>
      <c r="W54" s="87">
        <f t="shared" si="22"/>
        <v>0</v>
      </c>
      <c r="X54" s="91"/>
      <c r="Y54" s="1"/>
      <c r="Z54" s="13"/>
      <c r="AA54" s="85">
        <v>0</v>
      </c>
      <c r="AB54" s="59">
        <v>8</v>
      </c>
      <c r="AC54" s="87">
        <f t="shared" si="23"/>
        <v>0</v>
      </c>
      <c r="AD54" s="87">
        <f t="shared" ref="AD54:AQ54" si="37">IF(AD33&gt;0, IF(TYPE($G$35)=1, $G$35 * ((AD33^(-1/($G$35*($H54-AD$38))))-1), -(LN(AD33)/($H54-AD$38))), 0)</f>
        <v>0</v>
      </c>
      <c r="AE54" s="87">
        <f t="shared" si="37"/>
        <v>0</v>
      </c>
      <c r="AF54" s="87">
        <f t="shared" si="37"/>
        <v>0</v>
      </c>
      <c r="AG54" s="87">
        <f t="shared" si="37"/>
        <v>0</v>
      </c>
      <c r="AH54" s="87">
        <f t="shared" si="37"/>
        <v>0</v>
      </c>
      <c r="AI54" s="87">
        <f t="shared" si="37"/>
        <v>0</v>
      </c>
      <c r="AJ54" s="87">
        <f t="shared" si="37"/>
        <v>0</v>
      </c>
      <c r="AK54" s="87">
        <f t="shared" si="37"/>
        <v>0</v>
      </c>
      <c r="AL54" s="87">
        <f t="shared" si="37"/>
        <v>0</v>
      </c>
      <c r="AM54" s="87">
        <f t="shared" si="37"/>
        <v>0</v>
      </c>
      <c r="AN54" s="87">
        <f t="shared" si="37"/>
        <v>0</v>
      </c>
      <c r="AO54" s="87">
        <f t="shared" si="37"/>
        <v>0</v>
      </c>
      <c r="AP54" s="87">
        <f t="shared" si="37"/>
        <v>0</v>
      </c>
      <c r="AQ54" s="87">
        <f t="shared" si="37"/>
        <v>0</v>
      </c>
      <c r="AR54" s="9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1"/>
      <c r="B57" s="1"/>
      <c r="C57" s="1"/>
      <c r="D57" s="1"/>
      <c r="E57" s="1"/>
      <c r="F57" s="1" t="s">
        <v>107</v>
      </c>
      <c r="G57" s="1"/>
      <c r="H57" s="1"/>
      <c r="I57" s="1"/>
      <c r="J57" s="1"/>
      <c r="K57" s="1"/>
      <c r="L57" s="7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</sheetData>
  <mergeCells count="3">
    <mergeCell ref="B2:F2"/>
    <mergeCell ref="B4:G4"/>
    <mergeCell ref="H12:J12"/>
  </mergeCells>
  <conditionalFormatting sqref="H54 X54 AB54 AR54">
    <cfRule type="expression" dxfId="6" priority="16">
      <formula>AND(#REF!=$D$14+$D$9, I$17=$D$13+$D$9)</formula>
    </cfRule>
  </conditionalFormatting>
  <conditionalFormatting sqref="H9:W9">
    <cfRule type="expression" dxfId="5" priority="13">
      <formula>H7&lt;=$D$10</formula>
    </cfRule>
    <cfRule type="expression" dxfId="4" priority="14">
      <formula>H7&gt;$D$10</formula>
    </cfRule>
  </conditionalFormatting>
  <conditionalFormatting sqref="H13:W13">
    <cfRule type="expression" dxfId="3" priority="7">
      <formula>H7&gt;$D$10</formula>
    </cfRule>
    <cfRule type="expression" dxfId="2" priority="8">
      <formula>H7&gt;$D$10</formula>
    </cfRule>
    <cfRule type="expression" dxfId="1" priority="9">
      <formula>H7&lt;=$D$10</formula>
    </cfRule>
  </conditionalFormatting>
  <conditionalFormatting sqref="H17:X33 AB17:AR33 H38:X40 AB38:AR40 H41:H53 J41:X53 AB41:AB53 AD41:AR53 I41:I54 AC41:AC54 J54:W54 AD54:AQ54">
    <cfRule type="expression" dxfId="0" priority="5">
      <formula>AND($H18=$D$14+$D$9, I$17=$D$13+$D$9)</formula>
    </cfRule>
  </conditionalFormatting>
  <dataValidations count="2">
    <dataValidation type="list" allowBlank="1" showInputMessage="1" showErrorMessage="1" sqref="D8" xr:uid="{57D9E43E-CAFA-4567-829C-DB82094D361F}">
      <formula1>"1,2,4,Continuous"</formula1>
    </dataValidation>
    <dataValidation type="list" allowBlank="1" showInputMessage="1" showErrorMessage="1" sqref="G35" xr:uid="{673D0594-5A3D-45A1-B09C-2B3B074BA315}">
      <formula1>"1,2,4,Cont"</formula1>
    </dataValidation>
  </dataValidations>
  <hyperlinks>
    <hyperlink ref="H12" location="'Rate and discount'!B27" display="'Rate and discount'!B27" xr:uid="{1C07979D-7CAF-4D4D-B8CB-2613EEFEC66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C71-7651-4F22-A366-DE6BA7564E1A}">
  <sheetPr codeName="Sheet6"/>
  <dimension ref="A1:AP72"/>
  <sheetViews>
    <sheetView workbookViewId="0">
      <selection activeCell="F23" sqref="F23:G23"/>
    </sheetView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thickBot="1" x14ac:dyDescent="0.35">
      <c r="A2" s="1"/>
      <c r="B2" s="133" t="s">
        <v>108</v>
      </c>
      <c r="C2" s="133"/>
      <c r="D2" s="1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thickTop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8" thickBot="1" x14ac:dyDescent="0.35">
      <c r="A4" s="1"/>
      <c r="B4" s="125" t="s">
        <v>109</v>
      </c>
      <c r="C4" s="125"/>
      <c r="D4" s="125"/>
      <c r="E4" s="125"/>
      <c r="F4" s="125"/>
      <c r="G4" s="1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thickTop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thickBot="1" x14ac:dyDescent="0.3">
      <c r="A6" s="1"/>
      <c r="B6" s="95" t="s">
        <v>3</v>
      </c>
      <c r="C6" s="95"/>
      <c r="D6" s="95"/>
      <c r="E6" s="95"/>
      <c r="F6" s="95" t="s">
        <v>15</v>
      </c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96" t="s">
        <v>19</v>
      </c>
      <c r="C7" s="97" t="s">
        <v>5</v>
      </c>
      <c r="D7" s="98">
        <f>1000000</f>
        <v>1000000</v>
      </c>
      <c r="E7" s="95"/>
      <c r="F7" s="96" t="s">
        <v>21</v>
      </c>
      <c r="G7" s="97">
        <v>0</v>
      </c>
      <c r="H7" s="97">
        <v>1</v>
      </c>
      <c r="I7" s="97">
        <v>2</v>
      </c>
      <c r="J7" s="97">
        <v>3</v>
      </c>
      <c r="K7" s="97">
        <v>4</v>
      </c>
      <c r="L7" s="97">
        <v>5</v>
      </c>
      <c r="M7" s="97">
        <v>6</v>
      </c>
      <c r="N7" s="97">
        <v>7</v>
      </c>
      <c r="O7" s="97">
        <v>8</v>
      </c>
      <c r="P7" s="97">
        <v>9</v>
      </c>
      <c r="Q7" s="97">
        <v>10</v>
      </c>
      <c r="R7" s="97">
        <v>11</v>
      </c>
      <c r="S7" s="97">
        <v>12</v>
      </c>
      <c r="T7" s="97">
        <v>13</v>
      </c>
      <c r="U7" s="97">
        <v>14</v>
      </c>
      <c r="V7" s="97">
        <v>15</v>
      </c>
      <c r="W7" s="98">
        <v>16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99" t="s">
        <v>8</v>
      </c>
      <c r="C8" s="95" t="s">
        <v>9</v>
      </c>
      <c r="D8" s="100">
        <v>2</v>
      </c>
      <c r="E8" s="95"/>
      <c r="F8" s="99" t="s">
        <v>22</v>
      </c>
      <c r="G8" s="95"/>
      <c r="H8" s="95" cm="1">
        <f t="array" ref="H8">IF(TYPE($D$9)=1, $D$9*H7, Cont)</f>
        <v>0.5</v>
      </c>
      <c r="I8" s="95" cm="1">
        <f t="array" ref="I8">IF(TYPE($D$9)=1, $D$9*I7, Cont)</f>
        <v>1</v>
      </c>
      <c r="J8" s="95" cm="1">
        <f t="array" ref="J8">IF(TYPE($D$9)=1, $D$9*J7, Cont)</f>
        <v>1.5</v>
      </c>
      <c r="K8" s="95" cm="1">
        <f t="array" ref="K8">IF(TYPE($D$9)=1, $D$9*K7, Cont)</f>
        <v>2</v>
      </c>
      <c r="L8" s="95" cm="1">
        <f t="array" ref="L8">IF(TYPE($D$9)=1, $D$9*L7, Cont)</f>
        <v>2.5</v>
      </c>
      <c r="M8" s="95" cm="1">
        <f t="array" ref="M8">IF(TYPE($D$9)=1, $D$9*M7, Cont)</f>
        <v>3</v>
      </c>
      <c r="N8" s="95" cm="1">
        <f t="array" ref="N8">IF(TYPE($D$9)=1, $D$9*N7, Cont)</f>
        <v>3.5</v>
      </c>
      <c r="O8" s="95" cm="1">
        <f t="array" ref="O8">IF(TYPE($D$9)=1, $D$9*O7, Cont)</f>
        <v>4</v>
      </c>
      <c r="P8" s="95" cm="1">
        <f t="array" ref="P8">IF(TYPE($D$9)=1, $D$9*P7, Cont)</f>
        <v>4.5</v>
      </c>
      <c r="Q8" s="95" cm="1">
        <f t="array" ref="Q8">IF(TYPE($D$9)=1, $D$9*Q7, Cont)</f>
        <v>5</v>
      </c>
      <c r="R8" s="95" cm="1">
        <f t="array" ref="R8">IF(TYPE($D$9)=1, $D$9*R7, Cont)</f>
        <v>5.5</v>
      </c>
      <c r="S8" s="95" cm="1">
        <f t="array" ref="S8">IF(TYPE($D$9)=1, $D$9*S7, Cont)</f>
        <v>6</v>
      </c>
      <c r="T8" s="95" cm="1">
        <f t="array" ref="T8">IF(TYPE($D$9)=1, $D$9*T7, Cont)</f>
        <v>6.5</v>
      </c>
      <c r="U8" s="95" cm="1">
        <f t="array" ref="U8">IF(TYPE($D$9)=1, $D$9*U7, Cont)</f>
        <v>7</v>
      </c>
      <c r="V8" s="95" cm="1">
        <f t="array" ref="V8">IF(TYPE($D$9)=1, $D$9*V7, Cont)</f>
        <v>7.5</v>
      </c>
      <c r="W8" s="101" cm="1">
        <f t="array" ref="W8">IF(TYPE($D$9)=1, $D$9*W7, Cont)</f>
        <v>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thickBot="1" x14ac:dyDescent="0.3">
      <c r="A9" s="1"/>
      <c r="B9" s="99" t="s">
        <v>20</v>
      </c>
      <c r="C9" s="102" t="s">
        <v>11</v>
      </c>
      <c r="D9" s="101">
        <f>1/D8</f>
        <v>0.5</v>
      </c>
      <c r="E9" s="95"/>
      <c r="F9" s="103" t="s">
        <v>93</v>
      </c>
      <c r="G9" s="104">
        <v>1</v>
      </c>
      <c r="H9" s="104">
        <v>0.97970000000000002</v>
      </c>
      <c r="I9" s="104">
        <v>0.95789999999999997</v>
      </c>
      <c r="J9" s="104">
        <v>0.93679999999999997</v>
      </c>
      <c r="K9" s="104">
        <v>0.92969999999999997</v>
      </c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5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5.75" thickBot="1" x14ac:dyDescent="0.3">
      <c r="A10" s="1"/>
      <c r="B10" s="103" t="s">
        <v>62</v>
      </c>
      <c r="C10" s="104"/>
      <c r="D10" s="105">
        <v>4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8" thickBot="1" x14ac:dyDescent="0.35">
      <c r="A16" s="1"/>
      <c r="B16" s="125" t="s">
        <v>110</v>
      </c>
      <c r="C16" s="125"/>
      <c r="D16" s="125"/>
      <c r="E16" s="125"/>
      <c r="F16" s="125"/>
      <c r="G16" s="1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5.75" thickBot="1" x14ac:dyDescent="0.3">
      <c r="A18" s="1"/>
      <c r="B18" s="1" t="s">
        <v>3</v>
      </c>
      <c r="C18" s="1"/>
      <c r="D18" s="1"/>
      <c r="E18" s="1"/>
      <c r="F18" s="1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8" t="s">
        <v>19</v>
      </c>
      <c r="C19" s="9" t="s">
        <v>5</v>
      </c>
      <c r="D19" s="24">
        <f>1000000</f>
        <v>1000000</v>
      </c>
      <c r="E19" s="1"/>
      <c r="F19" s="8" t="s">
        <v>21</v>
      </c>
      <c r="G19" s="9">
        <v>0</v>
      </c>
      <c r="H19" s="9">
        <v>1</v>
      </c>
      <c r="I19" s="9">
        <v>2</v>
      </c>
      <c r="J19" s="9">
        <v>3</v>
      </c>
      <c r="K19" s="9">
        <v>4</v>
      </c>
      <c r="L19" s="9">
        <v>5</v>
      </c>
      <c r="M19" s="9">
        <v>6</v>
      </c>
      <c r="N19" s="9">
        <v>7</v>
      </c>
      <c r="O19" s="9">
        <v>8</v>
      </c>
      <c r="P19" s="9">
        <v>9</v>
      </c>
      <c r="Q19" s="9">
        <v>10</v>
      </c>
      <c r="R19" s="9">
        <v>11</v>
      </c>
      <c r="S19" s="9">
        <v>12</v>
      </c>
      <c r="T19" s="9">
        <v>13</v>
      </c>
      <c r="U19" s="9">
        <v>14</v>
      </c>
      <c r="V19" s="9">
        <v>15</v>
      </c>
      <c r="W19" s="10">
        <v>16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1" t="s">
        <v>8</v>
      </c>
      <c r="C20" s="1" t="s">
        <v>9</v>
      </c>
      <c r="D20" s="26">
        <v>2</v>
      </c>
      <c r="E20" s="1"/>
      <c r="F20" s="11" t="s">
        <v>22</v>
      </c>
      <c r="G20" s="1"/>
      <c r="H20" s="1" cm="1">
        <f t="array" ref="H20">IF(TYPE($D$9)=1, $D$9*H19, Cont)</f>
        <v>0.5</v>
      </c>
      <c r="I20" s="1" cm="1">
        <f t="array" ref="I20">IF(TYPE($D$9)=1, $D$9*I19, Cont)</f>
        <v>1</v>
      </c>
      <c r="J20" s="1" cm="1">
        <f t="array" ref="J20">IF(TYPE($D$9)=1, $D$9*J19, Cont)</f>
        <v>1.5</v>
      </c>
      <c r="K20" s="1" cm="1">
        <f t="array" ref="K20">IF(TYPE($D$9)=1, $D$9*K19, Cont)</f>
        <v>2</v>
      </c>
      <c r="L20" s="1" cm="1">
        <f t="array" ref="L20">IF(TYPE($D$9)=1, $D$9*L19, Cont)</f>
        <v>2.5</v>
      </c>
      <c r="M20" s="1" cm="1">
        <f t="array" ref="M20">IF(TYPE($D$9)=1, $D$9*M19, Cont)</f>
        <v>3</v>
      </c>
      <c r="N20" s="1" cm="1">
        <f t="array" ref="N20">IF(TYPE($D$9)=1, $D$9*N19, Cont)</f>
        <v>3.5</v>
      </c>
      <c r="O20" s="1" cm="1">
        <f t="array" ref="O20">IF(TYPE($D$9)=1, $D$9*O19, Cont)</f>
        <v>4</v>
      </c>
      <c r="P20" s="1" cm="1">
        <f t="array" ref="P20">IF(TYPE($D$9)=1, $D$9*P19, Cont)</f>
        <v>4.5</v>
      </c>
      <c r="Q20" s="1" cm="1">
        <f t="array" ref="Q20">IF(TYPE($D$9)=1, $D$9*Q19, Cont)</f>
        <v>5</v>
      </c>
      <c r="R20" s="1" cm="1">
        <f t="array" ref="R20">IF(TYPE($D$9)=1, $D$9*R19, Cont)</f>
        <v>5.5</v>
      </c>
      <c r="S20" s="1" cm="1">
        <f t="array" ref="S20">IF(TYPE($D$9)=1, $D$9*S19, Cont)</f>
        <v>6</v>
      </c>
      <c r="T20" s="1" cm="1">
        <f t="array" ref="T20">IF(TYPE($D$9)=1, $D$9*T19, Cont)</f>
        <v>6.5</v>
      </c>
      <c r="U20" s="1" cm="1">
        <f t="array" ref="U20">IF(TYPE($D$9)=1, $D$9*U19, Cont)</f>
        <v>7</v>
      </c>
      <c r="V20" s="1" cm="1">
        <f t="array" ref="V20">IF(TYPE($D$9)=1, $D$9*V19, Cont)</f>
        <v>7.5</v>
      </c>
      <c r="W20" s="12" cm="1">
        <f t="array" ref="W20">IF(TYPE($D$9)=1, $D$9*W19, Cont)</f>
        <v>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5.75" thickBot="1" x14ac:dyDescent="0.3">
      <c r="A21" s="1"/>
      <c r="B21" s="11" t="s">
        <v>20</v>
      </c>
      <c r="C21" s="15" t="s">
        <v>11</v>
      </c>
      <c r="D21" s="6">
        <f>1/D20</f>
        <v>0.5</v>
      </c>
      <c r="E21" s="1"/>
      <c r="F21" s="13" t="s">
        <v>111</v>
      </c>
      <c r="G21" s="14">
        <v>1</v>
      </c>
      <c r="H21" s="107">
        <v>1.8700000000000001E-2</v>
      </c>
      <c r="I21" s="107">
        <v>2.12E-2</v>
      </c>
      <c r="J21" s="107">
        <v>2.8299999999999999E-2</v>
      </c>
      <c r="K21" s="107">
        <v>3.0099999999999998E-2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8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1" t="s">
        <v>86</v>
      </c>
      <c r="C22" s="1"/>
      <c r="D22" s="106">
        <v>1.8700000000000001E-2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5.75" thickBot="1" x14ac:dyDescent="0.3">
      <c r="A23" s="1"/>
      <c r="B23" s="13" t="s">
        <v>62</v>
      </c>
      <c r="C23" s="14"/>
      <c r="D23" s="28">
        <v>5</v>
      </c>
      <c r="E23" s="1"/>
      <c r="F23" s="1" t="s">
        <v>112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</sheetData>
  <mergeCells count="3">
    <mergeCell ref="B2:D2"/>
    <mergeCell ref="B4:G4"/>
    <mergeCell ref="B16:G16"/>
  </mergeCells>
  <dataValidations count="1">
    <dataValidation type="list" allowBlank="1" showInputMessage="1" showErrorMessage="1" sqref="D8 D20" xr:uid="{112A16B4-7C58-457E-ADDA-041887944BF0}">
      <formula1>"1,2,4,Continuous"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</vt:lpstr>
      <vt:lpstr>Rate and discount</vt:lpstr>
      <vt:lpstr>Bond pricing</vt:lpstr>
      <vt:lpstr>Forwards on bonds</vt:lpstr>
      <vt:lpstr>FRA - Forward Rate Agreement</vt:lpstr>
      <vt:lpstr>IRS - Interest Rate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Duquenne</dc:creator>
  <cp:lastModifiedBy>Andreas Duquenne</cp:lastModifiedBy>
  <dcterms:created xsi:type="dcterms:W3CDTF">2024-06-20T20:22:33Z</dcterms:created>
  <dcterms:modified xsi:type="dcterms:W3CDTF">2024-07-03T13:38:04Z</dcterms:modified>
</cp:coreProperties>
</file>