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ЭтаКнига" defaultThemeVersion="124226"/>
  <bookViews>
    <workbookView xWindow="2580" yWindow="390" windowWidth="14415" windowHeight="11295"/>
  </bookViews>
  <sheets>
    <sheet name="Calculations" sheetId="2" r:id="rId1"/>
    <sheet name="Battle" sheetId="5" r:id="rId2"/>
    <sheet name="Coeff." sheetId="3" r:id="rId3"/>
    <sheet name="Advanced" sheetId="4" r:id="rId4"/>
  </sheets>
  <definedNames>
    <definedName name="test">Calculations!$A$13,Calculations!$K$13,Calculations!$A$18,Calculations!$K$18,Calculations!$A$19,Calculations!$K$19,Calculations!$A$20,Calculations!$K$20,Calculations!$A$21,Calculations!$K$21,Calculations!$A$22,Calculations!$K$22</definedName>
    <definedName name="test2">Calculations!$K$13,Calculations!$K$18:$K$22</definedName>
  </definedNames>
  <calcPr calcId="145621"/>
</workbook>
</file>

<file path=xl/calcChain.xml><?xml version="1.0" encoding="utf-8"?>
<calcChain xmlns="http://schemas.openxmlformats.org/spreadsheetml/2006/main">
  <c r="D33" i="2" l="1"/>
  <c r="D35" i="2" l="1"/>
  <c r="D34" i="2"/>
  <c r="E6" i="5"/>
  <c r="D13" i="2" l="1"/>
  <c r="D19" i="2" l="1"/>
  <c r="E18" i="2" l="1"/>
  <c r="D20" i="2" l="1"/>
  <c r="D21" i="2"/>
  <c r="D22" i="2"/>
  <c r="D18" i="2"/>
  <c r="B6" i="5"/>
  <c r="B7" i="5" l="1"/>
  <c r="M4" i="5" l="1"/>
  <c r="H4" i="5"/>
  <c r="E8" i="5"/>
  <c r="E7" i="5"/>
  <c r="N4" i="5" s="1"/>
  <c r="F33" i="2"/>
  <c r="O4" i="5" l="1"/>
  <c r="B8" i="5"/>
  <c r="I4" i="5"/>
  <c r="P4" i="5" l="1"/>
  <c r="S5" i="5" s="1"/>
  <c r="J4" i="5"/>
  <c r="C4" i="4"/>
  <c r="C3" i="4"/>
  <c r="M34" i="2"/>
  <c r="E33" i="2"/>
  <c r="H33" i="2"/>
  <c r="M22" i="2"/>
  <c r="N22" i="2" s="1"/>
  <c r="I22" i="2"/>
  <c r="H22" i="2"/>
  <c r="G22" i="2"/>
  <c r="E22" i="2"/>
  <c r="E21" i="2"/>
  <c r="M21" i="2"/>
  <c r="M20" i="2"/>
  <c r="O20" i="2" s="1"/>
  <c r="I20" i="2"/>
  <c r="H20" i="2"/>
  <c r="G20" i="2"/>
  <c r="F20" i="2"/>
  <c r="E20" i="2"/>
  <c r="F19" i="2"/>
  <c r="C2" i="4" s="1"/>
  <c r="H19" i="2"/>
  <c r="F18" i="2"/>
  <c r="F22" i="2"/>
  <c r="I18" i="2"/>
  <c r="F13" i="2"/>
  <c r="E13" i="2"/>
  <c r="M13" i="2" s="1"/>
  <c r="G13" i="2"/>
  <c r="E8" i="2"/>
  <c r="E5" i="2"/>
  <c r="E35" i="2" l="1"/>
  <c r="F35" i="2" s="1"/>
  <c r="R5" i="5"/>
  <c r="T5" i="5" s="1"/>
  <c r="I5" i="5"/>
  <c r="J5" i="5" s="1"/>
  <c r="O22" i="2"/>
  <c r="P22" i="2"/>
  <c r="N5" i="5"/>
  <c r="P20" i="2"/>
  <c r="N20" i="2"/>
  <c r="M18" i="2"/>
  <c r="P18" i="2" s="1"/>
  <c r="H18" i="2"/>
  <c r="M5" i="2"/>
  <c r="O21" i="2"/>
  <c r="N21" i="2"/>
  <c r="P21" i="2"/>
  <c r="G21" i="2"/>
  <c r="H21" i="2"/>
  <c r="I21" i="2"/>
  <c r="M19" i="2"/>
  <c r="G19" i="2"/>
  <c r="I19" i="2"/>
  <c r="G18" i="2"/>
  <c r="F21" i="2"/>
  <c r="C5" i="4" s="1"/>
  <c r="M8" i="2"/>
  <c r="K4" i="5"/>
  <c r="O5" i="5"/>
  <c r="H35" i="2"/>
  <c r="I35" i="2"/>
  <c r="G35" i="2"/>
  <c r="M35" i="2"/>
  <c r="E34" i="2"/>
  <c r="F34" i="2" s="1"/>
  <c r="O34" i="2"/>
  <c r="P34" i="2"/>
  <c r="N34" i="2"/>
  <c r="G34" i="2"/>
  <c r="H34" i="2"/>
  <c r="I34" i="2"/>
  <c r="H13" i="2"/>
  <c r="F5" i="2"/>
  <c r="I13" i="2"/>
  <c r="I33" i="2"/>
  <c r="M33" i="2"/>
  <c r="G33" i="2"/>
  <c r="N6" i="5" l="1"/>
  <c r="U5" i="5"/>
  <c r="M5" i="5" s="1"/>
  <c r="J22" i="2"/>
  <c r="L22" i="2" s="1"/>
  <c r="O6" i="5"/>
  <c r="J20" i="2"/>
  <c r="K20" i="2" s="1"/>
  <c r="N18" i="2"/>
  <c r="O18" i="2"/>
  <c r="J21" i="2"/>
  <c r="L21" i="2" s="1"/>
  <c r="O19" i="2"/>
  <c r="N19" i="2"/>
  <c r="P19" i="2"/>
  <c r="J13" i="2"/>
  <c r="L13" i="2" s="1"/>
  <c r="N35" i="2"/>
  <c r="P35" i="2"/>
  <c r="O35" i="2"/>
  <c r="J34" i="2"/>
  <c r="C6" i="4"/>
  <c r="P33" i="2"/>
  <c r="O33" i="2"/>
  <c r="N33" i="2"/>
  <c r="H5" i="5" l="1"/>
  <c r="K22" i="2"/>
  <c r="L20" i="2"/>
  <c r="K13" i="2"/>
  <c r="J18" i="2"/>
  <c r="L18" i="2" s="1"/>
  <c r="K21" i="2"/>
  <c r="J19" i="2"/>
  <c r="K19" i="2" s="1"/>
  <c r="B5" i="4"/>
  <c r="B6" i="4"/>
  <c r="E6" i="4" s="1"/>
  <c r="J35" i="2"/>
  <c r="L35" i="2" s="1"/>
  <c r="L34" i="2"/>
  <c r="K34" i="2"/>
  <c r="J33" i="2"/>
  <c r="F3" i="4" l="1"/>
  <c r="L33" i="2"/>
  <c r="K33" i="2"/>
  <c r="B2" i="4"/>
  <c r="D2" i="4" s="1"/>
  <c r="K18" i="2"/>
  <c r="F2" i="4" s="1"/>
  <c r="B3" i="4"/>
  <c r="E3" i="4" s="1"/>
  <c r="L19" i="2"/>
  <c r="B4" i="4"/>
  <c r="D6" i="4"/>
  <c r="E5" i="4"/>
  <c r="D5" i="4"/>
  <c r="K35" i="2"/>
  <c r="E2" i="4" l="1"/>
  <c r="D3" i="4"/>
  <c r="E4" i="4"/>
  <c r="D4" i="4"/>
  <c r="J24" i="2" l="1"/>
  <c r="A24" i="2"/>
  <c r="B24" i="2"/>
  <c r="F24" i="2"/>
  <c r="L24" i="2"/>
  <c r="K24" i="2" l="1"/>
  <c r="K2" i="2" s="1"/>
  <c r="K5" i="5"/>
  <c r="P5" i="5"/>
  <c r="S6" i="5" l="1"/>
  <c r="R6" i="5"/>
  <c r="U6" i="5" s="1"/>
  <c r="I6" i="5" l="1"/>
  <c r="J6" i="5" s="1"/>
  <c r="T6" i="5"/>
  <c r="H6" i="5" s="1"/>
  <c r="O7" i="5" l="1"/>
  <c r="N7" i="5"/>
  <c r="M6" i="5"/>
  <c r="K6" i="5" s="1"/>
  <c r="P6" i="5" l="1"/>
  <c r="S7" i="5" l="1"/>
  <c r="R7" i="5"/>
  <c r="T7" i="5" s="1"/>
  <c r="I7" i="5" l="1"/>
  <c r="J7" i="5" s="1"/>
  <c r="U7" i="5"/>
  <c r="H7" i="5" s="1"/>
  <c r="O8" i="5" l="1"/>
  <c r="N8" i="5"/>
  <c r="M7" i="5"/>
  <c r="P7" i="5" s="1"/>
  <c r="S8" i="5" s="1"/>
  <c r="I8" i="5" l="1"/>
  <c r="R8" i="5"/>
  <c r="T8" i="5" s="1"/>
  <c r="K7" i="5"/>
  <c r="J8" i="5" l="1"/>
  <c r="U8" i="5"/>
  <c r="H8" i="5" s="1"/>
  <c r="O9" i="5" l="1"/>
  <c r="N9" i="5"/>
  <c r="M8" i="5"/>
  <c r="P8" i="5" s="1"/>
  <c r="S9" i="5" s="1"/>
  <c r="I9" i="5" l="1"/>
  <c r="K8" i="5"/>
  <c r="R9" i="5"/>
  <c r="T9" i="5" s="1"/>
  <c r="U9" i="5" l="1"/>
  <c r="H9" i="5" s="1"/>
  <c r="M9" i="5" l="1"/>
</calcChain>
</file>

<file path=xl/sharedStrings.xml><?xml version="1.0" encoding="utf-8"?>
<sst xmlns="http://schemas.openxmlformats.org/spreadsheetml/2006/main" count="135" uniqueCount="66">
  <si>
    <t>---&gt;</t>
  </si>
  <si>
    <t>Инженеры</t>
  </si>
  <si>
    <t>VS</t>
  </si>
  <si>
    <t>Армия атаки</t>
  </si>
  <si>
    <t>Бонус атаки</t>
  </si>
  <si>
    <t>Бонус обороны</t>
  </si>
  <si>
    <t>Оставшиеся бонусы</t>
  </si>
  <si>
    <t>1. Лучники</t>
  </si>
  <si>
    <t>3. требушеты</t>
  </si>
  <si>
    <t>Next building to upgrade:</t>
  </si>
  <si>
    <t>Food reserve</t>
  </si>
  <si>
    <t>Town hall</t>
  </si>
  <si>
    <t>Storage</t>
  </si>
  <si>
    <t>Houses</t>
  </si>
  <si>
    <t>Farm</t>
  </si>
  <si>
    <t>Sawmill</t>
  </si>
  <si>
    <t>Mine</t>
  </si>
  <si>
    <t>Wall</t>
  </si>
  <si>
    <t>Barracks</t>
  </si>
  <si>
    <t>Trebuchet</t>
  </si>
  <si>
    <t>Level</t>
  </si>
  <si>
    <t>Income per minute</t>
  </si>
  <si>
    <t>Capacity</t>
  </si>
  <si>
    <t>Gold</t>
  </si>
  <si>
    <t>Wood</t>
  </si>
  <si>
    <t>Stone</t>
  </si>
  <si>
    <t>Time to upgrade</t>
  </si>
  <si>
    <t>Houses + Town hall</t>
  </si>
  <si>
    <t>Houses + Farm</t>
  </si>
  <si>
    <t>Storage + Houses + Farm</t>
  </si>
  <si>
    <t>Storage + Sawmill + Mine</t>
  </si>
  <si>
    <t>Storage + Sawmill + Mine + Farm</t>
  </si>
  <si>
    <t>Building</t>
  </si>
  <si>
    <t>Simultaneous upgrade</t>
  </si>
  <si>
    <t>Resources need</t>
  </si>
  <si>
    <t>Stor. upgrade resources need</t>
  </si>
  <si>
    <t>Income growth after upgrade</t>
  </si>
  <si>
    <t>Required storage level</t>
  </si>
  <si>
    <t>Pay-Back Period of upgrade</t>
  </si>
  <si>
    <t>Food consumpt. per minute</t>
  </si>
  <si>
    <t>Time to fill</t>
  </si>
  <si>
    <t>Full food storage consuption time</t>
  </si>
  <si>
    <t>Time to fill
storage</t>
  </si>
  <si>
    <t>Attack</t>
  </si>
  <si>
    <t>Defense</t>
  </si>
  <si>
    <t>Army</t>
  </si>
  <si>
    <t>Archers</t>
  </si>
  <si>
    <t>Round</t>
  </si>
  <si>
    <t>RESULT</t>
  </si>
  <si>
    <t>Bonus</t>
  </si>
  <si>
    <t>Reserve time in hrs</t>
  </si>
  <si>
    <t>Required food reserve for specified time</t>
  </si>
  <si>
    <t>Durability</t>
  </si>
  <si>
    <t>Workers</t>
  </si>
  <si>
    <t>Wall durability</t>
  </si>
  <si>
    <t>Trebuchet attack</t>
  </si>
  <si>
    <t>Equivalent army</t>
  </si>
  <si>
    <t>Equiv. army growth after upgrade</t>
  </si>
  <si>
    <t>Virtual soldier cost</t>
  </si>
  <si>
    <t>Equiv. upgrade cost</t>
  </si>
  <si>
    <t>3. Equiv. upgrade cost considering the storage upgrade cost</t>
  </si>
  <si>
    <t>1. Equivalent army for the wall is for defensing without taking trebuchet of attacker</t>
  </si>
  <si>
    <t>2. Equivalent army for the trebuchet is for attacking without taking wall of defenser</t>
  </si>
  <si>
    <t>2. Income for farms considering остатков of the consuption by people and selling price 50 gold for 100 units, and buying price 200 gold for 100 units in the case of lack of production</t>
  </si>
  <si>
    <t>1. Income for sawmills/mines considering buying price 200 gold for 100 units, and selling price 50 gold for 100 units in the case of overproduction</t>
  </si>
  <si>
    <t>v1.0412a-en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</si>
</sst>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quot;ч&quot;\ m&quot;мин&quot;"/>
    <numFmt numFmtId="165" formatCode="[=9999]&quot;∞&quot;;[h]&quot;ч&quot;\ m&quot;мин&quot;"/>
    <numFmt numFmtId="166" formatCode="[=9999]&quot;∞&quot;;[h]&quot;h&quot;\ m&quot;min&quot;"/>
    <numFmt numFmtId="167" formatCode="[h]&quot;h&quot;\ m&quot;min&quot;"/>
  </numFmts>
  <fonts count="8" x14ac:knownFonts="1">
    <font>
      <sz val="11"/>
      <color theme="1"/>
      <name val="Calibri"/>
      <family val="2"/>
      <scheme val="minor"/>
    </font>
    <font>
      <sz val="11"/>
      <color theme="1"/>
      <name val="Calibri"/>
      <family val="2"/>
      <charset val="204"/>
      <scheme val="minor"/>
    </font>
    <font>
      <sz val="11"/>
      <name val="Calibri"/>
      <family val="2"/>
      <scheme val="minor"/>
    </font>
    <font>
      <b/>
      <sz val="11"/>
      <color theme="1"/>
      <name val="Calibri"/>
      <family val="2"/>
      <charset val="204"/>
      <scheme val="minor"/>
    </font>
    <font>
      <b/>
      <sz val="14"/>
      <color theme="1"/>
      <name val="Calibri"/>
      <family val="2"/>
      <charset val="204"/>
      <scheme val="minor"/>
    </font>
    <font>
      <sz val="20"/>
      <color theme="1"/>
      <name val="Calibri"/>
      <family val="2"/>
      <scheme val="minor"/>
    </font>
    <font>
      <sz val="11"/>
      <color theme="0"/>
      <name val="Calibri"/>
      <family val="2"/>
      <scheme val="minor"/>
    </font>
    <font>
      <sz val="8"/>
      <color rgb="FF000000"/>
      <name val="Tahoma"/>
      <family val="2"/>
      <charset val="204"/>
    </font>
  </fonts>
  <fills count="8">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C000"/>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4">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2" xfId="0" applyBorder="1"/>
    <xf numFmtId="2" fontId="0" fillId="0" borderId="0" xfId="0" applyNumberFormat="1"/>
    <xf numFmtId="0" fontId="0" fillId="0" borderId="0" xfId="0" applyAlignment="1">
      <alignment horizontal="center" vertical="center"/>
    </xf>
    <xf numFmtId="2" fontId="0" fillId="0" borderId="2" xfId="0" applyNumberFormat="1" applyBorder="1"/>
    <xf numFmtId="0" fontId="0" fillId="3" borderId="1" xfId="0" applyFill="1" applyBorder="1" applyAlignment="1">
      <alignment horizont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center"/>
    </xf>
    <xf numFmtId="0" fontId="2" fillId="2" borderId="3" xfId="0" applyFont="1" applyFill="1" applyBorder="1" applyAlignment="1">
      <alignment horizontal="center"/>
    </xf>
    <xf numFmtId="0" fontId="4" fillId="4" borderId="3"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2" xfId="0" applyFont="1" applyFill="1" applyBorder="1" applyAlignment="1">
      <alignment horizontal="center" vertical="center"/>
    </xf>
    <xf numFmtId="0" fontId="5" fillId="0" borderId="0" xfId="0" applyFont="1" applyAlignment="1">
      <alignment horizontal="left" vertical="center"/>
    </xf>
    <xf numFmtId="165" fontId="0" fillId="0" borderId="0" xfId="0" applyNumberFormat="1" applyAlignment="1">
      <alignment horizontal="center" vertical="center"/>
    </xf>
    <xf numFmtId="164" fontId="0" fillId="0" borderId="0" xfId="0" applyNumberFormat="1" applyAlignment="1">
      <alignment horizontal="center"/>
    </xf>
    <xf numFmtId="3" fontId="0" fillId="0" borderId="0" xfId="0" applyNumberFormat="1" applyAlignment="1">
      <alignment horizontal="center"/>
    </xf>
    <xf numFmtId="3" fontId="0" fillId="0" borderId="0" xfId="0" applyNumberFormat="1" applyAlignment="1">
      <alignment horizontal="center" vertical="center"/>
    </xf>
    <xf numFmtId="3" fontId="0" fillId="0" borderId="0" xfId="0" applyNumberFormat="1" applyBorder="1" applyAlignment="1">
      <alignment horizontal="center" vertical="center"/>
    </xf>
    <xf numFmtId="3" fontId="3" fillId="0" borderId="0" xfId="0" applyNumberFormat="1" applyFont="1" applyAlignment="1">
      <alignment horizontal="center"/>
    </xf>
    <xf numFmtId="3" fontId="0" fillId="0" borderId="3" xfId="0" applyNumberFormat="1" applyBorder="1" applyAlignment="1">
      <alignment horizontal="center" vertical="center"/>
    </xf>
    <xf numFmtId="0" fontId="0" fillId="0" borderId="4" xfId="0" applyBorder="1"/>
    <xf numFmtId="0" fontId="0" fillId="0" borderId="4" xfId="0" applyBorder="1" applyAlignment="1">
      <alignment horizontal="center" vertical="center"/>
    </xf>
    <xf numFmtId="3" fontId="0" fillId="0" borderId="4" xfId="0" applyNumberFormat="1" applyBorder="1" applyAlignment="1">
      <alignment horizontal="center" vertical="center"/>
    </xf>
    <xf numFmtId="3" fontId="0" fillId="0" borderId="1" xfId="0" applyNumberFormat="1" applyBorder="1" applyAlignment="1">
      <alignment horizontal="center" vertical="center" wrapText="1"/>
    </xf>
    <xf numFmtId="3" fontId="0" fillId="0" borderId="1" xfId="0" applyNumberFormat="1" applyBorder="1" applyAlignment="1">
      <alignment horizontal="center" vertical="center"/>
    </xf>
    <xf numFmtId="3" fontId="0" fillId="0" borderId="1" xfId="0" applyNumberFormat="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xf>
    <xf numFmtId="3" fontId="0" fillId="0" borderId="1" xfId="0" applyNumberFormat="1" applyBorder="1" applyAlignment="1">
      <alignment horizontal="center"/>
    </xf>
    <xf numFmtId="3" fontId="3" fillId="0" borderId="1" xfId="0" applyNumberFormat="1" applyFont="1" applyBorder="1" applyAlignment="1">
      <alignment horizontal="center" vertical="center"/>
    </xf>
    <xf numFmtId="0" fontId="0" fillId="0" borderId="5" xfId="0" applyBorder="1"/>
    <xf numFmtId="49" fontId="0" fillId="0" borderId="6" xfId="0" applyNumberFormat="1" applyFill="1" applyBorder="1" applyAlignment="1">
      <alignment horizontal="center"/>
    </xf>
    <xf numFmtId="0" fontId="3" fillId="0" borderId="1" xfId="0" applyFont="1" applyBorder="1" applyAlignment="1">
      <alignment horizontal="center" vertical="center" wrapText="1"/>
    </xf>
    <xf numFmtId="0" fontId="0" fillId="3" borderId="5" xfId="0" applyFill="1" applyBorder="1" applyAlignment="1">
      <alignment horizontal="center"/>
    </xf>
    <xf numFmtId="0" fontId="0" fillId="0" borderId="1" xfId="0" applyBorder="1" applyAlignment="1">
      <alignment horizont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vertical="top" wrapText="1"/>
    </xf>
    <xf numFmtId="0" fontId="0" fillId="0" borderId="1" xfId="0" applyBorder="1" applyAlignment="1">
      <alignment horizontal="center"/>
    </xf>
    <xf numFmtId="16" fontId="0" fillId="0" borderId="0" xfId="0" applyNumberFormat="1"/>
    <xf numFmtId="0" fontId="0" fillId="0" borderId="0" xfId="0" applyAlignment="1">
      <alignment horizontal="center"/>
    </xf>
    <xf numFmtId="0" fontId="0" fillId="0" borderId="0" xfId="0" applyAlignment="1">
      <alignment horizontal="center"/>
    </xf>
    <xf numFmtId="0" fontId="0" fillId="0" borderId="3" xfId="0" applyBorder="1" applyAlignment="1">
      <alignment horizontal="center" vertical="center"/>
    </xf>
    <xf numFmtId="0" fontId="3" fillId="6" borderId="0" xfId="0" applyFont="1" applyFill="1" applyAlignment="1">
      <alignment horizontal="center"/>
    </xf>
    <xf numFmtId="0" fontId="6" fillId="7" borderId="0" xfId="0" applyFont="1" applyFill="1"/>
    <xf numFmtId="0" fontId="0" fillId="0" borderId="0" xfId="0" applyAlignment="1">
      <alignment horizontal="center"/>
    </xf>
    <xf numFmtId="0" fontId="0" fillId="0" borderId="0" xfId="0" applyAlignment="1">
      <alignment horizontal="center"/>
    </xf>
    <xf numFmtId="166" fontId="3" fillId="0" borderId="1" xfId="0" applyNumberFormat="1" applyFont="1" applyBorder="1" applyAlignment="1">
      <alignment horizontal="center" vertical="center"/>
    </xf>
    <xf numFmtId="167" fontId="0" fillId="0" borderId="1" xfId="0" applyNumberFormat="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3" fillId="0" borderId="0" xfId="0" applyFont="1" applyAlignment="1">
      <alignment horizontal="center"/>
    </xf>
    <xf numFmtId="3" fontId="0" fillId="0" borderId="1" xfId="0" applyNumberFormat="1" applyBorder="1" applyAlignment="1">
      <alignment horizontal="center" vertical="center"/>
    </xf>
    <xf numFmtId="0" fontId="0" fillId="5" borderId="1" xfId="0" applyFill="1" applyBorder="1" applyAlignment="1">
      <alignment horizontal="center" vertical="center"/>
    </xf>
    <xf numFmtId="0" fontId="0" fillId="2" borderId="1" xfId="0" applyFill="1" applyBorder="1" applyAlignment="1">
      <alignment horizontal="center" vertical="center"/>
    </xf>
    <xf numFmtId="0" fontId="0" fillId="5" borderId="0" xfId="0" applyFill="1" applyAlignment="1">
      <alignment horizontal="center"/>
    </xf>
    <xf numFmtId="0" fontId="0" fillId="2" borderId="0" xfId="0" applyFill="1" applyAlignment="1">
      <alignment horizontal="center"/>
    </xf>
    <xf numFmtId="0" fontId="0" fillId="0" borderId="0" xfId="0" applyAlignment="1">
      <alignment horizontal="center" wrapText="1"/>
    </xf>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I1" lockText="1" noThreeD="1"/>
</file>

<file path=xl/ctrlProps/ctrlProp2.xml><?xml version="1.0" encoding="utf-8"?>
<formControlPr xmlns="http://schemas.microsoft.com/office/spreadsheetml/2009/9/main" objectType="CheckBox" checked="Checked" fmlaLink="N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415086</xdr:colOff>
      <xdr:row>16</xdr:row>
      <xdr:rowOff>385198</xdr:rowOff>
    </xdr:from>
    <xdr:to>
      <xdr:col>4</xdr:col>
      <xdr:colOff>600592</xdr:colOff>
      <xdr:row>16</xdr:row>
      <xdr:rowOff>568078</xdr:rowOff>
    </xdr:to>
    <xdr:pic>
      <xdr:nvPicPr>
        <xdr:cNvPr id="6" name="Рисунок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7276" y="3045629"/>
          <a:ext cx="185506" cy="182880"/>
        </a:xfrm>
        <a:prstGeom prst="rect">
          <a:avLst/>
        </a:prstGeom>
      </xdr:spPr>
    </xdr:pic>
    <xdr:clientData/>
  </xdr:twoCellAnchor>
  <xdr:twoCellAnchor editAs="oneCell">
    <xdr:from>
      <xdr:col>9</xdr:col>
      <xdr:colOff>833086</xdr:colOff>
      <xdr:row>16</xdr:row>
      <xdr:rowOff>392074</xdr:rowOff>
    </xdr:from>
    <xdr:to>
      <xdr:col>10</xdr:col>
      <xdr:colOff>4830</xdr:colOff>
      <xdr:row>16</xdr:row>
      <xdr:rowOff>574954</xdr:rowOff>
    </xdr:to>
    <xdr:pic>
      <xdr:nvPicPr>
        <xdr:cNvPr id="7" name="Рисунок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50215" y="3075403"/>
          <a:ext cx="184115" cy="182880"/>
        </a:xfrm>
        <a:prstGeom prst="rect">
          <a:avLst/>
        </a:prstGeom>
      </xdr:spPr>
    </xdr:pic>
    <xdr:clientData/>
  </xdr:twoCellAnchor>
  <xdr:twoCellAnchor editAs="oneCell">
    <xdr:from>
      <xdr:col>5</xdr:col>
      <xdr:colOff>419662</xdr:colOff>
      <xdr:row>16</xdr:row>
      <xdr:rowOff>391134</xdr:rowOff>
    </xdr:from>
    <xdr:to>
      <xdr:col>5</xdr:col>
      <xdr:colOff>604231</xdr:colOff>
      <xdr:row>16</xdr:row>
      <xdr:rowOff>573256</xdr:rowOff>
    </xdr:to>
    <xdr:pic>
      <xdr:nvPicPr>
        <xdr:cNvPr id="8" name="Рисунок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65386" y="3051565"/>
          <a:ext cx="184569" cy="182122"/>
        </a:xfrm>
        <a:prstGeom prst="rect">
          <a:avLst/>
        </a:prstGeom>
      </xdr:spPr>
    </xdr:pic>
    <xdr:clientData/>
  </xdr:twoCellAnchor>
  <xdr:twoCellAnchor editAs="oneCell">
    <xdr:from>
      <xdr:col>6</xdr:col>
      <xdr:colOff>230862</xdr:colOff>
      <xdr:row>11</xdr:row>
      <xdr:rowOff>392197</xdr:rowOff>
    </xdr:from>
    <xdr:to>
      <xdr:col>6</xdr:col>
      <xdr:colOff>415281</xdr:colOff>
      <xdr:row>12</xdr:row>
      <xdr:rowOff>2576</xdr:rowOff>
    </xdr:to>
    <xdr:pic>
      <xdr:nvPicPr>
        <xdr:cNvPr id="10" name="Рисунок 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06776" y="1709368"/>
          <a:ext cx="184419" cy="187964"/>
        </a:xfrm>
        <a:prstGeom prst="rect">
          <a:avLst/>
        </a:prstGeom>
      </xdr:spPr>
    </xdr:pic>
    <xdr:clientData/>
  </xdr:twoCellAnchor>
  <xdr:twoCellAnchor editAs="oneCell">
    <xdr:from>
      <xdr:col>9</xdr:col>
      <xdr:colOff>834268</xdr:colOff>
      <xdr:row>11</xdr:row>
      <xdr:rowOff>383792</xdr:rowOff>
    </xdr:from>
    <xdr:to>
      <xdr:col>10</xdr:col>
      <xdr:colOff>4547</xdr:colOff>
      <xdr:row>11</xdr:row>
      <xdr:rowOff>569275</xdr:rowOff>
    </xdr:to>
    <xdr:pic>
      <xdr:nvPicPr>
        <xdr:cNvPr id="11" name="Рисунок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51397" y="1700963"/>
          <a:ext cx="182650" cy="185483"/>
        </a:xfrm>
        <a:prstGeom prst="rect">
          <a:avLst/>
        </a:prstGeom>
      </xdr:spPr>
    </xdr:pic>
    <xdr:clientData/>
  </xdr:twoCellAnchor>
  <xdr:twoCellAnchor editAs="oneCell">
    <xdr:from>
      <xdr:col>5</xdr:col>
      <xdr:colOff>420844</xdr:colOff>
      <xdr:row>11</xdr:row>
      <xdr:rowOff>382852</xdr:rowOff>
    </xdr:from>
    <xdr:to>
      <xdr:col>5</xdr:col>
      <xdr:colOff>605413</xdr:colOff>
      <xdr:row>11</xdr:row>
      <xdr:rowOff>568335</xdr:rowOff>
    </xdr:to>
    <xdr:pic>
      <xdr:nvPicPr>
        <xdr:cNvPr id="12" name="Рисунок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66568" y="1690076"/>
          <a:ext cx="184569" cy="185483"/>
        </a:xfrm>
        <a:prstGeom prst="rect">
          <a:avLst/>
        </a:prstGeom>
      </xdr:spPr>
    </xdr:pic>
    <xdr:clientData/>
  </xdr:twoCellAnchor>
  <xdr:twoCellAnchor editAs="oneCell">
    <xdr:from>
      <xdr:col>7</xdr:col>
      <xdr:colOff>237235</xdr:colOff>
      <xdr:row>11</xdr:row>
      <xdr:rowOff>388694</xdr:rowOff>
    </xdr:from>
    <xdr:to>
      <xdr:col>7</xdr:col>
      <xdr:colOff>416346</xdr:colOff>
      <xdr:row>11</xdr:row>
      <xdr:rowOff>571574</xdr:rowOff>
    </xdr:to>
    <xdr:pic>
      <xdr:nvPicPr>
        <xdr:cNvPr id="13" name="Рисунок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33635" y="1705865"/>
          <a:ext cx="179111" cy="182880"/>
        </a:xfrm>
        <a:prstGeom prst="rect">
          <a:avLst/>
        </a:prstGeom>
      </xdr:spPr>
    </xdr:pic>
    <xdr:clientData/>
  </xdr:twoCellAnchor>
  <xdr:twoCellAnchor editAs="oneCell">
    <xdr:from>
      <xdr:col>8</xdr:col>
      <xdr:colOff>230491</xdr:colOff>
      <xdr:row>11</xdr:row>
      <xdr:rowOff>390531</xdr:rowOff>
    </xdr:from>
    <xdr:to>
      <xdr:col>8</xdr:col>
      <xdr:colOff>416373</xdr:colOff>
      <xdr:row>11</xdr:row>
      <xdr:rowOff>577728</xdr:rowOff>
    </xdr:to>
    <xdr:pic>
      <xdr:nvPicPr>
        <xdr:cNvPr id="14" name="Рисунок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47377" y="1707702"/>
          <a:ext cx="185882" cy="187197"/>
        </a:xfrm>
        <a:prstGeom prst="rect">
          <a:avLst/>
        </a:prstGeom>
      </xdr:spPr>
    </xdr:pic>
    <xdr:clientData/>
  </xdr:twoCellAnchor>
  <xdr:twoCellAnchor editAs="oneCell">
    <xdr:from>
      <xdr:col>6</xdr:col>
      <xdr:colOff>234944</xdr:colOff>
      <xdr:row>31</xdr:row>
      <xdr:rowOff>388349</xdr:rowOff>
    </xdr:from>
    <xdr:to>
      <xdr:col>6</xdr:col>
      <xdr:colOff>419363</xdr:colOff>
      <xdr:row>32</xdr:row>
      <xdr:rowOff>3452</xdr:rowOff>
    </xdr:to>
    <xdr:pic>
      <xdr:nvPicPr>
        <xdr:cNvPr id="20" name="Рисунок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10858" y="6386378"/>
          <a:ext cx="184419" cy="186603"/>
        </a:xfrm>
        <a:prstGeom prst="rect">
          <a:avLst/>
        </a:prstGeom>
      </xdr:spPr>
    </xdr:pic>
    <xdr:clientData/>
  </xdr:twoCellAnchor>
  <xdr:twoCellAnchor editAs="oneCell">
    <xdr:from>
      <xdr:col>9</xdr:col>
      <xdr:colOff>838350</xdr:colOff>
      <xdr:row>31</xdr:row>
      <xdr:rowOff>379944</xdr:rowOff>
    </xdr:from>
    <xdr:to>
      <xdr:col>10</xdr:col>
      <xdr:colOff>8629</xdr:colOff>
      <xdr:row>31</xdr:row>
      <xdr:rowOff>565427</xdr:rowOff>
    </xdr:to>
    <xdr:pic>
      <xdr:nvPicPr>
        <xdr:cNvPr id="21" name="Рисунок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55479" y="6377973"/>
          <a:ext cx="182650" cy="185483"/>
        </a:xfrm>
        <a:prstGeom prst="rect">
          <a:avLst/>
        </a:prstGeom>
      </xdr:spPr>
    </xdr:pic>
    <xdr:clientData/>
  </xdr:twoCellAnchor>
  <xdr:twoCellAnchor editAs="oneCell">
    <xdr:from>
      <xdr:col>7</xdr:col>
      <xdr:colOff>241317</xdr:colOff>
      <xdr:row>31</xdr:row>
      <xdr:rowOff>384846</xdr:rowOff>
    </xdr:from>
    <xdr:to>
      <xdr:col>7</xdr:col>
      <xdr:colOff>420428</xdr:colOff>
      <xdr:row>31</xdr:row>
      <xdr:rowOff>567726</xdr:rowOff>
    </xdr:to>
    <xdr:pic>
      <xdr:nvPicPr>
        <xdr:cNvPr id="22" name="Рисунок 2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37717" y="6382875"/>
          <a:ext cx="179111" cy="182880"/>
        </a:xfrm>
        <a:prstGeom prst="rect">
          <a:avLst/>
        </a:prstGeom>
      </xdr:spPr>
    </xdr:pic>
    <xdr:clientData/>
  </xdr:twoCellAnchor>
  <xdr:twoCellAnchor editAs="oneCell">
    <xdr:from>
      <xdr:col>8</xdr:col>
      <xdr:colOff>234573</xdr:colOff>
      <xdr:row>31</xdr:row>
      <xdr:rowOff>386683</xdr:rowOff>
    </xdr:from>
    <xdr:to>
      <xdr:col>8</xdr:col>
      <xdr:colOff>420455</xdr:colOff>
      <xdr:row>31</xdr:row>
      <xdr:rowOff>569563</xdr:rowOff>
    </xdr:to>
    <xdr:pic>
      <xdr:nvPicPr>
        <xdr:cNvPr id="23" name="Рисунок 2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51459" y="6384712"/>
          <a:ext cx="185882" cy="182880"/>
        </a:xfrm>
        <a:prstGeom prst="rect">
          <a:avLst/>
        </a:prstGeom>
      </xdr:spPr>
    </xdr:pic>
    <xdr:clientData/>
  </xdr:twoCellAnchor>
  <xdr:twoCellAnchor editAs="oneCell">
    <xdr:from>
      <xdr:col>6</xdr:col>
      <xdr:colOff>233663</xdr:colOff>
      <xdr:row>16</xdr:row>
      <xdr:rowOff>393305</xdr:rowOff>
    </xdr:from>
    <xdr:to>
      <xdr:col>6</xdr:col>
      <xdr:colOff>418082</xdr:colOff>
      <xdr:row>17</xdr:row>
      <xdr:rowOff>60</xdr:rowOff>
    </xdr:to>
    <xdr:pic>
      <xdr:nvPicPr>
        <xdr:cNvPr id="24" name="Рисунок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09577" y="3076634"/>
          <a:ext cx="184419" cy="185582"/>
        </a:xfrm>
        <a:prstGeom prst="rect">
          <a:avLst/>
        </a:prstGeom>
      </xdr:spPr>
    </xdr:pic>
    <xdr:clientData/>
  </xdr:twoCellAnchor>
  <xdr:twoCellAnchor editAs="oneCell">
    <xdr:from>
      <xdr:col>7</xdr:col>
      <xdr:colOff>240036</xdr:colOff>
      <xdr:row>16</xdr:row>
      <xdr:rowOff>389802</xdr:rowOff>
    </xdr:from>
    <xdr:to>
      <xdr:col>7</xdr:col>
      <xdr:colOff>419147</xdr:colOff>
      <xdr:row>16</xdr:row>
      <xdr:rowOff>572682</xdr:rowOff>
    </xdr:to>
    <xdr:pic>
      <xdr:nvPicPr>
        <xdr:cNvPr id="25" name="Рисунок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36436" y="3073131"/>
          <a:ext cx="179111" cy="182880"/>
        </a:xfrm>
        <a:prstGeom prst="rect">
          <a:avLst/>
        </a:prstGeom>
      </xdr:spPr>
    </xdr:pic>
    <xdr:clientData/>
  </xdr:twoCellAnchor>
  <xdr:twoCellAnchor editAs="oneCell">
    <xdr:from>
      <xdr:col>8</xdr:col>
      <xdr:colOff>233292</xdr:colOff>
      <xdr:row>16</xdr:row>
      <xdr:rowOff>391639</xdr:rowOff>
    </xdr:from>
    <xdr:to>
      <xdr:col>8</xdr:col>
      <xdr:colOff>419174</xdr:colOff>
      <xdr:row>17</xdr:row>
      <xdr:rowOff>2492</xdr:rowOff>
    </xdr:to>
    <xdr:pic>
      <xdr:nvPicPr>
        <xdr:cNvPr id="26" name="Рисунок 2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50178" y="3074968"/>
          <a:ext cx="185882" cy="188438"/>
        </a:xfrm>
        <a:prstGeom prst="rect">
          <a:avLst/>
        </a:prstGeom>
      </xdr:spPr>
    </xdr:pic>
    <xdr:clientData/>
  </xdr:twoCellAnchor>
  <xdr:twoCellAnchor editAs="oneCell">
    <xdr:from>
      <xdr:col>13</xdr:col>
      <xdr:colOff>223921</xdr:colOff>
      <xdr:row>16</xdr:row>
      <xdr:rowOff>392094</xdr:rowOff>
    </xdr:from>
    <xdr:to>
      <xdr:col>13</xdr:col>
      <xdr:colOff>407992</xdr:colOff>
      <xdr:row>17</xdr:row>
      <xdr:rowOff>2648</xdr:rowOff>
    </xdr:to>
    <xdr:pic>
      <xdr:nvPicPr>
        <xdr:cNvPr id="27" name="Рисунок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926064" y="3075423"/>
          <a:ext cx="184071" cy="188139"/>
        </a:xfrm>
        <a:prstGeom prst="rect">
          <a:avLst/>
        </a:prstGeom>
      </xdr:spPr>
    </xdr:pic>
    <xdr:clientData/>
  </xdr:twoCellAnchor>
  <xdr:twoCellAnchor editAs="oneCell">
    <xdr:from>
      <xdr:col>14</xdr:col>
      <xdr:colOff>230294</xdr:colOff>
      <xdr:row>16</xdr:row>
      <xdr:rowOff>388591</xdr:rowOff>
    </xdr:from>
    <xdr:to>
      <xdr:col>14</xdr:col>
      <xdr:colOff>409057</xdr:colOff>
      <xdr:row>16</xdr:row>
      <xdr:rowOff>571471</xdr:rowOff>
    </xdr:to>
    <xdr:pic>
      <xdr:nvPicPr>
        <xdr:cNvPr id="28" name="Рисунок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52923" y="3071920"/>
          <a:ext cx="178763" cy="182880"/>
        </a:xfrm>
        <a:prstGeom prst="rect">
          <a:avLst/>
        </a:prstGeom>
      </xdr:spPr>
    </xdr:pic>
    <xdr:clientData/>
  </xdr:twoCellAnchor>
  <xdr:twoCellAnchor editAs="oneCell">
    <xdr:from>
      <xdr:col>15</xdr:col>
      <xdr:colOff>223550</xdr:colOff>
      <xdr:row>16</xdr:row>
      <xdr:rowOff>390428</xdr:rowOff>
    </xdr:from>
    <xdr:to>
      <xdr:col>15</xdr:col>
      <xdr:colOff>409086</xdr:colOff>
      <xdr:row>16</xdr:row>
      <xdr:rowOff>577800</xdr:rowOff>
    </xdr:to>
    <xdr:pic>
      <xdr:nvPicPr>
        <xdr:cNvPr id="29" name="Рисунок 2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166664" y="3073757"/>
          <a:ext cx="185536" cy="187372"/>
        </a:xfrm>
        <a:prstGeom prst="rect">
          <a:avLst/>
        </a:prstGeom>
      </xdr:spPr>
    </xdr:pic>
    <xdr:clientData/>
  </xdr:twoCellAnchor>
  <xdr:twoCellAnchor editAs="oneCell">
    <xdr:from>
      <xdr:col>13</xdr:col>
      <xdr:colOff>223702</xdr:colOff>
      <xdr:row>31</xdr:row>
      <xdr:rowOff>379060</xdr:rowOff>
    </xdr:from>
    <xdr:to>
      <xdr:col>13</xdr:col>
      <xdr:colOff>408665</xdr:colOff>
      <xdr:row>31</xdr:row>
      <xdr:rowOff>565663</xdr:rowOff>
    </xdr:to>
    <xdr:pic>
      <xdr:nvPicPr>
        <xdr:cNvPr id="30" name="Рисунок 2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925845" y="6377089"/>
          <a:ext cx="184963" cy="186603"/>
        </a:xfrm>
        <a:prstGeom prst="rect">
          <a:avLst/>
        </a:prstGeom>
      </xdr:spPr>
    </xdr:pic>
    <xdr:clientData/>
  </xdr:twoCellAnchor>
  <xdr:twoCellAnchor editAs="oneCell">
    <xdr:from>
      <xdr:col>14</xdr:col>
      <xdr:colOff>230075</xdr:colOff>
      <xdr:row>31</xdr:row>
      <xdr:rowOff>375557</xdr:rowOff>
    </xdr:from>
    <xdr:to>
      <xdr:col>14</xdr:col>
      <xdr:colOff>409730</xdr:colOff>
      <xdr:row>31</xdr:row>
      <xdr:rowOff>558437</xdr:rowOff>
    </xdr:to>
    <xdr:pic>
      <xdr:nvPicPr>
        <xdr:cNvPr id="31" name="Рисунок 3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52704" y="6373586"/>
          <a:ext cx="179655" cy="182880"/>
        </a:xfrm>
        <a:prstGeom prst="rect">
          <a:avLst/>
        </a:prstGeom>
      </xdr:spPr>
    </xdr:pic>
    <xdr:clientData/>
  </xdr:twoCellAnchor>
  <xdr:twoCellAnchor editAs="oneCell">
    <xdr:from>
      <xdr:col>15</xdr:col>
      <xdr:colOff>223331</xdr:colOff>
      <xdr:row>31</xdr:row>
      <xdr:rowOff>377394</xdr:rowOff>
    </xdr:from>
    <xdr:to>
      <xdr:col>15</xdr:col>
      <xdr:colOff>409758</xdr:colOff>
      <xdr:row>31</xdr:row>
      <xdr:rowOff>563230</xdr:rowOff>
    </xdr:to>
    <xdr:pic>
      <xdr:nvPicPr>
        <xdr:cNvPr id="32" name="Рисунок 3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166445" y="6375423"/>
          <a:ext cx="186427" cy="185836"/>
        </a:xfrm>
        <a:prstGeom prst="rect">
          <a:avLst/>
        </a:prstGeom>
      </xdr:spPr>
    </xdr:pic>
    <xdr:clientData/>
  </xdr:twoCellAnchor>
  <xdr:twoCellAnchor editAs="oneCell">
    <xdr:from>
      <xdr:col>10</xdr:col>
      <xdr:colOff>1042785</xdr:colOff>
      <xdr:row>31</xdr:row>
      <xdr:rowOff>383433</xdr:rowOff>
    </xdr:from>
    <xdr:to>
      <xdr:col>11</xdr:col>
      <xdr:colOff>1903</xdr:colOff>
      <xdr:row>31</xdr:row>
      <xdr:rowOff>568916</xdr:rowOff>
    </xdr:to>
    <xdr:pic>
      <xdr:nvPicPr>
        <xdr:cNvPr id="33" name="Рисунок 3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609195" y="6387993"/>
          <a:ext cx="184944" cy="185483"/>
        </a:xfrm>
        <a:prstGeom prst="rect">
          <a:avLst/>
        </a:prstGeom>
      </xdr:spPr>
    </xdr:pic>
    <xdr:clientData/>
  </xdr:twoCellAnchor>
  <xdr:twoCellAnchor editAs="oneCell">
    <xdr:from>
      <xdr:col>0</xdr:col>
      <xdr:colOff>762000</xdr:colOff>
      <xdr:row>12</xdr:row>
      <xdr:rowOff>6569</xdr:rowOff>
    </xdr:from>
    <xdr:to>
      <xdr:col>0</xdr:col>
      <xdr:colOff>944880</xdr:colOff>
      <xdr:row>12</xdr:row>
      <xdr:rowOff>189449</xdr:rowOff>
    </xdr:to>
    <xdr:pic>
      <xdr:nvPicPr>
        <xdr:cNvPr id="16" name="Рисунок 1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62000" y="1891862"/>
          <a:ext cx="182880" cy="182880"/>
        </a:xfrm>
        <a:prstGeom prst="rect">
          <a:avLst/>
        </a:prstGeom>
      </xdr:spPr>
    </xdr:pic>
    <xdr:clientData/>
  </xdr:twoCellAnchor>
  <xdr:twoCellAnchor editAs="oneCell">
    <xdr:from>
      <xdr:col>0</xdr:col>
      <xdr:colOff>768569</xdr:colOff>
      <xdr:row>17</xdr:row>
      <xdr:rowOff>6569</xdr:rowOff>
    </xdr:from>
    <xdr:to>
      <xdr:col>0</xdr:col>
      <xdr:colOff>951449</xdr:colOff>
      <xdr:row>17</xdr:row>
      <xdr:rowOff>189449</xdr:rowOff>
    </xdr:to>
    <xdr:pic>
      <xdr:nvPicPr>
        <xdr:cNvPr id="19" name="Рисунок 1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8569" y="3245069"/>
          <a:ext cx="182880" cy="182880"/>
        </a:xfrm>
        <a:prstGeom prst="rect">
          <a:avLst/>
        </a:prstGeom>
      </xdr:spPr>
    </xdr:pic>
    <xdr:clientData/>
  </xdr:twoCellAnchor>
  <xdr:twoCellAnchor editAs="oneCell">
    <xdr:from>
      <xdr:col>0</xdr:col>
      <xdr:colOff>775939</xdr:colOff>
      <xdr:row>18</xdr:row>
      <xdr:rowOff>8492</xdr:rowOff>
    </xdr:from>
    <xdr:to>
      <xdr:col>0</xdr:col>
      <xdr:colOff>958819</xdr:colOff>
      <xdr:row>18</xdr:row>
      <xdr:rowOff>191372</xdr:rowOff>
    </xdr:to>
    <xdr:pic>
      <xdr:nvPicPr>
        <xdr:cNvPr id="34" name="Рисунок 3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75939" y="3465370"/>
          <a:ext cx="182880" cy="182880"/>
        </a:xfrm>
        <a:prstGeom prst="rect">
          <a:avLst/>
        </a:prstGeom>
      </xdr:spPr>
    </xdr:pic>
    <xdr:clientData/>
  </xdr:twoCellAnchor>
  <xdr:twoCellAnchor editAs="oneCell">
    <xdr:from>
      <xdr:col>0</xdr:col>
      <xdr:colOff>782316</xdr:colOff>
      <xdr:row>19</xdr:row>
      <xdr:rowOff>11381</xdr:rowOff>
    </xdr:from>
    <xdr:to>
      <xdr:col>1</xdr:col>
      <xdr:colOff>7477</xdr:colOff>
      <xdr:row>19</xdr:row>
      <xdr:rowOff>194261</xdr:rowOff>
    </xdr:to>
    <xdr:pic>
      <xdr:nvPicPr>
        <xdr:cNvPr id="2" name="Рисунок 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2316" y="3665517"/>
          <a:ext cx="182880" cy="182880"/>
        </a:xfrm>
        <a:prstGeom prst="rect">
          <a:avLst/>
        </a:prstGeom>
      </xdr:spPr>
    </xdr:pic>
    <xdr:clientData/>
  </xdr:twoCellAnchor>
  <xdr:twoCellAnchor editAs="oneCell">
    <xdr:from>
      <xdr:col>0</xdr:col>
      <xdr:colOff>784321</xdr:colOff>
      <xdr:row>20</xdr:row>
      <xdr:rowOff>14246</xdr:rowOff>
    </xdr:from>
    <xdr:to>
      <xdr:col>1</xdr:col>
      <xdr:colOff>3486</xdr:colOff>
      <xdr:row>20</xdr:row>
      <xdr:rowOff>197126</xdr:rowOff>
    </xdr:to>
    <xdr:pic>
      <xdr:nvPicPr>
        <xdr:cNvPr id="35" name="Рисунок 3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4321" y="3884117"/>
          <a:ext cx="179111" cy="182880"/>
        </a:xfrm>
        <a:prstGeom prst="rect">
          <a:avLst/>
        </a:prstGeom>
      </xdr:spPr>
    </xdr:pic>
    <xdr:clientData/>
  </xdr:twoCellAnchor>
  <xdr:twoCellAnchor editAs="oneCell">
    <xdr:from>
      <xdr:col>0</xdr:col>
      <xdr:colOff>779859</xdr:colOff>
      <xdr:row>21</xdr:row>
      <xdr:rowOff>5954</xdr:rowOff>
    </xdr:from>
    <xdr:to>
      <xdr:col>1</xdr:col>
      <xdr:colOff>4775</xdr:colOff>
      <xdr:row>21</xdr:row>
      <xdr:rowOff>194392</xdr:rowOff>
    </xdr:to>
    <xdr:pic>
      <xdr:nvPicPr>
        <xdr:cNvPr id="36" name="Рисунок 3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9859" y="4089798"/>
          <a:ext cx="185882" cy="188438"/>
        </a:xfrm>
        <a:prstGeom prst="rect">
          <a:avLst/>
        </a:prstGeom>
      </xdr:spPr>
    </xdr:pic>
    <xdr:clientData/>
  </xdr:twoCellAnchor>
  <xdr:twoCellAnchor editAs="oneCell">
    <xdr:from>
      <xdr:col>0</xdr:col>
      <xdr:colOff>777039</xdr:colOff>
      <xdr:row>32</xdr:row>
      <xdr:rowOff>9808</xdr:rowOff>
    </xdr:from>
    <xdr:to>
      <xdr:col>1</xdr:col>
      <xdr:colOff>92</xdr:colOff>
      <xdr:row>32</xdr:row>
      <xdr:rowOff>194431</xdr:rowOff>
    </xdr:to>
    <xdr:pic>
      <xdr:nvPicPr>
        <xdr:cNvPr id="3" name="Рисунок 2"/>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77039" y="6567019"/>
          <a:ext cx="182880" cy="184623"/>
        </a:xfrm>
        <a:prstGeom prst="rect">
          <a:avLst/>
        </a:prstGeom>
      </xdr:spPr>
    </xdr:pic>
    <xdr:clientData/>
  </xdr:twoCellAnchor>
  <xdr:twoCellAnchor editAs="oneCell">
    <xdr:from>
      <xdr:col>0</xdr:col>
      <xdr:colOff>777039</xdr:colOff>
      <xdr:row>33</xdr:row>
      <xdr:rowOff>15040</xdr:rowOff>
    </xdr:from>
    <xdr:to>
      <xdr:col>1</xdr:col>
      <xdr:colOff>92</xdr:colOff>
      <xdr:row>34</xdr:row>
      <xdr:rowOff>93</xdr:rowOff>
    </xdr:to>
    <xdr:pic>
      <xdr:nvPicPr>
        <xdr:cNvPr id="4" name="Рисунок 3"/>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7039" y="6772777"/>
          <a:ext cx="182880" cy="182880"/>
        </a:xfrm>
        <a:prstGeom prst="rect">
          <a:avLst/>
        </a:prstGeom>
      </xdr:spPr>
    </xdr:pic>
    <xdr:clientData/>
  </xdr:twoCellAnchor>
  <xdr:twoCellAnchor editAs="oneCell">
    <xdr:from>
      <xdr:col>4</xdr:col>
      <xdr:colOff>410308</xdr:colOff>
      <xdr:row>11</xdr:row>
      <xdr:rowOff>375189</xdr:rowOff>
    </xdr:from>
    <xdr:to>
      <xdr:col>4</xdr:col>
      <xdr:colOff>593188</xdr:colOff>
      <xdr:row>11</xdr:row>
      <xdr:rowOff>558069</xdr:rowOff>
    </xdr:to>
    <xdr:pic>
      <xdr:nvPicPr>
        <xdr:cNvPr id="37" name="Рисунок 3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53483" y="3547014"/>
          <a:ext cx="182880" cy="182880"/>
        </a:xfrm>
        <a:prstGeom prst="rect">
          <a:avLst/>
        </a:prstGeom>
      </xdr:spPr>
    </xdr:pic>
    <xdr:clientData/>
  </xdr:twoCellAnchor>
  <xdr:twoCellAnchor editAs="oneCell">
    <xdr:from>
      <xdr:col>0</xdr:col>
      <xdr:colOff>771525</xdr:colOff>
      <xdr:row>34</xdr:row>
      <xdr:rowOff>9525</xdr:rowOff>
    </xdr:from>
    <xdr:to>
      <xdr:col>0</xdr:col>
      <xdr:colOff>954405</xdr:colOff>
      <xdr:row>34</xdr:row>
      <xdr:rowOff>192405</xdr:rowOff>
    </xdr:to>
    <xdr:pic>
      <xdr:nvPicPr>
        <xdr:cNvPr id="5" name="Рисунок 4"/>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71525" y="6962775"/>
          <a:ext cx="182880" cy="182880"/>
        </a:xfrm>
        <a:prstGeom prst="rect">
          <a:avLst/>
        </a:prstGeom>
      </xdr:spPr>
    </xdr:pic>
    <xdr:clientData/>
  </xdr:twoCellAnchor>
  <xdr:twoCellAnchor editAs="oneCell">
    <xdr:from>
      <xdr:col>4</xdr:col>
      <xdr:colOff>412506</xdr:colOff>
      <xdr:row>31</xdr:row>
      <xdr:rowOff>383199</xdr:rowOff>
    </xdr:from>
    <xdr:to>
      <xdr:col>4</xdr:col>
      <xdr:colOff>595386</xdr:colOff>
      <xdr:row>31</xdr:row>
      <xdr:rowOff>566079</xdr:rowOff>
    </xdr:to>
    <xdr:pic>
      <xdr:nvPicPr>
        <xdr:cNvPr id="38" name="Рисунок 3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947621" y="6339987"/>
          <a:ext cx="182880" cy="182880"/>
        </a:xfrm>
        <a:prstGeom prst="rect">
          <a:avLst/>
        </a:prstGeom>
      </xdr:spPr>
    </xdr:pic>
    <xdr:clientData/>
  </xdr:twoCellAnchor>
  <xdr:twoCellAnchor editAs="oneCell">
    <xdr:from>
      <xdr:col>11</xdr:col>
      <xdr:colOff>505810</xdr:colOff>
      <xdr:row>11</xdr:row>
      <xdr:rowOff>392906</xdr:rowOff>
    </xdr:from>
    <xdr:to>
      <xdr:col>11</xdr:col>
      <xdr:colOff>688690</xdr:colOff>
      <xdr:row>11</xdr:row>
      <xdr:rowOff>575786</xdr:rowOff>
    </xdr:to>
    <xdr:pic>
      <xdr:nvPicPr>
        <xdr:cNvPr id="9" name="Рисунок 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292373" y="1714500"/>
          <a:ext cx="182880" cy="182880"/>
        </a:xfrm>
        <a:prstGeom prst="rect">
          <a:avLst/>
        </a:prstGeom>
      </xdr:spPr>
    </xdr:pic>
    <xdr:clientData/>
  </xdr:twoCellAnchor>
  <xdr:twoCellAnchor editAs="oneCell">
    <xdr:from>
      <xdr:col>10</xdr:col>
      <xdr:colOff>1035432</xdr:colOff>
      <xdr:row>11</xdr:row>
      <xdr:rowOff>390443</xdr:rowOff>
    </xdr:from>
    <xdr:to>
      <xdr:col>10</xdr:col>
      <xdr:colOff>1218312</xdr:colOff>
      <xdr:row>11</xdr:row>
      <xdr:rowOff>573323</xdr:rowOff>
    </xdr:to>
    <xdr:pic>
      <xdr:nvPicPr>
        <xdr:cNvPr id="39" name="Рисунок 3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595651" y="1712037"/>
          <a:ext cx="182880" cy="182880"/>
        </a:xfrm>
        <a:prstGeom prst="rect">
          <a:avLst/>
        </a:prstGeom>
      </xdr:spPr>
    </xdr:pic>
    <xdr:clientData/>
  </xdr:twoCellAnchor>
  <xdr:twoCellAnchor editAs="oneCell">
    <xdr:from>
      <xdr:col>11</xdr:col>
      <xdr:colOff>512221</xdr:colOff>
      <xdr:row>16</xdr:row>
      <xdr:rowOff>388327</xdr:rowOff>
    </xdr:from>
    <xdr:to>
      <xdr:col>11</xdr:col>
      <xdr:colOff>695101</xdr:colOff>
      <xdr:row>16</xdr:row>
      <xdr:rowOff>571207</xdr:rowOff>
    </xdr:to>
    <xdr:pic>
      <xdr:nvPicPr>
        <xdr:cNvPr id="40" name="Рисунок 39"/>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296952" y="3055327"/>
          <a:ext cx="182880" cy="182880"/>
        </a:xfrm>
        <a:prstGeom prst="rect">
          <a:avLst/>
        </a:prstGeom>
      </xdr:spPr>
    </xdr:pic>
    <xdr:clientData/>
  </xdr:twoCellAnchor>
  <xdr:twoCellAnchor editAs="oneCell">
    <xdr:from>
      <xdr:col>10</xdr:col>
      <xdr:colOff>1041843</xdr:colOff>
      <xdr:row>16</xdr:row>
      <xdr:rowOff>385864</xdr:rowOff>
    </xdr:from>
    <xdr:to>
      <xdr:col>10</xdr:col>
      <xdr:colOff>1224723</xdr:colOff>
      <xdr:row>16</xdr:row>
      <xdr:rowOff>568744</xdr:rowOff>
    </xdr:to>
    <xdr:pic>
      <xdr:nvPicPr>
        <xdr:cNvPr id="41" name="Рисунок 4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595651" y="3052864"/>
          <a:ext cx="182880" cy="182880"/>
        </a:xfrm>
        <a:prstGeom prst="rect">
          <a:avLst/>
        </a:prstGeom>
      </xdr:spPr>
    </xdr:pic>
    <xdr:clientData/>
  </xdr:twoCellAnchor>
  <xdr:twoCellAnchor editAs="oneCell">
    <xdr:from>
      <xdr:col>11</xdr:col>
      <xdr:colOff>481448</xdr:colOff>
      <xdr:row>31</xdr:row>
      <xdr:rowOff>386862</xdr:rowOff>
    </xdr:from>
    <xdr:to>
      <xdr:col>11</xdr:col>
      <xdr:colOff>664328</xdr:colOff>
      <xdr:row>31</xdr:row>
      <xdr:rowOff>569742</xdr:rowOff>
    </xdr:to>
    <xdr:pic>
      <xdr:nvPicPr>
        <xdr:cNvPr id="42" name="Рисунок 41"/>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266179" y="6343650"/>
          <a:ext cx="182880" cy="182880"/>
        </a:xfrm>
        <a:prstGeom prst="rect">
          <a:avLst/>
        </a:prstGeom>
      </xdr:spPr>
    </xdr:pic>
    <xdr:clientData/>
  </xdr:twoCellAnchor>
  <xdr:twoCellAnchor editAs="oneCell">
    <xdr:from>
      <xdr:col>12</xdr:col>
      <xdr:colOff>981732</xdr:colOff>
      <xdr:row>11</xdr:row>
      <xdr:rowOff>387569</xdr:rowOff>
    </xdr:from>
    <xdr:to>
      <xdr:col>13</xdr:col>
      <xdr:colOff>1905</xdr:colOff>
      <xdr:row>11</xdr:row>
      <xdr:rowOff>570449</xdr:rowOff>
    </xdr:to>
    <xdr:pic>
      <xdr:nvPicPr>
        <xdr:cNvPr id="43" name="Рисунок 42"/>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012542" y="2417379"/>
          <a:ext cx="182880" cy="182880"/>
        </a:xfrm>
        <a:prstGeom prst="rect">
          <a:avLst/>
        </a:prstGeom>
      </xdr:spPr>
    </xdr:pic>
    <xdr:clientData/>
  </xdr:twoCellAnchor>
  <xdr:twoCellAnchor editAs="oneCell">
    <xdr:from>
      <xdr:col>1</xdr:col>
      <xdr:colOff>219075</xdr:colOff>
      <xdr:row>3</xdr:row>
      <xdr:rowOff>596503</xdr:rowOff>
    </xdr:from>
    <xdr:to>
      <xdr:col>1</xdr:col>
      <xdr:colOff>401955</xdr:colOff>
      <xdr:row>3</xdr:row>
      <xdr:rowOff>779383</xdr:rowOff>
    </xdr:to>
    <xdr:pic>
      <xdr:nvPicPr>
        <xdr:cNvPr id="44" name="Рисунок 4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83481" y="1364456"/>
          <a:ext cx="182880" cy="182880"/>
        </a:xfrm>
        <a:prstGeom prst="rect">
          <a:avLst/>
        </a:prstGeom>
      </xdr:spPr>
    </xdr:pic>
    <xdr:clientData/>
  </xdr:twoCellAnchor>
  <xdr:twoCellAnchor editAs="oneCell">
    <xdr:from>
      <xdr:col>12</xdr:col>
      <xdr:colOff>506015</xdr:colOff>
      <xdr:row>3</xdr:row>
      <xdr:rowOff>595312</xdr:rowOff>
    </xdr:from>
    <xdr:to>
      <xdr:col>12</xdr:col>
      <xdr:colOff>688895</xdr:colOff>
      <xdr:row>3</xdr:row>
      <xdr:rowOff>778192</xdr:rowOff>
    </xdr:to>
    <xdr:pic>
      <xdr:nvPicPr>
        <xdr:cNvPr id="45" name="Рисунок 4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257109" y="1363265"/>
          <a:ext cx="182880" cy="182880"/>
        </a:xfrm>
        <a:prstGeom prst="rect">
          <a:avLst/>
        </a:prstGeom>
      </xdr:spPr>
    </xdr:pic>
    <xdr:clientData/>
  </xdr:twoCellAnchor>
  <xdr:twoCellAnchor editAs="oneCell">
    <xdr:from>
      <xdr:col>0</xdr:col>
      <xdr:colOff>762000</xdr:colOff>
      <xdr:row>3</xdr:row>
      <xdr:rowOff>788275</xdr:rowOff>
    </xdr:from>
    <xdr:to>
      <xdr:col>0</xdr:col>
      <xdr:colOff>944880</xdr:colOff>
      <xdr:row>4</xdr:row>
      <xdr:rowOff>182879</xdr:rowOff>
    </xdr:to>
    <xdr:pic>
      <xdr:nvPicPr>
        <xdr:cNvPr id="15" name="Рисунок 14"/>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762000" y="1543706"/>
          <a:ext cx="182880" cy="182880"/>
        </a:xfrm>
        <a:prstGeom prst="rect">
          <a:avLst/>
        </a:prstGeom>
      </xdr:spPr>
    </xdr:pic>
    <xdr:clientData/>
  </xdr:twoCellAnchor>
  <xdr:twoCellAnchor editAs="oneCell">
    <xdr:from>
      <xdr:col>4</xdr:col>
      <xdr:colOff>408589</xdr:colOff>
      <xdr:row>3</xdr:row>
      <xdr:rowOff>605657</xdr:rowOff>
    </xdr:from>
    <xdr:to>
      <xdr:col>4</xdr:col>
      <xdr:colOff>591469</xdr:colOff>
      <xdr:row>4</xdr:row>
      <xdr:rowOff>261</xdr:rowOff>
    </xdr:to>
    <xdr:pic>
      <xdr:nvPicPr>
        <xdr:cNvPr id="47" name="Рисунок 46"/>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50779" y="1361088"/>
          <a:ext cx="182880" cy="182880"/>
        </a:xfrm>
        <a:prstGeom prst="rect">
          <a:avLst/>
        </a:prstGeom>
      </xdr:spPr>
    </xdr:pic>
    <xdr:clientData/>
  </xdr:twoCellAnchor>
  <xdr:twoCellAnchor editAs="oneCell">
    <xdr:from>
      <xdr:col>5</xdr:col>
      <xdr:colOff>827361</xdr:colOff>
      <xdr:row>3</xdr:row>
      <xdr:rowOff>588250</xdr:rowOff>
    </xdr:from>
    <xdr:to>
      <xdr:col>5</xdr:col>
      <xdr:colOff>1010241</xdr:colOff>
      <xdr:row>3</xdr:row>
      <xdr:rowOff>771130</xdr:rowOff>
    </xdr:to>
    <xdr:pic>
      <xdr:nvPicPr>
        <xdr:cNvPr id="48" name="Рисунок 47"/>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361136" y="1350250"/>
          <a:ext cx="182880" cy="182880"/>
        </a:xfrm>
        <a:prstGeom prst="rect">
          <a:avLst/>
        </a:prstGeom>
      </xdr:spPr>
    </xdr:pic>
    <xdr:clientData/>
  </xdr:twoCellAnchor>
  <xdr:twoCellAnchor editAs="oneCell">
    <xdr:from>
      <xdr:col>0</xdr:col>
      <xdr:colOff>787619</xdr:colOff>
      <xdr:row>6</xdr:row>
      <xdr:rowOff>568544</xdr:rowOff>
    </xdr:from>
    <xdr:to>
      <xdr:col>1</xdr:col>
      <xdr:colOff>8474</xdr:colOff>
      <xdr:row>7</xdr:row>
      <xdr:rowOff>179924</xdr:rowOff>
    </xdr:to>
    <xdr:pic>
      <xdr:nvPicPr>
        <xdr:cNvPr id="49" name="Рисунок 4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7619" y="2511644"/>
          <a:ext cx="182880" cy="182880"/>
        </a:xfrm>
        <a:prstGeom prst="rect">
          <a:avLst/>
        </a:prstGeom>
      </xdr:spPr>
    </xdr:pic>
    <xdr:clientData/>
  </xdr:twoCellAnchor>
  <xdr:twoCellAnchor editAs="oneCell">
    <xdr:from>
      <xdr:col>4</xdr:col>
      <xdr:colOff>413618</xdr:colOff>
      <xdr:row>6</xdr:row>
      <xdr:rowOff>375626</xdr:rowOff>
    </xdr:from>
    <xdr:to>
      <xdr:col>4</xdr:col>
      <xdr:colOff>598187</xdr:colOff>
      <xdr:row>6</xdr:row>
      <xdr:rowOff>561109</xdr:rowOff>
    </xdr:to>
    <xdr:pic>
      <xdr:nvPicPr>
        <xdr:cNvPr id="50" name="Рисунок 4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56793" y="2318726"/>
          <a:ext cx="184569" cy="185483"/>
        </a:xfrm>
        <a:prstGeom prst="rect">
          <a:avLst/>
        </a:prstGeom>
      </xdr:spPr>
    </xdr:pic>
    <xdr:clientData/>
  </xdr:twoCellAnchor>
  <xdr:twoCellAnchor editAs="oneCell">
    <xdr:from>
      <xdr:col>12</xdr:col>
      <xdr:colOff>502168</xdr:colOff>
      <xdr:row>6</xdr:row>
      <xdr:rowOff>381457</xdr:rowOff>
    </xdr:from>
    <xdr:to>
      <xdr:col>12</xdr:col>
      <xdr:colOff>685048</xdr:colOff>
      <xdr:row>6</xdr:row>
      <xdr:rowOff>564337</xdr:rowOff>
    </xdr:to>
    <xdr:pic>
      <xdr:nvPicPr>
        <xdr:cNvPr id="51" name="Рисунок 5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655818" y="2324557"/>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400050</xdr:colOff>
          <xdr:row>0</xdr:row>
          <xdr:rowOff>19050</xdr:rowOff>
        </xdr:from>
        <xdr:to>
          <xdr:col>9</xdr:col>
          <xdr:colOff>533400</xdr:colOff>
          <xdr:row>0</xdr:row>
          <xdr:rowOff>257175</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Workers recovery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400050</xdr:colOff>
          <xdr:row>0</xdr:row>
          <xdr:rowOff>19050</xdr:rowOff>
        </xdr:from>
        <xdr:to>
          <xdr:col>14</xdr:col>
          <xdr:colOff>647700</xdr:colOff>
          <xdr:row>0</xdr:row>
          <xdr:rowOff>257175</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Archers recovery</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P43"/>
  <sheetViews>
    <sheetView tabSelected="1" zoomScaleNormal="100" workbookViewId="0"/>
  </sheetViews>
  <sheetFormatPr defaultRowHeight="15" x14ac:dyDescent="0.25"/>
  <cols>
    <col min="1" max="1" width="14.42578125" customWidth="1"/>
    <col min="3" max="3" width="5.42578125" customWidth="1"/>
    <col min="5" max="5" width="14.85546875" customWidth="1"/>
    <col min="6" max="6" width="15.28515625" customWidth="1"/>
    <col min="7" max="7" width="10.85546875" customWidth="1"/>
    <col min="8" max="9" width="9.85546875" customWidth="1"/>
    <col min="10" max="10" width="15.140625" customWidth="1"/>
    <col min="11" max="11" width="18.42578125" customWidth="1"/>
    <col min="12" max="12" width="18" customWidth="1"/>
    <col min="13" max="13" width="17.42578125" style="6" customWidth="1"/>
    <col min="14" max="16" width="9.85546875" customWidth="1"/>
  </cols>
  <sheetData>
    <row r="1" spans="1:16" ht="15.75" thickBot="1" x14ac:dyDescent="0.3">
      <c r="A1" t="s">
        <v>65</v>
      </c>
    </row>
    <row r="2" spans="1:16" ht="28.5" customHeight="1" thickBot="1" x14ac:dyDescent="0.3">
      <c r="B2" s="16" t="s">
        <v>9</v>
      </c>
      <c r="F2" s="14"/>
      <c r="K2" s="13" t="str">
        <f>IF(B19=0,"Houses",IF(B13=0,"Storage",IF(B20=0,"Farm",IF(INDEX(M13:M22,MATCH(INDEX(A13:A24,MATCH(MIN(K13:K24),K13:K24,0)),A13:A22,0))&gt;B13,"Storage",INDEX(A13:A24,MATCH(MIN(K13:K24),K13:K24,0))))))</f>
        <v>Storage</v>
      </c>
    </row>
    <row r="3" spans="1:16" ht="15.75" customHeight="1" x14ac:dyDescent="0.25">
      <c r="B3" s="16"/>
      <c r="F3" s="14"/>
      <c r="K3" s="14"/>
    </row>
    <row r="4" spans="1:16" s="3" customFormat="1" ht="62.25" customHeight="1" thickBot="1" x14ac:dyDescent="0.3">
      <c r="B4" s="42" t="s">
        <v>50</v>
      </c>
      <c r="C4" s="1"/>
      <c r="E4" s="30" t="s">
        <v>39</v>
      </c>
      <c r="F4" s="31" t="s">
        <v>51</v>
      </c>
      <c r="M4" s="31" t="s">
        <v>41</v>
      </c>
    </row>
    <row r="5" spans="1:16" ht="15.75" thickBot="1" x14ac:dyDescent="0.3">
      <c r="A5" s="24" t="s">
        <v>10</v>
      </c>
      <c r="B5" s="23">
        <v>4</v>
      </c>
      <c r="C5" s="25"/>
      <c r="D5" s="24"/>
      <c r="E5" s="28">
        <f>IF(B19&gt;MIN(B20,$B$13),(B19-MIN(B20,$B$13))*10,0)</f>
        <v>0</v>
      </c>
      <c r="F5" s="28">
        <f>E5*60*B5</f>
        <v>0</v>
      </c>
      <c r="G5" s="24"/>
      <c r="H5" s="24"/>
      <c r="I5" s="24"/>
      <c r="J5" s="24"/>
      <c r="K5" s="24"/>
      <c r="L5" s="24"/>
      <c r="M5" s="53">
        <f>IF(E5&gt;0,E13/(E5*60*24),0)</f>
        <v>0</v>
      </c>
    </row>
    <row r="6" spans="1:16" ht="9" customHeight="1" x14ac:dyDescent="0.25">
      <c r="B6" s="21"/>
      <c r="C6" s="6"/>
      <c r="E6" s="20"/>
      <c r="F6" s="20"/>
      <c r="L6" s="6"/>
      <c r="M6"/>
    </row>
    <row r="7" spans="1:16" ht="45" customHeight="1" x14ac:dyDescent="0.25">
      <c r="C7" s="6"/>
      <c r="E7" s="27" t="s">
        <v>22</v>
      </c>
      <c r="L7" s="6"/>
      <c r="M7" s="29" t="s">
        <v>40</v>
      </c>
    </row>
    <row r="8" spans="1:16" x14ac:dyDescent="0.25">
      <c r="A8" s="24" t="s">
        <v>11</v>
      </c>
      <c r="B8" s="26"/>
      <c r="C8" s="25"/>
      <c r="D8" s="24"/>
      <c r="E8" s="28">
        <f>B18*500000</f>
        <v>500000</v>
      </c>
      <c r="F8" s="24"/>
      <c r="G8" s="24"/>
      <c r="H8" s="24"/>
      <c r="I8" s="24"/>
      <c r="J8" s="24"/>
      <c r="K8" s="24"/>
      <c r="L8" s="25"/>
      <c r="M8" s="53">
        <f>E8/(SUM(E18:E22)*60*24)</f>
        <v>6.6773504273504276</v>
      </c>
    </row>
    <row r="9" spans="1:16" s="4" customFormat="1" ht="15.75" customHeight="1" thickBot="1" x14ac:dyDescent="0.3">
      <c r="F9" s="15"/>
      <c r="M9" s="9"/>
    </row>
    <row r="10" spans="1:16" ht="12" customHeight="1" x14ac:dyDescent="0.25">
      <c r="F10" s="14"/>
    </row>
    <row r="11" spans="1:16" x14ac:dyDescent="0.25">
      <c r="G11" s="54" t="s">
        <v>34</v>
      </c>
      <c r="H11" s="54"/>
      <c r="I11" s="54"/>
      <c r="J11" s="54"/>
    </row>
    <row r="12" spans="1:16" ht="45.75" customHeight="1" thickBot="1" x14ac:dyDescent="0.3">
      <c r="B12" s="41" t="s">
        <v>20</v>
      </c>
      <c r="C12" s="6"/>
      <c r="D12" s="6"/>
      <c r="E12" s="32" t="s">
        <v>22</v>
      </c>
      <c r="F12" s="31" t="s">
        <v>36</v>
      </c>
      <c r="G12" s="32" t="s">
        <v>23</v>
      </c>
      <c r="H12" s="32" t="s">
        <v>24</v>
      </c>
      <c r="I12" s="32" t="s">
        <v>25</v>
      </c>
      <c r="J12" s="37" t="s">
        <v>59</v>
      </c>
      <c r="K12" s="37" t="s">
        <v>38</v>
      </c>
      <c r="L12" s="31" t="s">
        <v>26</v>
      </c>
      <c r="M12" s="31" t="s">
        <v>42</v>
      </c>
    </row>
    <row r="13" spans="1:16" ht="15.75" thickBot="1" x14ac:dyDescent="0.3">
      <c r="A13" s="35" t="s">
        <v>12</v>
      </c>
      <c r="B13" s="11">
        <v>1</v>
      </c>
      <c r="C13" s="36" t="s">
        <v>0</v>
      </c>
      <c r="D13" s="38">
        <f>B13+1</f>
        <v>2</v>
      </c>
      <c r="E13" s="33">
        <f>(B13*50+1000)*B13</f>
        <v>1050</v>
      </c>
      <c r="F13" s="39">
        <f>IF(B13&lt;B20,IF(B13&lt;B19,20,5),0)+IF(B13&lt;B21,20,0)+IF(B13&lt;B22,20,0)</f>
        <v>0</v>
      </c>
      <c r="G13" s="33">
        <f>Coeff.!B$10*($D13*($D13-1)*((2*$D13+8)/6+2/$D13)-IF($B13=0,-2,$B13*($B13-1)*((2*$B13+8)/6+2/$B13)))/2</f>
        <v>600</v>
      </c>
      <c r="H13" s="33">
        <f>Coeff.!C$10*($D13*($D13-1)*((2*$D13+8)/6+2/$D13)-IF($B13=0,-2,$B13*($B13-1)*((2*$B13+8)/6+2/$B13)))/2</f>
        <v>300</v>
      </c>
      <c r="I13" s="33">
        <f>Coeff.!D$10*($D13*($D13-1)*((2*$D13+8)/6+2/$D13)-IF($B13=0,-2,$B13*($B13-1)*((2*$B13+8)/6+2/$B13)))/2</f>
        <v>300</v>
      </c>
      <c r="J13" s="34">
        <f>G13+(H13+I13)*2</f>
        <v>1800</v>
      </c>
      <c r="K13" s="52">
        <f>IF(F13&gt;0,(J13/(F13*60*24)),9999)</f>
        <v>9999</v>
      </c>
      <c r="L13" s="53">
        <f>J13/(SUM($E$18:$E$22)*60*24)</f>
        <v>2.403846153846154E-2</v>
      </c>
      <c r="M13" s="53">
        <f>E13/((MAX(B20-B19,B21,B22)*10)*60*24)</f>
        <v>7.2916666666666671E-2</v>
      </c>
    </row>
    <row r="14" spans="1:16" s="4" customFormat="1" ht="15.75" thickBot="1" x14ac:dyDescent="0.3">
      <c r="J14" s="7"/>
      <c r="M14" s="9"/>
    </row>
    <row r="16" spans="1:16" ht="15" customHeight="1" x14ac:dyDescent="0.25">
      <c r="G16" s="55" t="s">
        <v>34</v>
      </c>
      <c r="H16" s="55"/>
      <c r="I16" s="55"/>
      <c r="J16" s="55"/>
      <c r="N16" s="54" t="s">
        <v>35</v>
      </c>
      <c r="O16" s="54"/>
      <c r="P16" s="54"/>
    </row>
    <row r="17" spans="1:16" s="3" customFormat="1" ht="45.75" customHeight="1" thickBot="1" x14ac:dyDescent="0.3">
      <c r="B17" s="40" t="s">
        <v>20</v>
      </c>
      <c r="C17" s="1"/>
      <c r="D17" s="1"/>
      <c r="E17" s="31" t="s">
        <v>21</v>
      </c>
      <c r="F17" s="31" t="s">
        <v>36</v>
      </c>
      <c r="G17" s="30" t="s">
        <v>23</v>
      </c>
      <c r="H17" s="30" t="s">
        <v>24</v>
      </c>
      <c r="I17" s="30" t="s">
        <v>25</v>
      </c>
      <c r="J17" s="37" t="s">
        <v>59</v>
      </c>
      <c r="K17" s="37" t="s">
        <v>38</v>
      </c>
      <c r="L17" s="31" t="s">
        <v>26</v>
      </c>
      <c r="M17" s="30" t="s">
        <v>37</v>
      </c>
      <c r="N17" s="30" t="s">
        <v>23</v>
      </c>
      <c r="O17" s="30" t="s">
        <v>24</v>
      </c>
      <c r="P17" s="30" t="s">
        <v>25</v>
      </c>
    </row>
    <row r="18" spans="1:16" ht="15.75" thickBot="1" x14ac:dyDescent="0.3">
      <c r="A18" s="35" t="s">
        <v>11</v>
      </c>
      <c r="B18" s="10">
        <v>1</v>
      </c>
      <c r="C18" s="36" t="s">
        <v>0</v>
      </c>
      <c r="D18" s="8">
        <f>B18+1</f>
        <v>2</v>
      </c>
      <c r="E18" s="58">
        <f>B19*10+B19*B18*2</f>
        <v>12</v>
      </c>
      <c r="F18" s="32">
        <f>B19*2</f>
        <v>2</v>
      </c>
      <c r="G18" s="33">
        <f>Coeff.!B$6*($D18*($D18-1)*((2*$D18+8)/6+2/$D18)-IF($B18=0,-2,$B18*($B18-1)*((2*$B18+8)/6+2/$B18)))/2</f>
        <v>1500</v>
      </c>
      <c r="H18" s="33">
        <f>Coeff.!C$6*($D18*($D18-1)*((2*$D18+8)/6+2/$D18)-IF($B18=0,-2,$B18*($B18-1)*((2*$B18+8)/6+2/$B18)))/2</f>
        <v>600</v>
      </c>
      <c r="I18" s="33">
        <f>Coeff.!D$6*($D18*($D18-1)*((2*$D18+8)/6+2/$D18)-IF($B18=0,-2,$B18*($B18-1)*((2*$B18+8)/6+2/$B18)))/2</f>
        <v>600</v>
      </c>
      <c r="J18" s="34">
        <f>G18+(H18+I18)*2+N18+(O18+P18)*2</f>
        <v>3900</v>
      </c>
      <c r="K18" s="52">
        <f>IF(F18&gt;0,(J18/(F18*60*24)),9999)</f>
        <v>1.3541666666666667</v>
      </c>
      <c r="L18" s="53">
        <f>J18/(SUM($E$18:$E$22)*60*24)</f>
        <v>5.2083333333333336E-2</v>
      </c>
      <c r="M18" s="32">
        <f>ROUNDUP(SQRT(Coeff.!C$6*(($D18-1)*($D18-1)+3*($D18-1)+2)/100+100)-10,0)</f>
        <v>1</v>
      </c>
      <c r="N18" s="33">
        <f>IF($M18&gt;$B$13,Coeff.!B$10*($M18*($M18-1)*((2*$M18+8)/6+2/$M18)-IF($B$13=0,-2,$B$13*($B$13-1)*((2*$B$13+8)/6+2/$B$13)))/2,0)</f>
        <v>0</v>
      </c>
      <c r="O18" s="33">
        <f>IF($M18&gt;$B$13,Coeff.!C$10*($M18*($M18-1)*((2*$M18+8)/6+2/$M18)-IF($B$13=0,-2,$B$13*($B$13-1)*((2*$B$13+8)/6+2/$B$13)))/2,0)</f>
        <v>0</v>
      </c>
      <c r="P18" s="33">
        <f>IF($M18&gt;$B$13,Coeff.!D$10*($M18*($M18-1)*((2*$M18+8)/6+2/$M18)-IF($B$13=0,-2,$B$13*($B$13-1)*((2*$B$13+8)/6+2/$B$13)))/2,0)</f>
        <v>0</v>
      </c>
    </row>
    <row r="19" spans="1:16" ht="15.75" thickBot="1" x14ac:dyDescent="0.3">
      <c r="A19" s="35" t="s">
        <v>13</v>
      </c>
      <c r="B19" s="10">
        <v>1</v>
      </c>
      <c r="C19" s="36" t="s">
        <v>0</v>
      </c>
      <c r="D19" s="8">
        <f>B19+1</f>
        <v>2</v>
      </c>
      <c r="E19" s="58"/>
      <c r="F19" s="32">
        <f>10+B18*2-IF(B20&gt;B19,5,20)</f>
        <v>-8</v>
      </c>
      <c r="G19" s="33">
        <f>Coeff.!B$5*($D19*($D19-1)*((2*$D19+8)/6+2/$D19)-IF($B19=0,-2,$B19*($B19-1)*((2*$B19+8)/6+2/$B19)))/2</f>
        <v>600</v>
      </c>
      <c r="H19" s="33">
        <f>Coeff.!C$5*($D19*($D19-1)*((2*$D19+8)/6+2/$D19)-IF($B19=0,-2,$B19*($B19-1)*((2*$B19+8)/6+2/$B19)))/2</f>
        <v>300</v>
      </c>
      <c r="I19" s="33">
        <f>Coeff.!D$5*($D19*($D19-1)*((2*$D19+8)/6+2/$D19)-IF($B19=0,-2,$B19*($B19-1)*((2*$B19+8)/6+2/$B19)))/2</f>
        <v>300</v>
      </c>
      <c r="J19" s="34">
        <f>G19+(H19+I19)*2+N19+(O19+P19)*2</f>
        <v>1800</v>
      </c>
      <c r="K19" s="52">
        <f>IF(F19&gt;0,(J19/(F19*60*24)),9999)</f>
        <v>9999</v>
      </c>
      <c r="L19" s="53">
        <f>J19/(SUM($E$18:$E$22)*60*24)</f>
        <v>2.403846153846154E-2</v>
      </c>
      <c r="M19" s="32">
        <f>ROUNDUP(SQRT(Coeff.!C$5*(($D19-1)*($D19-1)+3*($D19-1)+2)/100+100)-10,0)</f>
        <v>1</v>
      </c>
      <c r="N19" s="33">
        <f>IF($M19&gt;$B$13,Coeff.!B$10*($M19*($M19-1)*((2*$M19+8)/6+2/$M19)-IF($B$13=0,-2,$B$13*($B$13-1)*((2*$B$13+8)/6+2/$B$13)))/2,0)</f>
        <v>0</v>
      </c>
      <c r="O19" s="33">
        <f>IF($M19&gt;$B$13,Coeff.!C$10*($M19*($M19-1)*((2*$M19+8)/6+2/$M19)-IF($B$13=0,-2,$B$13*($B$13-1)*((2*$B$13+8)/6+2/$B$13)))/2,0)</f>
        <v>0</v>
      </c>
      <c r="P19" s="33">
        <f>IF($M19&gt;$B$13,Coeff.!D$10*($M19*($M19-1)*((2*$M19+8)/6+2/$M19)-IF($B$13=0,-2,$B$13*($B$13-1)*((2*$B$13+8)/6+2/$B$13)))/2,0)</f>
        <v>0</v>
      </c>
    </row>
    <row r="20" spans="1:16" ht="15.75" thickBot="1" x14ac:dyDescent="0.3">
      <c r="A20" s="35" t="s">
        <v>14</v>
      </c>
      <c r="B20" s="10">
        <v>1</v>
      </c>
      <c r="C20" s="36" t="s">
        <v>0</v>
      </c>
      <c r="D20" s="8">
        <f>B20+1</f>
        <v>2</v>
      </c>
      <c r="E20" s="28">
        <f>(MIN(B20,$B$13)-B19)*IF(MIN(B20,$B$13)&gt;B19,5,20)</f>
        <v>0</v>
      </c>
      <c r="F20" s="32">
        <f>IF(B20&lt;$B$13,IF(B20&gt;=B19,5,20),0)</f>
        <v>0</v>
      </c>
      <c r="G20" s="33">
        <f>Coeff.!B$4*($D20*($D20-1)*((2*$D20+8)/6+2/$D20)-IF($B20=0,-2,$B20*($B20-1)*((2*$B20+8)/6+2/$B20)))/2</f>
        <v>300</v>
      </c>
      <c r="H20" s="33">
        <f>Coeff.!C$4*($D20*($D20-1)*((2*$D20+8)/6+2/$D20)-IF($B20=0,-2,$B20*($B20-1)*((2*$B20+8)/6+2/$B20)))/2</f>
        <v>150</v>
      </c>
      <c r="I20" s="33">
        <f>Coeff.!D$4*($D20*($D20-1)*((2*$D20+8)/6+2/$D20)-IF($B20=0,-2,$B20*($B20-1)*((2*$B20+8)/6+2/$B20)))/2</f>
        <v>150</v>
      </c>
      <c r="J20" s="34">
        <f>G20+(H20+I20)*2+N20+(O20+P20)*2</f>
        <v>900</v>
      </c>
      <c r="K20" s="52">
        <f>IF(F20&gt;0,(J20/(F20*60*24)),9999)</f>
        <v>9999</v>
      </c>
      <c r="L20" s="53">
        <f>J20/(SUM($E$18:$E$22)*60*24)</f>
        <v>1.201923076923077E-2</v>
      </c>
      <c r="M20" s="32">
        <f>ROUNDUP(SQRT(Coeff.!C$4*(($D20-1)*($D20-1)+3*($D20-1)+2)/100+100)-10,0)</f>
        <v>1</v>
      </c>
      <c r="N20" s="33">
        <f>IF($M20&gt;$B$13,Coeff.!B$10*($M20*($M20-1)*((2*$M20+8)/6+2/$M20)-IF($B$13=0,-2,$B$13*($B$13-1)*((2*$B$13+8)/6+2/$B$13)))/2,0)</f>
        <v>0</v>
      </c>
      <c r="O20" s="33">
        <f>IF($M20&gt;$B$13,Coeff.!C$10*($M20*($M20-1)*((2*$M20+8)/6+2/$M20)-IF($B$13=0,-2,$B$13*($B$13-1)*((2*$B$13+8)/6+2/$B$13)))/2,0)</f>
        <v>0</v>
      </c>
      <c r="P20" s="33">
        <f>IF($M20&gt;$B$13,Coeff.!D$10*($M20*($M20-1)*((2*$M20+8)/6+2/$M20)-IF($B$13=0,-2,$B$13*($B$13-1)*((2*$B$13+8)/6+2/$B$13)))/2,0)</f>
        <v>0</v>
      </c>
    </row>
    <row r="21" spans="1:16" ht="15.75" thickBot="1" x14ac:dyDescent="0.3">
      <c r="A21" s="35" t="s">
        <v>15</v>
      </c>
      <c r="B21" s="10">
        <v>1</v>
      </c>
      <c r="C21" s="36" t="s">
        <v>0</v>
      </c>
      <c r="D21" s="8">
        <f>B21+1</f>
        <v>2</v>
      </c>
      <c r="E21" s="28">
        <f>MIN(B21,$B$13)*20</f>
        <v>20</v>
      </c>
      <c r="F21" s="32">
        <f>IF(B21&lt;$B$13,IF($E$18/D21&lt;20,5,20),0)</f>
        <v>0</v>
      </c>
      <c r="G21" s="33">
        <f>Coeff.!B$2*($D21*($D21-1)*((2*$D21+8)/6+2/$D21)-IF($B21=0,-2,$B21*($B21-1)*((2*$B21+8)/6+2/$B21)))/2</f>
        <v>300</v>
      </c>
      <c r="H21" s="33">
        <f>Coeff.!C$2*($D21*($D21-1)*((2*$D21+8)/6+2/$D21)-IF($B21=0,-2,$B21*($B21-1)*((2*$B21+8)/6+2/$B21)))/2</f>
        <v>150</v>
      </c>
      <c r="I21" s="33">
        <f>Coeff.!D$2*($D21*($D21-1)*((2*$D21+8)/6+2/$D21)-IF($B21=0,-2,$B21*($B21-1)*((2*$B21+8)/6+2/$B21)))/2</f>
        <v>150</v>
      </c>
      <c r="J21" s="34">
        <f>G21+(H21+I21)*2+N21+(O21+P21)*2</f>
        <v>900</v>
      </c>
      <c r="K21" s="52">
        <f>IF(F21&gt;0,(J21/(F21*60*24)),9999)</f>
        <v>9999</v>
      </c>
      <c r="L21" s="53">
        <f>J21/(SUM($E$18:$E$22)*60*24)</f>
        <v>1.201923076923077E-2</v>
      </c>
      <c r="M21" s="32">
        <f>ROUNDUP(SQRT(Coeff.!C$2*(($D21-1)*($D21-1)+3*($D21-1)+2)/100+100)-10,0)</f>
        <v>1</v>
      </c>
      <c r="N21" s="33">
        <f>IF($M21&gt;$B$13,Coeff.!B$10*($M21*($M21-1)*((2*$M21+8)/6+2/$M21)-IF($B$13=0,-2,$B$13*($B$13-1)*((2*$B$13+8)/6+2/$B$13)))/2,0)</f>
        <v>0</v>
      </c>
      <c r="O21" s="33">
        <f>IF($M21&gt;$B$13,Coeff.!C$10*($M21*($M21-1)*((2*$M21+8)/6+2/$M21)-IF($B$13=0,-2,$B$13*($B$13-1)*((2*$B$13+8)/6+2/$B$13)))/2,0)</f>
        <v>0</v>
      </c>
      <c r="P21" s="33">
        <f>IF($M21&gt;$B$13,Coeff.!D$10*($M21*($M21-1)*((2*$M21+8)/6+2/$M21)-IF($B$13=0,-2,$B$13*($B$13-1)*((2*$B$13+8)/6+2/$B$13)))/2,0)</f>
        <v>0</v>
      </c>
    </row>
    <row r="22" spans="1:16" ht="15.75" thickBot="1" x14ac:dyDescent="0.3">
      <c r="A22" s="35" t="s">
        <v>16</v>
      </c>
      <c r="B22" s="10">
        <v>1</v>
      </c>
      <c r="C22" s="36" t="s">
        <v>0</v>
      </c>
      <c r="D22" s="8">
        <f>B22+1</f>
        <v>2</v>
      </c>
      <c r="E22" s="28">
        <f>MIN(B22,$B$13)*20</f>
        <v>20</v>
      </c>
      <c r="F22" s="32">
        <f>IF(B22&lt;$B$13,IF($E$18/D22&lt;20,5,20),0)</f>
        <v>0</v>
      </c>
      <c r="G22" s="33">
        <f>Coeff.!B$3*($D22*($D22-1)*((2*$D22+8)/6+2/$D22)-IF($B22=0,-2,$B22*($B22-1)*((2*$B22+8)/6+2/$B22)))/2</f>
        <v>300</v>
      </c>
      <c r="H22" s="33">
        <f>Coeff.!C$3*($D22*($D22-1)*((2*$D22+8)/6+2/$D22)-IF($B22=0,-2,$B22*($B22-1)*((2*$B22+8)/6+2/$B22)))/2</f>
        <v>150</v>
      </c>
      <c r="I22" s="33">
        <f>Coeff.!D$3*($D22*($D22-1)*((2*$D22+8)/6+2/$D22)-IF($B22=0,-2,$B22*($B22-1)*((2*$B22+8)/6+2/$B22)))/2</f>
        <v>150</v>
      </c>
      <c r="J22" s="34">
        <f>G22+(H22+I22)*2+N22+(O22+P22)*2</f>
        <v>900</v>
      </c>
      <c r="K22" s="52">
        <f>IF(F22&gt;0,(J22/(F22*60*24)),9999)</f>
        <v>9999</v>
      </c>
      <c r="L22" s="53">
        <f>J22/(SUM($E$18:$E$22)*60*24)</f>
        <v>1.201923076923077E-2</v>
      </c>
      <c r="M22" s="32">
        <f>ROUNDUP(SQRT(Coeff.!C$3*(($D22-1)*($D22-1)+3*($D22-1)+2)/100+100)-10,0)</f>
        <v>1</v>
      </c>
      <c r="N22" s="33">
        <f>IF($M22&gt;$B$13,Coeff.!B$10*($M22*($M22-1)*((2*$M22+8)/6+2/$M22)-IF($B$13=0,-2,$B$13*($B$13-1)*((2*$B$13+8)/6+2/$B$13)))/2,0)</f>
        <v>0</v>
      </c>
      <c r="O22" s="33">
        <f>IF($M22&gt;$B$13,Coeff.!C$10*($M22*($M22-1)*((2*$M22+8)/6+2/$M22)-IF($B$13=0,-2,$B$13*($B$13-1)*((2*$B$13+8)/6+2/$B$13)))/2,0)</f>
        <v>0</v>
      </c>
      <c r="P22" s="33">
        <f>IF($M22&gt;$B$13,Coeff.!D$10*($M22*($M22-1)*((2*$M22+8)/6+2/$M22)-IF($B$13=0,-2,$B$13*($B$13-1)*((2*$B$13+8)/6+2/$B$13)))/2,0)</f>
        <v>0</v>
      </c>
    </row>
    <row r="23" spans="1:16" x14ac:dyDescent="0.25">
      <c r="B23" s="57" t="s">
        <v>33</v>
      </c>
      <c r="C23" s="57"/>
      <c r="D23" s="57"/>
      <c r="E23" s="57"/>
      <c r="F23" s="2"/>
      <c r="J23" s="2"/>
      <c r="K23" s="6"/>
      <c r="L23" s="2"/>
    </row>
    <row r="24" spans="1:16" x14ac:dyDescent="0.25">
      <c r="A24" t="str">
        <f>INDEX(Advanced!A2:F6,MATCH(MIN(Advanced!D2:D6),Advanced!D2:D6,0),6)</f>
        <v>Storage</v>
      </c>
      <c r="B24" s="56" t="str">
        <f>INDEX(Advanced!A2:F6,MATCH(MIN(Advanced!D2:D6),Advanced!D2:D6,0),1)</f>
        <v>Storage + Houses + Farm</v>
      </c>
      <c r="C24" s="56"/>
      <c r="D24" s="56"/>
      <c r="E24" s="56"/>
      <c r="F24" s="2">
        <f>INDEX(Advanced!A2:F6,MATCH(MIN(Advanced!D2:D6),Advanced!D2:D6,0),3)</f>
        <v>12</v>
      </c>
      <c r="J24" s="22">
        <f>INDEX(Advanced!A2:F6,MATCH(MIN(Advanced!D2:D6),Advanced!D2:D6,0),2)</f>
        <v>4500</v>
      </c>
      <c r="K24" s="52">
        <f>IF(F24&gt;0,(J24/(F24*60*24)),9999)</f>
        <v>0.26041666666666669</v>
      </c>
      <c r="L24" s="53">
        <f>INDEX(Advanced!A2:F6,MATCH(MIN(Advanced!D2:D6),Advanced!D2:D6,0),5)</f>
        <v>6.0096153846153848E-2</v>
      </c>
    </row>
    <row r="25" spans="1:16" x14ac:dyDescent="0.25">
      <c r="B25" s="2"/>
      <c r="C25" s="2"/>
      <c r="D25" s="2"/>
      <c r="E25" s="2"/>
      <c r="F25" s="2"/>
      <c r="J25" s="2"/>
      <c r="K25" s="6"/>
      <c r="L25" s="2"/>
    </row>
    <row r="26" spans="1:16" x14ac:dyDescent="0.25">
      <c r="A26" t="s">
        <v>64</v>
      </c>
    </row>
    <row r="27" spans="1:16" x14ac:dyDescent="0.25">
      <c r="A27" t="s">
        <v>63</v>
      </c>
    </row>
    <row r="28" spans="1:16" x14ac:dyDescent="0.25">
      <c r="A28" t="s">
        <v>60</v>
      </c>
    </row>
    <row r="29" spans="1:16" s="4" customFormat="1" ht="15.75" thickBot="1" x14ac:dyDescent="0.3">
      <c r="M29" s="9"/>
    </row>
    <row r="31" spans="1:16" x14ac:dyDescent="0.25">
      <c r="G31" s="54" t="s">
        <v>34</v>
      </c>
      <c r="H31" s="54"/>
      <c r="I31" s="54"/>
      <c r="J31" s="54"/>
      <c r="N31" s="54" t="s">
        <v>35</v>
      </c>
      <c r="O31" s="54"/>
      <c r="P31" s="54"/>
    </row>
    <row r="32" spans="1:16" ht="45" customHeight="1" thickBot="1" x14ac:dyDescent="0.3">
      <c r="B32" s="40" t="s">
        <v>20</v>
      </c>
      <c r="C32" s="1"/>
      <c r="D32" s="1"/>
      <c r="E32" s="31" t="s">
        <v>56</v>
      </c>
      <c r="F32" s="30" t="s">
        <v>57</v>
      </c>
      <c r="G32" s="32" t="s">
        <v>23</v>
      </c>
      <c r="H32" s="32" t="s">
        <v>24</v>
      </c>
      <c r="I32" s="32" t="s">
        <v>25</v>
      </c>
      <c r="J32" s="37" t="s">
        <v>59</v>
      </c>
      <c r="K32" s="30" t="s">
        <v>58</v>
      </c>
      <c r="L32" s="31" t="s">
        <v>26</v>
      </c>
      <c r="M32" s="30" t="s">
        <v>37</v>
      </c>
      <c r="N32" s="30" t="s">
        <v>23</v>
      </c>
      <c r="O32" s="30" t="s">
        <v>24</v>
      </c>
      <c r="P32" s="30" t="s">
        <v>25</v>
      </c>
    </row>
    <row r="33" spans="1:16" ht="15.75" thickBot="1" x14ac:dyDescent="0.3">
      <c r="A33" s="35" t="s">
        <v>18</v>
      </c>
      <c r="B33" s="12">
        <v>0</v>
      </c>
      <c r="C33" s="36" t="s">
        <v>0</v>
      </c>
      <c r="D33" s="8">
        <f>B33+1</f>
        <v>1</v>
      </c>
      <c r="E33" s="39">
        <f>B33*40</f>
        <v>0</v>
      </c>
      <c r="F33" s="39">
        <f>($D$33-$B$33)*40</f>
        <v>40</v>
      </c>
      <c r="G33" s="33">
        <f>Coeff.!B$7*($D33*($D33-1)*((2*$D33+8)/6+2/$D33)-IF($B33=0,-2,$B33*($B33-1)*((2*$B33+8)/6+2/$B33)))/2</f>
        <v>200</v>
      </c>
      <c r="H33" s="33">
        <f>Coeff.!C$7*($D33*($D33-1)*((2*$D33+8)/6+2/$D33)-IF($B33=0,-2,$B33*($B33-1)*((2*$B33+8)/6+2/$B33)))/2</f>
        <v>100</v>
      </c>
      <c r="I33" s="33">
        <f>Coeff.!D$7*($D33*($D33-1)*((2*$D33+8)/6+2/$D33)-IF($B33=0,-2,$B33*($B33-1)*((2*$B33+8)/6+2/$B33)))/2</f>
        <v>100</v>
      </c>
      <c r="J33" s="34">
        <f>G33+(H33+I33)*2+N33+(O33+P33)*2</f>
        <v>600</v>
      </c>
      <c r="K33" s="33">
        <f>ROUND(J33/F33,0)</f>
        <v>15</v>
      </c>
      <c r="L33" s="53">
        <f>J33/(SUM($E$18:$E$22)*60*24)</f>
        <v>8.0128205128205121E-3</v>
      </c>
      <c r="M33" s="32">
        <f>ROUNDUP(SQRT(Coeff.!C$7*(($D33-1)*($D33-1)+3*($D33-1)+2)/100+100)-10,0)</f>
        <v>1</v>
      </c>
      <c r="N33" s="33">
        <f>IF($M33&gt;$B$13,Coeff.!B$10*($M33*($M33-1)*((2*$M33+8)/6+2/$M33)-IF($B$13=0,-2,$B$13*($B$13-1)*((2*$B$13+8)/6+2/$B$13)))/2,0)</f>
        <v>0</v>
      </c>
      <c r="O33" s="33">
        <f>IF($M33&gt;$B$13,Coeff.!C$10*($M33*($M33-1)*((2*$M33+8)/6+2/$M33)-IF($B$13=0,-2,$B$13*($B$13-1)*((2*$B$13+8)/6+2/$B$13)))/2,0)</f>
        <v>0</v>
      </c>
      <c r="P33" s="33">
        <f>IF($M33&gt;$B$13,Coeff.!D$10*($M33*($M33-1)*((2*$M33+8)/6+2/$M33)-IF($B$13=0,-2,$B$13*($B$13-1)*((2*$B$13+8)/6+2/$B$13)))/2,0)</f>
        <v>0</v>
      </c>
    </row>
    <row r="34" spans="1:16" ht="15.75" thickBot="1" x14ac:dyDescent="0.3">
      <c r="A34" s="35" t="s">
        <v>17</v>
      </c>
      <c r="B34" s="12">
        <v>0</v>
      </c>
      <c r="C34" s="36" t="s">
        <v>0</v>
      </c>
      <c r="D34" s="8">
        <f>B34+2</f>
        <v>2</v>
      </c>
      <c r="E34" s="39">
        <f>ROUND($B34*10*((40+1.2*ROUNDDOWN($B34/2,0))/(100+ROUNDDOWN($B34/2,0)))*5+$E$33*((100+1.5*ROUNDDOWN($B34/2,0))/(100+ROUNDDOWN($B34/2,0))),0)</f>
        <v>0</v>
      </c>
      <c r="F34" s="43">
        <f>ROUND($D34*10*((40+1.2*ROUNDDOWN($D34/2,0))/(100+ROUNDDOWN($D34/2,0)))*5+$E$33*((100+1.5*ROUNDDOWN($D34/2,0))/(100+ROUNDDOWN($D34/2,0))),0)-E34</f>
        <v>41</v>
      </c>
      <c r="G34" s="33">
        <f>Coeff.!B$8*($D34*($D34-1)*((2*$D34+8)/6+2/$D34)-IF($B34=0,-2,$B34*($B34-1)*((2*$B34+8)/6+2/$B34)))/2</f>
        <v>20000</v>
      </c>
      <c r="H34" s="33">
        <f>Coeff.!C$8*($D34*($D34-1)*((2*$D34+8)/6+2/$D34)-IF($B34=0,-2,$B34*($B34-1)*((2*$B34+8)/6+2/$B34)))/2</f>
        <v>2000</v>
      </c>
      <c r="I34" s="33">
        <f>Coeff.!D$8*($D34*($D34-1)*((2*$D34+8)/6+2/$D34)-IF($B34=0,-2,$B34*($B34-1)*((2*$B34+8)/6+2/$B34)))/2</f>
        <v>6000</v>
      </c>
      <c r="J34" s="34">
        <f>G34+(H34+I34)*2+N34+(O34+P34)*2</f>
        <v>47400</v>
      </c>
      <c r="K34" s="33">
        <f>ROUND(J34/F34,0)</f>
        <v>1156</v>
      </c>
      <c r="L34" s="53">
        <f>J34/(SUM($E$18:$E$22)*60*24)</f>
        <v>0.63301282051282048</v>
      </c>
      <c r="M34" s="32">
        <f>ROUNDUP(SQRT(Coeff.!D$8*(($D34-1)*($D34-1)+3*($D34-1)+2)/100+100)-10,0)</f>
        <v>4</v>
      </c>
      <c r="N34" s="33">
        <f>IF($M34&gt;$B$13,Coeff.!B$10*($M34*($M34-1)*((2*$M34+8)/6+2/$M34)-IF($B$13=0,-2,$B$13*($B$13-1)*((2*$B$13+8)/6+2/$B$13)))/2,0)</f>
        <v>3800</v>
      </c>
      <c r="O34" s="33">
        <f>IF($M34&gt;$B$13,Coeff.!C$10*($M34*($M34-1)*((2*$M34+8)/6+2/$M34)-IF($B$13=0,-2,$B$13*($B$13-1)*((2*$B$13+8)/6+2/$B$13)))/2,0)</f>
        <v>1900</v>
      </c>
      <c r="P34" s="33">
        <f>IF($M34&gt;$B$13,Coeff.!D$10*($M34*($M34-1)*((2*$M34+8)/6+2/$M34)-IF($B$13=0,-2,$B$13*($B$13-1)*((2*$B$13+8)/6+2/$B$13)))/2,0)</f>
        <v>1900</v>
      </c>
    </row>
    <row r="35" spans="1:16" ht="15.75" thickBot="1" x14ac:dyDescent="0.3">
      <c r="A35" s="35" t="s">
        <v>19</v>
      </c>
      <c r="B35" s="12">
        <v>0</v>
      </c>
      <c r="C35" s="36" t="s">
        <v>0</v>
      </c>
      <c r="D35" s="8">
        <f>B35+2</f>
        <v>2</v>
      </c>
      <c r="E35" s="43">
        <f>ROUND($E$33*(2*(50+ROUNDDOWN($B35/2,0))/(100+ROUNDDOWN($B35/2,0))),0)</f>
        <v>0</v>
      </c>
      <c r="F35" s="43">
        <f>ROUND($E$33*(2*(50+ROUNDDOWN($D35/2,0))/(100+ROUNDDOWN($D35/2,0))),0)-E35</f>
        <v>0</v>
      </c>
      <c r="G35" s="33">
        <f>Coeff.!B$9*($D35*($D35-1)*((2*$D35+8)/6+2/$D35)-IF($B35=0,-2,$B35*($B35-1)*((2*$B35+8)/6+2/$B35)))/2</f>
        <v>32000</v>
      </c>
      <c r="H35" s="33">
        <f>Coeff.!C$9*($D35*($D35-1)*((2*$D35+8)/6+2/$D35)-IF($B35=0,-2,$B35*($B35-1)*((2*$B35+8)/6+2/$B35)))/2</f>
        <v>4000</v>
      </c>
      <c r="I35" s="33">
        <f>Coeff.!D$9*($D35*($D35-1)*((2*$D35+8)/6+2/$D35)-IF($B35=0,-2,$B35*($B35-1)*((2*$B35+8)/6+2/$B35)))/2</f>
        <v>1200</v>
      </c>
      <c r="J35" s="34">
        <f>G35+(H35+I35)*2+N35+(O35+P35)*2</f>
        <v>47800</v>
      </c>
      <c r="K35" s="33" t="e">
        <f>ROUND(J35/F35,0)</f>
        <v>#DIV/0!</v>
      </c>
      <c r="L35" s="53">
        <f>J35/(SUM($E$18:$E$22)*60*24)</f>
        <v>0.63835470085470081</v>
      </c>
      <c r="M35" s="32">
        <f>ROUNDUP(SQRT(Coeff.!C$9*(($D35-1)*($D35-1)+3*($D35-1)+2)/100+100)-10,0)</f>
        <v>3</v>
      </c>
      <c r="N35" s="33">
        <f>IF($M35&gt;$B$13,Coeff.!B$10*($M35*($M35-1)*((2*$M35+8)/6+2/$M35)-IF($B$13=0,-2,$B$13*($B$13-1)*((2*$B$13+8)/6+2/$B$13)))/2,0)</f>
        <v>1800</v>
      </c>
      <c r="O35" s="33">
        <f>IF($M35&gt;$B$13,Coeff.!C$10*($M35*($M35-1)*((2*$M35+8)/6+2/$M35)-IF($B$13=0,-2,$B$13*($B$13-1)*((2*$B$13+8)/6+2/$B$13)))/2,0)</f>
        <v>900</v>
      </c>
      <c r="P35" s="33">
        <f>IF($M35&gt;$B$13,Coeff.!D$10*($M35*($M35-1)*((2*$M35+8)/6+2/$M35)-IF($B$13=0,-2,$B$13*($B$13-1)*((2*$B$13+8)/6+2/$B$13)))/2,0)</f>
        <v>900</v>
      </c>
    </row>
    <row r="37" spans="1:16" x14ac:dyDescent="0.25">
      <c r="A37" t="s">
        <v>61</v>
      </c>
    </row>
    <row r="38" spans="1:16" x14ac:dyDescent="0.25">
      <c r="A38" t="s">
        <v>62</v>
      </c>
    </row>
    <row r="39" spans="1:16" x14ac:dyDescent="0.25">
      <c r="A39" t="s">
        <v>60</v>
      </c>
    </row>
    <row r="40" spans="1:16" x14ac:dyDescent="0.25">
      <c r="J40" s="5"/>
    </row>
    <row r="41" spans="1:16" x14ac:dyDescent="0.25">
      <c r="J41" s="5"/>
    </row>
    <row r="43" spans="1:16" x14ac:dyDescent="0.25">
      <c r="F43" s="44"/>
    </row>
  </sheetData>
  <mergeCells count="8">
    <mergeCell ref="B24:E24"/>
    <mergeCell ref="B23:E23"/>
    <mergeCell ref="E18:E19"/>
    <mergeCell ref="G11:J11"/>
    <mergeCell ref="G16:J16"/>
    <mergeCell ref="G31:J31"/>
    <mergeCell ref="N16:P16"/>
    <mergeCell ref="N31:P31"/>
  </mergeCells>
  <conditionalFormatting sqref="H18:I22 H33:I35">
    <cfRule type="cellIs" dxfId="1" priority="12" operator="greaterThan">
      <formula>$E$13</formula>
    </cfRule>
  </conditionalFormatting>
  <conditionalFormatting sqref="M33:M35 M18:M22">
    <cfRule type="cellIs" dxfId="0" priority="4" operator="greaterThan">
      <formula>$B$13</formula>
    </cfRule>
  </conditionalFormatting>
  <conditionalFormatting sqref="K18:K22 K13 K24">
    <cfRule type="colorScale" priority="21">
      <colorScale>
        <cfvo type="min"/>
        <cfvo type="percentile" val="30"/>
        <cfvo type="max"/>
        <color rgb="FF63BE7B"/>
        <color rgb="FFFFEB84"/>
        <color rgb="FFF8696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1"/>
  <dimension ref="A1:U9"/>
  <sheetViews>
    <sheetView workbookViewId="0"/>
  </sheetViews>
  <sheetFormatPr defaultRowHeight="15" x14ac:dyDescent="0.25"/>
  <cols>
    <col min="1" max="1" width="11" customWidth="1"/>
    <col min="2" max="2" width="10.140625" customWidth="1"/>
    <col min="3" max="3" width="5.140625" customWidth="1"/>
    <col min="4" max="5" width="10.140625" customWidth="1"/>
    <col min="8" max="11" width="11.28515625" customWidth="1"/>
    <col min="12" max="12" width="5.28515625" customWidth="1"/>
    <col min="13" max="16" width="10.42578125" customWidth="1"/>
    <col min="18" max="21" width="14" style="3" hidden="1" customWidth="1"/>
  </cols>
  <sheetData>
    <row r="1" spans="1:21" ht="21" customHeight="1" x14ac:dyDescent="0.25">
      <c r="I1" s="49" t="b">
        <v>1</v>
      </c>
      <c r="N1" s="49" t="b">
        <v>1</v>
      </c>
      <c r="R1" s="3" t="s">
        <v>7</v>
      </c>
      <c r="T1" s="3" t="s">
        <v>8</v>
      </c>
    </row>
    <row r="2" spans="1:21" x14ac:dyDescent="0.25">
      <c r="A2" s="59" t="s">
        <v>43</v>
      </c>
      <c r="B2" s="59"/>
      <c r="C2" s="32" t="s">
        <v>2</v>
      </c>
      <c r="D2" s="60" t="s">
        <v>44</v>
      </c>
      <c r="E2" s="60"/>
      <c r="H2" s="61" t="s">
        <v>43</v>
      </c>
      <c r="I2" s="61"/>
      <c r="J2" s="61"/>
      <c r="K2" s="61"/>
      <c r="L2" s="6" t="s">
        <v>2</v>
      </c>
      <c r="M2" s="62" t="s">
        <v>44</v>
      </c>
      <c r="N2" s="62"/>
      <c r="O2" s="62"/>
      <c r="P2" s="62"/>
      <c r="T2" s="63" t="s">
        <v>6</v>
      </c>
      <c r="U2" s="63"/>
    </row>
    <row r="3" spans="1:21" ht="30.75" thickBot="1" x14ac:dyDescent="0.3">
      <c r="A3" s="41" t="s">
        <v>18</v>
      </c>
      <c r="B3" s="41" t="s">
        <v>19</v>
      </c>
      <c r="C3" s="6"/>
      <c r="D3" s="41" t="s">
        <v>18</v>
      </c>
      <c r="E3" s="41" t="s">
        <v>17</v>
      </c>
      <c r="G3" s="6" t="s">
        <v>47</v>
      </c>
      <c r="H3" s="6" t="s">
        <v>45</v>
      </c>
      <c r="I3" s="6" t="s">
        <v>53</v>
      </c>
      <c r="J3" s="1" t="s">
        <v>55</v>
      </c>
      <c r="K3" s="6" t="s">
        <v>49</v>
      </c>
      <c r="L3" s="6"/>
      <c r="M3" s="6" t="s">
        <v>45</v>
      </c>
      <c r="N3" s="6" t="s">
        <v>46</v>
      </c>
      <c r="O3" s="1" t="s">
        <v>54</v>
      </c>
      <c r="P3" s="6" t="s">
        <v>49</v>
      </c>
      <c r="R3" s="1" t="s">
        <v>3</v>
      </c>
      <c r="S3" s="1" t="s">
        <v>1</v>
      </c>
      <c r="T3" s="1" t="s">
        <v>4</v>
      </c>
      <c r="U3" s="1" t="s">
        <v>5</v>
      </c>
    </row>
    <row r="4" spans="1:21" ht="15.75" thickBot="1" x14ac:dyDescent="0.3">
      <c r="A4" s="47">
        <v>10</v>
      </c>
      <c r="B4" s="47">
        <v>10</v>
      </c>
      <c r="D4" s="47">
        <v>10</v>
      </c>
      <c r="E4" s="47">
        <v>10</v>
      </c>
      <c r="G4" s="45">
        <v>1</v>
      </c>
      <c r="H4" s="45">
        <f>$B$6</f>
        <v>400</v>
      </c>
      <c r="I4" s="45">
        <f>$B$7</f>
        <v>3</v>
      </c>
      <c r="J4" s="45">
        <f>IF($B$7&gt;0,ROUND($B$8*I4/$B$7,0),0)</f>
        <v>200</v>
      </c>
      <c r="K4" s="45">
        <f>IF($H4&gt;$M4,ROUNDDOWN(($H4-$M4)/100,0),0)+IF($B$4&gt;0,ROUND(ROUNDDOWN($B$4/2,0)*J4/$B$8,0),0)</f>
        <v>5</v>
      </c>
      <c r="L4" s="45"/>
      <c r="M4" s="45">
        <f>$E$6</f>
        <v>400</v>
      </c>
      <c r="N4" s="45">
        <f>$E$7</f>
        <v>100</v>
      </c>
      <c r="O4" s="45">
        <f>$E$8</f>
        <v>1000</v>
      </c>
      <c r="P4" s="45">
        <f>IF($M4&gt;$H4,ROUNDDOWN(($M4-$H4)/100,0),0)+IF($E$4&gt;0,ROUND(ROUNDDOWN($E$4/2,0)*O4/$E$8,0),0)</f>
        <v>5</v>
      </c>
    </row>
    <row r="5" spans="1:21" x14ac:dyDescent="0.25">
      <c r="G5" s="45">
        <v>2</v>
      </c>
      <c r="H5" s="45">
        <f>ROUND($R5-MIN($R5,$M4)*($U5+50)/($T5+$U5+100),0)</f>
        <v>186</v>
      </c>
      <c r="I5" s="45">
        <f>MAX(IF(I$1,I4,ROUND(S5,0)),0)</f>
        <v>3</v>
      </c>
      <c r="J5" s="46">
        <f>IF($B$7&gt;0,ROUND($B$8*I5/$B$7,0),0)</f>
        <v>200</v>
      </c>
      <c r="K5" s="46">
        <f>IF($H5&gt;$M5,ROUNDDOWN(($H5-$M5)/100,0),0)+IF($B$4&gt;0,ROUND(ROUNDDOWN($B$4/2,0)*J5/$B$8,0),0)</f>
        <v>5</v>
      </c>
      <c r="L5" s="45"/>
      <c r="M5" s="45">
        <f>ROUND($M4-MIN($R5,$M4)*($T5+50)/($T5+$U5+100),0)</f>
        <v>215</v>
      </c>
      <c r="N5" s="45">
        <f>MAX(IF(N$1,N4,ROUND(N4-J4/20,0)),0)</f>
        <v>100</v>
      </c>
      <c r="O5" s="45">
        <f>MAX(ROUND(O4-J4*0.5,0),0)</f>
        <v>900</v>
      </c>
      <c r="P5" s="46">
        <f>IF($M5&gt;$H5,ROUNDDOWN(($M5-$H5)/100,0),0)+IF($E$4&gt;0,ROUND(ROUNDDOWN($E$4/2,0)*O5/$E$8,0),0)</f>
        <v>5</v>
      </c>
      <c r="R5" s="3">
        <f>ROUND($H4-MIN($N4,$H4)*($P4+20)/($P4+80),0)</f>
        <v>371</v>
      </c>
      <c r="S5" s="3">
        <f>I4-IF(N4&gt;0,(P4+20)/(P4+100),0)</f>
        <v>2.7619047619047619</v>
      </c>
      <c r="T5" s="3">
        <f>IF($R5&gt;$M4,ROUNDDOWN((R5-$M4)/100,0),0)+IF($B$4&gt;0,ROUND(ROUNDDOWN($B$4/2,0)*J4/$B$8,0),0)</f>
        <v>5</v>
      </c>
      <c r="U5" s="3">
        <f>IF($M4&gt;$R5,ROUNDDOWN(($M4-$R5)/100,0),0)+IF($E$4&gt;0,ROUND(ROUNDDOWN($E$4/2,0)*$O5/$E$8,0),0)</f>
        <v>5</v>
      </c>
    </row>
    <row r="6" spans="1:21" x14ac:dyDescent="0.25">
      <c r="A6" t="s">
        <v>45</v>
      </c>
      <c r="B6">
        <f>$A$4*40</f>
        <v>400</v>
      </c>
      <c r="D6" t="s">
        <v>45</v>
      </c>
      <c r="E6">
        <f>$D$4*40</f>
        <v>400</v>
      </c>
      <c r="G6" s="45">
        <v>3</v>
      </c>
      <c r="H6" s="50">
        <f>ROUND($R6-MIN($R6,$M5)*($U6+50)/($T6+$U6+100),0)</f>
        <v>79</v>
      </c>
      <c r="I6" s="51">
        <f t="shared" ref="I6:I8" si="0">MAX(IF(I$1,I5,ROUND(S6,0)),0)</f>
        <v>3</v>
      </c>
      <c r="J6" s="46">
        <f>IF($B$7&gt;0,ROUND($B$8*I6/$B$7,0),0)</f>
        <v>200</v>
      </c>
      <c r="K6" s="46">
        <f>IF($H6&gt;$M6,ROUNDDOWN(($H6-$M6)/100,0),0)+IF($B$4&gt;0,ROUND(ROUNDDOWN($B$4/2,0)*J6/$B$8,0),0)</f>
        <v>5</v>
      </c>
      <c r="L6" s="45"/>
      <c r="M6" s="50">
        <f>ROUND($M5-MIN($R6,$M5)*($T6+50)/($T6+$U6+100),0)</f>
        <v>136</v>
      </c>
      <c r="N6" s="46">
        <f>MAX(IF(N$1,N5,ROUND(N5-J5/20,0)),0)</f>
        <v>100</v>
      </c>
      <c r="O6" s="46">
        <f>MAX(ROUND(O5-J5*0.5,0),0)</f>
        <v>800</v>
      </c>
      <c r="P6" s="46">
        <f>IF($M6&gt;$H6,ROUNDDOWN(($M6-$H6)/100,0),0)+IF($E$4&gt;0,ROUND(ROUNDDOWN($E$4/2,0)*O6/$E$8,0),0)</f>
        <v>4</v>
      </c>
      <c r="R6" s="3">
        <f>ROUND($H5-MIN($N5,$H5)*($P5+20)/($P5+80),0)</f>
        <v>157</v>
      </c>
      <c r="S6" s="3">
        <f>S5-IF(N5&gt;0,(P5+20)/(P5+100),0)</f>
        <v>2.5238095238095237</v>
      </c>
      <c r="T6" s="3">
        <f>IF(R6&gt;$M5,ROUNDDOWN((R6-$M5)/100,0),0)+IF($B$4&gt;0,ROUND(ROUNDDOWN($B$4/2,0)*J5/$B$8,0),0)</f>
        <v>5</v>
      </c>
      <c r="U6" s="3">
        <f>IF($M5&gt;$R6,ROUNDDOWN(($M5-$R6)/100,0),0)+IF($E$4&gt;0,ROUND(ROUNDDOWN($E$4/2,0)*$O6/$E$8,0),0)</f>
        <v>4</v>
      </c>
    </row>
    <row r="7" spans="1:21" x14ac:dyDescent="0.25">
      <c r="A7" t="s">
        <v>53</v>
      </c>
      <c r="B7">
        <f>IF($B$4=0,0,ROUNDDOWN(1+$B$4/5,0))</f>
        <v>3</v>
      </c>
      <c r="D7" t="s">
        <v>46</v>
      </c>
      <c r="E7">
        <f>$E$4*10</f>
        <v>100</v>
      </c>
      <c r="G7" s="45">
        <v>4</v>
      </c>
      <c r="H7" s="50">
        <f>ROUND($R7-MIN($R7,$M6)*($U7+50)/($T7+$U7+100),0)</f>
        <v>28</v>
      </c>
      <c r="I7" s="51">
        <f t="shared" si="0"/>
        <v>3</v>
      </c>
      <c r="J7" s="46">
        <f>IF($B$7&gt;0,ROUND($B$8*I7/$B$7,0),0)</f>
        <v>200</v>
      </c>
      <c r="K7" s="46">
        <f>IF($H7&gt;$M7,ROUNDDOWN(($H7-$M7)/100,0),0)+IF($B$4&gt;0,ROUND(ROUNDDOWN($B$4/2,0)*J7/$B$8,0),0)</f>
        <v>5</v>
      </c>
      <c r="L7" s="45"/>
      <c r="M7" s="50">
        <f>ROUND($M6-MIN($R7,$M6)*($T7+50)/($T7+$U7+100),0)</f>
        <v>108</v>
      </c>
      <c r="N7" s="46">
        <f>MAX(IF(N$1,N6,ROUND(N6-J6/20,0)),0)</f>
        <v>100</v>
      </c>
      <c r="O7" s="46">
        <f>MAX(ROUND(O6-J6*0.5,0),0)</f>
        <v>700</v>
      </c>
      <c r="P7" s="46">
        <f>IF($M7&gt;$H7,ROUNDDOWN(($M7-$H7)/100,0),0)+IF($E$4&gt;0,ROUND(ROUNDDOWN($E$4/2,0)*O7/$E$8,0),0)</f>
        <v>4</v>
      </c>
      <c r="R7" s="3">
        <f>ROUND($H6-MIN($N6,$H6)*($P6+20)/($P6+80),0)</f>
        <v>56</v>
      </c>
      <c r="S7" s="3">
        <f t="shared" ref="S7:S9" si="1">S6-IF(N6&gt;0,(P6+20)/(P6+100),0)</f>
        <v>2.2930402930402929</v>
      </c>
      <c r="T7" s="3">
        <f>IF(R7&gt;$M6,ROUNDDOWN((R7-$M6)/100,0),0)+IF($B$4&gt;0,ROUND(ROUNDDOWN($B$4/2,0)*J6/$B$8,0),0)</f>
        <v>5</v>
      </c>
      <c r="U7" s="3">
        <f>IF($M6&gt;$R7,ROUNDDOWN(($M6-$R7)/100,0),0)+IF($E$4&gt;0,ROUND(ROUNDDOWN($E$4/2,0)*$O7/$E$8,0),0)</f>
        <v>4</v>
      </c>
    </row>
    <row r="8" spans="1:21" x14ac:dyDescent="0.25">
      <c r="A8" t="s">
        <v>43</v>
      </c>
      <c r="B8">
        <f>$B$4*20</f>
        <v>200</v>
      </c>
      <c r="D8" t="s">
        <v>52</v>
      </c>
      <c r="E8">
        <f>$E$4*100</f>
        <v>1000</v>
      </c>
      <c r="G8" s="45">
        <v>5</v>
      </c>
      <c r="H8" s="50">
        <f>ROUND($R8-MIN($R8,$M7)*($U8+50)/($T8+$U8+100),0)</f>
        <v>10</v>
      </c>
      <c r="I8" s="51">
        <f t="shared" si="0"/>
        <v>3</v>
      </c>
      <c r="J8" s="46">
        <f>IF($B$7&gt;0,ROUND($B$8*I8/$B$7,0),0)</f>
        <v>200</v>
      </c>
      <c r="K8" s="46">
        <f>IF($H8&gt;$M8,ROUNDDOWN(($H8-$M8)/100,0),0)+IF($B$4&gt;0,ROUND(ROUNDDOWN($B$4/2,0)*J8/$B$8,0),0)</f>
        <v>5</v>
      </c>
      <c r="L8" s="45"/>
      <c r="M8" s="50">
        <f>ROUND($M7-MIN($R8,$M7)*($T8+50)/($T8+$U8+100),0)</f>
        <v>98</v>
      </c>
      <c r="N8" s="46">
        <f>MAX(IF(N$1,N7,ROUND(N7-J7/20,0)),0)</f>
        <v>100</v>
      </c>
      <c r="O8" s="46">
        <f>MAX(ROUND(O7-J7*0.5,0),0)</f>
        <v>600</v>
      </c>
      <c r="P8" s="46">
        <f>IF($M8&gt;$H8,ROUNDDOWN(($M8-$H8)/100,0),0)+IF($E$4&gt;0,ROUND(ROUNDDOWN($E$4/2,0)*O8/$E$8,0),0)</f>
        <v>3</v>
      </c>
      <c r="R8" s="3">
        <f>ROUND($H7-MIN($N7,$H7)*($P7+20)/($P7+80),0)</f>
        <v>20</v>
      </c>
      <c r="S8" s="3">
        <f t="shared" si="1"/>
        <v>2.062271062271062</v>
      </c>
      <c r="T8" s="3">
        <f>IF(R8&gt;$M7,ROUNDDOWN((R8-$M7)/100,0),0)+IF($B$4&gt;0,ROUND(ROUNDDOWN($B$4/2,0)*J7/$B$8,0),0)</f>
        <v>5</v>
      </c>
      <c r="U8" s="3">
        <f>IF($M7&gt;$R8,ROUNDDOWN(($M7-$R8)/100,0),0)+IF($E$4&gt;0,ROUND(ROUNDDOWN($E$4/2,0)*$O8/$E$8,0),0)</f>
        <v>3</v>
      </c>
    </row>
    <row r="9" spans="1:21" x14ac:dyDescent="0.25">
      <c r="G9" s="45" t="s">
        <v>48</v>
      </c>
      <c r="H9" s="48">
        <f>ROUND($R9-MIN($R9,$M8)*($U9+50)/($T9+$U9+100),0)</f>
        <v>4</v>
      </c>
      <c r="I9" s="48">
        <f>MAX(IF(I$1,I8,ROUND(S9,0)),0)</f>
        <v>3</v>
      </c>
      <c r="J9" s="45"/>
      <c r="K9" s="45"/>
      <c r="L9" s="45"/>
      <c r="M9" s="48">
        <f>ROUND($M8-MIN($R9,$M8)*($T9+50)/($T9+$U9+100),0)</f>
        <v>94</v>
      </c>
      <c r="N9" s="48">
        <f>MAX(IF(N$1,N8,ROUND(N8-J8/20,0)),0)</f>
        <v>100</v>
      </c>
      <c r="O9" s="48">
        <f>MAX(ROUND(O8-J8*0.5,0),0)</f>
        <v>500</v>
      </c>
      <c r="P9" s="45"/>
      <c r="R9" s="3">
        <f>ROUND($H8-MIN($N8,$H8)*($P8+20)/($P8+80),0)</f>
        <v>7</v>
      </c>
      <c r="S9" s="3">
        <f t="shared" si="1"/>
        <v>1.8389700913972757</v>
      </c>
      <c r="T9" s="3">
        <f>IF(R9&gt;$M8,ROUNDDOWN((R9-$M8)/100,0),0)+IF($B$4&gt;0,ROUND(ROUNDDOWN($B$4/2,0)*J8/$B$8,0),0)</f>
        <v>5</v>
      </c>
      <c r="U9" s="3">
        <f>IF($M8&gt;$R9,ROUNDDOWN(($M8-$R9)/100,0),0)+IF($E$4&gt;0,ROUND(ROUNDDOWN($E$4/2,0)*$O9/$E$8,0),0)</f>
        <v>3</v>
      </c>
    </row>
  </sheetData>
  <mergeCells count="5">
    <mergeCell ref="A2:B2"/>
    <mergeCell ref="D2:E2"/>
    <mergeCell ref="H2:K2"/>
    <mergeCell ref="M2:P2"/>
    <mergeCell ref="T2:U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2" r:id="rId4" name="Check Box 4">
              <controlPr defaultSize="0" autoFill="0" autoLine="0" autoPict="0" altText="Workers recovery">
                <anchor moveWithCells="1">
                  <from>
                    <xdr:col>7</xdr:col>
                    <xdr:colOff>400050</xdr:colOff>
                    <xdr:row>0</xdr:row>
                    <xdr:rowOff>19050</xdr:rowOff>
                  </from>
                  <to>
                    <xdr:col>9</xdr:col>
                    <xdr:colOff>533400</xdr:colOff>
                    <xdr:row>0</xdr:row>
                    <xdr:rowOff>257175</xdr:rowOff>
                  </to>
                </anchor>
              </controlPr>
            </control>
          </mc:Choice>
        </mc:AlternateContent>
        <mc:AlternateContent xmlns:mc="http://schemas.openxmlformats.org/markup-compatibility/2006">
          <mc:Choice Requires="x14">
            <control shapeId="2053" r:id="rId5" name="Check Box 5">
              <controlPr defaultSize="0" autoFill="0" autoLine="0" autoPict="0" altText="Archers recovery">
                <anchor moveWithCells="1">
                  <from>
                    <xdr:col>12</xdr:col>
                    <xdr:colOff>400050</xdr:colOff>
                    <xdr:row>0</xdr:row>
                    <xdr:rowOff>19050</xdr:rowOff>
                  </from>
                  <to>
                    <xdr:col>14</xdr:col>
                    <xdr:colOff>647700</xdr:colOff>
                    <xdr:row>0</xdr:row>
                    <xdr:rowOff>257175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D10"/>
  <sheetViews>
    <sheetView workbookViewId="0"/>
  </sheetViews>
  <sheetFormatPr defaultRowHeight="15" x14ac:dyDescent="0.25"/>
  <cols>
    <col min="1" max="1" width="10.7109375" customWidth="1"/>
  </cols>
  <sheetData>
    <row r="1" spans="1:4" x14ac:dyDescent="0.25">
      <c r="B1" t="s">
        <v>23</v>
      </c>
      <c r="C1" t="s">
        <v>24</v>
      </c>
      <c r="D1" t="s">
        <v>25</v>
      </c>
    </row>
    <row r="2" spans="1:4" x14ac:dyDescent="0.25">
      <c r="A2" t="s">
        <v>15</v>
      </c>
      <c r="B2">
        <v>100</v>
      </c>
      <c r="C2">
        <v>50</v>
      </c>
      <c r="D2">
        <v>50</v>
      </c>
    </row>
    <row r="3" spans="1:4" x14ac:dyDescent="0.25">
      <c r="A3" t="s">
        <v>16</v>
      </c>
      <c r="B3">
        <v>100</v>
      </c>
      <c r="C3">
        <v>50</v>
      </c>
      <c r="D3">
        <v>50</v>
      </c>
    </row>
    <row r="4" spans="1:4" x14ac:dyDescent="0.25">
      <c r="A4" t="s">
        <v>14</v>
      </c>
      <c r="B4">
        <v>100</v>
      </c>
      <c r="C4">
        <v>50</v>
      </c>
      <c r="D4">
        <v>50</v>
      </c>
    </row>
    <row r="5" spans="1:4" x14ac:dyDescent="0.25">
      <c r="A5" t="s">
        <v>13</v>
      </c>
      <c r="B5">
        <v>200</v>
      </c>
      <c r="C5">
        <v>100</v>
      </c>
      <c r="D5">
        <v>100</v>
      </c>
    </row>
    <row r="6" spans="1:4" x14ac:dyDescent="0.25">
      <c r="A6" t="s">
        <v>11</v>
      </c>
      <c r="B6">
        <v>500</v>
      </c>
      <c r="C6">
        <v>200</v>
      </c>
      <c r="D6">
        <v>200</v>
      </c>
    </row>
    <row r="7" spans="1:4" x14ac:dyDescent="0.25">
      <c r="A7" t="s">
        <v>18</v>
      </c>
      <c r="B7">
        <v>200</v>
      </c>
      <c r="C7">
        <v>100</v>
      </c>
      <c r="D7">
        <v>100</v>
      </c>
    </row>
    <row r="8" spans="1:4" x14ac:dyDescent="0.25">
      <c r="A8" t="s">
        <v>17</v>
      </c>
      <c r="B8">
        <v>5000</v>
      </c>
      <c r="C8">
        <v>500</v>
      </c>
      <c r="D8">
        <v>1500</v>
      </c>
    </row>
    <row r="9" spans="1:4" x14ac:dyDescent="0.25">
      <c r="A9" t="s">
        <v>19</v>
      </c>
      <c r="B9">
        <v>8000</v>
      </c>
      <c r="C9">
        <v>1000</v>
      </c>
      <c r="D9">
        <v>300</v>
      </c>
    </row>
    <row r="10" spans="1:4" x14ac:dyDescent="0.25">
      <c r="A10" t="s">
        <v>12</v>
      </c>
      <c r="B10">
        <v>200</v>
      </c>
      <c r="C10">
        <v>100</v>
      </c>
      <c r="D10">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N9"/>
  <sheetViews>
    <sheetView workbookViewId="0"/>
  </sheetViews>
  <sheetFormatPr defaultRowHeight="15" x14ac:dyDescent="0.25"/>
  <cols>
    <col min="1" max="1" width="34.28515625" customWidth="1"/>
    <col min="2" max="2" width="15.140625" customWidth="1"/>
    <col min="3" max="3" width="15.28515625" customWidth="1"/>
    <col min="4" max="4" width="18.42578125" customWidth="1"/>
    <col min="5" max="5" width="17.85546875" customWidth="1"/>
    <col min="6" max="6" width="14.85546875" customWidth="1"/>
    <col min="10" max="10" width="9.140625" customWidth="1"/>
  </cols>
  <sheetData>
    <row r="1" spans="1:14" ht="57" customHeight="1" x14ac:dyDescent="0.25">
      <c r="A1" s="1" t="s">
        <v>33</v>
      </c>
      <c r="B1" s="1" t="s">
        <v>59</v>
      </c>
      <c r="C1" s="1" t="s">
        <v>36</v>
      </c>
      <c r="D1" s="1" t="s">
        <v>38</v>
      </c>
      <c r="E1" s="1" t="s">
        <v>26</v>
      </c>
      <c r="F1" s="1" t="s">
        <v>32</v>
      </c>
      <c r="J1" s="6"/>
    </row>
    <row r="2" spans="1:14" x14ac:dyDescent="0.25">
      <c r="A2" t="s">
        <v>27</v>
      </c>
      <c r="B2" s="19">
        <f>Calculations!G19+Calculations!H19*4+Calculations!J18</f>
        <v>5700</v>
      </c>
      <c r="C2" s="19">
        <f>Calculations!F19+(Calculations!B19+1)*2</f>
        <v>-4</v>
      </c>
      <c r="D2" s="17">
        <f>IF(C2&gt;0,(B2/(C2*60*24)),9999)</f>
        <v>9999</v>
      </c>
      <c r="E2" s="18">
        <f>B2/(SUM(Calculations!$E$18:$E$22)*60*24)</f>
        <v>7.6121794871794865E-2</v>
      </c>
      <c r="F2" s="3" t="str">
        <f>IF(Calculations!K19=MIN(Calculations!K19,Calculations!K18),"Houses","Town hall")</f>
        <v>Town hall</v>
      </c>
      <c r="G2" s="3"/>
    </row>
    <row r="3" spans="1:14" x14ac:dyDescent="0.25">
      <c r="A3" t="s">
        <v>28</v>
      </c>
      <c r="B3" s="20">
        <f>Calculations!J19+Calculations!J20</f>
        <v>2700</v>
      </c>
      <c r="C3" s="19">
        <f>10+Calculations!B18*2-IF(Calculations!B13&lt;=Calculations!B20,20,0)</f>
        <v>-8</v>
      </c>
      <c r="D3" s="17">
        <f>IF(C3&gt;0,(B3/(C3*60*24)),9999)</f>
        <v>9999</v>
      </c>
      <c r="E3" s="18">
        <f>B3/(SUM(Calculations!$E$18:$E$22)*60*24)</f>
        <v>3.6057692307692304E-2</v>
      </c>
      <c r="F3" t="str">
        <f>IF(Calculations!K19=MIN(Calculations!K19,Calculations!K20),"Houses","Farm")</f>
        <v>Houses</v>
      </c>
      <c r="G3" s="3"/>
      <c r="J3" s="6"/>
    </row>
    <row r="4" spans="1:14" x14ac:dyDescent="0.25">
      <c r="A4" t="s">
        <v>29</v>
      </c>
      <c r="B4" s="19">
        <f>Calculations!J13+Calculations!J19+Calculations!J20</f>
        <v>4500</v>
      </c>
      <c r="C4" s="19">
        <f>10+Calculations!B18*2</f>
        <v>12</v>
      </c>
      <c r="D4" s="17">
        <f>IF(C4&gt;0,(B4/(C4*60*24)),9999)</f>
        <v>0.26041666666666669</v>
      </c>
      <c r="E4" s="18">
        <f>B4/(SUM(Calculations!$E$18:$E$22)*60*24)</f>
        <v>6.0096153846153848E-2</v>
      </c>
      <c r="F4" t="s">
        <v>12</v>
      </c>
      <c r="G4" s="3"/>
      <c r="J4" s="6"/>
    </row>
    <row r="5" spans="1:14" x14ac:dyDescent="0.25">
      <c r="A5" t="s">
        <v>30</v>
      </c>
      <c r="B5" s="19">
        <f>Calculations!J13+Calculations!J21+Calculations!J22</f>
        <v>3600</v>
      </c>
      <c r="C5" s="19">
        <f>Calculations!F21+Calculations!F22</f>
        <v>0</v>
      </c>
      <c r="D5" s="17">
        <f>IF(C5&gt;0,(B5/(C5*60*24)),9999)</f>
        <v>9999</v>
      </c>
      <c r="E5" s="18">
        <f>B5/(SUM(Calculations!$E$18:$E$22)*60*24)</f>
        <v>4.807692307692308E-2</v>
      </c>
      <c r="F5" t="s">
        <v>12</v>
      </c>
      <c r="G5" s="3"/>
      <c r="J5" s="6"/>
    </row>
    <row r="6" spans="1:14" x14ac:dyDescent="0.25">
      <c r="A6" t="s">
        <v>31</v>
      </c>
      <c r="B6" s="19">
        <f>Calculations!J13+Calculations!J20+Calculations!J21+Calculations!J22</f>
        <v>4500</v>
      </c>
      <c r="C6" s="19">
        <f>C5+IF((Calculations!B20+1)&gt;=Calculations!B19,5,20)</f>
        <v>5</v>
      </c>
      <c r="D6" s="17">
        <f>IF(C6&gt;0,(B6/(C6*60*24)),9999)</f>
        <v>0.625</v>
      </c>
      <c r="E6" s="18">
        <f>B6/(SUM(Calculations!$E$18:$E$22)*60*24)</f>
        <v>6.0096153846153848E-2</v>
      </c>
      <c r="F6" t="s">
        <v>12</v>
      </c>
      <c r="G6" s="3"/>
      <c r="J6" s="6"/>
    </row>
    <row r="8" spans="1:14" x14ac:dyDescent="0.25">
      <c r="N8" s="6"/>
    </row>
    <row r="9" spans="1:14" x14ac:dyDescent="0.25">
      <c r="N9" s="6"/>
    </row>
  </sheetData>
  <conditionalFormatting sqref="D2:D6">
    <cfRule type="colorScale" priority="1">
      <colorScale>
        <cfvo type="min"/>
        <cfvo type="percentile" val="3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Calculations</vt:lpstr>
      <vt:lpstr>Battle</vt:lpstr>
      <vt:lpstr>Coeff.</vt:lpstr>
      <vt:lpstr>Advanced</vt:lpstr>
      <vt:lpstr>test</vt:lpstr>
      <vt:lpstr>test2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2017-04-20T13:19:09Z</dcterms:modified>
</cp:coreProperties>
</file>