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60" yWindow="210" windowWidth="14415" windowHeight="12375"/>
  </bookViews>
  <sheets>
    <sheet name="Расчет" sheetId="2" r:id="rId1"/>
    <sheet name="Война" sheetId="5" r:id="rId2"/>
    <sheet name="Коэфф." sheetId="3" r:id="rId3"/>
    <sheet name="Advanced" sheetId="4" r:id="rId4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34" i="2" l="1"/>
  <c r="B7" i="5"/>
  <c r="E6" i="5" l="1"/>
  <c r="M4" i="5" s="1"/>
  <c r="B6" i="5"/>
  <c r="H4" i="5" s="1"/>
  <c r="E8" i="5"/>
  <c r="E7" i="5"/>
  <c r="N4" i="5" s="1"/>
  <c r="D33" i="2"/>
  <c r="F33" i="2" s="1"/>
  <c r="O4" i="5" l="1"/>
  <c r="P4" i="5" s="1"/>
  <c r="B8" i="5"/>
  <c r="I4" i="5"/>
  <c r="I5" i="5" s="1"/>
  <c r="I6" i="5" s="1"/>
  <c r="I7" i="5" s="1"/>
  <c r="I8" i="5" s="1"/>
  <c r="I9" i="5" s="1"/>
  <c r="J8" i="5" l="1"/>
  <c r="J5" i="5"/>
  <c r="J6" i="5"/>
  <c r="J7" i="5"/>
  <c r="J4" i="5"/>
  <c r="N5" i="5" s="1"/>
  <c r="H5" i="5"/>
  <c r="C4" i="4"/>
  <c r="C3" i="4"/>
  <c r="D35" i="2"/>
  <c r="M34" i="2"/>
  <c r="E33" i="2"/>
  <c r="E35" i="2" s="1"/>
  <c r="H33" i="2"/>
  <c r="G22" i="2"/>
  <c r="F22" i="2"/>
  <c r="E22" i="2"/>
  <c r="D22" i="2"/>
  <c r="I22" i="2" s="1"/>
  <c r="I21" i="2"/>
  <c r="G21" i="2"/>
  <c r="F21" i="2"/>
  <c r="E21" i="2"/>
  <c r="D21" i="2"/>
  <c r="M21" i="2" s="1"/>
  <c r="P20" i="2"/>
  <c r="M20" i="2"/>
  <c r="O20" i="2" s="1"/>
  <c r="I20" i="2"/>
  <c r="G20" i="2"/>
  <c r="F20" i="2"/>
  <c r="E20" i="2"/>
  <c r="D20" i="2"/>
  <c r="H20" i="2" s="1"/>
  <c r="H19" i="2"/>
  <c r="F19" i="2"/>
  <c r="C2" i="4" s="1"/>
  <c r="D19" i="2"/>
  <c r="G19" i="2" s="1"/>
  <c r="G18" i="2"/>
  <c r="F18" i="2"/>
  <c r="E18" i="2"/>
  <c r="D18" i="2"/>
  <c r="I18" i="2" s="1"/>
  <c r="F13" i="2"/>
  <c r="E13" i="2"/>
  <c r="M13" i="2" s="1"/>
  <c r="D13" i="2"/>
  <c r="G13" i="2" s="1"/>
  <c r="E8" i="2"/>
  <c r="E5" i="2"/>
  <c r="M5" i="2" s="1"/>
  <c r="M22" i="2" l="1"/>
  <c r="H22" i="2"/>
  <c r="N21" i="2"/>
  <c r="P21" i="2"/>
  <c r="O21" i="2"/>
  <c r="H21" i="2"/>
  <c r="J21" i="2" s="1"/>
  <c r="L21" i="2" s="1"/>
  <c r="N20" i="2"/>
  <c r="I19" i="2"/>
  <c r="M19" i="2"/>
  <c r="M18" i="2"/>
  <c r="H18" i="2"/>
  <c r="M8" i="2"/>
  <c r="N6" i="5"/>
  <c r="N7" i="5" s="1"/>
  <c r="N8" i="5" s="1"/>
  <c r="N9" i="5" s="1"/>
  <c r="K4" i="5"/>
  <c r="M5" i="5" s="1"/>
  <c r="O5" i="5"/>
  <c r="O6" i="5" s="1"/>
  <c r="O7" i="5" s="1"/>
  <c r="O8" i="5" s="1"/>
  <c r="O9" i="5" s="1"/>
  <c r="J20" i="2"/>
  <c r="H35" i="2"/>
  <c r="F35" i="2"/>
  <c r="I35" i="2"/>
  <c r="G35" i="2"/>
  <c r="M35" i="2"/>
  <c r="E34" i="2"/>
  <c r="F34" i="2" s="1"/>
  <c r="O34" i="2"/>
  <c r="P34" i="2"/>
  <c r="N34" i="2"/>
  <c r="G34" i="2"/>
  <c r="H34" i="2"/>
  <c r="I34" i="2"/>
  <c r="K20" i="2"/>
  <c r="K21" i="2"/>
  <c r="H13" i="2"/>
  <c r="F5" i="2"/>
  <c r="I13" i="2"/>
  <c r="C5" i="4"/>
  <c r="I33" i="2"/>
  <c r="M33" i="2"/>
  <c r="G33" i="2"/>
  <c r="P22" i="2" l="1"/>
  <c r="O22" i="2"/>
  <c r="N22" i="2"/>
  <c r="J22" i="2" s="1"/>
  <c r="L22" i="2" s="1"/>
  <c r="N19" i="2"/>
  <c r="P19" i="2"/>
  <c r="O19" i="2"/>
  <c r="P18" i="2"/>
  <c r="O18" i="2"/>
  <c r="N18" i="2"/>
  <c r="J18" i="2" s="1"/>
  <c r="K5" i="5"/>
  <c r="P5" i="5"/>
  <c r="L20" i="2"/>
  <c r="J13" i="2"/>
  <c r="K22" i="2"/>
  <c r="N35" i="2"/>
  <c r="P35" i="2"/>
  <c r="O35" i="2"/>
  <c r="J34" i="2"/>
  <c r="C6" i="4"/>
  <c r="D3" i="4"/>
  <c r="P33" i="2"/>
  <c r="O33" i="2"/>
  <c r="N33" i="2"/>
  <c r="J19" i="2" l="1"/>
  <c r="B2" i="4"/>
  <c r="L18" i="2"/>
  <c r="K18" i="2"/>
  <c r="L13" i="2"/>
  <c r="K13" i="2"/>
  <c r="B5" i="4"/>
  <c r="B6" i="4"/>
  <c r="E6" i="4" s="1"/>
  <c r="J35" i="2"/>
  <c r="L35" i="2" s="1"/>
  <c r="L34" i="2"/>
  <c r="K34" i="2"/>
  <c r="J33" i="2"/>
  <c r="L33" i="2" s="1"/>
  <c r="K19" i="2" l="1"/>
  <c r="F3" i="4" s="1"/>
  <c r="L19" i="2"/>
  <c r="B4" i="4"/>
  <c r="B3" i="4"/>
  <c r="E3" i="4" s="1"/>
  <c r="F2" i="4"/>
  <c r="E2" i="4"/>
  <c r="D2" i="4"/>
  <c r="D6" i="4"/>
  <c r="E5" i="4"/>
  <c r="D5" i="4"/>
  <c r="K35" i="2"/>
  <c r="K33" i="2"/>
  <c r="E4" i="4" l="1"/>
  <c r="D4" i="4"/>
  <c r="A24" i="2" s="1"/>
  <c r="M6" i="5"/>
  <c r="B24" i="2"/>
  <c r="H6" i="5"/>
  <c r="F24" i="2" l="1"/>
  <c r="J24" i="2"/>
  <c r="L24" i="2"/>
  <c r="P6" i="5"/>
  <c r="K6" i="5"/>
  <c r="K24" i="2" l="1"/>
  <c r="K2" i="2" s="1"/>
  <c r="H7" i="5"/>
  <c r="M7" i="5"/>
  <c r="P7" i="5" l="1"/>
  <c r="H8" i="5" s="1"/>
  <c r="K7" i="5"/>
  <c r="M8" i="5" l="1"/>
  <c r="K8" i="5" l="1"/>
  <c r="P8" i="5"/>
  <c r="H9" i="5" s="1"/>
  <c r="M9" i="5" l="1"/>
</calcChain>
</file>

<file path=xl/sharedStrings.xml><?xml version="1.0" encoding="utf-8"?>
<sst xmlns="http://schemas.openxmlformats.org/spreadsheetml/2006/main" count="128" uniqueCount="65">
  <si>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</si>
  <si>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</si>
  <si>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</si>
  <si>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</si>
  <si>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</si>
  <si>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</si>
  <si>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</si>
  <si>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</si>
  <si>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</si>
  <si>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</si>
  <si>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</si>
  <si>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</si>
  <si>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</si>
  <si>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</si>
  <si>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</si>
  <si>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</si>
  <si>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</si>
  <si>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</si>
  <si>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</si>
  <si>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</si>
  <si>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</si>
  <si>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</si>
  <si>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</si>
  <si>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</si>
  <si>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</si>
  <si>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</si>
  <si>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</si>
  <si>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</si>
  <si>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</si>
  <si>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</si>
  <si>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</si>
  <si>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</si>
  <si>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</si>
  <si>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</si>
  <si>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</si>
  <si>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</si>
  <si>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</si>
  <si>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</si>
  <si>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</si>
  <si>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</si>
  <si>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</si>
  <si>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</si>
  <si>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</si>
  <si>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</si>
  <si>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</si>
  <si>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</si>
  <si>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</si>
  <si>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</si>
  <si>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</si>
  <si>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</si>
  <si>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</si>
  <si>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2. Эквивалент армии для требушетов указан при атаке, без учета действия стены обороняющейся стороны</t>
  </si>
  <si>
    <t>Инженеры</t>
  </si>
  <si>
    <t>Атака</t>
  </si>
  <si>
    <t>Оборона</t>
  </si>
  <si>
    <t>VS</t>
  </si>
  <si>
    <t>Бонус</t>
  </si>
  <si>
    <t>Лучники</t>
  </si>
  <si>
    <t>Прочность</t>
  </si>
  <si>
    <t>Атака требушета</t>
  </si>
  <si>
    <t>Прочность стены</t>
  </si>
  <si>
    <t>Раунд</t>
  </si>
  <si>
    <t>ИТОГ</t>
  </si>
  <si>
    <t>Армия</t>
  </si>
  <si>
    <t>v1.0324a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</si>
</sst>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6" fillId="7" borderId="0" xfId="0" applyFont="1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I1" lockText="1" noThreeD="1"/>
</file>

<file path=xl/ctrlProps/ctrlProp2.xml><?xml version="1.0" encoding="utf-8"?>
<formControlPr xmlns="http://schemas.microsoft.com/office/spreadsheetml/2009/9/main" objectType="CheckBox" checked="Checked" fmlaLink="N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0</xdr:row>
          <xdr:rowOff>19050</xdr:rowOff>
        </xdr:from>
        <xdr:to>
          <xdr:col>9</xdr:col>
          <xdr:colOff>533400</xdr:colOff>
          <xdr:row>0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Восстановление инженеров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400050</xdr:colOff>
          <xdr:row>0</xdr:row>
          <xdr:rowOff>19050</xdr:rowOff>
        </xdr:from>
        <xdr:to>
          <xdr:col>14</xdr:col>
          <xdr:colOff>647700</xdr:colOff>
          <xdr:row>0</xdr:row>
          <xdr:rowOff>257175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Восстановление лучников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3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7" width="10.85546875" customWidth="1"/>
    <col min="8" max="9" width="9.85546875" customWidth="1"/>
    <col min="10" max="10" width="15.140625" customWidth="1"/>
    <col min="11" max="11" width="18.42578125" customWidth="1"/>
    <col min="12" max="12" width="18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64</v>
      </c>
    </row>
    <row r="2" spans="1:16" ht="28.5" customHeight="1" thickBot="1" x14ac:dyDescent="0.3">
      <c r="B2" s="16" t="s">
        <v>42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46</v>
      </c>
      <c r="C4" s="1"/>
      <c r="E4" s="32" t="s">
        <v>29</v>
      </c>
      <c r="F4" s="33" t="s">
        <v>47</v>
      </c>
      <c r="M4" s="33" t="s">
        <v>48</v>
      </c>
    </row>
    <row r="5" spans="1:16" ht="15.75" thickBot="1" x14ac:dyDescent="0.3">
      <c r="A5" s="25" t="s">
        <v>28</v>
      </c>
      <c r="B5" s="24">
        <v>4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49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54" t="s">
        <v>21</v>
      </c>
      <c r="H11" s="54"/>
      <c r="I11" s="54"/>
      <c r="J11" s="54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43</v>
      </c>
      <c r="L12" s="33" t="s">
        <v>44</v>
      </c>
      <c r="M12" s="42" t="s">
        <v>45</v>
      </c>
    </row>
    <row r="13" spans="1:16" ht="15.75" thickBot="1" x14ac:dyDescent="0.3">
      <c r="A13" s="38" t="s">
        <v>25</v>
      </c>
      <c r="B13" s="11">
        <v>1</v>
      </c>
      <c r="C13" s="39" t="s">
        <v>30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55" t="s">
        <v>21</v>
      </c>
      <c r="H16" s="55"/>
      <c r="I16" s="55"/>
      <c r="J16" s="55"/>
      <c r="N16" s="54" t="s">
        <v>31</v>
      </c>
      <c r="O16" s="54"/>
      <c r="P16" s="54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43</v>
      </c>
      <c r="L17" s="33" t="s">
        <v>44</v>
      </c>
      <c r="M17" s="32" t="s">
        <v>32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30</v>
      </c>
      <c r="D18" s="8">
        <f>B18+1</f>
        <v>2</v>
      </c>
      <c r="E18" s="58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30</v>
      </c>
      <c r="D19" s="8">
        <f>B19+1</f>
        <v>2</v>
      </c>
      <c r="E19" s="58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30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>J20/(SUM($E$18:$E$22)*60*24)</f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30</v>
      </c>
      <c r="D21" s="8">
        <f>B21+1</f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>J21/(SUM($E$18:$E$22)*60*24)</f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34</v>
      </c>
      <c r="B22" s="10">
        <v>1</v>
      </c>
      <c r="C22" s="39" t="s">
        <v>30</v>
      </c>
      <c r="D22" s="8">
        <f>B22+1</f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>J22/(SUM($E$18:$E$22)*60*24)</f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57" t="s">
        <v>41</v>
      </c>
      <c r="C23" s="57"/>
      <c r="D23" s="57"/>
      <c r="E23" s="57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56" t="str">
        <f>INDEX(Advanced!A2:F6,MATCH(MIN(Advanced!D2:D6),Advanced!D2:D6,0),1)</f>
        <v>Склад + Дома + Ферма</v>
      </c>
      <c r="C24" s="56"/>
      <c r="D24" s="56"/>
      <c r="E24" s="56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50</v>
      </c>
    </row>
    <row r="27" spans="1:16" x14ac:dyDescent="0.25">
      <c r="A27" t="s">
        <v>24</v>
      </c>
    </row>
    <row r="28" spans="1:16" x14ac:dyDescent="0.25">
      <c r="A28" t="s">
        <v>27</v>
      </c>
    </row>
    <row r="29" spans="1:16" s="4" customFormat="1" ht="15.75" thickBot="1" x14ac:dyDescent="0.3">
      <c r="M29" s="9"/>
    </row>
    <row r="31" spans="1:16" x14ac:dyDescent="0.25">
      <c r="G31" s="54" t="s">
        <v>21</v>
      </c>
      <c r="H31" s="54"/>
      <c r="I31" s="54"/>
      <c r="J31" s="54"/>
      <c r="N31" s="54" t="s">
        <v>31</v>
      </c>
      <c r="O31" s="54"/>
      <c r="P31" s="54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44</v>
      </c>
      <c r="M32" s="32" t="s">
        <v>32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30</v>
      </c>
      <c r="D33" s="8">
        <f>B33+1</f>
        <v>1</v>
      </c>
      <c r="E33" s="43">
        <f>B33*40</f>
        <v>0</v>
      </c>
      <c r="F33" s="43">
        <f>($D$33-$B$33)*40</f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ROUND(J33/(F33*(D33-B33)),0)</f>
        <v>15</v>
      </c>
      <c r="L33" s="31">
        <f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30</v>
      </c>
      <c r="D34" s="8">
        <f>B34+2</f>
        <v>2</v>
      </c>
      <c r="E34" s="43">
        <f>ROUND($B34*10*((40+1.2*ROUNDDOWN($B34/2,0))/(100+ROUNDDOWN($B34/2,0)))*5+$E$33*((100+1.5*ROUNDDOWN($B34/2,0))/(100+ROUNDDOWN($B34/2,0))),0)</f>
        <v>0</v>
      </c>
      <c r="F34" s="47">
        <f>ROUND($D34*10*((40+1.2*ROUNDDOWN($D34/2,0))/(100+ROUNDDOWN($D34/2,0)))*5+$E$33*((100+1.5*ROUNDDOWN($D34/2,0))/(100+ROUNDDOWN($D34/2,0))),0)-E34</f>
        <v>41</v>
      </c>
      <c r="G34" s="35">
        <f>Коэфф.!B$8*($D34*($D34-1)*((2*$D34+8)/6+2/$D34)-IF($B34=0,-2,$B34*($B34-1)*((2*$B34+8)/6+2/$B34)))/2</f>
        <v>20000</v>
      </c>
      <c r="H34" s="35">
        <f>Коэфф.!C$8*($D34*($D34-1)*((2*$D34+8)/6+2/$D34)-IF($B34=0,-2,$B34*($B34-1)*((2*$B34+8)/6+2/$B34)))/2</f>
        <v>2000</v>
      </c>
      <c r="I34" s="35">
        <f>Коэфф.!D$8*($D34*($D34-1)*((2*$D34+8)/6+2/$D34)-IF($B34=0,-2,$B34*($B34-1)*((2*$B34+8)/6+2/$B34)))/2</f>
        <v>6000</v>
      </c>
      <c r="J34" s="36">
        <f>G34+(H34+I34)*2+N34+(O34+P34)*2</f>
        <v>47400</v>
      </c>
      <c r="K34" s="35">
        <f>ROUND(J34/F34,0)</f>
        <v>1156</v>
      </c>
      <c r="L34" s="31">
        <f>J34/(SUM($E$18:$E$22)*60*24)</f>
        <v>0.63301282051282048</v>
      </c>
      <c r="M34" s="34">
        <f>ROUNDUP(SQRT(Коэфф.!D$8*(($D34-1)*($D34-1)+3*($D34-1)+2)/100+100)-10,0)</f>
        <v>4</v>
      </c>
      <c r="N34" s="35">
        <f>IF($M34&gt;$B$13,Коэфф.!B$10*($M34*($M34-1)*((2*$M34+8)/6+2/$M34)-IF($B$13=0,-2,$B$13*($B$13-1)*((2*$B$13+8)/6+2/$B$13)))/2,0)</f>
        <v>3800</v>
      </c>
      <c r="O34" s="35">
        <f>IF($M34&gt;$B$13,Коэфф.!C$10*($M34*($M34-1)*((2*$M34+8)/6+2/$M34)-IF($B$13=0,-2,$B$13*($B$13-1)*((2*$B$13+8)/6+2/$B$13)))/2,0)</f>
        <v>1900</v>
      </c>
      <c r="P34" s="35">
        <f>IF($M34&gt;$B$13,Коэфф.!D$10*($M34*($M34-1)*((2*$M34+8)/6+2/$M34)-IF($B$13=0,-2,$B$13*($B$13-1)*((2*$B$13+8)/6+2/$B$13)))/2,0)</f>
        <v>1900</v>
      </c>
    </row>
    <row r="35" spans="1:16" ht="15.75" thickBot="1" x14ac:dyDescent="0.3">
      <c r="A35" s="38" t="s">
        <v>16</v>
      </c>
      <c r="B35" s="12">
        <v>0</v>
      </c>
      <c r="C35" s="39" t="s">
        <v>30</v>
      </c>
      <c r="D35" s="8">
        <f>B35+2</f>
        <v>2</v>
      </c>
      <c r="E35" s="47">
        <f>ROUND($E$33*((100+1.5*ROUNDDOWN($B35/2,0))/(100+ROUNDDOWN($B35/2,0))),0)</f>
        <v>0</v>
      </c>
      <c r="F35" s="47">
        <f>ROUND($E$33*((100+1.5*ROUNDDOWN($D35/2,0))/(100+ROUNDDOWN($D35/2,0))),0)-E35</f>
        <v>0</v>
      </c>
      <c r="G35" s="35">
        <f>Коэфф.!B$9*($D35*($D35-1)*((2*$D35+8)/6+2/$D35)-IF($B35=0,-2,$B35*($B35-1)*((2*$B35+8)/6+2/$B35)))/2</f>
        <v>32000</v>
      </c>
      <c r="H35" s="35">
        <f>Коэфф.!C$9*($D35*($D35-1)*((2*$D35+8)/6+2/$D35)-IF($B35=0,-2,$B35*($B35-1)*((2*$B35+8)/6+2/$B35)))/2</f>
        <v>4000</v>
      </c>
      <c r="I35" s="35">
        <f>Коэфф.!D$9*($D35*($D35-1)*((2*$D35+8)/6+2/$D35)-IF($B35=0,-2,$B35*($B35-1)*((2*$B35+8)/6+2/$B35)))/2</f>
        <v>1200</v>
      </c>
      <c r="J35" s="36">
        <f>G35+(H35+I35)*2+N35+(O35+P35)*2</f>
        <v>47800</v>
      </c>
      <c r="K35" s="35" t="e">
        <f>ROUND(J35/F35,0)</f>
        <v>#DIV/0!</v>
      </c>
      <c r="L35" s="31">
        <f>J35/(SUM($E$18:$E$22)*60*24)</f>
        <v>0.63835470085470081</v>
      </c>
      <c r="M35" s="34">
        <f>ROUNDUP(SQRT(Коэфф.!C$9*(($D35-1)*($D35-1)+3*($D35-1)+2)/100+100)-10,0)</f>
        <v>3</v>
      </c>
      <c r="N35" s="35">
        <f>IF($M35&gt;$B$13,Коэфф.!B$10*($M35*($M35-1)*((2*$M35+8)/6+2/$M35)-IF($B$13=0,-2,$B$13*($B$13-1)*((2*$B$13+8)/6+2/$B$13)))/2,0)</f>
        <v>1800</v>
      </c>
      <c r="O35" s="35">
        <f>IF($M35&gt;$B$13,Коэфф.!C$10*($M35*($M35-1)*((2*$M35+8)/6+2/$M35)-IF($B$13=0,-2,$B$13*($B$13-1)*((2*$B$13+8)/6+2/$B$13)))/2,0)</f>
        <v>900</v>
      </c>
      <c r="P35" s="35">
        <f>IF($M35&gt;$B$13,Коэфф.!D$10*($M35*($M35-1)*((2*$M35+8)/6+2/$M35)-IF($B$13=0,-2,$B$13*($B$13-1)*((2*$B$13+8)/6+2/$B$13)))/2,0)</f>
        <v>900</v>
      </c>
    </row>
    <row r="37" spans="1:16" x14ac:dyDescent="0.25">
      <c r="A37" t="s">
        <v>18</v>
      </c>
    </row>
    <row r="38" spans="1:16" x14ac:dyDescent="0.25">
      <c r="A38" t="s">
        <v>51</v>
      </c>
    </row>
    <row r="39" spans="1:16" x14ac:dyDescent="0.25">
      <c r="A39" t="s">
        <v>27</v>
      </c>
    </row>
    <row r="40" spans="1:16" x14ac:dyDescent="0.25">
      <c r="J40" s="5"/>
    </row>
    <row r="41" spans="1:16" x14ac:dyDescent="0.25">
      <c r="J41" s="5"/>
    </row>
    <row r="43" spans="1:16" x14ac:dyDescent="0.25">
      <c r="F43" s="48"/>
    </row>
  </sheetData>
  <mergeCells count="8">
    <mergeCell ref="B24:E24"/>
    <mergeCell ref="B23:E23"/>
    <mergeCell ref="E18:E19"/>
    <mergeCell ref="G11:J11"/>
    <mergeCell ref="G16:J16"/>
    <mergeCell ref="G31:J31"/>
    <mergeCell ref="N16:P16"/>
    <mergeCell ref="N31:P31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P9"/>
  <sheetViews>
    <sheetView workbookViewId="0"/>
  </sheetViews>
  <sheetFormatPr defaultRowHeight="15" x14ac:dyDescent="0.25"/>
  <cols>
    <col min="1" max="1" width="11" customWidth="1"/>
    <col min="2" max="2" width="10.140625" customWidth="1"/>
    <col min="3" max="3" width="5.140625" customWidth="1"/>
    <col min="4" max="5" width="10.140625" customWidth="1"/>
    <col min="8" max="11" width="11.28515625" customWidth="1"/>
    <col min="12" max="12" width="5.28515625" customWidth="1"/>
    <col min="13" max="16" width="10.42578125" customWidth="1"/>
  </cols>
  <sheetData>
    <row r="1" spans="1:16" ht="21" customHeight="1" x14ac:dyDescent="0.25">
      <c r="I1" s="53" t="b">
        <v>1</v>
      </c>
      <c r="N1" s="53" t="b">
        <v>1</v>
      </c>
    </row>
    <row r="2" spans="1:16" x14ac:dyDescent="0.25">
      <c r="A2" s="59" t="s">
        <v>53</v>
      </c>
      <c r="B2" s="59"/>
      <c r="C2" s="34" t="s">
        <v>55</v>
      </c>
      <c r="D2" s="60" t="s">
        <v>54</v>
      </c>
      <c r="E2" s="60"/>
      <c r="H2" s="61" t="s">
        <v>53</v>
      </c>
      <c r="I2" s="61"/>
      <c r="J2" s="61"/>
      <c r="K2" s="61"/>
      <c r="L2" s="6" t="s">
        <v>55</v>
      </c>
      <c r="M2" s="62" t="s">
        <v>54</v>
      </c>
      <c r="N2" s="62"/>
      <c r="O2" s="62"/>
      <c r="P2" s="62"/>
    </row>
    <row r="3" spans="1:16" ht="30.75" thickBot="1" x14ac:dyDescent="0.3">
      <c r="A3" s="45" t="s">
        <v>14</v>
      </c>
      <c r="B3" s="45" t="s">
        <v>16</v>
      </c>
      <c r="C3" s="6"/>
      <c r="D3" s="45" t="s">
        <v>14</v>
      </c>
      <c r="E3" s="45" t="s">
        <v>15</v>
      </c>
      <c r="G3" s="6" t="s">
        <v>61</v>
      </c>
      <c r="H3" s="6" t="s">
        <v>63</v>
      </c>
      <c r="I3" s="6" t="s">
        <v>52</v>
      </c>
      <c r="J3" s="1" t="s">
        <v>59</v>
      </c>
      <c r="K3" s="6" t="s">
        <v>56</v>
      </c>
      <c r="L3" s="6"/>
      <c r="M3" s="6" t="s">
        <v>63</v>
      </c>
      <c r="N3" s="6" t="s">
        <v>57</v>
      </c>
      <c r="O3" s="1" t="s">
        <v>60</v>
      </c>
      <c r="P3" s="6" t="s">
        <v>56</v>
      </c>
    </row>
    <row r="4" spans="1:16" ht="15.75" thickBot="1" x14ac:dyDescent="0.3">
      <c r="A4" s="51">
        <v>0</v>
      </c>
      <c r="B4" s="51">
        <v>0</v>
      </c>
      <c r="D4" s="51">
        <v>0</v>
      </c>
      <c r="E4" s="51">
        <v>0</v>
      </c>
      <c r="G4" s="49">
        <v>1</v>
      </c>
      <c r="H4" s="49">
        <f>$B$6</f>
        <v>0</v>
      </c>
      <c r="I4" s="49">
        <f>$B$7</f>
        <v>0</v>
      </c>
      <c r="J4" s="49">
        <f>IF($B$7&gt;0,ROUND($B$8*I4/$B$7,0),0)</f>
        <v>0</v>
      </c>
      <c r="K4" s="49">
        <f>IF($H4&gt;$M4,ROUNDDOWN(($H4-$M4)/100,0),0)+IF($B$4&gt;0,ROUND(ROUNDDOWN($B$4/2,0)*J4/$B$8,0),0)</f>
        <v>0</v>
      </c>
      <c r="L4" s="49"/>
      <c r="M4" s="49">
        <f>$E$6</f>
        <v>0</v>
      </c>
      <c r="N4" s="49">
        <f>$E$7</f>
        <v>0</v>
      </c>
      <c r="O4" s="49">
        <f>$E$8</f>
        <v>0</v>
      </c>
      <c r="P4" s="49">
        <f>IF($M4&gt;$H4,ROUNDDOWN(($M4-$H4)/100,0),0)+IF($E$4&gt;0,ROUND(ROUNDDOWN($E$4/2,0)*O4/$E$8,0),0)</f>
        <v>0</v>
      </c>
    </row>
    <row r="5" spans="1:16" x14ac:dyDescent="0.25">
      <c r="G5" s="49">
        <v>2</v>
      </c>
      <c r="H5" s="49">
        <f>ROUND(MAX(ROUND(H4-N4*(P4+20)/(P4+80),0)-M4*(50+P4)/(100+P4),0),0)</f>
        <v>0</v>
      </c>
      <c r="I5" s="49">
        <f>MAX(IF(I$1,I4,I4-1),0)</f>
        <v>0</v>
      </c>
      <c r="J5" s="50">
        <f t="shared" ref="J5:J8" si="0">IF($B$7&gt;0,ROUND($B$8*I5/$B$7,0),0)</f>
        <v>0</v>
      </c>
      <c r="K5" s="50">
        <f t="shared" ref="K5:K8" si="1">IF($H5&gt;$M5,ROUNDDOWN(($H5-$M5)/100,0),0)+IF($B$4&gt;0,ROUND(ROUNDDOWN($B$4/2,0)*J5/$B$8,0),0)</f>
        <v>0</v>
      </c>
      <c r="L5" s="49"/>
      <c r="M5" s="49">
        <f>ROUND(MAX(M4-ROUND(H4-N4*(P4+20)/80,0)*(50+K4)/(100+K4),0),0)</f>
        <v>0</v>
      </c>
      <c r="N5" s="49">
        <f>MAX(IF(N$1,N4,ROUND(N4-J4/20,0)),0)</f>
        <v>0</v>
      </c>
      <c r="O5" s="49">
        <f>MAX(ROUND(O4-J4*0.5,0),0)</f>
        <v>0</v>
      </c>
      <c r="P5" s="50">
        <f t="shared" ref="P5:P8" si="2">IF($M5&gt;$H5,ROUNDDOWN(($M5-$H5)/100,0),0)+IF($E$4&gt;0,ROUND(ROUNDDOWN($E$4/2,0)*O5/$E$8,0),0)</f>
        <v>0</v>
      </c>
    </row>
    <row r="6" spans="1:16" x14ac:dyDescent="0.25">
      <c r="A6" t="s">
        <v>63</v>
      </c>
      <c r="B6">
        <f>$A$4*40</f>
        <v>0</v>
      </c>
      <c r="D6" t="s">
        <v>63</v>
      </c>
      <c r="E6">
        <f>$D$4*40</f>
        <v>0</v>
      </c>
      <c r="G6" s="49">
        <v>3</v>
      </c>
      <c r="H6" s="49">
        <f t="shared" ref="H6:H9" si="3">ROUND(MAX(ROUND(H5-N5*(P5+20)/(P5+80),0)-M5*(50+P5)/(100+P5),0),0)</f>
        <v>0</v>
      </c>
      <c r="I6" s="50">
        <f t="shared" ref="I6:I9" si="4">MAX(IF(I$1,I5,I5-1),0)</f>
        <v>0</v>
      </c>
      <c r="J6" s="50">
        <f t="shared" si="0"/>
        <v>0</v>
      </c>
      <c r="K6" s="50">
        <f t="shared" si="1"/>
        <v>0</v>
      </c>
      <c r="L6" s="49"/>
      <c r="M6" s="49">
        <f t="shared" ref="M6:M9" si="5">ROUND(MAX(M5-ROUND(H5-N5*(P5+20)/80,0)*(50+K5)/(100+K5),0),0)</f>
        <v>0</v>
      </c>
      <c r="N6" s="50">
        <f t="shared" ref="N6:N9" si="6">MAX(IF(N$1,N5,ROUND(N5-J5/20,0)),0)</f>
        <v>0</v>
      </c>
      <c r="O6" s="50">
        <f t="shared" ref="O6:O9" si="7">MAX(ROUND(O5-J5*0.5,0),0)</f>
        <v>0</v>
      </c>
      <c r="P6" s="50">
        <f t="shared" si="2"/>
        <v>0</v>
      </c>
    </row>
    <row r="7" spans="1:16" x14ac:dyDescent="0.25">
      <c r="A7" t="s">
        <v>52</v>
      </c>
      <c r="B7">
        <f>IF($B$4=0,0,ROUNDDOWN(1+$B$4/5,0))</f>
        <v>0</v>
      </c>
      <c r="D7" t="s">
        <v>57</v>
      </c>
      <c r="E7">
        <f>$E$4*10</f>
        <v>0</v>
      </c>
      <c r="G7" s="49">
        <v>4</v>
      </c>
      <c r="H7" s="49">
        <f t="shared" si="3"/>
        <v>0</v>
      </c>
      <c r="I7" s="50">
        <f t="shared" si="4"/>
        <v>0</v>
      </c>
      <c r="J7" s="50">
        <f t="shared" si="0"/>
        <v>0</v>
      </c>
      <c r="K7" s="50">
        <f t="shared" si="1"/>
        <v>0</v>
      </c>
      <c r="L7" s="49"/>
      <c r="M7" s="49">
        <f t="shared" si="5"/>
        <v>0</v>
      </c>
      <c r="N7" s="50">
        <f t="shared" si="6"/>
        <v>0</v>
      </c>
      <c r="O7" s="50">
        <f t="shared" si="7"/>
        <v>0</v>
      </c>
      <c r="P7" s="50">
        <f t="shared" si="2"/>
        <v>0</v>
      </c>
    </row>
    <row r="8" spans="1:16" x14ac:dyDescent="0.25">
      <c r="A8" t="s">
        <v>53</v>
      </c>
      <c r="B8">
        <f>$B$4*20</f>
        <v>0</v>
      </c>
      <c r="D8" t="s">
        <v>58</v>
      </c>
      <c r="E8">
        <f>$E$4*100</f>
        <v>0</v>
      </c>
      <c r="G8" s="49">
        <v>5</v>
      </c>
      <c r="H8" s="49">
        <f t="shared" si="3"/>
        <v>0</v>
      </c>
      <c r="I8" s="50">
        <f t="shared" si="4"/>
        <v>0</v>
      </c>
      <c r="J8" s="50">
        <f t="shared" si="0"/>
        <v>0</v>
      </c>
      <c r="K8" s="50">
        <f t="shared" si="1"/>
        <v>0</v>
      </c>
      <c r="L8" s="49"/>
      <c r="M8" s="49">
        <f t="shared" si="5"/>
        <v>0</v>
      </c>
      <c r="N8" s="50">
        <f t="shared" si="6"/>
        <v>0</v>
      </c>
      <c r="O8" s="50">
        <f t="shared" si="7"/>
        <v>0</v>
      </c>
      <c r="P8" s="50">
        <f t="shared" si="2"/>
        <v>0</v>
      </c>
    </row>
    <row r="9" spans="1:16" x14ac:dyDescent="0.25">
      <c r="G9" s="49" t="s">
        <v>62</v>
      </c>
      <c r="H9" s="52">
        <f t="shared" si="3"/>
        <v>0</v>
      </c>
      <c r="I9" s="52">
        <f t="shared" si="4"/>
        <v>0</v>
      </c>
      <c r="J9" s="49"/>
      <c r="K9" s="49"/>
      <c r="L9" s="49"/>
      <c r="M9" s="52">
        <f t="shared" si="5"/>
        <v>0</v>
      </c>
      <c r="N9" s="52">
        <f t="shared" si="6"/>
        <v>0</v>
      </c>
      <c r="O9" s="52">
        <f t="shared" si="7"/>
        <v>0</v>
      </c>
      <c r="P9" s="49"/>
    </row>
  </sheetData>
  <mergeCells count="4">
    <mergeCell ref="A2:B2"/>
    <mergeCell ref="D2:E2"/>
    <mergeCell ref="H2:K2"/>
    <mergeCell ref="M2:P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7</xdr:col>
                    <xdr:colOff>400050</xdr:colOff>
                    <xdr:row>0</xdr:row>
                    <xdr:rowOff>19050</xdr:rowOff>
                  </from>
                  <to>
                    <xdr:col>9</xdr:col>
                    <xdr:colOff>533400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12</xdr:col>
                    <xdr:colOff>400050</xdr:colOff>
                    <xdr:row>0</xdr:row>
                    <xdr:rowOff>19050</xdr:rowOff>
                  </from>
                  <to>
                    <xdr:col>14</xdr:col>
                    <xdr:colOff>647700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37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33</v>
      </c>
      <c r="J1" s="6"/>
    </row>
    <row r="2" spans="1:14" x14ac:dyDescent="0.25">
      <c r="A2" t="s">
        <v>39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40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38</v>
      </c>
      <c r="B4" s="19">
        <f>Расчет!J13+Расчет!J19+Расчет!J20</f>
        <v>4500</v>
      </c>
      <c r="C4" s="19">
        <f>10+Расчет!B18*2</f>
        <v>12</v>
      </c>
      <c r="D4" s="17">
        <f>IF(C4&gt;0,(B4/(C4*60*24)),9999)</f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35</v>
      </c>
      <c r="B5" s="19">
        <f>Расчет!J13+Расчет!J21+Расчет!J22</f>
        <v>3600</v>
      </c>
      <c r="C5" s="19">
        <f>Расчет!F21+Расчет!F22</f>
        <v>0</v>
      </c>
      <c r="D5" s="17">
        <f>IF(C5&gt;0,(B5/(C5*60*24)),9999)</f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36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>IF(C6&gt;0,(B6/(C6*60*24)),9999)</f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Расчет</vt:lpstr>
      <vt:lpstr>Война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2017-03-24T07:44:34Z</dcterms:modified>
</cp:coreProperties>
</file>