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645" windowWidth="14805" windowHeight="7470"/>
  </bookViews>
  <sheets>
    <sheet name="Расчет" sheetId="2" r:id="rId1"/>
    <sheet name="Коэфф." sheetId="3" r:id="rId2"/>
  </sheets>
  <calcPr calcId="145621"/>
</workbook>
</file>

<file path=xl/calcChain.xml><?xml version="1.0" encoding="utf-8"?>
<calcChain xmlns="http://schemas.openxmlformats.org/spreadsheetml/2006/main">
  <c r="D33" i="2" l="1"/>
  <c r="D34" i="2"/>
  <c r="D32" i="2"/>
  <c r="D11" i="2" l="1"/>
  <c r="N34" i="2"/>
  <c r="N32" i="2"/>
  <c r="G18" i="2" l="1"/>
  <c r="D4" i="2"/>
  <c r="M4" i="2" s="1"/>
  <c r="D9" i="2"/>
  <c r="M9" i="2" s="1"/>
  <c r="K32" i="2"/>
  <c r="M34" i="2"/>
  <c r="D13" i="2"/>
  <c r="D12" i="2"/>
  <c r="D10" i="2"/>
  <c r="L10" i="2" l="1"/>
  <c r="N10" i="2"/>
  <c r="L9" i="2"/>
  <c r="K9" i="2"/>
  <c r="N9" i="2"/>
  <c r="L4" i="2"/>
  <c r="M13" i="2"/>
  <c r="N13" i="2"/>
  <c r="L12" i="2"/>
  <c r="N12" i="2"/>
  <c r="K11" i="2"/>
  <c r="N11" i="2"/>
  <c r="L33" i="2"/>
  <c r="N33" i="2"/>
  <c r="K4" i="2"/>
  <c r="K13" i="2"/>
  <c r="L13" i="2"/>
  <c r="L11" i="2"/>
  <c r="K12" i="2"/>
  <c r="M12" i="2"/>
  <c r="M11" i="2"/>
  <c r="M10" i="2"/>
  <c r="K10" i="2"/>
  <c r="K34" i="2"/>
  <c r="L34" i="2"/>
  <c r="M33" i="2"/>
  <c r="K33" i="2"/>
  <c r="L32" i="2"/>
  <c r="M32" i="2"/>
  <c r="O9" i="2" l="1"/>
  <c r="P9" i="2"/>
  <c r="Q9" i="2"/>
  <c r="G19" i="2"/>
  <c r="F9" i="2" l="1"/>
  <c r="E4" i="2"/>
  <c r="H4" i="2" l="1"/>
  <c r="E26" i="2"/>
  <c r="G16" i="2"/>
  <c r="G26" i="2" l="1"/>
  <c r="G11" i="2"/>
  <c r="G13" i="2"/>
  <c r="G12" i="2"/>
  <c r="G17" i="2"/>
  <c r="G10" i="2"/>
  <c r="E11" i="2" l="1"/>
  <c r="G9" i="2"/>
  <c r="E9" i="2"/>
  <c r="O10" i="2" l="1"/>
  <c r="P10" i="2"/>
  <c r="Q10" i="2"/>
  <c r="H26" i="2"/>
  <c r="F10" i="2" l="1"/>
  <c r="F4" i="2"/>
  <c r="E32" i="2"/>
  <c r="P13" i="2" l="1"/>
  <c r="Q13" i="2"/>
  <c r="O13" i="2"/>
  <c r="F13" i="2" s="1"/>
  <c r="O12" i="2"/>
  <c r="P12" i="2"/>
  <c r="Q12" i="2"/>
  <c r="O11" i="2"/>
  <c r="F11" i="2" s="1"/>
  <c r="P11" i="2"/>
  <c r="Q11" i="2"/>
  <c r="O32" i="2"/>
  <c r="Q32" i="2"/>
  <c r="P32" i="2"/>
  <c r="Q34" i="2"/>
  <c r="P34" i="2"/>
  <c r="O34" i="2"/>
  <c r="F34" i="2" s="1"/>
  <c r="P33" i="2"/>
  <c r="O33" i="2"/>
  <c r="Q33" i="2"/>
  <c r="H10" i="2"/>
  <c r="H9" i="2"/>
  <c r="E34" i="2"/>
  <c r="E33" i="2"/>
  <c r="G34" i="2"/>
  <c r="G33" i="2"/>
  <c r="H13" i="2" l="1"/>
  <c r="F12" i="2"/>
  <c r="F33" i="2"/>
  <c r="F32" i="2"/>
  <c r="F19" i="2"/>
  <c r="H11" i="2"/>
  <c r="F16" i="2"/>
  <c r="H34" i="2"/>
  <c r="H19" i="2" l="1"/>
  <c r="H16" i="2"/>
  <c r="H32" i="2"/>
  <c r="I32" i="2"/>
  <c r="H33" i="2"/>
  <c r="E13" i="2"/>
  <c r="E12" i="2"/>
  <c r="I19" i="2" s="1"/>
  <c r="F18" i="2"/>
  <c r="I18" i="2" l="1"/>
  <c r="I9" i="2"/>
  <c r="I4" i="2"/>
  <c r="I10" i="2"/>
  <c r="I34" i="2"/>
  <c r="I11" i="2"/>
  <c r="I13" i="2"/>
  <c r="I33" i="2"/>
  <c r="I16" i="2"/>
  <c r="I12" i="2"/>
  <c r="H18" i="2"/>
  <c r="H12" i="2"/>
  <c r="F17" i="2"/>
  <c r="I17" i="2" s="1"/>
  <c r="H17" i="2" l="1"/>
</calcChain>
</file>

<file path=xl/sharedStrings.xml><?xml version="1.0" encoding="utf-8"?>
<sst xmlns="http://schemas.openxmlformats.org/spreadsheetml/2006/main" count="84" uniqueCount="43">
  <si>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</si>
  <si>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</si>
  <si>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</si>
  <si>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</si>
  <si>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</si>
  <si>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</si>
  <si>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</si>
  <si>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</si>
  <si>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</si>
  <si>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</si>
  <si>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</si>
  <si>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</si>
  <si>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</si>
  <si>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1. Доход по лесопилкам/шахтам с учетом закупочной цены 200 золота за 100 ресурсов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</si>
  <si>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</si>
  <si>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</si>
  <si>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</si>
  <si>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</si>
  <si>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</si>
  <si>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</si>
  <si>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</si>
  <si>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</si>
  <si>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</si>
  <si>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</si>
  <si>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</si>
  <si>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</si>
  <si>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</si>
  <si>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</si>
  <si>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2. Эквивалент армии для требушетов выбран равным армии со стенами того же уровня</t>
  </si>
  <si>
    <t>3. Приведенная стоимость апгрейда с учетом необходимости апгрейда складов</t>
  </si>
  <si>
    <t>Заполнение склада в часах</t>
  </si>
  <si>
    <t>Дом+Ферм</t>
  </si>
  <si>
    <t>Запас еды</t>
  </si>
  <si>
    <t>Расход еды в минуту</t>
  </si>
  <si>
    <t>Время расходования полного склада в часах</t>
  </si>
  <si>
    <t>Необходимый запас на 12 часов</t>
  </si>
  <si>
    <t>---&gt;</t>
  </si>
  <si>
    <t>Ресурсы на апгрейд склада</t>
  </si>
  <si>
    <t>Требуемый уровень склада</t>
  </si>
  <si>
    <t>Склад!(+Лес+Шхт)</t>
  </si>
  <si>
    <t>Склад!(+ЛсШхФр)</t>
  </si>
  <si>
    <t>Склад!(+Дом+Фрм)</t>
  </si>
  <si>
    <t>v1.0113c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</si>
</sst>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140625" customWidth="1"/>
    <col min="7" max="7" width="15.28515625" customWidth="1"/>
    <col min="8" max="8" width="18.42578125" customWidth="1"/>
    <col min="9" max="9" width="17.85546875" customWidth="1"/>
    <col min="14" max="14" width="17.42578125" style="17" customWidth="1"/>
  </cols>
  <sheetData>
    <row r="1" spans="1:17" x14ac:dyDescent="0.25">
      <c r="A1" t="s">
        <v>42</v>
      </c>
    </row>
    <row r="2" spans="1:17" x14ac:dyDescent="0.25">
      <c r="K2" s="31" t="s">
        <v>22</v>
      </c>
      <c r="L2" s="31"/>
      <c r="M2" s="31"/>
    </row>
    <row r="3" spans="1:17" ht="45" x14ac:dyDescent="0.25">
      <c r="B3" s="16" t="s">
        <v>4</v>
      </c>
      <c r="C3" s="17"/>
      <c r="D3" s="17"/>
      <c r="E3" s="16" t="s">
        <v>27</v>
      </c>
      <c r="F3" s="3" t="s">
        <v>21</v>
      </c>
      <c r="H3" s="20" t="s">
        <v>30</v>
      </c>
      <c r="I3" s="3" t="s">
        <v>14</v>
      </c>
      <c r="K3" s="14" t="s">
        <v>8</v>
      </c>
      <c r="L3" s="14" t="s">
        <v>9</v>
      </c>
      <c r="M3" s="14" t="s">
        <v>10</v>
      </c>
    </row>
    <row r="4" spans="1:17" x14ac:dyDescent="0.25">
      <c r="A4" t="s">
        <v>26</v>
      </c>
      <c r="B4" s="13">
        <v>1</v>
      </c>
      <c r="C4" s="27" t="s">
        <v>36</v>
      </c>
      <c r="D4" s="28">
        <f>B4+1</f>
        <v>2</v>
      </c>
      <c r="E4" s="4">
        <f>(B4*50+1000)*B4</f>
        <v>1050</v>
      </c>
      <c r="F4" s="11">
        <f>K4+L4*4</f>
        <v>1800</v>
      </c>
      <c r="G4" s="4"/>
      <c r="H4" s="4" t="e">
        <f>ROUND(E4/(MAX(B11-B10,B12,B13)*10)/60,1)</f>
        <v>#DIV/0!</v>
      </c>
      <c r="I4" s="4">
        <f>ROUND(F4/SUM($E$9:$E$13)/60,1)</f>
        <v>-3</v>
      </c>
      <c r="J4" s="4"/>
      <c r="K4" s="12">
        <f>Коэфф.!B$10*($D4*($D4-1)*((2*$D4+8)/6+2/$D4)-IF($B4=0,-2,$B4*($B4-1)*((2*$B4+8)/6+2/$B4)))/2</f>
        <v>600</v>
      </c>
      <c r="L4" s="26">
        <f>Коэфф.!C$10*($D4*($D4-1)*((2*$D4+8)/6+2/$D4)-IF($B4=0,-2,$B4*($B4-1)*((2*$B4+8)/6+2/$B4)))/2</f>
        <v>300</v>
      </c>
      <c r="M4" s="26">
        <f>Коэфф.!D$10*($D4*($D4-1)*((2*$D4+8)/6+2/$D4)-IF($B4=0,-2,$B4*($B4-1)*((2*$B4+8)/6+2/$B4)))/2</f>
        <v>300</v>
      </c>
    </row>
    <row r="5" spans="1:17" s="10" customFormat="1" ht="15.75" thickBot="1" x14ac:dyDescent="0.3">
      <c r="F5" s="19"/>
      <c r="N5" s="29"/>
    </row>
    <row r="7" spans="1:17" x14ac:dyDescent="0.25">
      <c r="K7" s="31" t="s">
        <v>22</v>
      </c>
      <c r="L7" s="31"/>
      <c r="M7" s="31"/>
      <c r="O7" s="31" t="s">
        <v>37</v>
      </c>
      <c r="P7" s="31"/>
      <c r="Q7" s="31"/>
    </row>
    <row r="8" spans="1:17" s="8" customFormat="1" ht="45" x14ac:dyDescent="0.25">
      <c r="B8" s="3" t="s">
        <v>4</v>
      </c>
      <c r="C8" s="3"/>
      <c r="D8" s="3"/>
      <c r="E8" s="3" t="s">
        <v>11</v>
      </c>
      <c r="F8" s="3" t="s">
        <v>21</v>
      </c>
      <c r="G8" s="3" t="s">
        <v>23</v>
      </c>
      <c r="H8" s="3" t="s">
        <v>12</v>
      </c>
      <c r="I8" s="3" t="s">
        <v>14</v>
      </c>
      <c r="K8" s="9" t="s">
        <v>8</v>
      </c>
      <c r="L8" s="9" t="s">
        <v>9</v>
      </c>
      <c r="M8" s="9" t="s">
        <v>10</v>
      </c>
      <c r="N8" s="3" t="s">
        <v>38</v>
      </c>
      <c r="O8" s="9" t="s">
        <v>8</v>
      </c>
      <c r="P8" s="9" t="s">
        <v>9</v>
      </c>
      <c r="Q8" s="9" t="s">
        <v>10</v>
      </c>
    </row>
    <row r="9" spans="1:17" x14ac:dyDescent="0.25">
      <c r="A9" t="s">
        <v>1</v>
      </c>
      <c r="B9" s="2">
        <v>0</v>
      </c>
      <c r="C9" s="27" t="s">
        <v>36</v>
      </c>
      <c r="D9" s="28">
        <f>B9+1</f>
        <v>1</v>
      </c>
      <c r="E9" s="30">
        <f>B10*10+B10*B9*2</f>
        <v>10</v>
      </c>
      <c r="F9" s="17">
        <f>K9+L9*4+IF(N9&gt;$B$4,O9+P9*4,0)</f>
        <v>1300</v>
      </c>
      <c r="G9" s="17">
        <f>B10*2</f>
        <v>2</v>
      </c>
      <c r="H9" s="17">
        <f t="shared" ref="H9:H11" si="0">IF(G9&gt;0,ROUND((F9/(G9*60)),1),9999999)</f>
        <v>10.8</v>
      </c>
      <c r="I9" s="4">
        <f>ROUND(F9/SUM($E$9:$E$13)/60,1)</f>
        <v>-2.2000000000000002</v>
      </c>
      <c r="K9" s="26">
        <f>Коэфф.!B$6*($D9*($D9-1)*((2*$D9+8)/6+2/$D9)-IF($B9=0,-2,$B9*($B9-1)*((2*$B9+8)/6+2/$B9)))/2</f>
        <v>500</v>
      </c>
      <c r="L9" s="18">
        <f>Коэфф.!C$6*($D9*($D9-1)*((2*$D9+8)/6+2/$D9)-IF($B9=0,-2,$B9*($B9-1)*((2*$B9+8)/6+2/$B9)))/2</f>
        <v>200</v>
      </c>
      <c r="M9" s="26">
        <f>Коэфф.!D$6*($D9*($D9-1)*((2*$D9+8)/6+2/$D9)-IF($B9=0,-2,$B9*($B9-1)*((2*$B9+8)/6+2/$B9)))/2</f>
        <v>200</v>
      </c>
      <c r="N9" s="17">
        <f>ROUNDUP(SQRT(Коэфф.!C$6*(($D9-1)*($D9-1)+3*($D9-1)+2)/100+100)-10,0)</f>
        <v>1</v>
      </c>
      <c r="O9" s="26">
        <f>IF($N9&gt;$B$4,Коэфф.!B$10*($N9*($N9-1)*((2*$N9+8)/6+2/$N9)-IF($B$4=0,-2,$B$4*($B$4-1)*((2*$B$4+8)/6+2/$B$4)))/2,0)</f>
        <v>0</v>
      </c>
      <c r="P9" s="26">
        <f>IF($N9&gt;$B$4,Коэфф.!C$10*($N9*($N9-1)*((2*$N9+8)/6+2/$N9)-IF($B$4=0,-2,$B$4*($B$4-1)*((2*$B$4+8)/6+2/$B$4)))/2,0)</f>
        <v>0</v>
      </c>
      <c r="Q9" s="26">
        <f>IF($N9&gt;$B$4,Коэфф.!D$10*($N9*($N9-1)*((2*$N9+8)/6+2/$N9)-IF($B$4=0,-2,$B$4*($B$4-1)*((2*$B$4+8)/6+2/$B$4)))/2,0)</f>
        <v>0</v>
      </c>
    </row>
    <row r="10" spans="1:17" x14ac:dyDescent="0.25">
      <c r="A10" t="s">
        <v>0</v>
      </c>
      <c r="B10" s="2">
        <v>1</v>
      </c>
      <c r="C10" s="27" t="s">
        <v>36</v>
      </c>
      <c r="D10" s="28">
        <f>B10+1</f>
        <v>2</v>
      </c>
      <c r="E10" s="30"/>
      <c r="F10" s="17">
        <f t="shared" ref="F10:F13" si="1">K10+L10*4+IF(N10&gt;$B$4,O10+P10*4,0)</f>
        <v>1800</v>
      </c>
      <c r="G10" s="17">
        <f>10+B9*2-IF(B11&gt;B10,5,20)</f>
        <v>-10</v>
      </c>
      <c r="H10" s="17">
        <f t="shared" si="0"/>
        <v>9999999</v>
      </c>
      <c r="I10" s="4">
        <f t="shared" ref="I10:I13" si="2">ROUND(F10/SUM($E$9:$E$13)/60,1)</f>
        <v>-3</v>
      </c>
      <c r="K10" s="26">
        <f>Коэфф.!B$5*($D10*($D10-1)*((2*$D10+8)/6+2/$D10)-IF($B10=0,-2,$B10*($B10-1)*((2*$B10+8)/6+2/$B10)))/2</f>
        <v>600</v>
      </c>
      <c r="L10" s="26">
        <f>Коэфф.!C$5*($D10*($D10-1)*((2*$D10+8)/6+2/$D10)-IF($B10=0,-2,$B10*($B10-1)*((2*$B10+8)/6+2/$B10)))/2</f>
        <v>300</v>
      </c>
      <c r="M10" s="26">
        <f>Коэфф.!D$5*($D10*($D10-1)*((2*$D10+8)/6+2/$D10)-IF($B10=0,-2,$B10*($B10-1)*((2*$B10+8)/6+2/$B10)))/2</f>
        <v>300</v>
      </c>
      <c r="N10" s="17">
        <f>ROUNDUP(SQRT(Коэфф.!C$5*(($D10-1)*($D10-1)+3*($D10-1)+2)/100+100)-10,0)</f>
        <v>1</v>
      </c>
      <c r="O10" s="26">
        <f>IF($N10&gt;$B$4,Коэфф.!B$10*($N10*($N10-1)*((2*$N10+8)/6+2/$N10)-IF($B$4=0,-2,$B$4*($B$4-1)*((2*$B$4+8)/6+2/$B$4)))/2,0)</f>
        <v>0</v>
      </c>
      <c r="P10" s="26">
        <f>IF($N10&gt;$B$4,Коэфф.!C$10*($N10*($N10-1)*((2*$N10+8)/6+2/$N10)-IF($B$4=0,-2,$B$4*($B$4-1)*((2*$B$4+8)/6+2/$B$4)))/2,0)</f>
        <v>0</v>
      </c>
      <c r="Q10" s="26">
        <f>IF($N10&gt;$B$4,Коэфф.!D$10*($N10*($N10-1)*((2*$N10+8)/6+2/$N10)-IF($B$4=0,-2,$B$4*($B$4-1)*((2*$B$4+8)/6+2/$B$4)))/2,0)</f>
        <v>0</v>
      </c>
    </row>
    <row r="11" spans="1:17" x14ac:dyDescent="0.25">
      <c r="A11" t="s">
        <v>5</v>
      </c>
      <c r="B11" s="2">
        <v>0</v>
      </c>
      <c r="C11" s="27" t="s">
        <v>36</v>
      </c>
      <c r="D11" s="28">
        <f>B11+1</f>
        <v>1</v>
      </c>
      <c r="E11" s="1">
        <f>(B11-B10)*IF(B11&gt;B10,5,20)</f>
        <v>-20</v>
      </c>
      <c r="F11" s="17">
        <f t="shared" si="1"/>
        <v>300</v>
      </c>
      <c r="G11" s="17">
        <f>IF(B11&lt;$B$4,IF(B11&gt;=B10,5,20),0)</f>
        <v>20</v>
      </c>
      <c r="H11" s="17">
        <f t="shared" si="0"/>
        <v>0.3</v>
      </c>
      <c r="I11" s="4">
        <f t="shared" si="2"/>
        <v>-0.5</v>
      </c>
      <c r="K11" s="26">
        <f>Коэфф.!B$4*($D11*($D11-1)*((2*$D11+8)/6+2/$D11)-IF($B11=0,-2,$B11*($B11-1)*((2*$B11+8)/6+2/$B11)))/2</f>
        <v>100</v>
      </c>
      <c r="L11" s="26">
        <f>Коэфф.!C$4*($D11*($D11-1)*((2*$D11+8)/6+2/$D11)-IF($B11=0,-2,$B11*($B11-1)*((2*$B11+8)/6+2/$B11)))/2</f>
        <v>50</v>
      </c>
      <c r="M11" s="26">
        <f>Коэфф.!D$4*($D11*($D11-1)*((2*$D11+8)/6+2/$D11)-IF($B11=0,-2,$B11*($B11-1)*((2*$B11+8)/6+2/$B11)))/2</f>
        <v>50</v>
      </c>
      <c r="N11" s="17">
        <f>ROUNDUP(SQRT(Коэфф.!C$4*(($D11-1)*($D11-1)+3*($D11-1)+2)/100+100)-10,0)</f>
        <v>1</v>
      </c>
      <c r="O11" s="26">
        <f>IF($N11&gt;$B$4,Коэфф.!B$10*($N11*($N11-1)*((2*$N11+8)/6+2/$N11)-IF($B$4=0,-2,$B$4*($B$4-1)*((2*$B$4+8)/6+2/$B$4)))/2,0)</f>
        <v>0</v>
      </c>
      <c r="P11" s="26">
        <f>IF($N11&gt;$B$4,Коэфф.!C$10*($N11*($N11-1)*((2*$N11+8)/6+2/$N11)-IF($B$4=0,-2,$B$4*($B$4-1)*((2*$B$4+8)/6+2/$B$4)))/2,0)</f>
        <v>0</v>
      </c>
      <c r="Q11" s="26">
        <f>IF($N11&gt;$B$4,Коэфф.!D$10*($N11*($N11-1)*((2*$N11+8)/6+2/$N11)-IF($B$4=0,-2,$B$4*($B$4-1)*((2*$B$4+8)/6+2/$B$4)))/2,0)</f>
        <v>0</v>
      </c>
    </row>
    <row r="12" spans="1:17" x14ac:dyDescent="0.25">
      <c r="A12" t="s">
        <v>3</v>
      </c>
      <c r="B12" s="2">
        <v>0</v>
      </c>
      <c r="C12" s="27" t="s">
        <v>36</v>
      </c>
      <c r="D12" s="28">
        <f>B12+1</f>
        <v>1</v>
      </c>
      <c r="E12" s="1">
        <f>B12*20</f>
        <v>0</v>
      </c>
      <c r="F12" s="17">
        <f t="shared" si="1"/>
        <v>300</v>
      </c>
      <c r="G12" s="1">
        <f>IF(B12&lt;$B$4,20,0)</f>
        <v>20</v>
      </c>
      <c r="H12" s="1">
        <f>IF(G12&gt;0,ROUND((F12/(G12*60)),1),9999999)</f>
        <v>0.3</v>
      </c>
      <c r="I12" s="4">
        <f t="shared" si="2"/>
        <v>-0.5</v>
      </c>
      <c r="K12" s="26">
        <f>Коэфф.!B$2*($D12*($D12-1)*((2*$D12+8)/6+2/$D12)-IF($B12=0,-2,$B12*($B12-1)*((2*$B12+8)/6+2/$B12)))/2</f>
        <v>100</v>
      </c>
      <c r="L12" s="26">
        <f>Коэфф.!C$2*($D12*($D12-1)*((2*$D12+8)/6+2/$D12)-IF($B12=0,-2,$B12*($B12-1)*((2*$B12+8)/6+2/$B12)))/2</f>
        <v>50</v>
      </c>
      <c r="M12" s="26">
        <f>Коэфф.!D$2*($D12*($D12-1)*((2*$D12+8)/6+2/$D12)-IF($B12=0,-2,$B12*($B12-1)*((2*$B12+8)/6+2/$B12)))/2</f>
        <v>50</v>
      </c>
      <c r="N12" s="17">
        <f>ROUNDUP(SQRT(Коэфф.!C$2*(($D12-1)*($D12-1)+3*($D12-1)+2)/100+100)-10,0)</f>
        <v>1</v>
      </c>
      <c r="O12" s="26">
        <f>IF($N12&gt;$B$4,Коэфф.!B$10*($N12*($N12-1)*((2*$N12+8)/6+2/$N12)-IF($B$4=0,-2,$B$4*($B$4-1)*((2*$B$4+8)/6+2/$B$4)))/2,0)</f>
        <v>0</v>
      </c>
      <c r="P12" s="26">
        <f>IF($N12&gt;$B$4,Коэфф.!C$10*($N12*($N12-1)*((2*$N12+8)/6+2/$N12)-IF($B$4=0,-2,$B$4*($B$4-1)*((2*$B$4+8)/6+2/$B$4)))/2,0)</f>
        <v>0</v>
      </c>
      <c r="Q12" s="26">
        <f>IF($N12&gt;$B$4,Коэфф.!D$10*($N12*($N12-1)*((2*$N12+8)/6+2/$N12)-IF($B$4=0,-2,$B$4*($B$4-1)*((2*$B$4+8)/6+2/$B$4)))/2,0)</f>
        <v>0</v>
      </c>
    </row>
    <row r="13" spans="1:17" x14ac:dyDescent="0.25">
      <c r="A13" t="s">
        <v>2</v>
      </c>
      <c r="B13" s="2">
        <v>0</v>
      </c>
      <c r="C13" s="27" t="s">
        <v>36</v>
      </c>
      <c r="D13" s="28">
        <f>B13+1</f>
        <v>1</v>
      </c>
      <c r="E13" s="1">
        <f>B13*20</f>
        <v>0</v>
      </c>
      <c r="F13" s="17">
        <f t="shared" si="1"/>
        <v>300</v>
      </c>
      <c r="G13" s="17">
        <f>IF(B13&lt;$B$4,20,0)</f>
        <v>20</v>
      </c>
      <c r="H13" s="17">
        <f>IF(G13&gt;0,ROUND((F13/(G13*60)),1),9999999)</f>
        <v>0.3</v>
      </c>
      <c r="I13" s="4">
        <f t="shared" si="2"/>
        <v>-0.5</v>
      </c>
      <c r="K13" s="26">
        <f>Коэфф.!B$3*($D13*($D13-1)*((2*$D13+8)/6+2/$D13)-IF($B13=0,-2,$B13*($B13-1)*((2*$B13+8)/6+2/$B13)))/2</f>
        <v>100</v>
      </c>
      <c r="L13" s="26">
        <f>Коэфф.!C$3*($D13*($D13-1)*((2*$D13+8)/6+2/$D13)-IF($B13=0,-2,$B13*($B13-1)*((2*$B13+8)/6+2/$B13)))/2</f>
        <v>50</v>
      </c>
      <c r="M13" s="26">
        <f>Коэфф.!D$3*($D13*($D13-1)*((2*$D13+8)/6+2/$D13)-IF($B13=0,-2,$B13*($B13-1)*((2*$B13+8)/6+2/$B13)))/2</f>
        <v>50</v>
      </c>
      <c r="N13" s="17">
        <f>ROUNDUP(SQRT(Коэфф.!C$3*(($D13-1)*($D13-1)+3*($D13-1)+2)/100+100)-10,0)</f>
        <v>1</v>
      </c>
      <c r="O13" s="26">
        <f>IF($N13&gt;$B$4,Коэфф.!B$10*($N13*($N13-1)*((2*$N13+8)/6+2/$N13)-IF($B$4=0,-2,$B$4*($B$4-1)*((2*$B$4+8)/6+2/$B$4)))/2,0)</f>
        <v>0</v>
      </c>
      <c r="P13" s="26">
        <f>IF($N13&gt;$B$4,Коэфф.!C$10*($N13*($N13-1)*((2*$N13+8)/6+2/$N13)-IF($B$4=0,-2,$B$4*($B$4-1)*((2*$B$4+8)/6+2/$B$4)))/2,0)</f>
        <v>0</v>
      </c>
      <c r="Q13" s="26">
        <f>IF($N13&gt;$B$4,Коэфф.!D$10*($N13*($N13-1)*((2*$N13+8)/6+2/$N13)-IF($B$4=0,-2,$B$4*($B$4-1)*((2*$B$4+8)/6+2/$B$4)))/2,0)</f>
        <v>0</v>
      </c>
    </row>
    <row r="14" spans="1:17" ht="6" customHeight="1" x14ac:dyDescent="0.25">
      <c r="A14" s="21"/>
      <c r="B14" s="25"/>
      <c r="C14" s="25"/>
      <c r="D14" s="25"/>
      <c r="E14" s="22"/>
      <c r="F14" s="22"/>
      <c r="G14" s="22"/>
      <c r="H14" s="22"/>
      <c r="I14" s="23"/>
      <c r="K14" s="24"/>
      <c r="L14" s="24"/>
      <c r="M14" s="24"/>
    </row>
    <row r="15" spans="1:17" ht="6" customHeight="1" x14ac:dyDescent="0.25">
      <c r="H15" s="17"/>
      <c r="I15" s="4"/>
    </row>
    <row r="16" spans="1:17" x14ac:dyDescent="0.25">
      <c r="A16" t="s">
        <v>31</v>
      </c>
      <c r="F16" s="17">
        <f>F10+F11</f>
        <v>2100</v>
      </c>
      <c r="G16" s="4">
        <f>10+B9*2-IF(B4&lt;=B11,20,0)</f>
        <v>10</v>
      </c>
      <c r="H16" s="17">
        <f>IF(G16&gt;0,ROUND((F16/(G16*60)),1),9999999)</f>
        <v>3.5</v>
      </c>
      <c r="I16" s="4">
        <f>ROUND(F16/SUM($E$9:$E$13)/60,1)</f>
        <v>-3.5</v>
      </c>
    </row>
    <row r="17" spans="1:17" x14ac:dyDescent="0.25">
      <c r="A17" t="s">
        <v>39</v>
      </c>
      <c r="F17" s="4">
        <f>F4+F12+F13</f>
        <v>2400</v>
      </c>
      <c r="G17" s="4">
        <f>40</f>
        <v>40</v>
      </c>
      <c r="H17" s="17">
        <f t="shared" ref="H17:H19" si="3">ROUND((F17/(G17*60)),1)</f>
        <v>1</v>
      </c>
      <c r="I17" s="4">
        <f t="shared" ref="I17:I19" si="4">ROUND(F17/SUM($E$9:$E$13)/60,1)</f>
        <v>-4</v>
      </c>
    </row>
    <row r="18" spans="1:17" x14ac:dyDescent="0.25">
      <c r="A18" t="s">
        <v>40</v>
      </c>
      <c r="F18" s="4">
        <f>F4+F11+F12+F13</f>
        <v>2700</v>
      </c>
      <c r="G18" s="4">
        <f>40+IF((B11+1)&gt;=B10,5,20)</f>
        <v>45</v>
      </c>
      <c r="H18" s="17">
        <f t="shared" si="3"/>
        <v>1</v>
      </c>
      <c r="I18" s="4">
        <f t="shared" si="4"/>
        <v>-4.5</v>
      </c>
    </row>
    <row r="19" spans="1:17" x14ac:dyDescent="0.25">
      <c r="A19" t="s">
        <v>41</v>
      </c>
      <c r="F19" s="4">
        <f>F4+F10+F11</f>
        <v>3900</v>
      </c>
      <c r="G19" s="4">
        <f>10+B9*2</f>
        <v>10</v>
      </c>
      <c r="H19" s="17">
        <f t="shared" si="3"/>
        <v>6.5</v>
      </c>
      <c r="I19" s="4">
        <f t="shared" si="4"/>
        <v>-6.5</v>
      </c>
    </row>
    <row r="20" spans="1:17" x14ac:dyDescent="0.25">
      <c r="F20" s="4"/>
      <c r="G20" s="4"/>
      <c r="H20" s="17"/>
      <c r="I20" s="4"/>
    </row>
    <row r="21" spans="1:17" x14ac:dyDescent="0.25">
      <c r="A21" t="s">
        <v>13</v>
      </c>
    </row>
    <row r="22" spans="1:17" x14ac:dyDescent="0.25">
      <c r="A22" t="s">
        <v>25</v>
      </c>
    </row>
    <row r="23" spans="1:17" x14ac:dyDescent="0.25">
      <c r="A23" t="s">
        <v>29</v>
      </c>
    </row>
    <row r="25" spans="1:17" s="8" customFormat="1" ht="62.25" customHeight="1" x14ac:dyDescent="0.25">
      <c r="E25" s="3" t="s">
        <v>33</v>
      </c>
      <c r="F25" s="3"/>
      <c r="G25" s="3" t="s">
        <v>35</v>
      </c>
      <c r="H25" s="3" t="s">
        <v>34</v>
      </c>
      <c r="N25" s="3"/>
    </row>
    <row r="26" spans="1:17" x14ac:dyDescent="0.25">
      <c r="A26" t="s">
        <v>32</v>
      </c>
      <c r="E26" s="17">
        <f>IF(B10&gt;B11,(B10-B11)*10,0)</f>
        <v>10</v>
      </c>
      <c r="F26" s="17"/>
      <c r="G26" s="17">
        <f>E26*60*12</f>
        <v>7200</v>
      </c>
      <c r="H26" s="17">
        <f>IF(E26&gt;0,ROUND(E4/E26/60,1),0)</f>
        <v>1.8</v>
      </c>
    </row>
    <row r="28" spans="1:17" s="10" customFormat="1" ht="15.75" thickBot="1" x14ac:dyDescent="0.3">
      <c r="N28" s="29"/>
    </row>
    <row r="30" spans="1:17" x14ac:dyDescent="0.25">
      <c r="K30" s="31" t="s">
        <v>22</v>
      </c>
      <c r="L30" s="31"/>
      <c r="M30" s="31"/>
      <c r="O30" s="31" t="s">
        <v>37</v>
      </c>
      <c r="P30" s="31"/>
      <c r="Q30" s="31"/>
    </row>
    <row r="31" spans="1:17" ht="45" customHeight="1" x14ac:dyDescent="0.25">
      <c r="B31" s="3" t="s">
        <v>4</v>
      </c>
      <c r="C31" s="3"/>
      <c r="D31" s="3"/>
      <c r="E31" s="3" t="s">
        <v>18</v>
      </c>
      <c r="F31" s="3" t="s">
        <v>21</v>
      </c>
      <c r="G31" s="3" t="s">
        <v>24</v>
      </c>
      <c r="H31" s="3" t="s">
        <v>20</v>
      </c>
      <c r="I31" s="3" t="s">
        <v>14</v>
      </c>
      <c r="K31" s="7" t="s">
        <v>8</v>
      </c>
      <c r="L31" s="7" t="s">
        <v>9</v>
      </c>
      <c r="M31" s="7" t="s">
        <v>10</v>
      </c>
      <c r="N31" s="3" t="s">
        <v>38</v>
      </c>
      <c r="O31" s="9" t="s">
        <v>8</v>
      </c>
      <c r="P31" s="9" t="s">
        <v>9</v>
      </c>
      <c r="Q31" s="9" t="s">
        <v>10</v>
      </c>
    </row>
    <row r="32" spans="1:17" x14ac:dyDescent="0.25">
      <c r="A32" t="s">
        <v>15</v>
      </c>
      <c r="B32" s="6">
        <v>0</v>
      </c>
      <c r="C32" s="27" t="s">
        <v>36</v>
      </c>
      <c r="D32" s="28">
        <f>B32+1</f>
        <v>1</v>
      </c>
      <c r="E32" s="4">
        <f>B32*40</f>
        <v>0</v>
      </c>
      <c r="F32" s="17">
        <f t="shared" ref="F32" si="5">K32+L32*4+IF(N32&gt;$B$4,O32+P32*4,0)</f>
        <v>600</v>
      </c>
      <c r="G32" s="4">
        <v>40</v>
      </c>
      <c r="H32" s="4">
        <f>ROUND(F32/G32,0)</f>
        <v>15</v>
      </c>
      <c r="I32" s="4">
        <f>ROUND(F32/SUM($E$9:$E$13)/60,1)</f>
        <v>-1</v>
      </c>
      <c r="J32" s="4"/>
      <c r="K32" s="26">
        <f>Коэфф.!B$7*($D32*($D32-1)*((2*$D32+8)/6+2/$D32)-IF($B32=0,-2,$B32*($B32-1)*((2*$B32+8)/6+2/$B32)))/2</f>
        <v>200</v>
      </c>
      <c r="L32" s="26">
        <f>Коэфф.!C$7*($D32*($D32-1)*((2*$D32+8)/6+2/$D32)-IF($B32=0,-2,$B32*($B32-1)*((2*$B32+8)/6+2/$B32)))/2</f>
        <v>100</v>
      </c>
      <c r="M32" s="26">
        <f>Коэфф.!D$7*($D32*($D32-1)*((2*$D32+8)/6+2/$D32)-IF($B32=0,-2,$B32*($B32-1)*((2*$B32+8)/6+2/$B32)))/2</f>
        <v>100</v>
      </c>
      <c r="N32" s="17">
        <f>ROUNDUP(SQRT(Коэфф.!C$7*(($D32-1)*($D32-1)+3*($D32-1)+2)/100+100)-10,0)</f>
        <v>1</v>
      </c>
      <c r="O32" s="26">
        <f>IF($N32&gt;$B$4,Коэфф.!B$10*($N32*($N32-1)*((2*$N32+8)/6+2/$N32)-$B$4*($B$4-1)*((2*$B$4+8)/6+2/$B$4))/2,0)</f>
        <v>0</v>
      </c>
      <c r="P32" s="26">
        <f>IF($N32&gt;$B$4,Коэфф.!C$10*($N32*($N32-1)*((2*$N32+8)/6+2/$N32)-$B$4*($B$4-1)*((2*$B$4+8)/6+2/$B$4))/2,0)</f>
        <v>0</v>
      </c>
      <c r="Q32" s="26">
        <f>IF($N32&gt;$B$4,Коэфф.!D$10*($N32*($N32-1)*((2*$N32+8)/6+2/$N32)-$B$4*($B$4-1)*((2*$B$4+8)/6+2/$B$4))/2,0)</f>
        <v>0</v>
      </c>
    </row>
    <row r="33" spans="1:17" x14ac:dyDescent="0.25">
      <c r="A33" t="s">
        <v>16</v>
      </c>
      <c r="B33" s="6">
        <v>0</v>
      </c>
      <c r="C33" s="27" t="s">
        <v>36</v>
      </c>
      <c r="D33" s="28">
        <f t="shared" ref="D33:D34" si="6">B33+1</f>
        <v>1</v>
      </c>
      <c r="E33" s="4">
        <f>ROUND(B33*10*(0.2+0.008*B33/2)*5+$E$32*(1+0.0025*B33),0)</f>
        <v>0</v>
      </c>
      <c r="F33" s="5">
        <f>K33+(L33+M33)*2+IF(N33&gt;$B$4,O33+(P33+Q33)*2,0)</f>
        <v>10800</v>
      </c>
      <c r="G33" s="4">
        <f>ROUND(10*(0.2+0.008*B33/2)*5+E32*0.0025,0)</f>
        <v>10</v>
      </c>
      <c r="H33" s="4">
        <f>ROUND(F33/G33,0)</f>
        <v>1080</v>
      </c>
      <c r="I33" s="4">
        <f t="shared" ref="I33:I34" si="7">ROUND(F33/SUM($E$9:$E$13)/60,1)</f>
        <v>-18</v>
      </c>
      <c r="J33" s="4"/>
      <c r="K33" s="26">
        <f>Коэфф.!B$8*($D33*($D33-1)*((2*$D33+8)/6+2/$D33)-IF($B33=0,-2,$B33*($B33-1)*((2*$B33+8)/6+2/$B33)))/2</f>
        <v>5000</v>
      </c>
      <c r="L33" s="26">
        <f>Коэфф.!C$8*($D33*($D33-1)*((2*$D33+8)/6+2/$D33)-IF($B33=0,-2,$B33*($B33-1)*((2*$B33+8)/6+2/$B33)))/2</f>
        <v>500</v>
      </c>
      <c r="M33" s="26">
        <f>Коэфф.!D$8*($D33*($D33-1)*((2*$D33+8)/6+2/$D33)-IF($B33=0,-2,$B33*($B33-1)*((2*$B33+8)/6+2/$B33)))/2</f>
        <v>1500</v>
      </c>
      <c r="N33" s="17">
        <f>ROUNDUP(SQRT(Коэфф.!D$8*(($D33-1)*($D33-1)+3*($D33-1)+2)/100+100)-10,0)</f>
        <v>2</v>
      </c>
      <c r="O33" s="26">
        <f>IF($N33&gt;$B$4,Коэфф.!B$10*($N33*($N33-1)*((2*$N33+8)/6+2/$N33)-$B$4*($B$4-1)*((2*$B$4+8)/6+2/$B$4))/2,0)</f>
        <v>600</v>
      </c>
      <c r="P33" s="26">
        <f>IF($N33&gt;$B$4,Коэфф.!C$10*($N33*($N33-1)*((2*$N33+8)/6+2/$N33)-$B$4*($B$4-1)*((2*$B$4+8)/6+2/$B$4))/2,0)</f>
        <v>300</v>
      </c>
      <c r="Q33" s="26">
        <f>IF($N33&gt;$B$4,Коэфф.!D$10*($N33*($N33-1)*((2*$N33+8)/6+2/$N33)-$B$4*($B$4-1)*((2*$B$4+8)/6+2/$B$4))/2,0)</f>
        <v>300</v>
      </c>
    </row>
    <row r="34" spans="1:17" x14ac:dyDescent="0.25">
      <c r="A34" t="s">
        <v>17</v>
      </c>
      <c r="B34" s="6">
        <v>0</v>
      </c>
      <c r="C34" s="27" t="s">
        <v>36</v>
      </c>
      <c r="D34" s="28">
        <f t="shared" si="6"/>
        <v>1</v>
      </c>
      <c r="E34" s="4">
        <f>ROUND(B34*10*(0.2+0.008*B34/2)*5+$E$32*(1+0.0025*B34),0)</f>
        <v>0</v>
      </c>
      <c r="F34" s="17">
        <f>K34+(L34+M34)*2+IF(N34&gt;$B$4,O34+(P34+Q34)*2,0)</f>
        <v>10600</v>
      </c>
      <c r="G34" s="4">
        <f>ROUND((2+E32*0.005),0)</f>
        <v>2</v>
      </c>
      <c r="H34" s="4">
        <f>ROUND(F34/G34,0)</f>
        <v>5300</v>
      </c>
      <c r="I34" s="4">
        <f t="shared" si="7"/>
        <v>-17.7</v>
      </c>
      <c r="J34" s="4"/>
      <c r="K34" s="26">
        <f>Коэфф.!B$9*($D34*($D34-1)*((2*$D34+8)/6+2/$D34)-IF($B34=0,-2,$B34*($B34-1)*((2*$B34+8)/6+2/$B34)))/2</f>
        <v>8000</v>
      </c>
      <c r="L34" s="26">
        <f>Коэфф.!C$9*($D34*($D34-1)*((2*$D34+8)/6+2/$D34)-IF($B34=0,-2,$B34*($B34-1)*((2*$B34+8)/6+2/$B34)))/2</f>
        <v>1000</v>
      </c>
      <c r="M34" s="26">
        <f>Коэфф.!D$9*($D34*($D34-1)*((2*$D34+8)/6+2/$D34)-IF($B34=0,-2,$B34*($B34-1)*((2*$B34+8)/6+2/$B34)))/2</f>
        <v>300</v>
      </c>
      <c r="N34" s="17">
        <f>ROUNDUP(SQRT(Коэфф.!C$9*(($D34-1)*($D34-1)+3*($D34-1)+2)/100+100)-10,0)</f>
        <v>1</v>
      </c>
      <c r="O34" s="26">
        <f>IF($N34&gt;$B$4,Коэфф.!B$10*($N34*($N34-1)*((2*$N34+8)/6+2/$N34)-$B$4*($B$4-1)*((2*$B$4+8)/6+2/$B$4))/2,0)</f>
        <v>0</v>
      </c>
      <c r="P34" s="26">
        <f>IF($N34&gt;$B$4,Коэфф.!C$10*($N34*($N34-1)*((2*$N34+8)/6+2/$N34)-$B$4*($B$4-1)*((2*$B$4+8)/6+2/$B$4))/2,0)</f>
        <v>0</v>
      </c>
      <c r="Q34" s="26">
        <f>IF($N34&gt;$B$4,Коэфф.!D$10*($N34*($N34-1)*((2*$N34+8)/6+2/$N34)-$B$4*($B$4-1)*((2*$B$4+8)/6+2/$B$4))/2,0)</f>
        <v>0</v>
      </c>
    </row>
    <row r="36" spans="1:17" x14ac:dyDescent="0.25">
      <c r="A36" t="s">
        <v>19</v>
      </c>
    </row>
    <row r="37" spans="1:17" x14ac:dyDescent="0.25">
      <c r="A37" t="s">
        <v>28</v>
      </c>
    </row>
    <row r="38" spans="1:17" x14ac:dyDescent="0.25">
      <c r="A38" t="s">
        <v>29</v>
      </c>
    </row>
    <row r="39" spans="1:17" x14ac:dyDescent="0.25">
      <c r="F39" s="15"/>
    </row>
    <row r="40" spans="1:17" x14ac:dyDescent="0.25">
      <c r="F40" s="15"/>
    </row>
  </sheetData>
  <mergeCells count="6">
    <mergeCell ref="E9:E10"/>
    <mergeCell ref="K7:M7"/>
    <mergeCell ref="K30:M30"/>
    <mergeCell ref="K2:M2"/>
    <mergeCell ref="O7:Q7"/>
    <mergeCell ref="O30:Q30"/>
  </mergeCells>
  <conditionalFormatting sqref="L9:M14">
    <cfRule type="cellIs" dxfId="2" priority="11" operator="greaterThan">
      <formula>$E$4</formula>
    </cfRule>
  </conditionalFormatting>
  <conditionalFormatting sqref="H9:H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4 N9:N13">
    <cfRule type="cellIs" dxfId="1" priority="3" operator="greaterThan">
      <formula>$B$4</formula>
    </cfRule>
  </conditionalFormatting>
  <conditionalFormatting sqref="L32:M34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8" sqref="F18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15</v>
      </c>
      <c r="B7">
        <v>200</v>
      </c>
      <c r="C7">
        <v>100</v>
      </c>
      <c r="D7">
        <v>100</v>
      </c>
    </row>
    <row r="8" spans="1:4" x14ac:dyDescent="0.25">
      <c r="A8" t="s">
        <v>16</v>
      </c>
      <c r="B8">
        <v>5000</v>
      </c>
      <c r="C8">
        <v>500</v>
      </c>
      <c r="D8">
        <v>1500</v>
      </c>
    </row>
    <row r="9" spans="1:4" x14ac:dyDescent="0.25">
      <c r="A9" t="s">
        <v>17</v>
      </c>
      <c r="B9">
        <v>8000</v>
      </c>
      <c r="C9">
        <v>1000</v>
      </c>
      <c r="D9">
        <v>300</v>
      </c>
    </row>
    <row r="10" spans="1:4" x14ac:dyDescent="0.25">
      <c r="A10" t="s">
        <v>26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Коэфф.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2017-01-12T22:22:10Z</dcterms:modified>
</cp:coreProperties>
</file>