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85" windowWidth="14805" windowHeight="7230"/>
  </bookViews>
  <sheets>
    <sheet name="Расчет" sheetId="2" r:id="rId1"/>
    <sheet name="Коэфф." sheetId="3" r:id="rId2"/>
    <sheet name="Advanced" sheetId="4" r:id="rId3"/>
  </sheets>
  <definedNames>
    <definedName name="test">Расчет!$A$7,Расчет!$H$7,Расчет!$A$12,Расчет!$H$12,Расчет!$A$13,Расчет!$H$13,Расчет!$A$14,Расчет!$H$14,Расчет!$A$15,Расчет!$H$15,Расчет!$A$16,Расчет!$H$16</definedName>
    <definedName name="test2">Расчет!$H$7,Расчет!$H$12:$H$16</definedName>
  </definedNames>
  <calcPr calcId="145621"/>
</workbook>
</file>

<file path=xl/calcChain.xml><?xml version="1.0" encoding="utf-8"?>
<calcChain xmlns="http://schemas.openxmlformats.org/spreadsheetml/2006/main">
  <c r="F2" i="4" l="1"/>
  <c r="F3" i="4"/>
  <c r="C5" i="4" l="1"/>
  <c r="G7" i="2"/>
  <c r="D12" i="2"/>
  <c r="E14" i="2"/>
  <c r="E15" i="2"/>
  <c r="E16" i="2"/>
  <c r="B10" i="4"/>
  <c r="D10" i="4" l="1"/>
  <c r="C4" i="4"/>
  <c r="C6" i="4"/>
  <c r="C3" i="4"/>
  <c r="D28" i="2" l="1"/>
  <c r="D29" i="2"/>
  <c r="D27" i="2"/>
  <c r="D7" i="2" l="1"/>
  <c r="N29" i="2"/>
  <c r="D14" i="2" l="1"/>
  <c r="N27" i="2"/>
  <c r="M7" i="2" l="1"/>
  <c r="M12" i="2"/>
  <c r="K27" i="2"/>
  <c r="M29" i="2"/>
  <c r="D16" i="2"/>
  <c r="D15" i="2"/>
  <c r="D13" i="2"/>
  <c r="L13" i="2" l="1"/>
  <c r="N13" i="2"/>
  <c r="L12" i="2"/>
  <c r="K12" i="2"/>
  <c r="N12" i="2"/>
  <c r="L7" i="2"/>
  <c r="M16" i="2"/>
  <c r="N16" i="2"/>
  <c r="L15" i="2"/>
  <c r="N15" i="2"/>
  <c r="K14" i="2"/>
  <c r="N14" i="2"/>
  <c r="L28" i="2"/>
  <c r="N28" i="2"/>
  <c r="K7" i="2"/>
  <c r="K16" i="2"/>
  <c r="L16" i="2"/>
  <c r="L14" i="2"/>
  <c r="K15" i="2"/>
  <c r="M15" i="2"/>
  <c r="M14" i="2"/>
  <c r="M13" i="2"/>
  <c r="K13" i="2"/>
  <c r="K29" i="2"/>
  <c r="L29" i="2"/>
  <c r="M28" i="2"/>
  <c r="K28" i="2"/>
  <c r="L27" i="2"/>
  <c r="M27" i="2"/>
  <c r="F7" i="2" l="1"/>
  <c r="O12" i="2"/>
  <c r="P12" i="2"/>
  <c r="Q12" i="2"/>
  <c r="H7" i="2" l="1"/>
  <c r="F12" i="2"/>
  <c r="B2" i="4" s="1"/>
  <c r="E7" i="2"/>
  <c r="A14" i="4" l="1"/>
  <c r="E10" i="4"/>
  <c r="G14" i="2"/>
  <c r="G16" i="2"/>
  <c r="G15" i="2"/>
  <c r="G13" i="2"/>
  <c r="C2" i="4" s="1"/>
  <c r="D2" i="4" s="1"/>
  <c r="G12" i="2" l="1"/>
  <c r="E12" i="2"/>
  <c r="O13" i="2" l="1"/>
  <c r="P13" i="2"/>
  <c r="Q13" i="2"/>
  <c r="F13" i="2" l="1"/>
  <c r="E27" i="2"/>
  <c r="P16" i="2" l="1"/>
  <c r="Q16" i="2"/>
  <c r="O16" i="2"/>
  <c r="O15" i="2"/>
  <c r="P15" i="2"/>
  <c r="Q15" i="2"/>
  <c r="O14" i="2"/>
  <c r="P14" i="2"/>
  <c r="Q14" i="2"/>
  <c r="O27" i="2"/>
  <c r="Q27" i="2"/>
  <c r="P27" i="2"/>
  <c r="Q29" i="2"/>
  <c r="P29" i="2"/>
  <c r="O29" i="2"/>
  <c r="P28" i="2"/>
  <c r="O28" i="2"/>
  <c r="Q28" i="2"/>
  <c r="H13" i="2"/>
  <c r="H12" i="2"/>
  <c r="E29" i="2"/>
  <c r="E28" i="2"/>
  <c r="G29" i="2"/>
  <c r="G28" i="2"/>
  <c r="F29" i="2" l="1"/>
  <c r="H29" i="2" s="1"/>
  <c r="F14" i="2"/>
  <c r="F16" i="2"/>
  <c r="H16" i="2" s="1"/>
  <c r="F15" i="2"/>
  <c r="F27" i="2"/>
  <c r="F28" i="2"/>
  <c r="B5" i="4" l="1"/>
  <c r="E5" i="4" s="1"/>
  <c r="H14" i="2"/>
  <c r="B6" i="4"/>
  <c r="D6" i="4" s="1"/>
  <c r="B3" i="4"/>
  <c r="D3" i="4" s="1"/>
  <c r="B4" i="4"/>
  <c r="D4" i="4" s="1"/>
  <c r="H27" i="2"/>
  <c r="H28" i="2"/>
  <c r="D5" i="4" l="1"/>
  <c r="B18" i="2" s="1"/>
  <c r="E2" i="4"/>
  <c r="E4" i="4"/>
  <c r="E3" i="4"/>
  <c r="E6" i="4"/>
  <c r="I27" i="2"/>
  <c r="I12" i="2"/>
  <c r="I7" i="2"/>
  <c r="I13" i="2"/>
  <c r="I29" i="2"/>
  <c r="I14" i="2"/>
  <c r="I16" i="2"/>
  <c r="I28" i="2"/>
  <c r="I15" i="2"/>
  <c r="H15" i="2"/>
  <c r="G18" i="2" l="1"/>
  <c r="I18" i="2"/>
  <c r="F18" i="2"/>
  <c r="H18" i="2"/>
  <c r="H2" i="2" s="1"/>
  <c r="A18" i="2"/>
</calcChain>
</file>

<file path=xl/sharedStrings.xml><?xml version="1.0" encoding="utf-8"?>
<sst xmlns="http://schemas.openxmlformats.org/spreadsheetml/2006/main" count="98" uniqueCount="49">
  <si>
    <t>Дома</t>
  </si>
  <si>
    <t>Ратуша</t>
  </si>
  <si>
    <t>Шахты</t>
  </si>
  <si>
    <t>Лесопилка</t>
  </si>
  <si>
    <t>Уровень</t>
  </si>
  <si>
    <t>Ферма</t>
  </si>
  <si>
    <t>Ферм</t>
  </si>
  <si>
    <t>Зол</t>
  </si>
  <si>
    <t>Золото</t>
  </si>
  <si>
    <t>Дерево</t>
  </si>
  <si>
    <t>Камень</t>
  </si>
  <si>
    <t>Доход в минуту</t>
  </si>
  <si>
    <t>Окупаемость апгрейда в часах</t>
  </si>
  <si>
    <t>1. Доход по лесопилкам/шахтам с учетом закупочной цены 200 золота за 100 ресурсов</t>
  </si>
  <si>
    <t>Время до апгрейда в часах</t>
  </si>
  <si>
    <t>Казармы</t>
  </si>
  <si>
    <t>Стена</t>
  </si>
  <si>
    <t>Требушет</t>
  </si>
  <si>
    <t>Эквивалент армии</t>
  </si>
  <si>
    <t>1. Эквивалент армии для стены указан при обороне, без учета действия требушетов атакующей стороны</t>
  </si>
  <si>
    <t>Условная стоимость одного солдата</t>
  </si>
  <si>
    <t>Приведенная стоимость апгрейда</t>
  </si>
  <si>
    <t>Ресурсы на апгрейд</t>
  </si>
  <si>
    <t>Рост дохода при апгрейде</t>
  </si>
  <si>
    <t>Эквивалентный прирост армии при апгрейде</t>
  </si>
  <si>
    <t>2. Доход по фермам с учетом остатков от потребляемого свободными жителями и продажной цены 50 золота за 100 ресурсов, а покупной 200 золота за 100 ресурсов в случае дефицита</t>
  </si>
  <si>
    <t>Склад</t>
  </si>
  <si>
    <t>Вместимость</t>
  </si>
  <si>
    <t>2. Эквивалент армии для требушетов выбран равным армии со стенами того же уровня</t>
  </si>
  <si>
    <t>3. Приведенная стоимость апгрейда с учетом необходимости апгрейда складов</t>
  </si>
  <si>
    <t>Заполнение склада в часах</t>
  </si>
  <si>
    <t>Запас еды</t>
  </si>
  <si>
    <t>Расход еды в минуту</t>
  </si>
  <si>
    <t>Время расходования полного склада в часах</t>
  </si>
  <si>
    <t>Необходимый запас на 12 часов</t>
  </si>
  <si>
    <t>---&gt;</t>
  </si>
  <si>
    <t>Ресурсы на апгрейд склада</t>
  </si>
  <si>
    <t>Требуемый уровень склада</t>
  </si>
  <si>
    <t>Здание</t>
  </si>
  <si>
    <t>Шахта</t>
  </si>
  <si>
    <t>Склад + Лесопилка + Шахта</t>
  </si>
  <si>
    <t>Склад + Лесопилка + Шахта + Ферма</t>
  </si>
  <si>
    <t>Комбинированый апгрейд</t>
  </si>
  <si>
    <t>Склад + Дома + Ферма</t>
  </si>
  <si>
    <t>Дома + Ратуша</t>
  </si>
  <si>
    <t>Дома + Ферма</t>
  </si>
  <si>
    <t>Комбинированный апгрейд</t>
  </si>
  <si>
    <t>Следующая постройка для апгрейда:</t>
  </si>
  <si>
    <t>v1.0203b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</si>
</sst>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2" xfId="0" applyNumberForma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defaultRowHeight="15" x14ac:dyDescent="0.25"/>
  <cols>
    <col min="1" max="1" width="14.42578125" customWidth="1"/>
    <col min="3" max="3" width="5.42578125" customWidth="1"/>
    <col min="5" max="5" width="14.85546875" customWidth="1"/>
    <col min="6" max="6" width="15.140625" customWidth="1"/>
    <col min="7" max="7" width="15.28515625" customWidth="1"/>
    <col min="8" max="8" width="18.42578125" customWidth="1"/>
    <col min="9" max="9" width="17.85546875" customWidth="1"/>
    <col min="10" max="10" width="10.28515625" bestFit="1" customWidth="1"/>
    <col min="14" max="14" width="17.42578125" style="13" customWidth="1"/>
  </cols>
  <sheetData>
    <row r="1" spans="1:17" ht="15.75" thickBot="1" x14ac:dyDescent="0.3">
      <c r="A1" t="s">
        <v>48</v>
      </c>
    </row>
    <row r="2" spans="1:17" ht="28.5" customHeight="1" thickBot="1" x14ac:dyDescent="0.3">
      <c r="B2" s="27" t="s">
        <v>47</v>
      </c>
      <c r="G2" s="25"/>
      <c r="H2" s="24" t="str">
        <f>IF(B13=0,"Дома",IF(B7=0,"Склад",IF(B14=0,"Ферма",IF(INDEX(N7:N16,MATCH(INDEX(A7:A18,MATCH(MIN(H7:H18),H7:H18,0)),A7:A16,0))&gt;B7,"Склад",INDEX(A7:A18,MATCH(MIN(H7:H18),H7:H18,0))))))</f>
        <v>Дома</v>
      </c>
    </row>
    <row r="3" spans="1:17" s="8" customFormat="1" ht="32.25" customHeight="1" thickBot="1" x14ac:dyDescent="0.3">
      <c r="G3" s="26"/>
      <c r="N3" s="20"/>
    </row>
    <row r="4" spans="1:17" ht="12" customHeight="1" x14ac:dyDescent="0.25">
      <c r="G4" s="25"/>
    </row>
    <row r="5" spans="1:17" x14ac:dyDescent="0.25">
      <c r="K5" s="31" t="s">
        <v>22</v>
      </c>
      <c r="L5" s="31"/>
      <c r="M5" s="31"/>
    </row>
    <row r="6" spans="1:17" ht="45.75" thickBot="1" x14ac:dyDescent="0.3">
      <c r="B6" s="12" t="s">
        <v>4</v>
      </c>
      <c r="C6" s="13"/>
      <c r="D6" s="13"/>
      <c r="E6" s="12" t="s">
        <v>27</v>
      </c>
      <c r="F6" s="2" t="s">
        <v>21</v>
      </c>
      <c r="G6" s="2" t="s">
        <v>23</v>
      </c>
      <c r="H6" s="2" t="s">
        <v>12</v>
      </c>
      <c r="I6" s="2" t="s">
        <v>14</v>
      </c>
      <c r="K6" s="10" t="s">
        <v>8</v>
      </c>
      <c r="L6" s="10" t="s">
        <v>9</v>
      </c>
      <c r="M6" s="10" t="s">
        <v>10</v>
      </c>
    </row>
    <row r="7" spans="1:17" ht="15.75" thickBot="1" x14ac:dyDescent="0.3">
      <c r="A7" t="s">
        <v>26</v>
      </c>
      <c r="B7" s="22">
        <v>0</v>
      </c>
      <c r="C7" s="18" t="s">
        <v>35</v>
      </c>
      <c r="D7" s="19">
        <f>B7+1</f>
        <v>1</v>
      </c>
      <c r="E7" s="3">
        <f>(B7*50+1000)*B7</f>
        <v>0</v>
      </c>
      <c r="F7" s="13">
        <f>K7+(L7+M7)*2</f>
        <v>600</v>
      </c>
      <c r="G7" s="3">
        <f>IF(B7&lt;B14,IF(B7&lt;B13,20,5),0)+IF(B7&lt;B15,20,0)+IF(B7&lt;B16,20,0)</f>
        <v>0</v>
      </c>
      <c r="H7" s="13">
        <f>IF(G7&gt;0,ROUND((F7/(G7*60)),1),9999999)</f>
        <v>9999999</v>
      </c>
      <c r="I7" s="3" t="e">
        <f>ROUND(F7/SUM($E$12:$E$16)/60,1)</f>
        <v>#DIV/0!</v>
      </c>
      <c r="J7" s="3"/>
      <c r="K7" s="9">
        <f>Коэфф.!B$10*($D7*($D7-1)*((2*$D7+8)/6+2/$D7)-IF($B7=0,-2,$B7*($B7-1)*((2*$B7+8)/6+2/$B7)))/2</f>
        <v>200</v>
      </c>
      <c r="L7" s="17">
        <f>Коэфф.!C$10*($D7*($D7-1)*((2*$D7+8)/6+2/$D7)-IF($B7=0,-2,$B7*($B7-1)*((2*$B7+8)/6+2/$B7)))/2</f>
        <v>100</v>
      </c>
      <c r="M7" s="17">
        <f>Коэфф.!D$10*($D7*($D7-1)*((2*$D7+8)/6+2/$D7)-IF($B7=0,-2,$B7*($B7-1)*((2*$B7+8)/6+2/$B7)))/2</f>
        <v>100</v>
      </c>
    </row>
    <row r="8" spans="1:17" s="8" customFormat="1" ht="15.75" thickBot="1" x14ac:dyDescent="0.3">
      <c r="F8" s="15"/>
      <c r="N8" s="20"/>
    </row>
    <row r="10" spans="1:17" x14ac:dyDescent="0.25">
      <c r="K10" s="31" t="s">
        <v>22</v>
      </c>
      <c r="L10" s="31"/>
      <c r="M10" s="31"/>
      <c r="O10" s="31" t="s">
        <v>36</v>
      </c>
      <c r="P10" s="31"/>
      <c r="Q10" s="31"/>
    </row>
    <row r="11" spans="1:17" s="6" customFormat="1" ht="45.75" thickBot="1" x14ac:dyDescent="0.3">
      <c r="B11" s="2" t="s">
        <v>4</v>
      </c>
      <c r="C11" s="2"/>
      <c r="D11" s="2"/>
      <c r="E11" s="2" t="s">
        <v>11</v>
      </c>
      <c r="F11" s="2" t="s">
        <v>21</v>
      </c>
      <c r="G11" s="2" t="s">
        <v>23</v>
      </c>
      <c r="H11" s="2" t="s">
        <v>12</v>
      </c>
      <c r="I11" s="2" t="s">
        <v>14</v>
      </c>
      <c r="K11" s="7" t="s">
        <v>8</v>
      </c>
      <c r="L11" s="7" t="s">
        <v>9</v>
      </c>
      <c r="M11" s="7" t="s">
        <v>10</v>
      </c>
      <c r="N11" s="2" t="s">
        <v>37</v>
      </c>
      <c r="O11" s="7" t="s">
        <v>8</v>
      </c>
      <c r="P11" s="7" t="s">
        <v>9</v>
      </c>
      <c r="Q11" s="7" t="s">
        <v>10</v>
      </c>
    </row>
    <row r="12" spans="1:17" ht="15.75" thickBot="1" x14ac:dyDescent="0.3">
      <c r="A12" t="s">
        <v>1</v>
      </c>
      <c r="B12" s="21">
        <v>0</v>
      </c>
      <c r="C12" s="18" t="s">
        <v>35</v>
      </c>
      <c r="D12" s="19">
        <f>B12+1</f>
        <v>1</v>
      </c>
      <c r="E12" s="30">
        <f>B13*10+B13*B12*2</f>
        <v>0</v>
      </c>
      <c r="F12" s="13">
        <f>K12+(L12+M12)*2+O12+(P12+Q12)*2</f>
        <v>1900</v>
      </c>
      <c r="G12" s="13">
        <f>B13*2</f>
        <v>0</v>
      </c>
      <c r="H12" s="13">
        <f>IF(G12&gt;0,ROUND((F12/(G12*60)),1),9999999)</f>
        <v>9999999</v>
      </c>
      <c r="I12" s="3" t="e">
        <f>ROUND(F12/SUM($E$12:$E$16)/60,1)</f>
        <v>#DIV/0!</v>
      </c>
      <c r="K12" s="17">
        <f>Коэфф.!B$6*($D12*($D12-1)*((2*$D12+8)/6+2/$D12)-IF($B12=0,-2,$B12*($B12-1)*((2*$B12+8)/6+2/$B12)))/2</f>
        <v>500</v>
      </c>
      <c r="L12" s="14">
        <f>Коэфф.!C$6*($D12*($D12-1)*((2*$D12+8)/6+2/$D12)-IF($B12=0,-2,$B12*($B12-1)*((2*$B12+8)/6+2/$B12)))/2</f>
        <v>200</v>
      </c>
      <c r="M12" s="17">
        <f>Коэфф.!D$6*($D12*($D12-1)*((2*$D12+8)/6+2/$D12)-IF($B12=0,-2,$B12*($B12-1)*((2*$B12+8)/6+2/$B12)))/2</f>
        <v>200</v>
      </c>
      <c r="N12" s="13">
        <f>ROUNDUP(SQRT(Коэфф.!C$6*(($D12-1)*($D12-1)+3*($D12-1)+2)/100+100)-10,0)</f>
        <v>1</v>
      </c>
      <c r="O12" s="17">
        <f>IF($N12&gt;$B$7,Коэфф.!B$10*($N12*($N12-1)*((2*$N12+8)/6+2/$N12)-IF($B$7=0,-2,$B$7*($B$7-1)*((2*$B$7+8)/6+2/$B$7)))/2,0)</f>
        <v>200</v>
      </c>
      <c r="P12" s="17">
        <f>IF($N12&gt;$B$7,Коэфф.!C$10*($N12*($N12-1)*((2*$N12+8)/6+2/$N12)-IF($B$7=0,-2,$B$7*($B$7-1)*((2*$B$7+8)/6+2/$B$7)))/2,0)</f>
        <v>100</v>
      </c>
      <c r="Q12" s="17">
        <f>IF($N12&gt;$B$7,Коэфф.!D$10*($N12*($N12-1)*((2*$N12+8)/6+2/$N12)-IF($B$7=0,-2,$B$7*($B$7-1)*((2*$B$7+8)/6+2/$B$7)))/2,0)</f>
        <v>100</v>
      </c>
    </row>
    <row r="13" spans="1:17" ht="15.75" thickBot="1" x14ac:dyDescent="0.3">
      <c r="A13" t="s">
        <v>0</v>
      </c>
      <c r="B13" s="21">
        <v>0</v>
      </c>
      <c r="C13" s="18" t="s">
        <v>35</v>
      </c>
      <c r="D13" s="19">
        <f>B13+1</f>
        <v>1</v>
      </c>
      <c r="E13" s="30"/>
      <c r="F13" s="13">
        <f>K13+(L13+M13)*2+O13+(P13+Q13)*2</f>
        <v>1200</v>
      </c>
      <c r="G13" s="13">
        <f>10+B12*2-IF(B14&gt;B13,5,20)</f>
        <v>-10</v>
      </c>
      <c r="H13" s="13">
        <f>IF(G13&gt;0,ROUND((F13/(G13*60)),1),9999999)</f>
        <v>9999999</v>
      </c>
      <c r="I13" s="3" t="e">
        <f>ROUND(F13/SUM($E$12:$E$16)/60,1)</f>
        <v>#DIV/0!</v>
      </c>
      <c r="K13" s="17">
        <f>Коэфф.!B$5*($D13*($D13-1)*((2*$D13+8)/6+2/$D13)-IF($B13=0,-2,$B13*($B13-1)*((2*$B13+8)/6+2/$B13)))/2</f>
        <v>200</v>
      </c>
      <c r="L13" s="17">
        <f>Коэфф.!C$5*($D13*($D13-1)*((2*$D13+8)/6+2/$D13)-IF($B13=0,-2,$B13*($B13-1)*((2*$B13+8)/6+2/$B13)))/2</f>
        <v>100</v>
      </c>
      <c r="M13" s="17">
        <f>Коэфф.!D$5*($D13*($D13-1)*((2*$D13+8)/6+2/$D13)-IF($B13=0,-2,$B13*($B13-1)*((2*$B13+8)/6+2/$B13)))/2</f>
        <v>100</v>
      </c>
      <c r="N13" s="13">
        <f>ROUNDUP(SQRT(Коэфф.!C$5*(($D13-1)*($D13-1)+3*($D13-1)+2)/100+100)-10,0)</f>
        <v>1</v>
      </c>
      <c r="O13" s="17">
        <f>IF($N13&gt;$B$7,Коэфф.!B$10*($N13*($N13-1)*((2*$N13+8)/6+2/$N13)-IF($B$7=0,-2,$B$7*($B$7-1)*((2*$B$7+8)/6+2/$B$7)))/2,0)</f>
        <v>200</v>
      </c>
      <c r="P13" s="17">
        <f>IF($N13&gt;$B$7,Коэфф.!C$10*($N13*($N13-1)*((2*$N13+8)/6+2/$N13)-IF($B$7=0,-2,$B$7*($B$7-1)*((2*$B$7+8)/6+2/$B$7)))/2,0)</f>
        <v>100</v>
      </c>
      <c r="Q13" s="17">
        <f>IF($N13&gt;$B$7,Коэфф.!D$10*($N13*($N13-1)*((2*$N13+8)/6+2/$N13)-IF($B$7=0,-2,$B$7*($B$7-1)*((2*$B$7+8)/6+2/$B$7)))/2,0)</f>
        <v>100</v>
      </c>
    </row>
    <row r="14" spans="1:17" ht="15.75" thickBot="1" x14ac:dyDescent="0.3">
      <c r="A14" t="s">
        <v>5</v>
      </c>
      <c r="B14" s="21">
        <v>0</v>
      </c>
      <c r="C14" s="18" t="s">
        <v>35</v>
      </c>
      <c r="D14" s="19">
        <f>B14+1</f>
        <v>1</v>
      </c>
      <c r="E14" s="1">
        <f>(MIN(B14,$B$7)-B13)*IF(MIN(B14,$B$7)&gt;B13,5,20)</f>
        <v>0</v>
      </c>
      <c r="F14" s="13">
        <f>K14+(L14+M14)*2+O14+(P14+Q14)*2</f>
        <v>900</v>
      </c>
      <c r="G14" s="13">
        <f>IF(B14&lt;$B$7,IF(B14&gt;=B13,5,20),0)</f>
        <v>0</v>
      </c>
      <c r="H14" s="13">
        <f>IF(G14&gt;0,ROUND((F14/(G14*60)),1),9999999)</f>
        <v>9999999</v>
      </c>
      <c r="I14" s="3" t="e">
        <f>ROUND(F14/SUM($E$12:$E$16)/60,1)</f>
        <v>#DIV/0!</v>
      </c>
      <c r="K14" s="17">
        <f>Коэфф.!B$4*($D14*($D14-1)*((2*$D14+8)/6+2/$D14)-IF($B14=0,-2,$B14*($B14-1)*((2*$B14+8)/6+2/$B14)))/2</f>
        <v>100</v>
      </c>
      <c r="L14" s="17">
        <f>Коэфф.!C$4*($D14*($D14-1)*((2*$D14+8)/6+2/$D14)-IF($B14=0,-2,$B14*($B14-1)*((2*$B14+8)/6+2/$B14)))/2</f>
        <v>50</v>
      </c>
      <c r="M14" s="17">
        <f>Коэфф.!D$4*($D14*($D14-1)*((2*$D14+8)/6+2/$D14)-IF($B14=0,-2,$B14*($B14-1)*((2*$B14+8)/6+2/$B14)))/2</f>
        <v>50</v>
      </c>
      <c r="N14" s="13">
        <f>ROUNDUP(SQRT(Коэфф.!C$4*(($D14-1)*($D14-1)+3*($D14-1)+2)/100+100)-10,0)</f>
        <v>1</v>
      </c>
      <c r="O14" s="17">
        <f>IF($N14&gt;$B$7,Коэфф.!B$10*($N14*($N14-1)*((2*$N14+8)/6+2/$N14)-IF($B$7=0,-2,$B$7*($B$7-1)*((2*$B$7+8)/6+2/$B$7)))/2,0)</f>
        <v>200</v>
      </c>
      <c r="P14" s="17">
        <f>IF($N14&gt;$B$7,Коэфф.!C$10*($N14*($N14-1)*((2*$N14+8)/6+2/$N14)-IF($B$7=0,-2,$B$7*($B$7-1)*((2*$B$7+8)/6+2/$B$7)))/2,0)</f>
        <v>100</v>
      </c>
      <c r="Q14" s="17">
        <f>IF($N14&gt;$B$7,Коэфф.!D$10*($N14*($N14-1)*((2*$N14+8)/6+2/$N14)-IF($B$7=0,-2,$B$7*($B$7-1)*((2*$B$7+8)/6+2/$B$7)))/2,0)</f>
        <v>100</v>
      </c>
    </row>
    <row r="15" spans="1:17" ht="15.75" thickBot="1" x14ac:dyDescent="0.3">
      <c r="A15" t="s">
        <v>3</v>
      </c>
      <c r="B15" s="21">
        <v>0</v>
      </c>
      <c r="C15" s="18" t="s">
        <v>35</v>
      </c>
      <c r="D15" s="19">
        <f>B15+1</f>
        <v>1</v>
      </c>
      <c r="E15" s="13">
        <f>MIN(B15,$B$7)*20</f>
        <v>0</v>
      </c>
      <c r="F15" s="13">
        <f>K15+(L15+M15)*2+O15+(P15+Q15)*2</f>
        <v>900</v>
      </c>
      <c r="G15" s="1">
        <f>IF(B15&lt;$B$7,20,0)</f>
        <v>0</v>
      </c>
      <c r="H15" s="1">
        <f>IF(G15&gt;0,ROUND((F15/(G15*60)),1),9999999)</f>
        <v>9999999</v>
      </c>
      <c r="I15" s="3" t="e">
        <f>ROUND(F15/SUM($E$12:$E$16)/60,1)</f>
        <v>#DIV/0!</v>
      </c>
      <c r="K15" s="17">
        <f>Коэфф.!B$2*($D15*($D15-1)*((2*$D15+8)/6+2/$D15)-IF($B15=0,-2,$B15*($B15-1)*((2*$B15+8)/6+2/$B15)))/2</f>
        <v>100</v>
      </c>
      <c r="L15" s="17">
        <f>Коэфф.!C$2*($D15*($D15-1)*((2*$D15+8)/6+2/$D15)-IF($B15=0,-2,$B15*($B15-1)*((2*$B15+8)/6+2/$B15)))/2</f>
        <v>50</v>
      </c>
      <c r="M15" s="17">
        <f>Коэфф.!D$2*($D15*($D15-1)*((2*$D15+8)/6+2/$D15)-IF($B15=0,-2,$B15*($B15-1)*((2*$B15+8)/6+2/$B15)))/2</f>
        <v>50</v>
      </c>
      <c r="N15" s="13">
        <f>ROUNDUP(SQRT(Коэфф.!C$2*(($D15-1)*($D15-1)+3*($D15-1)+2)/100+100)-10,0)</f>
        <v>1</v>
      </c>
      <c r="O15" s="17">
        <f>IF($N15&gt;$B$7,Коэфф.!B$10*($N15*($N15-1)*((2*$N15+8)/6+2/$N15)-IF($B$7=0,-2,$B$7*($B$7-1)*((2*$B$7+8)/6+2/$B$7)))/2,0)</f>
        <v>200</v>
      </c>
      <c r="P15" s="17">
        <f>IF($N15&gt;$B$7,Коэфф.!C$10*($N15*($N15-1)*((2*$N15+8)/6+2/$N15)-IF($B$7=0,-2,$B$7*($B$7-1)*((2*$B$7+8)/6+2/$B$7)))/2,0)</f>
        <v>100</v>
      </c>
      <c r="Q15" s="17">
        <f>IF($N15&gt;$B$7,Коэфф.!D$10*($N15*($N15-1)*((2*$N15+8)/6+2/$N15)-IF($B$7=0,-2,$B$7*($B$7-1)*((2*$B$7+8)/6+2/$B$7)))/2,0)</f>
        <v>100</v>
      </c>
    </row>
    <row r="16" spans="1:17" ht="15.75" thickBot="1" x14ac:dyDescent="0.3">
      <c r="A16" t="s">
        <v>39</v>
      </c>
      <c r="B16" s="21">
        <v>0</v>
      </c>
      <c r="C16" s="18" t="s">
        <v>35</v>
      </c>
      <c r="D16" s="19">
        <f>B16+1</f>
        <v>1</v>
      </c>
      <c r="E16" s="1">
        <f>MIN(B16,$B$7)*20</f>
        <v>0</v>
      </c>
      <c r="F16" s="13">
        <f>K16+(L16+M16)*2+O16+(P16+Q16)*2</f>
        <v>900</v>
      </c>
      <c r="G16" s="13">
        <f>IF(B16&lt;$B$7,20,0)</f>
        <v>0</v>
      </c>
      <c r="H16" s="13">
        <f>IF(G16&gt;0,ROUND((F16/(G16*60)),1),9999999)</f>
        <v>9999999</v>
      </c>
      <c r="I16" s="3" t="e">
        <f>ROUND(F16/SUM($E$12:$E$16)/60,1)</f>
        <v>#DIV/0!</v>
      </c>
      <c r="K16" s="17">
        <f>Коэфф.!B$3*($D16*($D16-1)*((2*$D16+8)/6+2/$D16)-IF($B16=0,-2,$B16*($B16-1)*((2*$B16+8)/6+2/$B16)))/2</f>
        <v>100</v>
      </c>
      <c r="L16" s="17">
        <f>Коэфф.!C$3*($D16*($D16-1)*((2*$D16+8)/6+2/$D16)-IF($B16=0,-2,$B16*($B16-1)*((2*$B16+8)/6+2/$B16)))/2</f>
        <v>50</v>
      </c>
      <c r="M16" s="17">
        <f>Коэфф.!D$3*($D16*($D16-1)*((2*$D16+8)/6+2/$D16)-IF($B16=0,-2,$B16*($B16-1)*((2*$B16+8)/6+2/$B16)))/2</f>
        <v>50</v>
      </c>
      <c r="N16" s="13">
        <f>ROUNDUP(SQRT(Коэфф.!C$3*(($D16-1)*($D16-1)+3*($D16-1)+2)/100+100)-10,0)</f>
        <v>1</v>
      </c>
      <c r="O16" s="17">
        <f>IF($N16&gt;$B$7,Коэфф.!B$10*($N16*($N16-1)*((2*$N16+8)/6+2/$N16)-IF($B$7=0,-2,$B$7*($B$7-1)*((2*$B$7+8)/6+2/$B$7)))/2,0)</f>
        <v>200</v>
      </c>
      <c r="P16" s="17">
        <f>IF($N16&gt;$B$7,Коэфф.!C$10*($N16*($N16-1)*((2*$N16+8)/6+2/$N16)-IF($B$7=0,-2,$B$7*($B$7-1)*((2*$B$7+8)/6+2/$B$7)))/2,0)</f>
        <v>100</v>
      </c>
      <c r="Q16" s="17">
        <f>IF($N16&gt;$B$7,Коэфф.!D$10*($N16*($N16-1)*((2*$N16+8)/6+2/$N16)-IF($B$7=0,-2,$B$7*($B$7-1)*((2*$B$7+8)/6+2/$B$7)))/2,0)</f>
        <v>100</v>
      </c>
    </row>
    <row r="17" spans="1:17" x14ac:dyDescent="0.25">
      <c r="B17" s="29" t="s">
        <v>46</v>
      </c>
      <c r="C17" s="29"/>
      <c r="D17" s="29"/>
      <c r="E17" s="29"/>
      <c r="F17" s="3"/>
      <c r="G17" s="3"/>
      <c r="H17" s="13"/>
      <c r="I17" s="3"/>
    </row>
    <row r="18" spans="1:17" x14ac:dyDescent="0.25">
      <c r="A18" t="str">
        <f>INDEX(Advanced!A2:F6,MATCH(MIN(Advanced!D2:D6),Advanced!D2:D6,0),6)</f>
        <v>Склад</v>
      </c>
      <c r="B18" s="28" t="str">
        <f>INDEX(Advanced!A2:F6,MATCH(MIN(Advanced!D2:D6),Advanced!D2:D6,0),1)</f>
        <v>Склад + Лесопилка + Шахта</v>
      </c>
      <c r="C18" s="28"/>
      <c r="D18" s="28"/>
      <c r="E18" s="28"/>
      <c r="F18" s="3">
        <f>INDEX(Advanced!A2:F6,MATCH(MIN(Advanced!D2:D6),Advanced!D2:D6,0),2)</f>
        <v>2400</v>
      </c>
      <c r="G18" s="3">
        <f>INDEX(Advanced!A2:F6,MATCH(MIN(Advanced!D2:D6),Advanced!D2:D6,0),3)</f>
        <v>40</v>
      </c>
      <c r="H18" s="13">
        <f>INDEX(Advanced!A2:F6,MATCH(MIN(Advanced!D2:D6),Advanced!D2:D6,0),4)</f>
        <v>1</v>
      </c>
      <c r="I18" s="3" t="e">
        <f>INDEX(Advanced!A2:F6,MATCH(MIN(Advanced!D2:D6),Advanced!D2:D6,0),5)</f>
        <v>#DIV/0!</v>
      </c>
    </row>
    <row r="19" spans="1:17" x14ac:dyDescent="0.25">
      <c r="B19" s="3"/>
      <c r="C19" s="3"/>
      <c r="D19" s="3"/>
      <c r="E19" s="3"/>
      <c r="F19" s="3"/>
      <c r="G19" s="3"/>
      <c r="H19" s="13"/>
      <c r="I19" s="3"/>
    </row>
    <row r="20" spans="1:17" x14ac:dyDescent="0.25">
      <c r="A20" t="s">
        <v>13</v>
      </c>
    </row>
    <row r="21" spans="1:17" x14ac:dyDescent="0.25">
      <c r="A21" t="s">
        <v>25</v>
      </c>
    </row>
    <row r="22" spans="1:17" x14ac:dyDescent="0.25">
      <c r="A22" t="s">
        <v>29</v>
      </c>
    </row>
    <row r="23" spans="1:17" s="8" customFormat="1" ht="15.75" thickBot="1" x14ac:dyDescent="0.3">
      <c r="N23" s="20"/>
    </row>
    <row r="25" spans="1:17" x14ac:dyDescent="0.25">
      <c r="K25" s="31" t="s">
        <v>22</v>
      </c>
      <c r="L25" s="31"/>
      <c r="M25" s="31"/>
      <c r="O25" s="31" t="s">
        <v>36</v>
      </c>
      <c r="P25" s="31"/>
      <c r="Q25" s="31"/>
    </row>
    <row r="26" spans="1:17" ht="45" customHeight="1" thickBot="1" x14ac:dyDescent="0.3">
      <c r="B26" s="2" t="s">
        <v>4</v>
      </c>
      <c r="C26" s="2"/>
      <c r="D26" s="2"/>
      <c r="E26" s="2" t="s">
        <v>18</v>
      </c>
      <c r="F26" s="2" t="s">
        <v>21</v>
      </c>
      <c r="G26" s="2" t="s">
        <v>24</v>
      </c>
      <c r="H26" s="2" t="s">
        <v>20</v>
      </c>
      <c r="I26" s="2" t="s">
        <v>14</v>
      </c>
      <c r="K26" s="5" t="s">
        <v>8</v>
      </c>
      <c r="L26" s="5" t="s">
        <v>9</v>
      </c>
      <c r="M26" s="5" t="s">
        <v>10</v>
      </c>
      <c r="N26" s="2" t="s">
        <v>37</v>
      </c>
      <c r="O26" s="7" t="s">
        <v>8</v>
      </c>
      <c r="P26" s="7" t="s">
        <v>9</v>
      </c>
      <c r="Q26" s="7" t="s">
        <v>10</v>
      </c>
    </row>
    <row r="27" spans="1:17" ht="15.75" thickBot="1" x14ac:dyDescent="0.3">
      <c r="A27" t="s">
        <v>15</v>
      </c>
      <c r="B27" s="23">
        <v>0</v>
      </c>
      <c r="C27" s="18" t="s">
        <v>35</v>
      </c>
      <c r="D27" s="19">
        <f>B27+1</f>
        <v>1</v>
      </c>
      <c r="E27" s="3">
        <f>B27*40</f>
        <v>0</v>
      </c>
      <c r="F27" s="13" t="e">
        <f>K27+(L27+M27)*2+O27+(P27+Q27)*2</f>
        <v>#DIV/0!</v>
      </c>
      <c r="G27" s="3">
        <v>40</v>
      </c>
      <c r="H27" s="3" t="e">
        <f>ROUND(F27/G27,0)</f>
        <v>#DIV/0!</v>
      </c>
      <c r="I27" s="3" t="e">
        <f>ROUND(F27/SUM($E$12:$E$16)/60,1)</f>
        <v>#DIV/0!</v>
      </c>
      <c r="J27" s="3"/>
      <c r="K27" s="17">
        <f>Коэфф.!B$7*($D27*($D27-1)*((2*$D27+8)/6+2/$D27)-IF($B27=0,-2,$B27*($B27-1)*((2*$B27+8)/6+2/$B27)))/2</f>
        <v>200</v>
      </c>
      <c r="L27" s="17">
        <f>Коэфф.!C$7*($D27*($D27-1)*((2*$D27+8)/6+2/$D27)-IF($B27=0,-2,$B27*($B27-1)*((2*$B27+8)/6+2/$B27)))/2</f>
        <v>100</v>
      </c>
      <c r="M27" s="17">
        <f>Коэфф.!D$7*($D27*($D27-1)*((2*$D27+8)/6+2/$D27)-IF($B27=0,-2,$B27*($B27-1)*((2*$B27+8)/6+2/$B27)))/2</f>
        <v>100</v>
      </c>
      <c r="N27" s="13">
        <f>ROUNDUP(SQRT(Коэфф.!C$7*(($D27-1)*($D27-1)+3*($D27-1)+2)/100+100)-10,0)</f>
        <v>1</v>
      </c>
      <c r="O27" s="17" t="e">
        <f>IF($N27&gt;$B$7,Коэфф.!B$10*($N27*($N27-1)*((2*$N27+8)/6+2/$N27)-$B$7*($B$7-1)*((2*$B$7+8)/6+2/$B$7))/2,0)</f>
        <v>#DIV/0!</v>
      </c>
      <c r="P27" s="17" t="e">
        <f>IF($N27&gt;$B$7,Коэфф.!C$10*($N27*($N27-1)*((2*$N27+8)/6+2/$N27)-$B$7*($B$7-1)*((2*$B$7+8)/6+2/$B$7))/2,0)</f>
        <v>#DIV/0!</v>
      </c>
      <c r="Q27" s="17" t="e">
        <f>IF($N27&gt;$B$7,Коэфф.!D$10*($N27*($N27-1)*((2*$N27+8)/6+2/$N27)-$B$7*($B$7-1)*((2*$B$7+8)/6+2/$B$7))/2,0)</f>
        <v>#DIV/0!</v>
      </c>
    </row>
    <row r="28" spans="1:17" ht="15.75" thickBot="1" x14ac:dyDescent="0.3">
      <c r="A28" t="s">
        <v>16</v>
      </c>
      <c r="B28" s="23">
        <v>0</v>
      </c>
      <c r="C28" s="18" t="s">
        <v>35</v>
      </c>
      <c r="D28" s="19">
        <f t="shared" ref="D28:D29" si="0">B28+1</f>
        <v>1</v>
      </c>
      <c r="E28" s="3">
        <f>ROUND(B28*10*(0.2+0.008*B28/2)*5+$E$27*(1+0.0025*B28),0)</f>
        <v>0</v>
      </c>
      <c r="F28" s="4" t="e">
        <f>K28+(L28+M28)*2+O28+(P28+Q28)*2</f>
        <v>#DIV/0!</v>
      </c>
      <c r="G28" s="3">
        <f>ROUND(10*(0.2+0.008*B28/2)*5+E27*0.0025,0)</f>
        <v>10</v>
      </c>
      <c r="H28" s="3" t="e">
        <f>ROUND(F28/G28,0)</f>
        <v>#DIV/0!</v>
      </c>
      <c r="I28" s="3" t="e">
        <f>ROUND(F28/SUM($E$12:$E$16)/60,1)</f>
        <v>#DIV/0!</v>
      </c>
      <c r="J28" s="3"/>
      <c r="K28" s="17">
        <f>Коэфф.!B$8*($D28*($D28-1)*((2*$D28+8)/6+2/$D28)-IF($B28=0,-2,$B28*($B28-1)*((2*$B28+8)/6+2/$B28)))/2</f>
        <v>5000</v>
      </c>
      <c r="L28" s="17">
        <f>Коэфф.!C$8*($D28*($D28-1)*((2*$D28+8)/6+2/$D28)-IF($B28=0,-2,$B28*($B28-1)*((2*$B28+8)/6+2/$B28)))/2</f>
        <v>500</v>
      </c>
      <c r="M28" s="17">
        <f>Коэфф.!D$8*($D28*($D28-1)*((2*$D28+8)/6+2/$D28)-IF($B28=0,-2,$B28*($B28-1)*((2*$B28+8)/6+2/$B28)))/2</f>
        <v>1500</v>
      </c>
      <c r="N28" s="13">
        <f>ROUNDUP(SQRT(Коэфф.!D$8*(($D28-1)*($D28-1)+3*($D28-1)+2)/100+100)-10,0)</f>
        <v>2</v>
      </c>
      <c r="O28" s="17" t="e">
        <f>IF($N28&gt;$B$7,Коэфф.!B$10*($N28*($N28-1)*((2*$N28+8)/6+2/$N28)-$B$7*($B$7-1)*((2*$B$7+8)/6+2/$B$7))/2,0)</f>
        <v>#DIV/0!</v>
      </c>
      <c r="P28" s="17" t="e">
        <f>IF($N28&gt;$B$7,Коэфф.!C$10*($N28*($N28-1)*((2*$N28+8)/6+2/$N28)-$B$7*($B$7-1)*((2*$B$7+8)/6+2/$B$7))/2,0)</f>
        <v>#DIV/0!</v>
      </c>
      <c r="Q28" s="17" t="e">
        <f>IF($N28&gt;$B$7,Коэфф.!D$10*($N28*($N28-1)*((2*$N28+8)/6+2/$N28)-$B$7*($B$7-1)*((2*$B$7+8)/6+2/$B$7))/2,0)</f>
        <v>#DIV/0!</v>
      </c>
    </row>
    <row r="29" spans="1:17" ht="15.75" thickBot="1" x14ac:dyDescent="0.3">
      <c r="A29" t="s">
        <v>17</v>
      </c>
      <c r="B29" s="23">
        <v>0</v>
      </c>
      <c r="C29" s="18" t="s">
        <v>35</v>
      </c>
      <c r="D29" s="19">
        <f t="shared" si="0"/>
        <v>1</v>
      </c>
      <c r="E29" s="3">
        <f>ROUND(B29*10*(0.2+0.008*B29/2)*5+$E$27*(1+0.0025*B29),0)</f>
        <v>0</v>
      </c>
      <c r="F29" s="13" t="e">
        <f>K29+(L29+M29)*2+O29+(P29+Q29)*2</f>
        <v>#DIV/0!</v>
      </c>
      <c r="G29" s="3">
        <f>ROUND((2+E27*0.005),0)</f>
        <v>2</v>
      </c>
      <c r="H29" s="3" t="e">
        <f>ROUND(F29/G29,0)</f>
        <v>#DIV/0!</v>
      </c>
      <c r="I29" s="3" t="e">
        <f>ROUND(F29/SUM($E$12:$E$16)/60,1)</f>
        <v>#DIV/0!</v>
      </c>
      <c r="J29" s="3"/>
      <c r="K29" s="17">
        <f>Коэфф.!B$9*($D29*($D29-1)*((2*$D29+8)/6+2/$D29)-IF($B29=0,-2,$B29*($B29-1)*((2*$B29+8)/6+2/$B29)))/2</f>
        <v>8000</v>
      </c>
      <c r="L29" s="17">
        <f>Коэфф.!C$9*($D29*($D29-1)*((2*$D29+8)/6+2/$D29)-IF($B29=0,-2,$B29*($B29-1)*((2*$B29+8)/6+2/$B29)))/2</f>
        <v>1000</v>
      </c>
      <c r="M29" s="17">
        <f>Коэфф.!D$9*($D29*($D29-1)*((2*$D29+8)/6+2/$D29)-IF($B29=0,-2,$B29*($B29-1)*((2*$B29+8)/6+2/$B29)))/2</f>
        <v>300</v>
      </c>
      <c r="N29" s="13">
        <f>ROUNDUP(SQRT(Коэфф.!C$9*(($D29-1)*($D29-1)+3*($D29-1)+2)/100+100)-10,0)</f>
        <v>1</v>
      </c>
      <c r="O29" s="17" t="e">
        <f>IF($N29&gt;$B$7,Коэфф.!B$10*($N29*($N29-1)*((2*$N29+8)/6+2/$N29)-$B$7*($B$7-1)*((2*$B$7+8)/6+2/$B$7))/2,0)</f>
        <v>#DIV/0!</v>
      </c>
      <c r="P29" s="17" t="e">
        <f>IF($N29&gt;$B$7,Коэфф.!C$10*($N29*($N29-1)*((2*$N29+8)/6+2/$N29)-$B$7*($B$7-1)*((2*$B$7+8)/6+2/$B$7))/2,0)</f>
        <v>#DIV/0!</v>
      </c>
      <c r="Q29" s="17" t="e">
        <f>IF($N29&gt;$B$7,Коэфф.!D$10*($N29*($N29-1)*((2*$N29+8)/6+2/$N29)-$B$7*($B$7-1)*((2*$B$7+8)/6+2/$B$7))/2,0)</f>
        <v>#DIV/0!</v>
      </c>
    </row>
    <row r="31" spans="1:17" x14ac:dyDescent="0.25">
      <c r="A31" t="s">
        <v>19</v>
      </c>
    </row>
    <row r="32" spans="1:17" x14ac:dyDescent="0.25">
      <c r="A32" t="s">
        <v>28</v>
      </c>
    </row>
    <row r="33" spans="1:6" x14ac:dyDescent="0.25">
      <c r="A33" t="s">
        <v>29</v>
      </c>
    </row>
    <row r="34" spans="1:6" x14ac:dyDescent="0.25">
      <c r="F34" s="11"/>
    </row>
    <row r="35" spans="1:6" x14ac:dyDescent="0.25">
      <c r="F35" s="11"/>
    </row>
  </sheetData>
  <mergeCells count="8">
    <mergeCell ref="K5:M5"/>
    <mergeCell ref="O10:Q10"/>
    <mergeCell ref="O25:Q25"/>
    <mergeCell ref="B18:E18"/>
    <mergeCell ref="B17:E17"/>
    <mergeCell ref="E12:E13"/>
    <mergeCell ref="K10:M10"/>
    <mergeCell ref="K25:M25"/>
  </mergeCells>
  <conditionalFormatting sqref="L12:M16 L27:M29">
    <cfRule type="cellIs" dxfId="1" priority="12" operator="greaterThan">
      <formula>$E$7</formula>
    </cfRule>
  </conditionalFormatting>
  <conditionalFormatting sqref="N27:N29 N12:N16">
    <cfRule type="cellIs" dxfId="0" priority="4" operator="greaterThan">
      <formula>$B$7</formula>
    </cfRule>
  </conditionalFormatting>
  <conditionalFormatting sqref="H12:H19 H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defaultRowHeight="15" x14ac:dyDescent="0.25"/>
  <cols>
    <col min="1" max="1" width="10.7109375" customWidth="1"/>
  </cols>
  <sheetData>
    <row r="1" spans="1:4" x14ac:dyDescent="0.25">
      <c r="B1" t="s">
        <v>7</v>
      </c>
      <c r="C1" t="s">
        <v>9</v>
      </c>
      <c r="D1" t="s">
        <v>10</v>
      </c>
    </row>
    <row r="2" spans="1:4" x14ac:dyDescent="0.25">
      <c r="A2" t="s">
        <v>3</v>
      </c>
      <c r="B2">
        <v>100</v>
      </c>
      <c r="C2">
        <v>50</v>
      </c>
      <c r="D2">
        <v>50</v>
      </c>
    </row>
    <row r="3" spans="1:4" x14ac:dyDescent="0.25">
      <c r="A3" t="s">
        <v>2</v>
      </c>
      <c r="B3">
        <v>100</v>
      </c>
      <c r="C3">
        <v>50</v>
      </c>
      <c r="D3">
        <v>50</v>
      </c>
    </row>
    <row r="4" spans="1:4" x14ac:dyDescent="0.25">
      <c r="A4" t="s">
        <v>6</v>
      </c>
      <c r="B4">
        <v>100</v>
      </c>
      <c r="C4">
        <v>50</v>
      </c>
      <c r="D4">
        <v>50</v>
      </c>
    </row>
    <row r="5" spans="1:4" x14ac:dyDescent="0.25">
      <c r="A5" t="s">
        <v>0</v>
      </c>
      <c r="B5">
        <v>200</v>
      </c>
      <c r="C5">
        <v>100</v>
      </c>
      <c r="D5">
        <v>100</v>
      </c>
    </row>
    <row r="6" spans="1:4" x14ac:dyDescent="0.25">
      <c r="A6" t="s">
        <v>1</v>
      </c>
      <c r="B6">
        <v>500</v>
      </c>
      <c r="C6">
        <v>200</v>
      </c>
      <c r="D6">
        <v>200</v>
      </c>
    </row>
    <row r="7" spans="1:4" x14ac:dyDescent="0.25">
      <c r="A7" t="s">
        <v>15</v>
      </c>
      <c r="B7">
        <v>200</v>
      </c>
      <c r="C7">
        <v>100</v>
      </c>
      <c r="D7">
        <v>100</v>
      </c>
    </row>
    <row r="8" spans="1:4" x14ac:dyDescent="0.25">
      <c r="A8" t="s">
        <v>16</v>
      </c>
      <c r="B8">
        <v>5000</v>
      </c>
      <c r="C8">
        <v>500</v>
      </c>
      <c r="D8">
        <v>1500</v>
      </c>
    </row>
    <row r="9" spans="1:4" x14ac:dyDescent="0.25">
      <c r="A9" t="s">
        <v>17</v>
      </c>
      <c r="B9">
        <v>8000</v>
      </c>
      <c r="C9">
        <v>1000</v>
      </c>
      <c r="D9">
        <v>300</v>
      </c>
    </row>
    <row r="10" spans="1:4" x14ac:dyDescent="0.25">
      <c r="A10" t="s">
        <v>26</v>
      </c>
      <c r="B10">
        <v>200</v>
      </c>
      <c r="C10">
        <v>100</v>
      </c>
      <c r="D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cols>
    <col min="1" max="1" width="34.28515625" customWidth="1"/>
    <col min="2" max="2" width="15.140625" customWidth="1"/>
    <col min="3" max="3" width="15.28515625" customWidth="1"/>
    <col min="4" max="4" width="18.42578125" customWidth="1"/>
    <col min="5" max="5" width="17.85546875" customWidth="1"/>
    <col min="6" max="6" width="14.85546875" customWidth="1"/>
  </cols>
  <sheetData>
    <row r="1" spans="1:14" ht="57" customHeight="1" x14ac:dyDescent="0.25">
      <c r="A1" s="2" t="s">
        <v>42</v>
      </c>
      <c r="B1" s="2" t="s">
        <v>21</v>
      </c>
      <c r="C1" s="2" t="s">
        <v>23</v>
      </c>
      <c r="D1" s="2" t="s">
        <v>12</v>
      </c>
      <c r="E1" s="2" t="s">
        <v>14</v>
      </c>
      <c r="F1" s="2" t="s">
        <v>38</v>
      </c>
      <c r="J1" s="13"/>
    </row>
    <row r="2" spans="1:14" x14ac:dyDescent="0.25">
      <c r="A2" t="s">
        <v>44</v>
      </c>
      <c r="B2" s="3">
        <f>Расчет!K13+Расчет!L13*4+Расчет!F12</f>
        <v>2500</v>
      </c>
      <c r="C2" s="3">
        <f>Расчет!G13+(Расчет!B13+1)*2</f>
        <v>-8</v>
      </c>
      <c r="D2" s="13">
        <f>IF(C2&gt;0,ROUND((B2/(C2*60)),1),9999999)</f>
        <v>9999999</v>
      </c>
      <c r="E2" s="3" t="e">
        <f>ROUND(B2/SUM(Расчет!$E$12:$E$16)/60,1)</f>
        <v>#DIV/0!</v>
      </c>
      <c r="F2" s="6" t="str">
        <f>IF(Расчет!H13=MIN(Расчет!H13,Расчет!H12),"Дома","Ратуша")</f>
        <v>Дома</v>
      </c>
      <c r="G2" s="6"/>
    </row>
    <row r="3" spans="1:14" x14ac:dyDescent="0.25">
      <c r="A3" t="s">
        <v>45</v>
      </c>
      <c r="B3" s="13">
        <f>Расчет!F13+Расчет!F14</f>
        <v>2100</v>
      </c>
      <c r="C3" s="3">
        <f>10+Расчет!B12*2-IF(Расчет!B7&lt;=Расчет!B14,20,0)</f>
        <v>-10</v>
      </c>
      <c r="D3" s="13">
        <f>IF(C3&gt;0,ROUND((B3/(C3*60)),1),9999999)</f>
        <v>9999999</v>
      </c>
      <c r="E3" s="3" t="e">
        <f>ROUND(B3/SUM(Расчет!$E$12:$E$16)/60,1)</f>
        <v>#DIV/0!</v>
      </c>
      <c r="F3" t="str">
        <f>IF(Расчет!H13=MIN(Расчет!H13,Расчет!H14),"Дома","Ферма")</f>
        <v>Дома</v>
      </c>
      <c r="G3" s="6"/>
      <c r="J3" s="13"/>
    </row>
    <row r="4" spans="1:14" x14ac:dyDescent="0.25">
      <c r="A4" t="s">
        <v>43</v>
      </c>
      <c r="B4" s="3">
        <f>Расчет!F7+Расчет!F13+Расчет!F14</f>
        <v>2700</v>
      </c>
      <c r="C4" s="3">
        <f>10+Расчет!B12*2</f>
        <v>10</v>
      </c>
      <c r="D4" s="13">
        <f>IF(C4&gt;0,ROUND((B4/(C4*60)),1),9999999)</f>
        <v>4.5</v>
      </c>
      <c r="E4" s="3" t="e">
        <f>ROUND(B4/SUM(Расчет!$E$12:$E$16)/60,1)</f>
        <v>#DIV/0!</v>
      </c>
      <c r="F4" t="s">
        <v>26</v>
      </c>
      <c r="G4" s="6"/>
      <c r="J4" s="13"/>
    </row>
    <row r="5" spans="1:14" x14ac:dyDescent="0.25">
      <c r="A5" t="s">
        <v>40</v>
      </c>
      <c r="B5" s="3">
        <f>Расчет!F7+Расчет!F15+Расчет!F16</f>
        <v>2400</v>
      </c>
      <c r="C5" s="3">
        <f>40</f>
        <v>40</v>
      </c>
      <c r="D5" s="13">
        <f>IF(C5&gt;0,ROUND((B5/(C5*60)),1),9999999)</f>
        <v>1</v>
      </c>
      <c r="E5" s="3" t="e">
        <f>ROUND(B5/SUM(Расчет!$E$12:$E$16)/60,1)</f>
        <v>#DIV/0!</v>
      </c>
      <c r="F5" t="s">
        <v>26</v>
      </c>
      <c r="G5" s="6"/>
      <c r="J5" s="13"/>
    </row>
    <row r="6" spans="1:14" x14ac:dyDescent="0.25">
      <c r="A6" t="s">
        <v>41</v>
      </c>
      <c r="B6" s="3">
        <f>Расчет!F7+Расчет!F14+Расчет!F15+Расчет!F16</f>
        <v>3300</v>
      </c>
      <c r="C6" s="3">
        <f>40+IF((Расчет!B14+1)&gt;=Расчет!B13,5,20)</f>
        <v>45</v>
      </c>
      <c r="D6" s="13">
        <f>IF(C6&gt;0,ROUND((B6/(C6*60)),1),9999999)</f>
        <v>1.2</v>
      </c>
      <c r="E6" s="3" t="e">
        <f>ROUND(B6/SUM(Расчет!$E$12:$E$16)/60,1)</f>
        <v>#DIV/0!</v>
      </c>
      <c r="F6" t="s">
        <v>26</v>
      </c>
      <c r="G6" s="6"/>
      <c r="J6" s="13"/>
    </row>
    <row r="8" spans="1:14" x14ac:dyDescent="0.25">
      <c r="N8" s="13"/>
    </row>
    <row r="9" spans="1:14" s="6" customFormat="1" ht="62.25" customHeight="1" x14ac:dyDescent="0.25">
      <c r="B9" s="2" t="s">
        <v>32</v>
      </c>
      <c r="C9" s="2"/>
      <c r="D9" s="2" t="s">
        <v>34</v>
      </c>
      <c r="E9" s="2" t="s">
        <v>33</v>
      </c>
      <c r="K9" s="2"/>
    </row>
    <row r="10" spans="1:14" x14ac:dyDescent="0.25">
      <c r="A10" t="s">
        <v>31</v>
      </c>
      <c r="B10" s="13">
        <f>IF(Расчет!B13&gt;Расчет!B14,(Расчет!B13-Расчет!B14)*10,0)</f>
        <v>0</v>
      </c>
      <c r="C10" s="13"/>
      <c r="D10" s="13">
        <f>B10*60*6</f>
        <v>0</v>
      </c>
      <c r="E10" s="13">
        <f>IF(B10&gt;0,ROUND(Расчет!E7/B10/60,1),0)</f>
        <v>0</v>
      </c>
      <c r="K10" s="13"/>
    </row>
    <row r="11" spans="1:14" x14ac:dyDescent="0.25">
      <c r="N11" s="13"/>
    </row>
    <row r="13" spans="1:14" x14ac:dyDescent="0.25">
      <c r="A13" s="16" t="s">
        <v>30</v>
      </c>
    </row>
    <row r="14" spans="1:14" x14ac:dyDescent="0.25">
      <c r="A14" s="3" t="e">
        <f>ROUND(Расчет!E7/(MAX(Расчет!B14-Расчет!B13,Расчет!B15,Расчет!B16)*10)/60,1)</f>
        <v>#DIV/0!</v>
      </c>
    </row>
  </sheetData>
  <conditionalFormatting sqref="D2:D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Расчет</vt:lpstr>
      <vt:lpstr>Коэфф.</vt:lpstr>
      <vt:lpstr>Advanced</vt:lpstr>
      <vt:lpstr>test</vt:lpstr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2017-02-03T13:08:30Z</dcterms:modified>
</cp:coreProperties>
</file>