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580" yWindow="-30" windowWidth="14415" windowHeight="11715"/>
  </bookViews>
  <sheets>
    <sheet name="Расчет" sheetId="2" r:id="rId1"/>
    <sheet name="Война" sheetId="5" r:id="rId2"/>
    <sheet name="Коэфф." sheetId="3" r:id="rId3"/>
    <sheet name="Advanced" sheetId="4" r:id="rId4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D34" i="2" l="1"/>
  <c r="D33" i="2" l="1"/>
  <c r="D19" i="2"/>
  <c r="D20" i="2"/>
  <c r="D21" i="2"/>
  <c r="D22" i="2"/>
  <c r="D18" i="2"/>
  <c r="D13" i="2"/>
  <c r="B6" i="5"/>
  <c r="B7" i="5" l="1"/>
  <c r="E6" i="5" l="1"/>
  <c r="M4" i="5" s="1"/>
  <c r="H4" i="5"/>
  <c r="E8" i="5"/>
  <c r="E7" i="5"/>
  <c r="N4" i="5" s="1"/>
  <c r="F33" i="2"/>
  <c r="O4" i="5" l="1"/>
  <c r="B8" i="5"/>
  <c r="I4" i="5"/>
  <c r="I5" i="5" s="1"/>
  <c r="I6" i="5" s="1"/>
  <c r="I7" i="5" s="1"/>
  <c r="I8" i="5" s="1"/>
  <c r="I9" i="5" s="1"/>
  <c r="P4" i="5" l="1"/>
  <c r="R5" i="5" s="1"/>
  <c r="J8" i="5"/>
  <c r="J5" i="5"/>
  <c r="J6" i="5"/>
  <c r="J7" i="5"/>
  <c r="J4" i="5"/>
  <c r="C4" i="4"/>
  <c r="C3" i="4"/>
  <c r="D35" i="2"/>
  <c r="M34" i="2"/>
  <c r="E33" i="2"/>
  <c r="E35" i="2" s="1"/>
  <c r="H33" i="2"/>
  <c r="M22" i="2"/>
  <c r="N22" i="2" s="1"/>
  <c r="I22" i="2"/>
  <c r="H22" i="2"/>
  <c r="G22" i="2"/>
  <c r="E22" i="2"/>
  <c r="E21" i="2"/>
  <c r="M21" i="2"/>
  <c r="M20" i="2"/>
  <c r="O20" i="2" s="1"/>
  <c r="I20" i="2"/>
  <c r="H20" i="2"/>
  <c r="G20" i="2"/>
  <c r="F20" i="2"/>
  <c r="E20" i="2"/>
  <c r="F19" i="2"/>
  <c r="C2" i="4" s="1"/>
  <c r="H19" i="2"/>
  <c r="F18" i="2"/>
  <c r="E18" i="2"/>
  <c r="F22" i="2" s="1"/>
  <c r="I18" i="2"/>
  <c r="F13" i="2"/>
  <c r="E13" i="2"/>
  <c r="M13" i="2" s="1"/>
  <c r="G13" i="2"/>
  <c r="E8" i="2"/>
  <c r="E5" i="2"/>
  <c r="O22" i="2" l="1"/>
  <c r="P22" i="2"/>
  <c r="S5" i="5"/>
  <c r="N5" i="5"/>
  <c r="N6" i="5" s="1"/>
  <c r="N7" i="5" s="1"/>
  <c r="N8" i="5" s="1"/>
  <c r="N9" i="5" s="1"/>
  <c r="P20" i="2"/>
  <c r="N20" i="2"/>
  <c r="M18" i="2"/>
  <c r="P18" i="2" s="1"/>
  <c r="H18" i="2"/>
  <c r="M5" i="2"/>
  <c r="O21" i="2"/>
  <c r="N21" i="2"/>
  <c r="P21" i="2"/>
  <c r="G21" i="2"/>
  <c r="H21" i="2"/>
  <c r="I21" i="2"/>
  <c r="M19" i="2"/>
  <c r="G19" i="2"/>
  <c r="I19" i="2"/>
  <c r="G18" i="2"/>
  <c r="F21" i="2"/>
  <c r="C5" i="4" s="1"/>
  <c r="M8" i="2"/>
  <c r="K4" i="5"/>
  <c r="O5" i="5"/>
  <c r="T5" i="5" s="1"/>
  <c r="H5" i="5" s="1"/>
  <c r="J22" i="2"/>
  <c r="L22" i="2" s="1"/>
  <c r="H35" i="2"/>
  <c r="F35" i="2"/>
  <c r="I35" i="2"/>
  <c r="G35" i="2"/>
  <c r="M35" i="2"/>
  <c r="E34" i="2"/>
  <c r="F34" i="2" s="1"/>
  <c r="O34" i="2"/>
  <c r="P34" i="2"/>
  <c r="N34" i="2"/>
  <c r="G34" i="2"/>
  <c r="H34" i="2"/>
  <c r="I34" i="2"/>
  <c r="H13" i="2"/>
  <c r="F5" i="2"/>
  <c r="I13" i="2"/>
  <c r="I33" i="2"/>
  <c r="M33" i="2"/>
  <c r="G33" i="2"/>
  <c r="M5" i="5" l="1"/>
  <c r="O6" i="5"/>
  <c r="J20" i="2"/>
  <c r="K20" i="2" s="1"/>
  <c r="N18" i="2"/>
  <c r="O18" i="2"/>
  <c r="J21" i="2"/>
  <c r="L21" i="2" s="1"/>
  <c r="O19" i="2"/>
  <c r="N19" i="2"/>
  <c r="P19" i="2"/>
  <c r="J13" i="2"/>
  <c r="K22" i="2"/>
  <c r="N35" i="2"/>
  <c r="P35" i="2"/>
  <c r="O35" i="2"/>
  <c r="J34" i="2"/>
  <c r="C6" i="4"/>
  <c r="P33" i="2"/>
  <c r="O33" i="2"/>
  <c r="N33" i="2"/>
  <c r="L20" i="2" l="1"/>
  <c r="O7" i="5"/>
  <c r="L13" i="2"/>
  <c r="K13" i="2"/>
  <c r="J18" i="2"/>
  <c r="L18" i="2" s="1"/>
  <c r="K21" i="2"/>
  <c r="J19" i="2"/>
  <c r="K19" i="2" s="1"/>
  <c r="B5" i="4"/>
  <c r="B6" i="4"/>
  <c r="E6" i="4" s="1"/>
  <c r="J35" i="2"/>
  <c r="L35" i="2" s="1"/>
  <c r="L34" i="2"/>
  <c r="K34" i="2"/>
  <c r="J33" i="2"/>
  <c r="L33" i="2" s="1"/>
  <c r="O8" i="5" l="1"/>
  <c r="B2" i="4"/>
  <c r="D2" i="4" s="1"/>
  <c r="K18" i="2"/>
  <c r="F2" i="4" s="1"/>
  <c r="B3" i="4"/>
  <c r="E3" i="4" s="1"/>
  <c r="L19" i="2"/>
  <c r="B4" i="4"/>
  <c r="D6" i="4"/>
  <c r="F3" i="4"/>
  <c r="E5" i="4"/>
  <c r="D5" i="4"/>
  <c r="K35" i="2"/>
  <c r="K33" i="2"/>
  <c r="O9" i="5" l="1"/>
  <c r="E2" i="4"/>
  <c r="D3" i="4"/>
  <c r="E4" i="4"/>
  <c r="D4" i="4"/>
  <c r="J24" i="2" l="1"/>
  <c r="A24" i="2"/>
  <c r="B24" i="2"/>
  <c r="F24" i="2"/>
  <c r="L24" i="2"/>
  <c r="K24" i="2" l="1"/>
  <c r="K2" i="2" s="1"/>
  <c r="K5" i="5"/>
  <c r="P5" i="5"/>
  <c r="R6" i="5" s="1"/>
  <c r="T6" i="5" l="1"/>
  <c r="H6" i="5" s="1"/>
  <c r="S6" i="5"/>
  <c r="M6" i="5" l="1"/>
  <c r="K6" i="5" s="1"/>
  <c r="P6" i="5" l="1"/>
  <c r="R7" i="5" s="1"/>
  <c r="S7" i="5" s="1"/>
  <c r="T7" i="5" l="1"/>
  <c r="H7" i="5" s="1"/>
  <c r="M7" i="5" l="1"/>
  <c r="P7" i="5" s="1"/>
  <c r="R8" i="5" s="1"/>
  <c r="S8" i="5" s="1"/>
  <c r="T8" i="5" l="1"/>
  <c r="H8" i="5" s="1"/>
  <c r="K7" i="5"/>
  <c r="M8" i="5" l="1"/>
  <c r="P8" i="5" s="1"/>
  <c r="R9" i="5" s="1"/>
  <c r="S9" i="5" s="1"/>
  <c r="T9" i="5" l="1"/>
  <c r="H9" i="5" s="1"/>
  <c r="K8" i="5"/>
  <c r="M9" i="5" l="1"/>
</calcChain>
</file>

<file path=xl/sharedStrings.xml><?xml version="1.0" encoding="utf-8"?>
<sst xmlns="http://schemas.openxmlformats.org/spreadsheetml/2006/main" count="134" uniqueCount="71">
  <si>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</si>
  <si>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</si>
  <si>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</si>
  <si>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</si>
  <si>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</si>
  <si>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</si>
  <si>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</si>
  <si>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</si>
  <si>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</si>
  <si>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</si>
  <si>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</si>
  <si>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</si>
  <si>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</si>
  <si>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</si>
  <si>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</si>
  <si>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</si>
  <si>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</si>
  <si>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</si>
  <si>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</si>
  <si>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</si>
  <si>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</si>
  <si>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</si>
  <si>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</si>
  <si>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</si>
  <si>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</si>
  <si>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</si>
  <si>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</si>
  <si>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</si>
  <si>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</si>
  <si>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</si>
  <si>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</si>
  <si>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</si>
  <si>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</si>
  <si>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</si>
  <si>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</si>
  <si>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</si>
  <si>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</si>
  <si>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</si>
  <si>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</si>
  <si>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</si>
  <si>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</si>
  <si>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</si>
  <si>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</si>
  <si>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</si>
  <si>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</si>
  <si>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</si>
  <si>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</si>
  <si>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</si>
  <si>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</si>
  <si>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</si>
  <si>
    <t>1. Доход по лесопилкам/шахтам с учетом закупочной цены 200 золота за 100 ресурсов и продажной цены 50 золота за 100 ресурсов в случае перепроизводства</t>
  </si>
  <si>
    <t>2. Эквивалент армии для требушетов указан при атаке, без учета действия стены обороняющейся стороны</t>
  </si>
  <si>
    <t>Инженеры</t>
  </si>
  <si>
    <t>Атака</t>
  </si>
  <si>
    <t>Оборона</t>
  </si>
  <si>
    <t>VS</t>
  </si>
  <si>
    <t>Бонус</t>
  </si>
  <si>
    <t>Лучники</t>
  </si>
  <si>
    <t>Прочность</t>
  </si>
  <si>
    <t>Атака требушета</t>
  </si>
  <si>
    <t>Прочность стены</t>
  </si>
  <si>
    <t>Раунд</t>
  </si>
  <si>
    <t>ИТОГ</t>
  </si>
  <si>
    <t>Армия</t>
  </si>
  <si>
    <t>Армия атаки</t>
  </si>
  <si>
    <t>Бонус атаки</t>
  </si>
  <si>
    <t>Бонус обороны</t>
  </si>
  <si>
    <t>Оставшиеся бонусы</t>
  </si>
  <si>
    <t>1. Лучники</t>
  </si>
  <si>
    <t>3. требушеты</t>
  </si>
  <si>
    <t>v1.0327a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</si>
</sst>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6" fillId="7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I1" lockText="1" noThreeD="1"/>
</file>

<file path=xl/ctrlProps/ctrlProp2.xml><?xml version="1.0" encoding="utf-8"?>
<formControlPr xmlns="http://schemas.microsoft.com/office/spreadsheetml/2009/9/main" objectType="CheckBox" checked="Checked" fmlaLink="N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0</xdr:row>
          <xdr:rowOff>19050</xdr:rowOff>
        </xdr:from>
        <xdr:to>
          <xdr:col>9</xdr:col>
          <xdr:colOff>533400</xdr:colOff>
          <xdr:row>0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Восстановление инженеров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400050</xdr:colOff>
          <xdr:row>0</xdr:row>
          <xdr:rowOff>19050</xdr:rowOff>
        </xdr:from>
        <xdr:to>
          <xdr:col>14</xdr:col>
          <xdr:colOff>647700</xdr:colOff>
          <xdr:row>0</xdr:row>
          <xdr:rowOff>257175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Восстановление лучников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3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7" width="10.85546875" customWidth="1"/>
    <col min="8" max="9" width="9.85546875" customWidth="1"/>
    <col min="10" max="10" width="15.140625" customWidth="1"/>
    <col min="11" max="11" width="18.42578125" customWidth="1"/>
    <col min="12" max="12" width="18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70</v>
      </c>
    </row>
    <row r="2" spans="1:16" ht="28.5" customHeight="1" thickBot="1" x14ac:dyDescent="0.3">
      <c r="B2" s="16" t="s">
        <v>42</v>
      </c>
      <c r="F2" s="14"/>
      <c r="K2" s="13" t="str">
        <f>IF(B19=0,"Дома",IF(B13=0,"Склад",IF(B20=0,"Ферма",IF(INDEX(M13:M22,MATCH(INDEX(A13:A24,MATCH(MIN(K13:K24),K13:K24,0)),A13:A22,0))&gt;B13,"Склад",INDEX(A13:A24,MATCH(MIN(K13:K24),K13:K24,0))))))</f>
        <v>Склад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46" t="s">
        <v>46</v>
      </c>
      <c r="C4" s="1"/>
      <c r="E4" s="32" t="s">
        <v>29</v>
      </c>
      <c r="F4" s="33" t="s">
        <v>47</v>
      </c>
      <c r="M4" s="33" t="s">
        <v>48</v>
      </c>
    </row>
    <row r="5" spans="1:16" ht="15.75" thickBot="1" x14ac:dyDescent="0.3">
      <c r="A5" s="25" t="s">
        <v>28</v>
      </c>
      <c r="B5" s="24">
        <v>4</v>
      </c>
      <c r="C5" s="26"/>
      <c r="D5" s="25"/>
      <c r="E5" s="29">
        <f>IF(B19&gt;MIN(B20,$B$13),(B19-MIN(B20,$B$13))*10,0)</f>
        <v>0</v>
      </c>
      <c r="F5" s="29">
        <f>E5*60*B5</f>
        <v>0</v>
      </c>
      <c r="G5" s="25"/>
      <c r="H5" s="25"/>
      <c r="I5" s="25"/>
      <c r="J5" s="25"/>
      <c r="K5" s="25"/>
      <c r="L5" s="25"/>
      <c r="M5" s="31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28" t="s">
        <v>26</v>
      </c>
      <c r="L7" s="6"/>
      <c r="M7" s="30" t="s">
        <v>49</v>
      </c>
    </row>
    <row r="8" spans="1:16" x14ac:dyDescent="0.25">
      <c r="A8" s="25" t="s">
        <v>1</v>
      </c>
      <c r="B8" s="27"/>
      <c r="C8" s="26"/>
      <c r="D8" s="25"/>
      <c r="E8" s="29">
        <f>B18*500000</f>
        <v>500000</v>
      </c>
      <c r="F8" s="25"/>
      <c r="G8" s="25"/>
      <c r="H8" s="25"/>
      <c r="I8" s="25"/>
      <c r="J8" s="25"/>
      <c r="K8" s="25"/>
      <c r="L8" s="26"/>
      <c r="M8" s="31">
        <f>E8/(SUM(E18:E22)*60*24)</f>
        <v>6.6773504273504276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55" t="s">
        <v>21</v>
      </c>
      <c r="H11" s="55"/>
      <c r="I11" s="55"/>
      <c r="J11" s="55"/>
    </row>
    <row r="12" spans="1:16" ht="45.75" thickBot="1" x14ac:dyDescent="0.3">
      <c r="B12" s="45" t="s">
        <v>4</v>
      </c>
      <c r="C12" s="6"/>
      <c r="D12" s="6"/>
      <c r="E12" s="34" t="s">
        <v>26</v>
      </c>
      <c r="F12" s="33" t="s">
        <v>22</v>
      </c>
      <c r="G12" s="34" t="s">
        <v>8</v>
      </c>
      <c r="H12" s="34" t="s">
        <v>9</v>
      </c>
      <c r="I12" s="34" t="s">
        <v>10</v>
      </c>
      <c r="J12" s="40" t="s">
        <v>20</v>
      </c>
      <c r="K12" s="40" t="s">
        <v>43</v>
      </c>
      <c r="L12" s="33" t="s">
        <v>44</v>
      </c>
      <c r="M12" s="42" t="s">
        <v>45</v>
      </c>
    </row>
    <row r="13" spans="1:16" ht="15.75" thickBot="1" x14ac:dyDescent="0.3">
      <c r="A13" s="38" t="s">
        <v>25</v>
      </c>
      <c r="B13" s="11">
        <v>1</v>
      </c>
      <c r="C13" s="39" t="s">
        <v>30</v>
      </c>
      <c r="D13" s="41">
        <f>B13+1</f>
        <v>2</v>
      </c>
      <c r="E13" s="35">
        <f>(B13*50+1000)*B13</f>
        <v>1050</v>
      </c>
      <c r="F13" s="43">
        <f>IF(B13&lt;B20,IF(B13&lt;B19,20,5),0)+IF(B13&lt;B21,20,0)+IF(B13&lt;B22,20,0)</f>
        <v>0</v>
      </c>
      <c r="G13" s="35">
        <f>Коэфф.!B$10*($D13*($D13-1)*((2*$D13+8)/6+2/$D13)-IF($B13=0,-2,$B13*($B13-1)*((2*$B13+8)/6+2/$B13)))/2</f>
        <v>600</v>
      </c>
      <c r="H13" s="35">
        <f>Коэфф.!C$10*($D13*($D13-1)*((2*$D13+8)/6+2/$D13)-IF($B13=0,-2,$B13*($B13-1)*((2*$B13+8)/6+2/$B13)))/2</f>
        <v>300</v>
      </c>
      <c r="I13" s="35">
        <f>Коэфф.!D$10*($D13*($D13-1)*((2*$D13+8)/6+2/$D13)-IF($B13=0,-2,$B13*($B13-1)*((2*$B13+8)/6+2/$B13)))/2</f>
        <v>300</v>
      </c>
      <c r="J13" s="36">
        <f>G13+(H13+I13)*2</f>
        <v>1800</v>
      </c>
      <c r="K13" s="37">
        <f>IF(F13&gt;0,(J13/(F13*60*24)),9999)</f>
        <v>9999</v>
      </c>
      <c r="L13" s="31">
        <f>J13/(SUM($E$18:$E$22)*60*24)</f>
        <v>2.403846153846154E-2</v>
      </c>
      <c r="M13" s="31">
        <f>E13/((MAX(B20-B19,B21,B22)*10)*60*24)</f>
        <v>7.2916666666666671E-2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59" t="s">
        <v>21</v>
      </c>
      <c r="H16" s="59"/>
      <c r="I16" s="59"/>
      <c r="J16" s="59"/>
      <c r="N16" s="55" t="s">
        <v>31</v>
      </c>
      <c r="O16" s="55"/>
      <c r="P16" s="55"/>
    </row>
    <row r="17" spans="1:16" s="3" customFormat="1" ht="45.75" thickBot="1" x14ac:dyDescent="0.3">
      <c r="B17" s="44" t="s">
        <v>4</v>
      </c>
      <c r="C17" s="1"/>
      <c r="D17" s="1"/>
      <c r="E17" s="33" t="s">
        <v>11</v>
      </c>
      <c r="F17" s="33" t="s">
        <v>22</v>
      </c>
      <c r="G17" s="32" t="s">
        <v>8</v>
      </c>
      <c r="H17" s="32" t="s">
        <v>9</v>
      </c>
      <c r="I17" s="32" t="s">
        <v>10</v>
      </c>
      <c r="J17" s="40" t="s">
        <v>20</v>
      </c>
      <c r="K17" s="40" t="s">
        <v>43</v>
      </c>
      <c r="L17" s="33" t="s">
        <v>44</v>
      </c>
      <c r="M17" s="32" t="s">
        <v>32</v>
      </c>
      <c r="N17" s="32" t="s">
        <v>8</v>
      </c>
      <c r="O17" s="32" t="s">
        <v>9</v>
      </c>
      <c r="P17" s="32" t="s">
        <v>10</v>
      </c>
    </row>
    <row r="18" spans="1:16" ht="15.75" thickBot="1" x14ac:dyDescent="0.3">
      <c r="A18" s="38" t="s">
        <v>1</v>
      </c>
      <c r="B18" s="10">
        <v>1</v>
      </c>
      <c r="C18" s="39" t="s">
        <v>30</v>
      </c>
      <c r="D18" s="8">
        <f>B18+1</f>
        <v>2</v>
      </c>
      <c r="E18" s="58">
        <f>B19*10+B19*B18*2</f>
        <v>12</v>
      </c>
      <c r="F18" s="34">
        <f>B19*2</f>
        <v>2</v>
      </c>
      <c r="G18" s="35">
        <f>Коэфф.!B$6*($D18*($D18-1)*((2*$D18+8)/6+2/$D18)-IF($B18=0,-2,$B18*($B18-1)*((2*$B18+8)/6+2/$B18)))/2</f>
        <v>1500</v>
      </c>
      <c r="H18" s="35">
        <f>Коэфф.!C$6*($D18*($D18-1)*((2*$D18+8)/6+2/$D18)-IF($B18=0,-2,$B18*($B18-1)*((2*$B18+8)/6+2/$B18)))/2</f>
        <v>600</v>
      </c>
      <c r="I18" s="35">
        <f>Коэфф.!D$6*($D18*($D18-1)*((2*$D18+8)/6+2/$D18)-IF($B18=0,-2,$B18*($B18-1)*((2*$B18+8)/6+2/$B18)))/2</f>
        <v>600</v>
      </c>
      <c r="J18" s="36">
        <f>G18+(H18+I18)*2+N18+(O18+P18)*2</f>
        <v>3900</v>
      </c>
      <c r="K18" s="37">
        <f>IF(F18&gt;0,(J18/(F18*60*24)),9999)</f>
        <v>1.3541666666666667</v>
      </c>
      <c r="L18" s="31">
        <f>J18/(SUM($E$18:$E$22)*60*24)</f>
        <v>5.2083333333333336E-2</v>
      </c>
      <c r="M18" s="34">
        <f>ROUNDUP(SQRT(Коэфф.!C$6*(($D18-1)*($D18-1)+3*($D18-1)+2)/100+100)-10,0)</f>
        <v>1</v>
      </c>
      <c r="N18" s="35">
        <f>IF($M18&gt;$B$13,Коэфф.!B$10*($M18*($M18-1)*((2*$M18+8)/6+2/$M18)-IF($B$13=0,-2,$B$13*($B$13-1)*((2*$B$13+8)/6+2/$B$13)))/2,0)</f>
        <v>0</v>
      </c>
      <c r="O18" s="35">
        <f>IF($M18&gt;$B$13,Коэфф.!C$10*($M18*($M18-1)*((2*$M18+8)/6+2/$M18)-IF($B$13=0,-2,$B$13*($B$13-1)*((2*$B$13+8)/6+2/$B$13)))/2,0)</f>
        <v>0</v>
      </c>
      <c r="P18" s="35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38" t="s">
        <v>0</v>
      </c>
      <c r="B19" s="10">
        <v>1</v>
      </c>
      <c r="C19" s="39" t="s">
        <v>30</v>
      </c>
      <c r="D19" s="8">
        <f t="shared" ref="D19:D22" si="0">B19+1</f>
        <v>2</v>
      </c>
      <c r="E19" s="58"/>
      <c r="F19" s="34">
        <f>10+B18*2-IF(B20&gt;B19,5,20)</f>
        <v>-8</v>
      </c>
      <c r="G19" s="35">
        <f>Коэфф.!B$5*($D19*($D19-1)*((2*$D19+8)/6+2/$D19)-IF($B19=0,-2,$B19*($B19-1)*((2*$B19+8)/6+2/$B19)))/2</f>
        <v>600</v>
      </c>
      <c r="H19" s="35">
        <f>Коэфф.!C$5*($D19*($D19-1)*((2*$D19+8)/6+2/$D19)-IF($B19=0,-2,$B19*($B19-1)*((2*$B19+8)/6+2/$B19)))/2</f>
        <v>300</v>
      </c>
      <c r="I19" s="35">
        <f>Коэфф.!D$5*($D19*($D19-1)*((2*$D19+8)/6+2/$D19)-IF($B19=0,-2,$B19*($B19-1)*((2*$B19+8)/6+2/$B19)))/2</f>
        <v>300</v>
      </c>
      <c r="J19" s="36">
        <f>G19+(H19+I19)*2+N19+(O19+P19)*2</f>
        <v>1800</v>
      </c>
      <c r="K19" s="37">
        <f>IF(F19&gt;0,(J19/(F19*60*24)),9999)</f>
        <v>9999</v>
      </c>
      <c r="L19" s="31">
        <f>J19/(SUM($E$18:$E$22)*60*24)</f>
        <v>2.403846153846154E-2</v>
      </c>
      <c r="M19" s="34">
        <f>ROUNDUP(SQRT(Коэфф.!C$5*(($D19-1)*($D19-1)+3*($D19-1)+2)/100+100)-10,0)</f>
        <v>1</v>
      </c>
      <c r="N19" s="35">
        <f>IF($M19&gt;$B$13,Коэфф.!B$10*($M19*($M19-1)*((2*$M19+8)/6+2/$M19)-IF($B$13=0,-2,$B$13*($B$13-1)*((2*$B$13+8)/6+2/$B$13)))/2,0)</f>
        <v>0</v>
      </c>
      <c r="O19" s="35">
        <f>IF($M19&gt;$B$13,Коэфф.!C$10*($M19*($M19-1)*((2*$M19+8)/6+2/$M19)-IF($B$13=0,-2,$B$13*($B$13-1)*((2*$B$13+8)/6+2/$B$13)))/2,0)</f>
        <v>0</v>
      </c>
      <c r="P19" s="35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38" t="s">
        <v>5</v>
      </c>
      <c r="B20" s="10">
        <v>1</v>
      </c>
      <c r="C20" s="39" t="s">
        <v>30</v>
      </c>
      <c r="D20" s="8">
        <f t="shared" si="0"/>
        <v>2</v>
      </c>
      <c r="E20" s="29">
        <f>(MIN(B20,$B$13)-B19)*IF(MIN(B20,$B$13)&gt;B19,5,20)</f>
        <v>0</v>
      </c>
      <c r="F20" s="34">
        <f>IF(B20&lt;$B$13,IF(B20&gt;=B19,5,20),0)</f>
        <v>0</v>
      </c>
      <c r="G20" s="35">
        <f>Коэфф.!B$4*($D20*($D20-1)*((2*$D20+8)/6+2/$D20)-IF($B20=0,-2,$B20*($B20-1)*((2*$B20+8)/6+2/$B20)))/2</f>
        <v>300</v>
      </c>
      <c r="H20" s="35">
        <f>Коэфф.!C$4*($D20*($D20-1)*((2*$D20+8)/6+2/$D20)-IF($B20=0,-2,$B20*($B20-1)*((2*$B20+8)/6+2/$B20)))/2</f>
        <v>150</v>
      </c>
      <c r="I20" s="35">
        <f>Коэфф.!D$4*($D20*($D20-1)*((2*$D20+8)/6+2/$D20)-IF($B20=0,-2,$B20*($B20-1)*((2*$B20+8)/6+2/$B20)))/2</f>
        <v>150</v>
      </c>
      <c r="J20" s="36">
        <f>G20+(H20+I20)*2+N20+(O20+P20)*2</f>
        <v>900</v>
      </c>
      <c r="K20" s="37">
        <f>IF(F20&gt;0,(J20/(F20*60*24)),9999)</f>
        <v>9999</v>
      </c>
      <c r="L20" s="31">
        <f>J20/(SUM($E$18:$E$22)*60*24)</f>
        <v>1.201923076923077E-2</v>
      </c>
      <c r="M20" s="34">
        <f>ROUNDUP(SQRT(Коэфф.!C$4*(($D20-1)*($D20-1)+3*($D20-1)+2)/100+100)-10,0)</f>
        <v>1</v>
      </c>
      <c r="N20" s="35">
        <f>IF($M20&gt;$B$13,Коэфф.!B$10*($M20*($M20-1)*((2*$M20+8)/6+2/$M20)-IF($B$13=0,-2,$B$13*($B$13-1)*((2*$B$13+8)/6+2/$B$13)))/2,0)</f>
        <v>0</v>
      </c>
      <c r="O20" s="35">
        <f>IF($M20&gt;$B$13,Коэфф.!C$10*($M20*($M20-1)*((2*$M20+8)/6+2/$M20)-IF($B$13=0,-2,$B$13*($B$13-1)*((2*$B$13+8)/6+2/$B$13)))/2,0)</f>
        <v>0</v>
      </c>
      <c r="P20" s="35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38" t="s">
        <v>3</v>
      </c>
      <c r="B21" s="10">
        <v>1</v>
      </c>
      <c r="C21" s="39" t="s">
        <v>30</v>
      </c>
      <c r="D21" s="8">
        <f t="shared" si="0"/>
        <v>2</v>
      </c>
      <c r="E21" s="29">
        <f>MIN(B21,$B$13)*20</f>
        <v>20</v>
      </c>
      <c r="F21" s="34">
        <f>IF(B21&lt;$B$13,IF($E$18/D21&lt;20,5,20),0)</f>
        <v>0</v>
      </c>
      <c r="G21" s="35">
        <f>Коэфф.!B$2*($D21*($D21-1)*((2*$D21+8)/6+2/$D21)-IF($B21=0,-2,$B21*($B21-1)*((2*$B21+8)/6+2/$B21)))/2</f>
        <v>300</v>
      </c>
      <c r="H21" s="35">
        <f>Коэфф.!C$2*($D21*($D21-1)*((2*$D21+8)/6+2/$D21)-IF($B21=0,-2,$B21*($B21-1)*((2*$B21+8)/6+2/$B21)))/2</f>
        <v>150</v>
      </c>
      <c r="I21" s="35">
        <f>Коэфф.!D$2*($D21*($D21-1)*((2*$D21+8)/6+2/$D21)-IF($B21=0,-2,$B21*($B21-1)*((2*$B21+8)/6+2/$B21)))/2</f>
        <v>150</v>
      </c>
      <c r="J21" s="36">
        <f>G21+(H21+I21)*2+N21+(O21+P21)*2</f>
        <v>900</v>
      </c>
      <c r="K21" s="37">
        <f>IF(F21&gt;0,(J21/(F21*60*24)),9999)</f>
        <v>9999</v>
      </c>
      <c r="L21" s="31">
        <f>J21/(SUM($E$18:$E$22)*60*24)</f>
        <v>1.201923076923077E-2</v>
      </c>
      <c r="M21" s="34">
        <f>ROUNDUP(SQRT(Коэфф.!C$2*(($D21-1)*($D21-1)+3*($D21-1)+2)/100+100)-10,0)</f>
        <v>1</v>
      </c>
      <c r="N21" s="35">
        <f>IF($M21&gt;$B$13,Коэфф.!B$10*($M21*($M21-1)*((2*$M21+8)/6+2/$M21)-IF($B$13=0,-2,$B$13*($B$13-1)*((2*$B$13+8)/6+2/$B$13)))/2,0)</f>
        <v>0</v>
      </c>
      <c r="O21" s="35">
        <f>IF($M21&gt;$B$13,Коэфф.!C$10*($M21*($M21-1)*((2*$M21+8)/6+2/$M21)-IF($B$13=0,-2,$B$13*($B$13-1)*((2*$B$13+8)/6+2/$B$13)))/2,0)</f>
        <v>0</v>
      </c>
      <c r="P21" s="35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38" t="s">
        <v>34</v>
      </c>
      <c r="B22" s="10">
        <v>1</v>
      </c>
      <c r="C22" s="39" t="s">
        <v>30</v>
      </c>
      <c r="D22" s="8">
        <f t="shared" si="0"/>
        <v>2</v>
      </c>
      <c r="E22" s="29">
        <f>MIN(B22,$B$13)*20</f>
        <v>20</v>
      </c>
      <c r="F22" s="34">
        <f>IF(B22&lt;$B$13,IF($E$18/D22&lt;20,5,20),0)</f>
        <v>0</v>
      </c>
      <c r="G22" s="35">
        <f>Коэфф.!B$3*($D22*($D22-1)*((2*$D22+8)/6+2/$D22)-IF($B22=0,-2,$B22*($B22-1)*((2*$B22+8)/6+2/$B22)))/2</f>
        <v>300</v>
      </c>
      <c r="H22" s="35">
        <f>Коэфф.!C$3*($D22*($D22-1)*((2*$D22+8)/6+2/$D22)-IF($B22=0,-2,$B22*($B22-1)*((2*$B22+8)/6+2/$B22)))/2</f>
        <v>150</v>
      </c>
      <c r="I22" s="35">
        <f>Коэфф.!D$3*($D22*($D22-1)*((2*$D22+8)/6+2/$D22)-IF($B22=0,-2,$B22*($B22-1)*((2*$B22+8)/6+2/$B22)))/2</f>
        <v>150</v>
      </c>
      <c r="J22" s="36">
        <f>G22+(H22+I22)*2+N22+(O22+P22)*2</f>
        <v>900</v>
      </c>
      <c r="K22" s="37">
        <f>IF(F22&gt;0,(J22/(F22*60*24)),9999)</f>
        <v>9999</v>
      </c>
      <c r="L22" s="31">
        <f>J22/(SUM($E$18:$E$22)*60*24)</f>
        <v>1.201923076923077E-2</v>
      </c>
      <c r="M22" s="34">
        <f>ROUNDUP(SQRT(Коэфф.!C$3*(($D22-1)*($D22-1)+3*($D22-1)+2)/100+100)-10,0)</f>
        <v>1</v>
      </c>
      <c r="N22" s="35">
        <f>IF($M22&gt;$B$13,Коэфф.!B$10*($M22*($M22-1)*((2*$M22+8)/6+2/$M22)-IF($B$13=0,-2,$B$13*($B$13-1)*((2*$B$13+8)/6+2/$B$13)))/2,0)</f>
        <v>0</v>
      </c>
      <c r="O22" s="35">
        <f>IF($M22&gt;$B$13,Коэфф.!C$10*($M22*($M22-1)*((2*$M22+8)/6+2/$M22)-IF($B$13=0,-2,$B$13*($B$13-1)*((2*$B$13+8)/6+2/$B$13)))/2,0)</f>
        <v>0</v>
      </c>
      <c r="P22" s="35">
        <f>IF($M22&gt;$B$13,Коэфф.!D$10*($M22*($M22-1)*((2*$M22+8)/6+2/$M22)-IF($B$13=0,-2,$B$13*($B$13-1)*((2*$B$13+8)/6+2/$B$13)))/2,0)</f>
        <v>0</v>
      </c>
    </row>
    <row r="23" spans="1:16" x14ac:dyDescent="0.25">
      <c r="B23" s="57" t="s">
        <v>41</v>
      </c>
      <c r="C23" s="57"/>
      <c r="D23" s="57"/>
      <c r="E23" s="57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56" t="str">
        <f>INDEX(Advanced!A2:F6,MATCH(MIN(Advanced!D2:D6),Advanced!D2:D6,0),1)</f>
        <v>Склад + Дома + Ферма</v>
      </c>
      <c r="C24" s="56"/>
      <c r="D24" s="56"/>
      <c r="E24" s="56"/>
      <c r="F24" s="2">
        <f>INDEX(Advanced!A2:F6,MATCH(MIN(Advanced!D2:D6),Advanced!D2:D6,0),3)</f>
        <v>12</v>
      </c>
      <c r="J24" s="22">
        <f>INDEX(Advanced!A2:F6,MATCH(MIN(Advanced!D2:D6),Advanced!D2:D6,0),2)</f>
        <v>4500</v>
      </c>
      <c r="K24" s="23">
        <f>IF(F24&gt;0,(J24/(F24*60*24)),9999)</f>
        <v>0.26041666666666669</v>
      </c>
      <c r="L24" s="18">
        <f>INDEX(Advanced!A2:F6,MATCH(MIN(Advanced!D2:D6),Advanced!D2:D6,0),5)</f>
        <v>6.0096153846153848E-2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50</v>
      </c>
    </row>
    <row r="27" spans="1:16" x14ac:dyDescent="0.25">
      <c r="A27" t="s">
        <v>24</v>
      </c>
    </row>
    <row r="28" spans="1:16" x14ac:dyDescent="0.25">
      <c r="A28" t="s">
        <v>27</v>
      </c>
    </row>
    <row r="29" spans="1:16" s="4" customFormat="1" ht="15.75" thickBot="1" x14ac:dyDescent="0.3">
      <c r="M29" s="9"/>
    </row>
    <row r="31" spans="1:16" x14ac:dyDescent="0.25">
      <c r="G31" s="55" t="s">
        <v>21</v>
      </c>
      <c r="H31" s="55"/>
      <c r="I31" s="55"/>
      <c r="J31" s="55"/>
      <c r="N31" s="55" t="s">
        <v>31</v>
      </c>
      <c r="O31" s="55"/>
      <c r="P31" s="55"/>
    </row>
    <row r="32" spans="1:16" ht="45" customHeight="1" thickBot="1" x14ac:dyDescent="0.3">
      <c r="B32" s="44" t="s">
        <v>4</v>
      </c>
      <c r="C32" s="1"/>
      <c r="D32" s="1"/>
      <c r="E32" s="33" t="s">
        <v>17</v>
      </c>
      <c r="F32" s="32" t="s">
        <v>23</v>
      </c>
      <c r="G32" s="34" t="s">
        <v>8</v>
      </c>
      <c r="H32" s="34" t="s">
        <v>9</v>
      </c>
      <c r="I32" s="34" t="s">
        <v>10</v>
      </c>
      <c r="J32" s="40" t="s">
        <v>20</v>
      </c>
      <c r="K32" s="32" t="s">
        <v>19</v>
      </c>
      <c r="L32" s="33" t="s">
        <v>44</v>
      </c>
      <c r="M32" s="32" t="s">
        <v>32</v>
      </c>
      <c r="N32" s="32" t="s">
        <v>8</v>
      </c>
      <c r="O32" s="32" t="s">
        <v>9</v>
      </c>
      <c r="P32" s="32" t="s">
        <v>10</v>
      </c>
    </row>
    <row r="33" spans="1:16" ht="15.75" thickBot="1" x14ac:dyDescent="0.3">
      <c r="A33" s="38" t="s">
        <v>14</v>
      </c>
      <c r="B33" s="12">
        <v>0</v>
      </c>
      <c r="C33" s="39" t="s">
        <v>30</v>
      </c>
      <c r="D33" s="8">
        <f>B33+1</f>
        <v>1</v>
      </c>
      <c r="E33" s="43">
        <f>B33*40</f>
        <v>0</v>
      </c>
      <c r="F33" s="43">
        <f>($D$33-$B$33)*40</f>
        <v>40</v>
      </c>
      <c r="G33" s="35">
        <f>Коэфф.!B$7*($D33*($D33-1)*((2*$D33+8)/6+2/$D33)-IF($B33=0,-2,$B33*($B33-1)*((2*$B33+8)/6+2/$B33)))/2</f>
        <v>200</v>
      </c>
      <c r="H33" s="35">
        <f>Коэфф.!C$7*($D33*($D33-1)*((2*$D33+8)/6+2/$D33)-IF($B33=0,-2,$B33*($B33-1)*((2*$B33+8)/6+2/$B33)))/2</f>
        <v>100</v>
      </c>
      <c r="I33" s="35">
        <f>Коэфф.!D$7*($D33*($D33-1)*((2*$D33+8)/6+2/$D33)-IF($B33=0,-2,$B33*($B33-1)*((2*$B33+8)/6+2/$B33)))/2</f>
        <v>100</v>
      </c>
      <c r="J33" s="36">
        <f>G33+(H33+I33)*2+N33+(O33+P33)*2</f>
        <v>600</v>
      </c>
      <c r="K33" s="35">
        <f>ROUND(J33/(F33*(D33-B33)),0)</f>
        <v>15</v>
      </c>
      <c r="L33" s="31">
        <f>J33/(SUM($E$18:$E$22)*60*24)</f>
        <v>8.0128205128205121E-3</v>
      </c>
      <c r="M33" s="34">
        <f>ROUNDUP(SQRT(Коэфф.!C$7*(($D33-1)*($D33-1)+3*($D33-1)+2)/100+100)-10,0)</f>
        <v>1</v>
      </c>
      <c r="N33" s="35">
        <f>IF($M33&gt;$B$13,Коэфф.!B$10*($M33*($M33-1)*((2*$M33+8)/6+2/$M33)-IF($B$13=0,-2,$B$13*($B$13-1)*((2*$B$13+8)/6+2/$B$13)))/2,0)</f>
        <v>0</v>
      </c>
      <c r="O33" s="35">
        <f>IF($M33&gt;$B$13,Коэфф.!C$10*($M33*($M33-1)*((2*$M33+8)/6+2/$M33)-IF($B$13=0,-2,$B$13*($B$13-1)*((2*$B$13+8)/6+2/$B$13)))/2,0)</f>
        <v>0</v>
      </c>
      <c r="P33" s="35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38" t="s">
        <v>15</v>
      </c>
      <c r="B34" s="12">
        <v>0</v>
      </c>
      <c r="C34" s="39" t="s">
        <v>30</v>
      </c>
      <c r="D34" s="8">
        <f>B34+2</f>
        <v>2</v>
      </c>
      <c r="E34" s="43">
        <f>ROUND($B34*10*((40+1.2*ROUNDDOWN($B34/2,0))/(100+ROUNDDOWN($B34/2,0)))*5+$E$33*((100+1.5*ROUNDDOWN($B34/2,0))/(100+ROUNDDOWN($B34/2,0))),0)</f>
        <v>0</v>
      </c>
      <c r="F34" s="47">
        <f>ROUND($D34*10*((40+1.2*ROUNDDOWN($D34/2,0))/(100+ROUNDDOWN($D34/2,0)))*5+$E$33*((100+1.5*ROUNDDOWN($D34/2,0))/(100+ROUNDDOWN($D34/2,0))),0)-E34</f>
        <v>41</v>
      </c>
      <c r="G34" s="35">
        <f>Коэфф.!B$8*($D34*($D34-1)*((2*$D34+8)/6+2/$D34)-IF($B34=0,-2,$B34*($B34-1)*((2*$B34+8)/6+2/$B34)))/2</f>
        <v>20000</v>
      </c>
      <c r="H34" s="35">
        <f>Коэфф.!C$8*($D34*($D34-1)*((2*$D34+8)/6+2/$D34)-IF($B34=0,-2,$B34*($B34-1)*((2*$B34+8)/6+2/$B34)))/2</f>
        <v>2000</v>
      </c>
      <c r="I34" s="35">
        <f>Коэфф.!D$8*($D34*($D34-1)*((2*$D34+8)/6+2/$D34)-IF($B34=0,-2,$B34*($B34-1)*((2*$B34+8)/6+2/$B34)))/2</f>
        <v>6000</v>
      </c>
      <c r="J34" s="36">
        <f>G34+(H34+I34)*2+N34+(O34+P34)*2</f>
        <v>47400</v>
      </c>
      <c r="K34" s="35">
        <f>ROUND(J34/F34,0)</f>
        <v>1156</v>
      </c>
      <c r="L34" s="31">
        <f>J34/(SUM($E$18:$E$22)*60*24)</f>
        <v>0.63301282051282048</v>
      </c>
      <c r="M34" s="34">
        <f>ROUNDUP(SQRT(Коэфф.!D$8*(($D34-1)*($D34-1)+3*($D34-1)+2)/100+100)-10,0)</f>
        <v>4</v>
      </c>
      <c r="N34" s="35">
        <f>IF($M34&gt;$B$13,Коэфф.!B$10*($M34*($M34-1)*((2*$M34+8)/6+2/$M34)-IF($B$13=0,-2,$B$13*($B$13-1)*((2*$B$13+8)/6+2/$B$13)))/2,0)</f>
        <v>3800</v>
      </c>
      <c r="O34" s="35">
        <f>IF($M34&gt;$B$13,Коэфф.!C$10*($M34*($M34-1)*((2*$M34+8)/6+2/$M34)-IF($B$13=0,-2,$B$13*($B$13-1)*((2*$B$13+8)/6+2/$B$13)))/2,0)</f>
        <v>1900</v>
      </c>
      <c r="P34" s="35">
        <f>IF($M34&gt;$B$13,Коэфф.!D$10*($M34*($M34-1)*((2*$M34+8)/6+2/$M34)-IF($B$13=0,-2,$B$13*($B$13-1)*((2*$B$13+8)/6+2/$B$13)))/2,0)</f>
        <v>1900</v>
      </c>
    </row>
    <row r="35" spans="1:16" ht="15.75" thickBot="1" x14ac:dyDescent="0.3">
      <c r="A35" s="38" t="s">
        <v>16</v>
      </c>
      <c r="B35" s="12">
        <v>0</v>
      </c>
      <c r="C35" s="39" t="s">
        <v>30</v>
      </c>
      <c r="D35" s="8">
        <f>B35+2</f>
        <v>2</v>
      </c>
      <c r="E35" s="47">
        <f>ROUND($E$33*((100+1.5*ROUNDDOWN($B35/2,0))/(100+ROUNDDOWN($B35/2,0))),0)</f>
        <v>0</v>
      </c>
      <c r="F35" s="47">
        <f>ROUND($E$33*((100+1.5*ROUNDDOWN($D35/2,0))/(100+ROUNDDOWN($D35/2,0))),0)-E35</f>
        <v>0</v>
      </c>
      <c r="G35" s="35">
        <f>Коэфф.!B$9*($D35*($D35-1)*((2*$D35+8)/6+2/$D35)-IF($B35=0,-2,$B35*($B35-1)*((2*$B35+8)/6+2/$B35)))/2</f>
        <v>32000</v>
      </c>
      <c r="H35" s="35">
        <f>Коэфф.!C$9*($D35*($D35-1)*((2*$D35+8)/6+2/$D35)-IF($B35=0,-2,$B35*($B35-1)*((2*$B35+8)/6+2/$B35)))/2</f>
        <v>4000</v>
      </c>
      <c r="I35" s="35">
        <f>Коэфф.!D$9*($D35*($D35-1)*((2*$D35+8)/6+2/$D35)-IF($B35=0,-2,$B35*($B35-1)*((2*$B35+8)/6+2/$B35)))/2</f>
        <v>1200</v>
      </c>
      <c r="J35" s="36">
        <f>G35+(H35+I35)*2+N35+(O35+P35)*2</f>
        <v>47800</v>
      </c>
      <c r="K35" s="35" t="e">
        <f>ROUND(J35/F35,0)</f>
        <v>#DIV/0!</v>
      </c>
      <c r="L35" s="31">
        <f>J35/(SUM($E$18:$E$22)*60*24)</f>
        <v>0.63835470085470081</v>
      </c>
      <c r="M35" s="34">
        <f>ROUNDUP(SQRT(Коэфф.!C$9*(($D35-1)*($D35-1)+3*($D35-1)+2)/100+100)-10,0)</f>
        <v>3</v>
      </c>
      <c r="N35" s="35">
        <f>IF($M35&gt;$B$13,Коэфф.!B$10*($M35*($M35-1)*((2*$M35+8)/6+2/$M35)-IF($B$13=0,-2,$B$13*($B$13-1)*((2*$B$13+8)/6+2/$B$13)))/2,0)</f>
        <v>1800</v>
      </c>
      <c r="O35" s="35">
        <f>IF($M35&gt;$B$13,Коэфф.!C$10*($M35*($M35-1)*((2*$M35+8)/6+2/$M35)-IF($B$13=0,-2,$B$13*($B$13-1)*((2*$B$13+8)/6+2/$B$13)))/2,0)</f>
        <v>900</v>
      </c>
      <c r="P35" s="35">
        <f>IF($M35&gt;$B$13,Коэфф.!D$10*($M35*($M35-1)*((2*$M35+8)/6+2/$M35)-IF($B$13=0,-2,$B$13*($B$13-1)*((2*$B$13+8)/6+2/$B$13)))/2,0)</f>
        <v>900</v>
      </c>
    </row>
    <row r="37" spans="1:16" x14ac:dyDescent="0.25">
      <c r="A37" t="s">
        <v>18</v>
      </c>
    </row>
    <row r="38" spans="1:16" x14ac:dyDescent="0.25">
      <c r="A38" t="s">
        <v>51</v>
      </c>
    </row>
    <row r="39" spans="1:16" x14ac:dyDescent="0.25">
      <c r="A39" t="s">
        <v>27</v>
      </c>
    </row>
    <row r="40" spans="1:16" x14ac:dyDescent="0.25">
      <c r="J40" s="5"/>
    </row>
    <row r="41" spans="1:16" x14ac:dyDescent="0.25">
      <c r="J41" s="5"/>
    </row>
    <row r="43" spans="1:16" x14ac:dyDescent="0.25">
      <c r="F43" s="48"/>
    </row>
  </sheetData>
  <mergeCells count="8">
    <mergeCell ref="G11:J11"/>
    <mergeCell ref="G16:J16"/>
    <mergeCell ref="G31:J31"/>
    <mergeCell ref="N16:P16"/>
    <mergeCell ref="N31:P31"/>
    <mergeCell ref="B24:E24"/>
    <mergeCell ref="B23:E23"/>
    <mergeCell ref="E18:E19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T9"/>
  <sheetViews>
    <sheetView workbookViewId="0">
      <selection activeCell="F14" sqref="F14"/>
    </sheetView>
  </sheetViews>
  <sheetFormatPr defaultRowHeight="15" x14ac:dyDescent="0.25"/>
  <cols>
    <col min="1" max="1" width="11" customWidth="1"/>
    <col min="2" max="2" width="10.140625" customWidth="1"/>
    <col min="3" max="3" width="5.140625" customWidth="1"/>
    <col min="4" max="5" width="10.140625" customWidth="1"/>
    <col min="8" max="11" width="11.28515625" customWidth="1"/>
    <col min="12" max="12" width="5.28515625" customWidth="1"/>
    <col min="13" max="16" width="10.42578125" customWidth="1"/>
    <col min="18" max="20" width="14" style="3" hidden="1" customWidth="1"/>
  </cols>
  <sheetData>
    <row r="1" spans="1:20" ht="21" customHeight="1" x14ac:dyDescent="0.25">
      <c r="I1" s="53" t="b">
        <v>1</v>
      </c>
      <c r="N1" s="53" t="b">
        <v>1</v>
      </c>
      <c r="R1" s="3" t="s">
        <v>68</v>
      </c>
      <c r="S1" s="3" t="s">
        <v>69</v>
      </c>
    </row>
    <row r="2" spans="1:20" x14ac:dyDescent="0.25">
      <c r="A2" s="60" t="s">
        <v>53</v>
      </c>
      <c r="B2" s="60"/>
      <c r="C2" s="34" t="s">
        <v>55</v>
      </c>
      <c r="D2" s="61" t="s">
        <v>54</v>
      </c>
      <c r="E2" s="61"/>
      <c r="H2" s="62" t="s">
        <v>53</v>
      </c>
      <c r="I2" s="62"/>
      <c r="J2" s="62"/>
      <c r="K2" s="62"/>
      <c r="L2" s="6" t="s">
        <v>55</v>
      </c>
      <c r="M2" s="63" t="s">
        <v>54</v>
      </c>
      <c r="N2" s="63"/>
      <c r="O2" s="63"/>
      <c r="P2" s="63"/>
      <c r="S2" s="64" t="s">
        <v>67</v>
      </c>
      <c r="T2" s="64"/>
    </row>
    <row r="3" spans="1:20" ht="30.75" thickBot="1" x14ac:dyDescent="0.3">
      <c r="A3" s="45" t="s">
        <v>14</v>
      </c>
      <c r="B3" s="45" t="s">
        <v>16</v>
      </c>
      <c r="C3" s="6"/>
      <c r="D3" s="45" t="s">
        <v>14</v>
      </c>
      <c r="E3" s="45" t="s">
        <v>15</v>
      </c>
      <c r="G3" s="6" t="s">
        <v>61</v>
      </c>
      <c r="H3" s="6" t="s">
        <v>63</v>
      </c>
      <c r="I3" s="6" t="s">
        <v>52</v>
      </c>
      <c r="J3" s="1" t="s">
        <v>59</v>
      </c>
      <c r="K3" s="6" t="s">
        <v>56</v>
      </c>
      <c r="L3" s="6"/>
      <c r="M3" s="6" t="s">
        <v>63</v>
      </c>
      <c r="N3" s="6" t="s">
        <v>57</v>
      </c>
      <c r="O3" s="1" t="s">
        <v>60</v>
      </c>
      <c r="P3" s="6" t="s">
        <v>56</v>
      </c>
      <c r="R3" s="1" t="s">
        <v>64</v>
      </c>
      <c r="S3" s="1" t="s">
        <v>65</v>
      </c>
      <c r="T3" s="1" t="s">
        <v>66</v>
      </c>
    </row>
    <row r="4" spans="1:20" ht="15.75" thickBot="1" x14ac:dyDescent="0.3">
      <c r="A4" s="51">
        <v>0</v>
      </c>
      <c r="B4" s="51">
        <v>0</v>
      </c>
      <c r="D4" s="51">
        <v>0</v>
      </c>
      <c r="E4" s="51">
        <v>0</v>
      </c>
      <c r="G4" s="49">
        <v>1</v>
      </c>
      <c r="H4" s="49">
        <f>$B$6</f>
        <v>0</v>
      </c>
      <c r="I4" s="49">
        <f>$B$7</f>
        <v>0</v>
      </c>
      <c r="J4" s="49">
        <f>IF($B$7&gt;0,ROUND($B$8*I4/$B$7,0),0)</f>
        <v>0</v>
      </c>
      <c r="K4" s="49">
        <f>IF($H4&gt;$M4,ROUNDDOWN(($H4-$M4)/100,0),0)+IF($B$4&gt;0,ROUND(ROUNDDOWN($B$4/2,0)*J4/$B$8,0),0)</f>
        <v>0</v>
      </c>
      <c r="L4" s="49"/>
      <c r="M4" s="49">
        <f>$E$6</f>
        <v>0</v>
      </c>
      <c r="N4" s="49">
        <f>$E$7</f>
        <v>0</v>
      </c>
      <c r="O4" s="49">
        <f>$E$8</f>
        <v>0</v>
      </c>
      <c r="P4" s="49">
        <f>IF($M4&gt;$H4,ROUNDDOWN(($M4-$H4)/100,0),0)+IF($E$4&gt;0,ROUND(ROUNDDOWN($E$4/2,0)*O4/$E$8,0),0)</f>
        <v>0</v>
      </c>
    </row>
    <row r="5" spans="1:20" x14ac:dyDescent="0.25">
      <c r="G5" s="49">
        <v>2</v>
      </c>
      <c r="H5" s="49">
        <f>ROUND($R5-MIN($R5,$M4)*($T5+50)/($S5+$T5+100),0)</f>
        <v>0</v>
      </c>
      <c r="I5" s="49">
        <f>MAX(IF(I$1,I4,I4-1),0)</f>
        <v>0</v>
      </c>
      <c r="J5" s="50">
        <f t="shared" ref="J5:J8" si="0">IF($B$7&gt;0,ROUND($B$8*I5/$B$7,0),0)</f>
        <v>0</v>
      </c>
      <c r="K5" s="50">
        <f t="shared" ref="K5:K8" si="1">IF($H5&gt;$M5,ROUNDDOWN(($H5-$M5)/100,0),0)+IF($B$4&gt;0,ROUND(ROUNDDOWN($B$4/2,0)*J5/$B$8,0),0)</f>
        <v>0</v>
      </c>
      <c r="L5" s="49"/>
      <c r="M5" s="49">
        <f>ROUND($M4-MIN($R5,$M4)*($S5+50)/($S5+$T5+100),0)</f>
        <v>0</v>
      </c>
      <c r="N5" s="49">
        <f>MAX(IF(N$1,N4,ROUND(N4-J4/20,0)),0)</f>
        <v>0</v>
      </c>
      <c r="O5" s="49">
        <f>MAX(ROUND(O4-J4*0.5,0),0)</f>
        <v>0</v>
      </c>
      <c r="P5" s="50">
        <f t="shared" ref="P5:P8" si="2">IF($M5&gt;$H5,ROUNDDOWN(($M5-$H5)/100,0),0)+IF($E$4&gt;0,ROUND(ROUNDDOWN($E$4/2,0)*O5/$E$8,0),0)</f>
        <v>0</v>
      </c>
      <c r="R5" s="3">
        <f>ROUND($H4-MIN($N4,$H4)*($P4+20)/($P4+80),0)</f>
        <v>0</v>
      </c>
      <c r="S5" s="3">
        <f>IF($R5&gt;$M4,ROUNDDOWN((R5-$M4)/100,0),0)+IF($B$4&gt;0,ROUND(ROUNDDOWN($B$4/2,0)*J4/$B$8,0),0)</f>
        <v>0</v>
      </c>
      <c r="T5" s="3">
        <f>IF($M4&gt;$R5,ROUNDDOWN(($M4-$R5)/100,0),0)+IF($E$4&gt;0,ROUND(ROUNDDOWN($E$4/2,0)*$O5/$E$8,0),0)</f>
        <v>0</v>
      </c>
    </row>
    <row r="6" spans="1:20" x14ac:dyDescent="0.25">
      <c r="A6" t="s">
        <v>63</v>
      </c>
      <c r="B6">
        <f>$A$4*40</f>
        <v>0</v>
      </c>
      <c r="D6" t="s">
        <v>63</v>
      </c>
      <c r="E6">
        <f>$D$4*40</f>
        <v>0</v>
      </c>
      <c r="G6" s="49">
        <v>3</v>
      </c>
      <c r="H6" s="54">
        <f>ROUND($R6-MIN($R6,$M5)*($T6+50)/($S6+$T6+100),0)</f>
        <v>0</v>
      </c>
      <c r="I6" s="50">
        <f t="shared" ref="I6:I9" si="3">MAX(IF(I$1,I5,I5-1),0)</f>
        <v>0</v>
      </c>
      <c r="J6" s="50">
        <f t="shared" si="0"/>
        <v>0</v>
      </c>
      <c r="K6" s="50">
        <f t="shared" si="1"/>
        <v>0</v>
      </c>
      <c r="L6" s="49"/>
      <c r="M6" s="54">
        <f>ROUND($M5-MIN($R6,$M5)*($S6+50)/($S6+$T6+100),0)</f>
        <v>0</v>
      </c>
      <c r="N6" s="50">
        <f t="shared" ref="N6:N9" si="4">MAX(IF(N$1,N5,ROUND(N5-J5/20,0)),0)</f>
        <v>0</v>
      </c>
      <c r="O6" s="50">
        <f t="shared" ref="O6:O9" si="5">MAX(ROUND(O5-J5*0.5,0),0)</f>
        <v>0</v>
      </c>
      <c r="P6" s="50">
        <f t="shared" si="2"/>
        <v>0</v>
      </c>
      <c r="R6" s="3">
        <f t="shared" ref="R6:R9" si="6">ROUND($H5-MIN($N5,$H5)*($P5+20)/($P5+80),0)</f>
        <v>0</v>
      </c>
      <c r="S6" s="3">
        <f>IF(R6&gt;$M5,ROUNDDOWN((R6-$M5)/100,0),0)+IF($B$4&gt;0,ROUND(ROUNDDOWN($B$4/2,0)*J5/$B$8,0),0)</f>
        <v>0</v>
      </c>
      <c r="T6" s="3">
        <f t="shared" ref="T6:T9" si="7">IF($M5&gt;$R6,ROUNDDOWN(($M5-$R6)/100,0),0)+IF($E$4&gt;0,ROUND(ROUNDDOWN($E$4/2,0)*$O6/$E$8,0),0)</f>
        <v>0</v>
      </c>
    </row>
    <row r="7" spans="1:20" x14ac:dyDescent="0.25">
      <c r="A7" t="s">
        <v>52</v>
      </c>
      <c r="B7">
        <f>IF($B$4=0,0,ROUNDDOWN(1+$B$4/5,0))</f>
        <v>0</v>
      </c>
      <c r="D7" t="s">
        <v>57</v>
      </c>
      <c r="E7">
        <f>$E$4*10</f>
        <v>0</v>
      </c>
      <c r="G7" s="49">
        <v>4</v>
      </c>
      <c r="H7" s="54">
        <f>ROUND($R7-MIN($R7,$M6)*($T7+50)/($S7+$T7+100),0)</f>
        <v>0</v>
      </c>
      <c r="I7" s="50">
        <f t="shared" si="3"/>
        <v>0</v>
      </c>
      <c r="J7" s="50">
        <f t="shared" si="0"/>
        <v>0</v>
      </c>
      <c r="K7" s="50">
        <f t="shared" si="1"/>
        <v>0</v>
      </c>
      <c r="L7" s="49"/>
      <c r="M7" s="54">
        <f>ROUND($M6-MIN($R7,$M6)*($S7+50)/($S7+$T7+100),0)</f>
        <v>0</v>
      </c>
      <c r="N7" s="50">
        <f t="shared" si="4"/>
        <v>0</v>
      </c>
      <c r="O7" s="50">
        <f t="shared" si="5"/>
        <v>0</v>
      </c>
      <c r="P7" s="50">
        <f t="shared" si="2"/>
        <v>0</v>
      </c>
      <c r="R7" s="3">
        <f t="shared" si="6"/>
        <v>0</v>
      </c>
      <c r="S7" s="3">
        <f>IF(R7&gt;$M6,ROUNDDOWN((R7-$M6)/100,0),0)+IF($B$4&gt;0,ROUND(ROUNDDOWN($B$4/2,0)*J6/$B$8,0),0)</f>
        <v>0</v>
      </c>
      <c r="T7" s="3">
        <f t="shared" si="7"/>
        <v>0</v>
      </c>
    </row>
    <row r="8" spans="1:20" x14ac:dyDescent="0.25">
      <c r="A8" t="s">
        <v>53</v>
      </c>
      <c r="B8">
        <f>$B$4*20</f>
        <v>0</v>
      </c>
      <c r="D8" t="s">
        <v>58</v>
      </c>
      <c r="E8">
        <f>$E$4*100</f>
        <v>0</v>
      </c>
      <c r="G8" s="49">
        <v>5</v>
      </c>
      <c r="H8" s="54">
        <f>ROUND($R8-MIN($R8,$M7)*($T8+50)/($S8+$T8+100),0)</f>
        <v>0</v>
      </c>
      <c r="I8" s="50">
        <f t="shared" si="3"/>
        <v>0</v>
      </c>
      <c r="J8" s="50">
        <f t="shared" si="0"/>
        <v>0</v>
      </c>
      <c r="K8" s="50">
        <f t="shared" si="1"/>
        <v>0</v>
      </c>
      <c r="L8" s="49"/>
      <c r="M8" s="54">
        <f>ROUND($M7-MIN($R8,$M7)*($S8+50)/($S8+$T8+100),0)</f>
        <v>0</v>
      </c>
      <c r="N8" s="50">
        <f t="shared" si="4"/>
        <v>0</v>
      </c>
      <c r="O8" s="50">
        <f t="shared" si="5"/>
        <v>0</v>
      </c>
      <c r="P8" s="50">
        <f t="shared" si="2"/>
        <v>0</v>
      </c>
      <c r="R8" s="3">
        <f t="shared" si="6"/>
        <v>0</v>
      </c>
      <c r="S8" s="3">
        <f>IF(R8&gt;$M7,ROUNDDOWN((R8-$M7)/100,0),0)+IF($B$4&gt;0,ROUND(ROUNDDOWN($B$4/2,0)*J7/$B$8,0),0)</f>
        <v>0</v>
      </c>
      <c r="T8" s="3">
        <f t="shared" si="7"/>
        <v>0</v>
      </c>
    </row>
    <row r="9" spans="1:20" x14ac:dyDescent="0.25">
      <c r="G9" s="49" t="s">
        <v>62</v>
      </c>
      <c r="H9" s="52">
        <f>ROUND($R9-MIN($R9,$M8)*($T9+50)/($S9+$T9+100),0)</f>
        <v>0</v>
      </c>
      <c r="I9" s="52">
        <f t="shared" si="3"/>
        <v>0</v>
      </c>
      <c r="J9" s="49"/>
      <c r="K9" s="49"/>
      <c r="L9" s="49"/>
      <c r="M9" s="52">
        <f>ROUND($M8-MIN($R9,$M8)*($S9+50)/($S9+$T9+100),0)</f>
        <v>0</v>
      </c>
      <c r="N9" s="52">
        <f t="shared" si="4"/>
        <v>0</v>
      </c>
      <c r="O9" s="52">
        <f t="shared" si="5"/>
        <v>0</v>
      </c>
      <c r="P9" s="49"/>
      <c r="R9" s="3">
        <f t="shared" si="6"/>
        <v>0</v>
      </c>
      <c r="S9" s="3">
        <f>IF(R9&gt;$M8,ROUNDDOWN((R9-$M8)/100,0),0)+IF($B$4&gt;0,ROUND(ROUNDDOWN($B$4/2,0)*J8/$B$8,0),0)</f>
        <v>0</v>
      </c>
      <c r="T9" s="3">
        <f t="shared" si="7"/>
        <v>0</v>
      </c>
    </row>
  </sheetData>
  <mergeCells count="5">
    <mergeCell ref="A2:B2"/>
    <mergeCell ref="D2:E2"/>
    <mergeCell ref="H2:K2"/>
    <mergeCell ref="M2:P2"/>
    <mergeCell ref="S2:T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7</xdr:col>
                    <xdr:colOff>400050</xdr:colOff>
                    <xdr:row>0</xdr:row>
                    <xdr:rowOff>19050</xdr:rowOff>
                  </from>
                  <to>
                    <xdr:col>9</xdr:col>
                    <xdr:colOff>533400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12</xdr:col>
                    <xdr:colOff>400050</xdr:colOff>
                    <xdr:row>0</xdr:row>
                    <xdr:rowOff>19050</xdr:rowOff>
                  </from>
                  <to>
                    <xdr:col>14</xdr:col>
                    <xdr:colOff>647700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14</v>
      </c>
      <c r="B7">
        <v>200</v>
      </c>
      <c r="C7">
        <v>100</v>
      </c>
      <c r="D7">
        <v>100</v>
      </c>
    </row>
    <row r="8" spans="1:4" x14ac:dyDescent="0.25">
      <c r="A8" t="s">
        <v>15</v>
      </c>
      <c r="B8">
        <v>5000</v>
      </c>
      <c r="C8">
        <v>500</v>
      </c>
      <c r="D8">
        <v>1500</v>
      </c>
    </row>
    <row r="9" spans="1:4" x14ac:dyDescent="0.25">
      <c r="A9" t="s">
        <v>16</v>
      </c>
      <c r="B9">
        <v>8000</v>
      </c>
      <c r="C9">
        <v>1000</v>
      </c>
      <c r="D9">
        <v>300</v>
      </c>
    </row>
    <row r="10" spans="1:4" x14ac:dyDescent="0.25">
      <c r="A10" t="s">
        <v>25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37</v>
      </c>
      <c r="B1" s="1" t="s">
        <v>20</v>
      </c>
      <c r="C1" s="1" t="s">
        <v>22</v>
      </c>
      <c r="D1" s="1" t="s">
        <v>12</v>
      </c>
      <c r="E1" s="1" t="s">
        <v>13</v>
      </c>
      <c r="F1" s="1" t="s">
        <v>33</v>
      </c>
      <c r="J1" s="6"/>
    </row>
    <row r="2" spans="1:14" x14ac:dyDescent="0.25">
      <c r="A2" t="s">
        <v>39</v>
      </c>
      <c r="B2" s="19">
        <f>Расчет!G19+Расчет!H19*4+Расчет!J18</f>
        <v>5700</v>
      </c>
      <c r="C2" s="19">
        <f>Расчет!F19+(Расчет!B19+1)*2</f>
        <v>-4</v>
      </c>
      <c r="D2" s="17">
        <f>IF(C2&gt;0,(B2/(C2*60*24)),9999)</f>
        <v>9999</v>
      </c>
      <c r="E2" s="18">
        <f>B2/(SUM(Расчет!$E$18:$E$22)*60*24)</f>
        <v>7.6121794871794865E-2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40</v>
      </c>
      <c r="B3" s="20">
        <f>Расчет!J19+Расчет!J20</f>
        <v>2700</v>
      </c>
      <c r="C3" s="19">
        <f>10+Расчет!B18*2-IF(Расчет!B13&lt;=Расчет!B20,20,0)</f>
        <v>-8</v>
      </c>
      <c r="D3" s="17">
        <f>IF(C3&gt;0,(B3/(C3*60*24)),9999)</f>
        <v>9999</v>
      </c>
      <c r="E3" s="18">
        <f>B3/(SUM(Расчет!$E$18:$E$22)*60*24)</f>
        <v>3.6057692307692304E-2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38</v>
      </c>
      <c r="B4" s="19">
        <f>Расчет!J13+Расчет!J19+Расчет!J20</f>
        <v>4500</v>
      </c>
      <c r="C4" s="19">
        <f>10+Расчет!B18*2</f>
        <v>12</v>
      </c>
      <c r="D4" s="17">
        <f>IF(C4&gt;0,(B4/(C4*60*24)),9999)</f>
        <v>0.26041666666666669</v>
      </c>
      <c r="E4" s="18">
        <f>B4/(SUM(Расчет!$E$18:$E$22)*60*24)</f>
        <v>6.0096153846153848E-2</v>
      </c>
      <c r="F4" t="s">
        <v>25</v>
      </c>
      <c r="G4" s="3"/>
      <c r="J4" s="6"/>
    </row>
    <row r="5" spans="1:14" x14ac:dyDescent="0.25">
      <c r="A5" t="s">
        <v>35</v>
      </c>
      <c r="B5" s="19">
        <f>Расчет!J13+Расчет!J21+Расчет!J22</f>
        <v>3600</v>
      </c>
      <c r="C5" s="19">
        <f>Расчет!F21+Расчет!F22</f>
        <v>0</v>
      </c>
      <c r="D5" s="17">
        <f>IF(C5&gt;0,(B5/(C5*60*24)),9999)</f>
        <v>9999</v>
      </c>
      <c r="E5" s="18">
        <f>B5/(SUM(Расчет!$E$18:$E$22)*60*24)</f>
        <v>4.807692307692308E-2</v>
      </c>
      <c r="F5" t="s">
        <v>25</v>
      </c>
      <c r="G5" s="3"/>
      <c r="J5" s="6"/>
    </row>
    <row r="6" spans="1:14" x14ac:dyDescent="0.25">
      <c r="A6" t="s">
        <v>36</v>
      </c>
      <c r="B6" s="19">
        <f>Расчет!J13+Расчет!J20+Расчет!J21+Расчет!J22</f>
        <v>4500</v>
      </c>
      <c r="C6" s="19">
        <f>C5+IF((Расчет!B20+1)&gt;=Расчет!B19,5,20)</f>
        <v>5</v>
      </c>
      <c r="D6" s="17">
        <f>IF(C6&gt;0,(B6/(C6*60*24)),9999)</f>
        <v>0.625</v>
      </c>
      <c r="E6" s="18">
        <f>B6/(SUM(Расчет!$E$18:$E$22)*60*24)</f>
        <v>6.0096153846153848E-2</v>
      </c>
      <c r="F6" t="s">
        <v>25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Расчет</vt:lpstr>
      <vt:lpstr>Война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2017-03-27T19:49:23Z</dcterms:modified>
</cp:coreProperties>
</file>