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885" windowWidth="14805" windowHeight="7230"/>
  </bookViews>
  <sheets>
    <sheet name="Расчет" sheetId="2" r:id="rId1"/>
    <sheet name="Коэфф." sheetId="3" r:id="rId2"/>
    <sheet name="Advanced" sheetId="4" r:id="rId3"/>
  </sheets>
  <definedNames>
    <definedName name="test">Расчет!$A$13,Расчет!$K$13,Расчет!$A$18,Расчет!$K$18,Расчет!$A$19,Расчет!$K$19,Расчет!$A$20,Расчет!$K$20,Расчет!$A$21,Расчет!$K$21,Расчет!$A$22,Расчет!$K$22</definedName>
    <definedName name="test2">Расчет!$K$13,Расчет!$K$18:$K$22</definedName>
  </definedNames>
  <calcPr calcId="145621"/>
</workbook>
</file>

<file path=xl/calcChain.xml><?xml version="1.0" encoding="utf-8"?>
<calcChain xmlns="http://schemas.openxmlformats.org/spreadsheetml/2006/main">
  <c r="E8" i="2" l="1"/>
  <c r="E5" i="2"/>
  <c r="F5" i="2" l="1"/>
  <c r="C5" i="4"/>
  <c r="F13" i="2"/>
  <c r="D18" i="2"/>
  <c r="E20" i="2"/>
  <c r="E21" i="2"/>
  <c r="E22" i="2"/>
  <c r="C4" i="4" l="1"/>
  <c r="C6" i="4"/>
  <c r="C3" i="4"/>
  <c r="D34" i="2" l="1"/>
  <c r="D35" i="2"/>
  <c r="D33" i="2"/>
  <c r="D13" i="2" l="1"/>
  <c r="M35" i="2"/>
  <c r="O35" i="2" l="1"/>
  <c r="P35" i="2"/>
  <c r="N35" i="2"/>
  <c r="D20" i="2"/>
  <c r="M33" i="2"/>
  <c r="N33" i="2" l="1"/>
  <c r="O33" i="2"/>
  <c r="P33" i="2"/>
  <c r="I13" i="2"/>
  <c r="I18" i="2"/>
  <c r="G33" i="2"/>
  <c r="I35" i="2"/>
  <c r="D22" i="2"/>
  <c r="D21" i="2"/>
  <c r="D19" i="2"/>
  <c r="H19" i="2" l="1"/>
  <c r="M19" i="2"/>
  <c r="H18" i="2"/>
  <c r="G18" i="2"/>
  <c r="M18" i="2"/>
  <c r="H13" i="2"/>
  <c r="I22" i="2"/>
  <c r="M22" i="2"/>
  <c r="H21" i="2"/>
  <c r="M21" i="2"/>
  <c r="G20" i="2"/>
  <c r="M20" i="2"/>
  <c r="H34" i="2"/>
  <c r="M34" i="2"/>
  <c r="G13" i="2"/>
  <c r="G22" i="2"/>
  <c r="H22" i="2"/>
  <c r="H20" i="2"/>
  <c r="G21" i="2"/>
  <c r="I21" i="2"/>
  <c r="I20" i="2"/>
  <c r="I19" i="2"/>
  <c r="G19" i="2"/>
  <c r="G35" i="2"/>
  <c r="H35" i="2"/>
  <c r="I34" i="2"/>
  <c r="G34" i="2"/>
  <c r="H33" i="2"/>
  <c r="I33" i="2"/>
  <c r="P34" i="2" l="1"/>
  <c r="N34" i="2"/>
  <c r="O34" i="2"/>
  <c r="J13" i="2"/>
  <c r="N18" i="2"/>
  <c r="O18" i="2"/>
  <c r="P18" i="2"/>
  <c r="K13" i="2" l="1"/>
  <c r="J18" i="2"/>
  <c r="E13" i="2"/>
  <c r="M5" i="2" s="1"/>
  <c r="M13" i="2" l="1"/>
  <c r="B2" i="4"/>
  <c r="F20" i="2"/>
  <c r="F22" i="2"/>
  <c r="F21" i="2"/>
  <c r="F19" i="2"/>
  <c r="C2" i="4" l="1"/>
  <c r="D2" i="4" s="1"/>
  <c r="F18" i="2"/>
  <c r="K18" i="2" s="1"/>
  <c r="E18" i="2"/>
  <c r="M8" i="2" s="1"/>
  <c r="L13" i="2" l="1"/>
  <c r="L18" i="2"/>
  <c r="E2" i="4"/>
  <c r="N19" i="2"/>
  <c r="O19" i="2"/>
  <c r="P19" i="2"/>
  <c r="J19" i="2" l="1"/>
  <c r="E33" i="2"/>
  <c r="K19" i="2" l="1"/>
  <c r="L19" i="2"/>
  <c r="O22" i="2"/>
  <c r="P22" i="2"/>
  <c r="N22" i="2"/>
  <c r="N21" i="2"/>
  <c r="O21" i="2"/>
  <c r="P21" i="2"/>
  <c r="N20" i="2"/>
  <c r="O20" i="2"/>
  <c r="P20" i="2"/>
  <c r="E35" i="2"/>
  <c r="E34" i="2"/>
  <c r="F35" i="2"/>
  <c r="F34" i="2"/>
  <c r="F2" i="4" l="1"/>
  <c r="J35" i="2"/>
  <c r="J20" i="2"/>
  <c r="J22" i="2"/>
  <c r="J21" i="2"/>
  <c r="J33" i="2"/>
  <c r="L33" i="2" s="1"/>
  <c r="J34" i="2"/>
  <c r="L34" i="2" s="1"/>
  <c r="K22" i="2" l="1"/>
  <c r="L22" i="2"/>
  <c r="K35" i="2"/>
  <c r="L35" i="2"/>
  <c r="K21" i="2"/>
  <c r="L21" i="2"/>
  <c r="K20" i="2"/>
  <c r="F3" i="4" s="1"/>
  <c r="L20" i="2"/>
  <c r="B5" i="4"/>
  <c r="B6" i="4"/>
  <c r="B3" i="4"/>
  <c r="B4" i="4"/>
  <c r="K33" i="2"/>
  <c r="K34" i="2"/>
  <c r="E3" i="4" l="1"/>
  <c r="D3" i="4"/>
  <c r="E6" i="4"/>
  <c r="D6" i="4"/>
  <c r="E4" i="4"/>
  <c r="D4" i="4"/>
  <c r="E5" i="4"/>
  <c r="D5" i="4"/>
  <c r="B24" i="2" l="1"/>
  <c r="F24" i="2"/>
  <c r="L24" i="2"/>
  <c r="J24" i="2"/>
  <c r="A24" i="2"/>
  <c r="K24" i="2" l="1"/>
  <c r="K2" i="2"/>
</calcChain>
</file>

<file path=xl/sharedStrings.xml><?xml version="1.0" encoding="utf-8"?>
<sst xmlns="http://schemas.openxmlformats.org/spreadsheetml/2006/main" count="102" uniqueCount="53">
  <si>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</si>
  <si>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</si>
  <si>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</si>
  <si>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</si>
  <si>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</si>
  <si>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</si>
  <si>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</si>
  <si>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</si>
  <si>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</si>
  <si>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</si>
  <si>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</si>
  <si>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</si>
  <si>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</si>
  <si>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1. Доход по лесопилкам/шахтам с учетом закупочной цены 200 золота за 100 ресурсов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</si>
  <si>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</si>
  <si>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</si>
  <si>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</si>
  <si>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</si>
  <si>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</si>
  <si>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</si>
  <si>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</si>
  <si>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</si>
  <si>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</si>
  <si>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</si>
  <si>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</si>
  <si>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</si>
  <si>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</si>
  <si>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</si>
  <si>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2. Эквивалент армии для требушетов выбран равным армии со стенами того же уровня</t>
  </si>
  <si>
    <t>3. Приведенная стоимость апгрейда с учетом необходимости апгрейда складов</t>
  </si>
  <si>
    <t>Запас еды</t>
  </si>
  <si>
    <t>Расход еды в минуту</t>
  </si>
  <si>
    <t>---&gt;</t>
  </si>
  <si>
    <t>Ресурсы на апгрейд склада</t>
  </si>
  <si>
    <t>Требуемый уровень склада</t>
  </si>
  <si>
    <t>Здание</t>
  </si>
  <si>
    <t>Шахта</t>
  </si>
  <si>
    <t>Склад + Лесопилка + Шахта</t>
  </si>
  <si>
    <t>Склад + Лесопилка + Шахта + Ферма</t>
  </si>
  <si>
    <t>Комбинированый апгрейд</t>
  </si>
  <si>
    <t>Склад + Дома + Ферма</t>
  </si>
  <si>
    <t>Дома + Ратуша</t>
  </si>
  <si>
    <t>Дома + Ферма</t>
  </si>
  <si>
    <t>Комбинированный апгрейд</t>
  </si>
  <si>
    <t>Следующая постройка для апгрейда:</t>
  </si>
  <si>
    <t>Период окупаемости апгрейда</t>
  </si>
  <si>
    <t>Время до апгрейда</t>
  </si>
  <si>
    <t>v1.0204a</t>
  </si>
  <si>
    <t>Время заполнения склада</t>
  </si>
  <si>
    <t>Время запаса в часах</t>
  </si>
  <si>
    <t>Необходимый запас на расчетное время</t>
  </si>
  <si>
    <t>Время расходования полного склада</t>
  </si>
  <si>
    <t>Время заполнения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</si>
</sst>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ч&quot;\ m&quot;мин&quot;"/>
    <numFmt numFmtId="165" formatCode="[=9999]&quot;∞&quot;;[h]&quot;ч&quot;\ m&quot;ми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49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415086</xdr:colOff>
      <xdr:row>16</xdr:row>
      <xdr:rowOff>385198</xdr:rowOff>
    </xdr:from>
    <xdr:to>
      <xdr:col>4</xdr:col>
      <xdr:colOff>600592</xdr:colOff>
      <xdr:row>16</xdr:row>
      <xdr:rowOff>568078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7276" y="3045629"/>
          <a:ext cx="185506" cy="182880"/>
        </a:xfrm>
        <a:prstGeom prst="rect">
          <a:avLst/>
        </a:prstGeom>
      </xdr:spPr>
    </xdr:pic>
    <xdr:clientData/>
  </xdr:twoCellAnchor>
  <xdr:twoCellAnchor editAs="oneCell">
    <xdr:from>
      <xdr:col>9</xdr:col>
      <xdr:colOff>833086</xdr:colOff>
      <xdr:row>16</xdr:row>
      <xdr:rowOff>392074</xdr:rowOff>
    </xdr:from>
    <xdr:to>
      <xdr:col>10</xdr:col>
      <xdr:colOff>4830</xdr:colOff>
      <xdr:row>16</xdr:row>
      <xdr:rowOff>574954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15" y="3075403"/>
          <a:ext cx="184115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419662</xdr:colOff>
      <xdr:row>16</xdr:row>
      <xdr:rowOff>391134</xdr:rowOff>
    </xdr:from>
    <xdr:to>
      <xdr:col>5</xdr:col>
      <xdr:colOff>604231</xdr:colOff>
      <xdr:row>16</xdr:row>
      <xdr:rowOff>573256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386" y="3051565"/>
          <a:ext cx="184569" cy="18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230862</xdr:colOff>
      <xdr:row>11</xdr:row>
      <xdr:rowOff>392197</xdr:rowOff>
    </xdr:from>
    <xdr:to>
      <xdr:col>6</xdr:col>
      <xdr:colOff>415281</xdr:colOff>
      <xdr:row>12</xdr:row>
      <xdr:rowOff>2576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776" y="1709368"/>
          <a:ext cx="184419" cy="187964"/>
        </a:xfrm>
        <a:prstGeom prst="rect">
          <a:avLst/>
        </a:prstGeom>
      </xdr:spPr>
    </xdr:pic>
    <xdr:clientData/>
  </xdr:twoCellAnchor>
  <xdr:twoCellAnchor editAs="oneCell">
    <xdr:from>
      <xdr:col>9</xdr:col>
      <xdr:colOff>834268</xdr:colOff>
      <xdr:row>11</xdr:row>
      <xdr:rowOff>383792</xdr:rowOff>
    </xdr:from>
    <xdr:to>
      <xdr:col>10</xdr:col>
      <xdr:colOff>4547</xdr:colOff>
      <xdr:row>11</xdr:row>
      <xdr:rowOff>569275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397" y="170096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420844</xdr:colOff>
      <xdr:row>11</xdr:row>
      <xdr:rowOff>382852</xdr:rowOff>
    </xdr:from>
    <xdr:to>
      <xdr:col>5</xdr:col>
      <xdr:colOff>605413</xdr:colOff>
      <xdr:row>11</xdr:row>
      <xdr:rowOff>568335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568" y="169007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237235</xdr:colOff>
      <xdr:row>11</xdr:row>
      <xdr:rowOff>388694</xdr:rowOff>
    </xdr:from>
    <xdr:to>
      <xdr:col>7</xdr:col>
      <xdr:colOff>416346</xdr:colOff>
      <xdr:row>11</xdr:row>
      <xdr:rowOff>571574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3635" y="170586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230491</xdr:colOff>
      <xdr:row>11</xdr:row>
      <xdr:rowOff>390531</xdr:rowOff>
    </xdr:from>
    <xdr:to>
      <xdr:col>8</xdr:col>
      <xdr:colOff>416373</xdr:colOff>
      <xdr:row>11</xdr:row>
      <xdr:rowOff>577728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77" y="1707702"/>
          <a:ext cx="185882" cy="187197"/>
        </a:xfrm>
        <a:prstGeom prst="rect">
          <a:avLst/>
        </a:prstGeom>
      </xdr:spPr>
    </xdr:pic>
    <xdr:clientData/>
  </xdr:twoCellAnchor>
  <xdr:twoCellAnchor editAs="oneCell">
    <xdr:from>
      <xdr:col>6</xdr:col>
      <xdr:colOff>234944</xdr:colOff>
      <xdr:row>31</xdr:row>
      <xdr:rowOff>388349</xdr:rowOff>
    </xdr:from>
    <xdr:to>
      <xdr:col>6</xdr:col>
      <xdr:colOff>419363</xdr:colOff>
      <xdr:row>32</xdr:row>
      <xdr:rowOff>3452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0858" y="6386378"/>
          <a:ext cx="184419" cy="186603"/>
        </a:xfrm>
        <a:prstGeom prst="rect">
          <a:avLst/>
        </a:prstGeom>
      </xdr:spPr>
    </xdr:pic>
    <xdr:clientData/>
  </xdr:twoCellAnchor>
  <xdr:twoCellAnchor editAs="oneCell">
    <xdr:from>
      <xdr:col>9</xdr:col>
      <xdr:colOff>838350</xdr:colOff>
      <xdr:row>31</xdr:row>
      <xdr:rowOff>379944</xdr:rowOff>
    </xdr:from>
    <xdr:to>
      <xdr:col>10</xdr:col>
      <xdr:colOff>8629</xdr:colOff>
      <xdr:row>31</xdr:row>
      <xdr:rowOff>565427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479" y="637797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241317</xdr:colOff>
      <xdr:row>31</xdr:row>
      <xdr:rowOff>384846</xdr:rowOff>
    </xdr:from>
    <xdr:to>
      <xdr:col>7</xdr:col>
      <xdr:colOff>420428</xdr:colOff>
      <xdr:row>31</xdr:row>
      <xdr:rowOff>567726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17" y="638287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234573</xdr:colOff>
      <xdr:row>31</xdr:row>
      <xdr:rowOff>386683</xdr:rowOff>
    </xdr:from>
    <xdr:to>
      <xdr:col>8</xdr:col>
      <xdr:colOff>420455</xdr:colOff>
      <xdr:row>31</xdr:row>
      <xdr:rowOff>569563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459" y="6384712"/>
          <a:ext cx="185882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233663</xdr:colOff>
      <xdr:row>16</xdr:row>
      <xdr:rowOff>393305</xdr:rowOff>
    </xdr:from>
    <xdr:to>
      <xdr:col>6</xdr:col>
      <xdr:colOff>418082</xdr:colOff>
      <xdr:row>17</xdr:row>
      <xdr:rowOff>60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77" y="3076634"/>
          <a:ext cx="184419" cy="185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240036</xdr:colOff>
      <xdr:row>16</xdr:row>
      <xdr:rowOff>389802</xdr:rowOff>
    </xdr:from>
    <xdr:to>
      <xdr:col>7</xdr:col>
      <xdr:colOff>419147</xdr:colOff>
      <xdr:row>16</xdr:row>
      <xdr:rowOff>572682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436" y="3073131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233292</xdr:colOff>
      <xdr:row>16</xdr:row>
      <xdr:rowOff>391639</xdr:rowOff>
    </xdr:from>
    <xdr:to>
      <xdr:col>8</xdr:col>
      <xdr:colOff>419174</xdr:colOff>
      <xdr:row>17</xdr:row>
      <xdr:rowOff>2492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0178" y="307496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13</xdr:col>
      <xdr:colOff>223921</xdr:colOff>
      <xdr:row>16</xdr:row>
      <xdr:rowOff>392094</xdr:rowOff>
    </xdr:from>
    <xdr:to>
      <xdr:col>13</xdr:col>
      <xdr:colOff>407992</xdr:colOff>
      <xdr:row>17</xdr:row>
      <xdr:rowOff>2648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064" y="3075423"/>
          <a:ext cx="184071" cy="1881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230294</xdr:colOff>
      <xdr:row>16</xdr:row>
      <xdr:rowOff>388591</xdr:rowOff>
    </xdr:from>
    <xdr:to>
      <xdr:col>14</xdr:col>
      <xdr:colOff>409057</xdr:colOff>
      <xdr:row>16</xdr:row>
      <xdr:rowOff>571471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923" y="3071920"/>
          <a:ext cx="178763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223550</xdr:colOff>
      <xdr:row>16</xdr:row>
      <xdr:rowOff>390428</xdr:rowOff>
    </xdr:from>
    <xdr:to>
      <xdr:col>15</xdr:col>
      <xdr:colOff>409086</xdr:colOff>
      <xdr:row>16</xdr:row>
      <xdr:rowOff>577800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664" y="3073757"/>
          <a:ext cx="185536" cy="18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223702</xdr:colOff>
      <xdr:row>31</xdr:row>
      <xdr:rowOff>379060</xdr:rowOff>
    </xdr:from>
    <xdr:to>
      <xdr:col>13</xdr:col>
      <xdr:colOff>408665</xdr:colOff>
      <xdr:row>31</xdr:row>
      <xdr:rowOff>565663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45" y="6377089"/>
          <a:ext cx="184963" cy="1866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230075</xdr:colOff>
      <xdr:row>31</xdr:row>
      <xdr:rowOff>375557</xdr:rowOff>
    </xdr:from>
    <xdr:to>
      <xdr:col>14</xdr:col>
      <xdr:colOff>409730</xdr:colOff>
      <xdr:row>31</xdr:row>
      <xdr:rowOff>558437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704" y="6373586"/>
          <a:ext cx="179655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223331</xdr:colOff>
      <xdr:row>31</xdr:row>
      <xdr:rowOff>377394</xdr:rowOff>
    </xdr:from>
    <xdr:to>
      <xdr:col>15</xdr:col>
      <xdr:colOff>409758</xdr:colOff>
      <xdr:row>31</xdr:row>
      <xdr:rowOff>563230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445" y="6375423"/>
          <a:ext cx="186427" cy="18583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1042785</xdr:colOff>
      <xdr:row>31</xdr:row>
      <xdr:rowOff>383433</xdr:rowOff>
    </xdr:from>
    <xdr:to>
      <xdr:col>11</xdr:col>
      <xdr:colOff>1903</xdr:colOff>
      <xdr:row>31</xdr:row>
      <xdr:rowOff>568916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95" y="6387993"/>
          <a:ext cx="184944" cy="1854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12</xdr:row>
      <xdr:rowOff>6569</xdr:rowOff>
    </xdr:from>
    <xdr:to>
      <xdr:col>0</xdr:col>
      <xdr:colOff>944880</xdr:colOff>
      <xdr:row>12</xdr:row>
      <xdr:rowOff>189449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891862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768569</xdr:colOff>
      <xdr:row>17</xdr:row>
      <xdr:rowOff>6569</xdr:rowOff>
    </xdr:from>
    <xdr:to>
      <xdr:col>0</xdr:col>
      <xdr:colOff>951449</xdr:colOff>
      <xdr:row>17</xdr:row>
      <xdr:rowOff>189449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69" y="324506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775939</xdr:colOff>
      <xdr:row>18</xdr:row>
      <xdr:rowOff>8492</xdr:rowOff>
    </xdr:from>
    <xdr:to>
      <xdr:col>0</xdr:col>
      <xdr:colOff>958819</xdr:colOff>
      <xdr:row>18</xdr:row>
      <xdr:rowOff>191372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346537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782316</xdr:colOff>
      <xdr:row>19</xdr:row>
      <xdr:rowOff>11381</xdr:rowOff>
    </xdr:from>
    <xdr:to>
      <xdr:col>1</xdr:col>
      <xdr:colOff>7477</xdr:colOff>
      <xdr:row>19</xdr:row>
      <xdr:rowOff>194261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6" y="366551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784321</xdr:colOff>
      <xdr:row>20</xdr:row>
      <xdr:rowOff>14246</xdr:rowOff>
    </xdr:from>
    <xdr:to>
      <xdr:col>1</xdr:col>
      <xdr:colOff>3486</xdr:colOff>
      <xdr:row>20</xdr:row>
      <xdr:rowOff>197126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321" y="3884117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779859</xdr:colOff>
      <xdr:row>21</xdr:row>
      <xdr:rowOff>5954</xdr:rowOff>
    </xdr:from>
    <xdr:to>
      <xdr:col>1</xdr:col>
      <xdr:colOff>4775</xdr:colOff>
      <xdr:row>21</xdr:row>
      <xdr:rowOff>194392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59" y="408979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32</xdr:row>
      <xdr:rowOff>9808</xdr:rowOff>
    </xdr:from>
    <xdr:to>
      <xdr:col>1</xdr:col>
      <xdr:colOff>92</xdr:colOff>
      <xdr:row>32</xdr:row>
      <xdr:rowOff>194431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567019"/>
          <a:ext cx="182880" cy="184623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33</xdr:row>
      <xdr:rowOff>15040</xdr:rowOff>
    </xdr:from>
    <xdr:to>
      <xdr:col>1</xdr:col>
      <xdr:colOff>92</xdr:colOff>
      <xdr:row>34</xdr:row>
      <xdr:rowOff>93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77277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410308</xdr:colOff>
      <xdr:row>11</xdr:row>
      <xdr:rowOff>375189</xdr:rowOff>
    </xdr:from>
    <xdr:to>
      <xdr:col>4</xdr:col>
      <xdr:colOff>593188</xdr:colOff>
      <xdr:row>11</xdr:row>
      <xdr:rowOff>558069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483" y="354701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34</xdr:row>
      <xdr:rowOff>9525</xdr:rowOff>
    </xdr:from>
    <xdr:to>
      <xdr:col>0</xdr:col>
      <xdr:colOff>954405</xdr:colOff>
      <xdr:row>34</xdr:row>
      <xdr:rowOff>192405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9627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412506</xdr:colOff>
      <xdr:row>31</xdr:row>
      <xdr:rowOff>383199</xdr:rowOff>
    </xdr:from>
    <xdr:to>
      <xdr:col>4</xdr:col>
      <xdr:colOff>595386</xdr:colOff>
      <xdr:row>31</xdr:row>
      <xdr:rowOff>566079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21" y="633998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505810</xdr:colOff>
      <xdr:row>11</xdr:row>
      <xdr:rowOff>392906</xdr:rowOff>
    </xdr:from>
    <xdr:to>
      <xdr:col>11</xdr:col>
      <xdr:colOff>688690</xdr:colOff>
      <xdr:row>11</xdr:row>
      <xdr:rowOff>575786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73" y="17145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1035432</xdr:colOff>
      <xdr:row>11</xdr:row>
      <xdr:rowOff>390443</xdr:rowOff>
    </xdr:from>
    <xdr:to>
      <xdr:col>10</xdr:col>
      <xdr:colOff>1218312</xdr:colOff>
      <xdr:row>11</xdr:row>
      <xdr:rowOff>573323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171203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512221</xdr:colOff>
      <xdr:row>16</xdr:row>
      <xdr:rowOff>388327</xdr:rowOff>
    </xdr:from>
    <xdr:to>
      <xdr:col>11</xdr:col>
      <xdr:colOff>695101</xdr:colOff>
      <xdr:row>16</xdr:row>
      <xdr:rowOff>571207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952" y="305532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1041843</xdr:colOff>
      <xdr:row>16</xdr:row>
      <xdr:rowOff>385864</xdr:rowOff>
    </xdr:from>
    <xdr:to>
      <xdr:col>10</xdr:col>
      <xdr:colOff>1224723</xdr:colOff>
      <xdr:row>16</xdr:row>
      <xdr:rowOff>568744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305286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481448</xdr:colOff>
      <xdr:row>31</xdr:row>
      <xdr:rowOff>386862</xdr:rowOff>
    </xdr:from>
    <xdr:to>
      <xdr:col>11</xdr:col>
      <xdr:colOff>664328</xdr:colOff>
      <xdr:row>31</xdr:row>
      <xdr:rowOff>569742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179" y="63436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981732</xdr:colOff>
      <xdr:row>11</xdr:row>
      <xdr:rowOff>387569</xdr:rowOff>
    </xdr:from>
    <xdr:to>
      <xdr:col>13</xdr:col>
      <xdr:colOff>1905</xdr:colOff>
      <xdr:row>11</xdr:row>
      <xdr:rowOff>570449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2542" y="241737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</xdr:row>
      <xdr:rowOff>596503</xdr:rowOff>
    </xdr:from>
    <xdr:to>
      <xdr:col>1</xdr:col>
      <xdr:colOff>401955</xdr:colOff>
      <xdr:row>3</xdr:row>
      <xdr:rowOff>779383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81" y="136445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506015</xdr:colOff>
      <xdr:row>3</xdr:row>
      <xdr:rowOff>595312</xdr:rowOff>
    </xdr:from>
    <xdr:to>
      <xdr:col>12</xdr:col>
      <xdr:colOff>688895</xdr:colOff>
      <xdr:row>3</xdr:row>
      <xdr:rowOff>778192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109" y="136326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</xdr:row>
      <xdr:rowOff>788275</xdr:rowOff>
    </xdr:from>
    <xdr:to>
      <xdr:col>0</xdr:col>
      <xdr:colOff>944880</xdr:colOff>
      <xdr:row>4</xdr:row>
      <xdr:rowOff>182879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70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408589</xdr:colOff>
      <xdr:row>3</xdr:row>
      <xdr:rowOff>605657</xdr:rowOff>
    </xdr:from>
    <xdr:to>
      <xdr:col>4</xdr:col>
      <xdr:colOff>591469</xdr:colOff>
      <xdr:row>4</xdr:row>
      <xdr:rowOff>261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779" y="1361088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827361</xdr:colOff>
      <xdr:row>3</xdr:row>
      <xdr:rowOff>588250</xdr:rowOff>
    </xdr:from>
    <xdr:to>
      <xdr:col>5</xdr:col>
      <xdr:colOff>1010241</xdr:colOff>
      <xdr:row>3</xdr:row>
      <xdr:rowOff>771130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36" y="13502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787619</xdr:colOff>
      <xdr:row>6</xdr:row>
      <xdr:rowOff>568544</xdr:rowOff>
    </xdr:from>
    <xdr:to>
      <xdr:col>1</xdr:col>
      <xdr:colOff>8474</xdr:colOff>
      <xdr:row>7</xdr:row>
      <xdr:rowOff>179924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19" y="251164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413618</xdr:colOff>
      <xdr:row>6</xdr:row>
      <xdr:rowOff>375626</xdr:rowOff>
    </xdr:from>
    <xdr:to>
      <xdr:col>4</xdr:col>
      <xdr:colOff>598187</xdr:colOff>
      <xdr:row>6</xdr:row>
      <xdr:rowOff>561109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93" y="231872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502168</xdr:colOff>
      <xdr:row>6</xdr:row>
      <xdr:rowOff>381457</xdr:rowOff>
    </xdr:from>
    <xdr:to>
      <xdr:col>12</xdr:col>
      <xdr:colOff>685048</xdr:colOff>
      <xdr:row>6</xdr:row>
      <xdr:rowOff>564337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818" y="2324557"/>
          <a:ext cx="18288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41"/>
  <sheetViews>
    <sheetView tabSelected="1" zoomScaleNormal="100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28515625" customWidth="1"/>
    <col min="7" max="9" width="9.85546875" customWidth="1"/>
    <col min="10" max="10" width="15.140625" customWidth="1"/>
    <col min="11" max="11" width="18.42578125" customWidth="1"/>
    <col min="12" max="12" width="17.85546875" customWidth="1"/>
    <col min="13" max="13" width="17.42578125" style="6" customWidth="1"/>
    <col min="14" max="16" width="9.85546875" customWidth="1"/>
  </cols>
  <sheetData>
    <row r="1" spans="1:16" ht="15.75" thickBot="1" x14ac:dyDescent="0.3">
      <c r="A1" t="s">
        <v>47</v>
      </c>
    </row>
    <row r="2" spans="1:16" ht="28.5" customHeight="1" thickBot="1" x14ac:dyDescent="0.3">
      <c r="B2" s="16" t="s">
        <v>44</v>
      </c>
      <c r="F2" s="14"/>
      <c r="K2" s="13" t="str">
        <f>IF(B19=0,"Дома",IF(B13=0,"Склад",IF(B20=0,"Ферма",IF(INDEX(M14:M22,MATCH(INDEX(A13:A24,MATCH(MIN(K13:K24),K13:K24,0)),A13:A22,0))&gt;B13,"Склад",INDEX(A13:A24,MATCH(MIN(K13:K24),K13:K24,0))))))</f>
        <v>Лесопилка</v>
      </c>
    </row>
    <row r="3" spans="1:16" ht="15.75" customHeight="1" x14ac:dyDescent="0.25">
      <c r="B3" s="16"/>
      <c r="F3" s="14"/>
      <c r="K3" s="14"/>
    </row>
    <row r="4" spans="1:16" s="3" customFormat="1" ht="62.25" customHeight="1" thickBot="1" x14ac:dyDescent="0.3">
      <c r="B4" s="51" t="s">
        <v>49</v>
      </c>
      <c r="C4" s="1"/>
      <c r="E4" s="34" t="s">
        <v>31</v>
      </c>
      <c r="F4" s="35" t="s">
        <v>50</v>
      </c>
      <c r="M4" s="35" t="s">
        <v>51</v>
      </c>
    </row>
    <row r="5" spans="1:16" ht="15.75" thickBot="1" x14ac:dyDescent="0.3">
      <c r="A5" s="27" t="s">
        <v>30</v>
      </c>
      <c r="B5" s="24">
        <v>6</v>
      </c>
      <c r="C5" s="28"/>
      <c r="D5" s="27"/>
      <c r="E5" s="31">
        <f>IF(B19&gt;MIN(B20,$B$13),(B19-MIN(B20,$B$13))*10,0)</f>
        <v>0</v>
      </c>
      <c r="F5" s="31">
        <f>E5*60*B5</f>
        <v>0</v>
      </c>
      <c r="G5" s="27"/>
      <c r="H5" s="27"/>
      <c r="I5" s="27"/>
      <c r="J5" s="27"/>
      <c r="K5" s="27"/>
      <c r="L5" s="27"/>
      <c r="M5" s="33">
        <f>IF(E5&gt;0,E13/(E5*60*24),0)</f>
        <v>0</v>
      </c>
    </row>
    <row r="6" spans="1:16" ht="9" customHeight="1" x14ac:dyDescent="0.25">
      <c r="B6" s="21"/>
      <c r="C6" s="6"/>
      <c r="E6" s="20"/>
      <c r="F6" s="20"/>
      <c r="L6" s="6"/>
      <c r="M6"/>
    </row>
    <row r="7" spans="1:16" ht="45" customHeight="1" x14ac:dyDescent="0.25">
      <c r="C7" s="6"/>
      <c r="E7" s="30" t="s">
        <v>27</v>
      </c>
      <c r="L7" s="6"/>
      <c r="M7" s="32" t="s">
        <v>52</v>
      </c>
    </row>
    <row r="8" spans="1:16" x14ac:dyDescent="0.25">
      <c r="A8" s="27" t="s">
        <v>1</v>
      </c>
      <c r="B8" s="29"/>
      <c r="C8" s="28"/>
      <c r="D8" s="27"/>
      <c r="E8" s="31">
        <f>B18*500000</f>
        <v>0</v>
      </c>
      <c r="F8" s="27"/>
      <c r="G8" s="27"/>
      <c r="H8" s="27"/>
      <c r="I8" s="27"/>
      <c r="J8" s="27"/>
      <c r="K8" s="27"/>
      <c r="L8" s="28"/>
      <c r="M8" s="33">
        <f>E8/(SUM(E18:E22)*60*24)</f>
        <v>0</v>
      </c>
    </row>
    <row r="9" spans="1:16" s="4" customFormat="1" ht="15.75" customHeight="1" thickBot="1" x14ac:dyDescent="0.3">
      <c r="F9" s="15"/>
      <c r="M9" s="9"/>
    </row>
    <row r="10" spans="1:16" ht="12" customHeight="1" x14ac:dyDescent="0.25">
      <c r="F10" s="14"/>
    </row>
    <row r="11" spans="1:16" x14ac:dyDescent="0.25">
      <c r="G11" s="45" t="s">
        <v>22</v>
      </c>
      <c r="H11" s="45"/>
      <c r="I11" s="45"/>
      <c r="J11" s="45"/>
    </row>
    <row r="12" spans="1:16" ht="45.75" thickBot="1" x14ac:dyDescent="0.3">
      <c r="B12" s="50" t="s">
        <v>4</v>
      </c>
      <c r="C12" s="6"/>
      <c r="D12" s="6"/>
      <c r="E12" s="37" t="s">
        <v>27</v>
      </c>
      <c r="F12" s="35" t="s">
        <v>23</v>
      </c>
      <c r="G12" s="37" t="s">
        <v>8</v>
      </c>
      <c r="H12" s="37" t="s">
        <v>9</v>
      </c>
      <c r="I12" s="37" t="s">
        <v>10</v>
      </c>
      <c r="J12" s="43" t="s">
        <v>21</v>
      </c>
      <c r="K12" s="43" t="s">
        <v>45</v>
      </c>
      <c r="L12" s="35" t="s">
        <v>46</v>
      </c>
      <c r="M12" s="47" t="s">
        <v>48</v>
      </c>
    </row>
    <row r="13" spans="1:16" ht="15.75" thickBot="1" x14ac:dyDescent="0.3">
      <c r="A13" s="41" t="s">
        <v>26</v>
      </c>
      <c r="B13" s="11">
        <v>1</v>
      </c>
      <c r="C13" s="42" t="s">
        <v>32</v>
      </c>
      <c r="D13" s="46">
        <f>B13+1</f>
        <v>2</v>
      </c>
      <c r="E13" s="38">
        <f>(B13*50+1000)*B13</f>
        <v>1050</v>
      </c>
      <c r="F13" s="48">
        <f>IF(B13&lt;B20,IF(B13&lt;B19,20,5),0)+IF(B13&lt;B21,20,0)+IF(B13&lt;B22,20,0)</f>
        <v>0</v>
      </c>
      <c r="G13" s="38">
        <f>Коэфф.!B$10*($D13*($D13-1)*((2*$D13+8)/6+2/$D13)-IF($B13=0,-2,$B13*($B13-1)*((2*$B13+8)/6+2/$B13)))/2</f>
        <v>600</v>
      </c>
      <c r="H13" s="38">
        <f>Коэфф.!C$10*($D13*($D13-1)*((2*$D13+8)/6+2/$D13)-IF($B13=0,-2,$B13*($B13-1)*((2*$B13+8)/6+2/$B13)))/2</f>
        <v>300</v>
      </c>
      <c r="I13" s="38">
        <f>Коэфф.!D$10*($D13*($D13-1)*((2*$D13+8)/6+2/$D13)-IF($B13=0,-2,$B13*($B13-1)*((2*$B13+8)/6+2/$B13)))/2</f>
        <v>300</v>
      </c>
      <c r="J13" s="39">
        <f>G13+(H13+I13)*2</f>
        <v>1800</v>
      </c>
      <c r="K13" s="40">
        <f>IF(F13&gt;0,(J13/(F13*60*24)),9999)</f>
        <v>9999</v>
      </c>
      <c r="L13" s="33">
        <f>J13/(SUM($E$18:$E$22)*60*24)</f>
        <v>0.125</v>
      </c>
      <c r="M13" s="33" t="e">
        <f>E13/((MAX(B20-B19,B21,B22)*10)*60*24)</f>
        <v>#DIV/0!</v>
      </c>
    </row>
    <row r="14" spans="1:16" s="4" customFormat="1" ht="15.75" thickBot="1" x14ac:dyDescent="0.3">
      <c r="J14" s="7"/>
      <c r="M14" s="9"/>
    </row>
    <row r="16" spans="1:16" ht="15" customHeight="1" x14ac:dyDescent="0.25">
      <c r="G16" s="44" t="s">
        <v>22</v>
      </c>
      <c r="H16" s="44"/>
      <c r="I16" s="44"/>
      <c r="J16" s="44"/>
      <c r="N16" s="45" t="s">
        <v>33</v>
      </c>
      <c r="O16" s="45"/>
      <c r="P16" s="45"/>
    </row>
    <row r="17" spans="1:16" s="3" customFormat="1" ht="45.75" thickBot="1" x14ac:dyDescent="0.3">
      <c r="B17" s="49" t="s">
        <v>4</v>
      </c>
      <c r="C17" s="1"/>
      <c r="D17" s="1"/>
      <c r="E17" s="35" t="s">
        <v>11</v>
      </c>
      <c r="F17" s="35" t="s">
        <v>23</v>
      </c>
      <c r="G17" s="34" t="s">
        <v>8</v>
      </c>
      <c r="H17" s="34" t="s">
        <v>9</v>
      </c>
      <c r="I17" s="34" t="s">
        <v>10</v>
      </c>
      <c r="J17" s="43" t="s">
        <v>21</v>
      </c>
      <c r="K17" s="43" t="s">
        <v>45</v>
      </c>
      <c r="L17" s="35" t="s">
        <v>46</v>
      </c>
      <c r="M17" s="34" t="s">
        <v>34</v>
      </c>
      <c r="N17" s="34" t="s">
        <v>8</v>
      </c>
      <c r="O17" s="34" t="s">
        <v>9</v>
      </c>
      <c r="P17" s="34" t="s">
        <v>10</v>
      </c>
    </row>
    <row r="18" spans="1:16" ht="15.75" thickBot="1" x14ac:dyDescent="0.3">
      <c r="A18" s="41" t="s">
        <v>1</v>
      </c>
      <c r="B18" s="10">
        <v>0</v>
      </c>
      <c r="C18" s="42" t="s">
        <v>32</v>
      </c>
      <c r="D18" s="8">
        <f>B18+1</f>
        <v>1</v>
      </c>
      <c r="E18" s="36">
        <f>B19*10+B19*B18*2</f>
        <v>10</v>
      </c>
      <c r="F18" s="37">
        <f>B19*2</f>
        <v>2</v>
      </c>
      <c r="G18" s="38">
        <f>Коэфф.!B$6*($D18*($D18-1)*((2*$D18+8)/6+2/$D18)-IF($B18=0,-2,$B18*($B18-1)*((2*$B18+8)/6+2/$B18)))/2</f>
        <v>500</v>
      </c>
      <c r="H18" s="38">
        <f>Коэфф.!C$6*($D18*($D18-1)*((2*$D18+8)/6+2/$D18)-IF($B18=0,-2,$B18*($B18-1)*((2*$B18+8)/6+2/$B18)))/2</f>
        <v>200</v>
      </c>
      <c r="I18" s="38">
        <f>Коэфф.!D$6*($D18*($D18-1)*((2*$D18+8)/6+2/$D18)-IF($B18=0,-2,$B18*($B18-1)*((2*$B18+8)/6+2/$B18)))/2</f>
        <v>200</v>
      </c>
      <c r="J18" s="39">
        <f>G18+(H18+I18)*2+N18+(O18+P18)*2</f>
        <v>1300</v>
      </c>
      <c r="K18" s="40">
        <f>IF(F18&gt;0,(J18/(F18*60*24)),9999)</f>
        <v>0.4513888888888889</v>
      </c>
      <c r="L18" s="33">
        <f>J18/(SUM($E$18:$E$22)*60*24)</f>
        <v>9.0277777777777776E-2</v>
      </c>
      <c r="M18" s="37">
        <f>ROUNDUP(SQRT(Коэфф.!C$6*(($D18-1)*($D18-1)+3*($D18-1)+2)/100+100)-10,0)</f>
        <v>1</v>
      </c>
      <c r="N18" s="38">
        <f>IF($M18&gt;$B$13,Коэфф.!B$10*($M18*($M18-1)*((2*$M18+8)/6+2/$M18)-IF($B$13=0,-2,$B$13*($B$13-1)*((2*$B$13+8)/6+2/$B$13)))/2,0)</f>
        <v>0</v>
      </c>
      <c r="O18" s="38">
        <f>IF($M18&gt;$B$13,Коэфф.!C$10*($M18*($M18-1)*((2*$M18+8)/6+2/$M18)-IF($B$13=0,-2,$B$13*($B$13-1)*((2*$B$13+8)/6+2/$B$13)))/2,0)</f>
        <v>0</v>
      </c>
      <c r="P18" s="38">
        <f>IF($M18&gt;$B$13,Коэфф.!D$10*($M18*($M18-1)*((2*$M18+8)/6+2/$M18)-IF($B$13=0,-2,$B$13*($B$13-1)*((2*$B$13+8)/6+2/$B$13)))/2,0)</f>
        <v>0</v>
      </c>
    </row>
    <row r="19" spans="1:16" ht="15.75" thickBot="1" x14ac:dyDescent="0.3">
      <c r="A19" s="41" t="s">
        <v>0</v>
      </c>
      <c r="B19" s="10">
        <v>1</v>
      </c>
      <c r="C19" s="42" t="s">
        <v>32</v>
      </c>
      <c r="D19" s="8">
        <f>B19+1</f>
        <v>2</v>
      </c>
      <c r="E19" s="36"/>
      <c r="F19" s="37">
        <f>10+B18*2-IF(B20&gt;B19,5,20)</f>
        <v>-10</v>
      </c>
      <c r="G19" s="38">
        <f>Коэфф.!B$5*($D19*($D19-1)*((2*$D19+8)/6+2/$D19)-IF($B19=0,-2,$B19*($B19-1)*((2*$B19+8)/6+2/$B19)))/2</f>
        <v>600</v>
      </c>
      <c r="H19" s="38">
        <f>Коэфф.!C$5*($D19*($D19-1)*((2*$D19+8)/6+2/$D19)-IF($B19=0,-2,$B19*($B19-1)*((2*$B19+8)/6+2/$B19)))/2</f>
        <v>300</v>
      </c>
      <c r="I19" s="38">
        <f>Коэфф.!D$5*($D19*($D19-1)*((2*$D19+8)/6+2/$D19)-IF($B19=0,-2,$B19*($B19-1)*((2*$B19+8)/6+2/$B19)))/2</f>
        <v>300</v>
      </c>
      <c r="J19" s="39">
        <f>G19+(H19+I19)*2+N19+(O19+P19)*2</f>
        <v>1800</v>
      </c>
      <c r="K19" s="40">
        <f>IF(F19&gt;0,(J19/(F19*60*24)),9999)</f>
        <v>9999</v>
      </c>
      <c r="L19" s="33">
        <f t="shared" ref="L19:L22" si="0">J19/(SUM($E$18:$E$22)*60*24)</f>
        <v>0.125</v>
      </c>
      <c r="M19" s="37">
        <f>ROUNDUP(SQRT(Коэфф.!C$5*(($D19-1)*($D19-1)+3*($D19-1)+2)/100+100)-10,0)</f>
        <v>1</v>
      </c>
      <c r="N19" s="38">
        <f>IF($M19&gt;$B$13,Коэфф.!B$10*($M19*($M19-1)*((2*$M19+8)/6+2/$M19)-IF($B$13=0,-2,$B$13*($B$13-1)*((2*$B$13+8)/6+2/$B$13)))/2,0)</f>
        <v>0</v>
      </c>
      <c r="O19" s="38">
        <f>IF($M19&gt;$B$13,Коэфф.!C$10*($M19*($M19-1)*((2*$M19+8)/6+2/$M19)-IF($B$13=0,-2,$B$13*($B$13-1)*((2*$B$13+8)/6+2/$B$13)))/2,0)</f>
        <v>0</v>
      </c>
      <c r="P19" s="38">
        <f>IF($M19&gt;$B$13,Коэфф.!D$10*($M19*($M19-1)*((2*$M19+8)/6+2/$M19)-IF($B$13=0,-2,$B$13*($B$13-1)*((2*$B$13+8)/6+2/$B$13)))/2,0)</f>
        <v>0</v>
      </c>
    </row>
    <row r="20" spans="1:16" ht="15.75" thickBot="1" x14ac:dyDescent="0.3">
      <c r="A20" s="41" t="s">
        <v>5</v>
      </c>
      <c r="B20" s="10">
        <v>1</v>
      </c>
      <c r="C20" s="42" t="s">
        <v>32</v>
      </c>
      <c r="D20" s="8">
        <f>B20+1</f>
        <v>2</v>
      </c>
      <c r="E20" s="31">
        <f>(MIN(B20,$B$13)-B19)*IF(MIN(B20,$B$13)&gt;B19,5,20)</f>
        <v>0</v>
      </c>
      <c r="F20" s="37">
        <f>IF(B20&lt;$B$13,IF(B20&gt;=B19,5,20),0)</f>
        <v>0</v>
      </c>
      <c r="G20" s="38">
        <f>Коэфф.!B$4*($D20*($D20-1)*((2*$D20+8)/6+2/$D20)-IF($B20=0,-2,$B20*($B20-1)*((2*$B20+8)/6+2/$B20)))/2</f>
        <v>300</v>
      </c>
      <c r="H20" s="38">
        <f>Коэфф.!C$4*($D20*($D20-1)*((2*$D20+8)/6+2/$D20)-IF($B20=0,-2,$B20*($B20-1)*((2*$B20+8)/6+2/$B20)))/2</f>
        <v>150</v>
      </c>
      <c r="I20" s="38">
        <f>Коэфф.!D$4*($D20*($D20-1)*((2*$D20+8)/6+2/$D20)-IF($B20=0,-2,$B20*($B20-1)*((2*$B20+8)/6+2/$B20)))/2</f>
        <v>150</v>
      </c>
      <c r="J20" s="39">
        <f>G20+(H20+I20)*2+N20+(O20+P20)*2</f>
        <v>900</v>
      </c>
      <c r="K20" s="40">
        <f>IF(F20&gt;0,(J20/(F20*60*24)),9999)</f>
        <v>9999</v>
      </c>
      <c r="L20" s="33">
        <f t="shared" si="0"/>
        <v>6.25E-2</v>
      </c>
      <c r="M20" s="37">
        <f>ROUNDUP(SQRT(Коэфф.!C$4*(($D20-1)*($D20-1)+3*($D20-1)+2)/100+100)-10,0)</f>
        <v>1</v>
      </c>
      <c r="N20" s="38">
        <f>IF($M20&gt;$B$13,Коэфф.!B$10*($M20*($M20-1)*((2*$M20+8)/6+2/$M20)-IF($B$13=0,-2,$B$13*($B$13-1)*((2*$B$13+8)/6+2/$B$13)))/2,0)</f>
        <v>0</v>
      </c>
      <c r="O20" s="38">
        <f>IF($M20&gt;$B$13,Коэфф.!C$10*($M20*($M20-1)*((2*$M20+8)/6+2/$M20)-IF($B$13=0,-2,$B$13*($B$13-1)*((2*$B$13+8)/6+2/$B$13)))/2,0)</f>
        <v>0</v>
      </c>
      <c r="P20" s="38">
        <f>IF($M20&gt;$B$13,Коэфф.!D$10*($M20*($M20-1)*((2*$M20+8)/6+2/$M20)-IF($B$13=0,-2,$B$13*($B$13-1)*((2*$B$13+8)/6+2/$B$13)))/2,0)</f>
        <v>0</v>
      </c>
    </row>
    <row r="21" spans="1:16" ht="15.75" thickBot="1" x14ac:dyDescent="0.3">
      <c r="A21" s="41" t="s">
        <v>3</v>
      </c>
      <c r="B21" s="10">
        <v>0</v>
      </c>
      <c r="C21" s="42" t="s">
        <v>32</v>
      </c>
      <c r="D21" s="8">
        <f>B21+1</f>
        <v>1</v>
      </c>
      <c r="E21" s="31">
        <f>MIN(B21,$B$13)*20</f>
        <v>0</v>
      </c>
      <c r="F21" s="37">
        <f>IF(B21&lt;$B$13,20,0)</f>
        <v>20</v>
      </c>
      <c r="G21" s="38">
        <f>Коэфф.!B$2*($D21*($D21-1)*((2*$D21+8)/6+2/$D21)-IF($B21=0,-2,$B21*($B21-1)*((2*$B21+8)/6+2/$B21)))/2</f>
        <v>100</v>
      </c>
      <c r="H21" s="38">
        <f>Коэфф.!C$2*($D21*($D21-1)*((2*$D21+8)/6+2/$D21)-IF($B21=0,-2,$B21*($B21-1)*((2*$B21+8)/6+2/$B21)))/2</f>
        <v>50</v>
      </c>
      <c r="I21" s="38">
        <f>Коэфф.!D$2*($D21*($D21-1)*((2*$D21+8)/6+2/$D21)-IF($B21=0,-2,$B21*($B21-1)*((2*$B21+8)/6+2/$B21)))/2</f>
        <v>50</v>
      </c>
      <c r="J21" s="39">
        <f>G21+(H21+I21)*2+N21+(O21+P21)*2</f>
        <v>300</v>
      </c>
      <c r="K21" s="40">
        <f>IF(F21&gt;0,(J21/(F21*60*24)),9999)</f>
        <v>1.0416666666666666E-2</v>
      </c>
      <c r="L21" s="33">
        <f t="shared" si="0"/>
        <v>2.0833333333333332E-2</v>
      </c>
      <c r="M21" s="37">
        <f>ROUNDUP(SQRT(Коэфф.!C$2*(($D21-1)*($D21-1)+3*($D21-1)+2)/100+100)-10,0)</f>
        <v>1</v>
      </c>
      <c r="N21" s="38">
        <f>IF($M21&gt;$B$13,Коэфф.!B$10*($M21*($M21-1)*((2*$M21+8)/6+2/$M21)-IF($B$13=0,-2,$B$13*($B$13-1)*((2*$B$13+8)/6+2/$B$13)))/2,0)</f>
        <v>0</v>
      </c>
      <c r="O21" s="38">
        <f>IF($M21&gt;$B$13,Коэфф.!C$10*($M21*($M21-1)*((2*$M21+8)/6+2/$M21)-IF($B$13=0,-2,$B$13*($B$13-1)*((2*$B$13+8)/6+2/$B$13)))/2,0)</f>
        <v>0</v>
      </c>
      <c r="P21" s="38">
        <f>IF($M21&gt;$B$13,Коэфф.!D$10*($M21*($M21-1)*((2*$M21+8)/6+2/$M21)-IF($B$13=0,-2,$B$13*($B$13-1)*((2*$B$13+8)/6+2/$B$13)))/2,0)</f>
        <v>0</v>
      </c>
    </row>
    <row r="22" spans="1:16" ht="15.75" thickBot="1" x14ac:dyDescent="0.3">
      <c r="A22" s="41" t="s">
        <v>36</v>
      </c>
      <c r="B22" s="10">
        <v>0</v>
      </c>
      <c r="C22" s="42" t="s">
        <v>32</v>
      </c>
      <c r="D22" s="8">
        <f>B22+1</f>
        <v>1</v>
      </c>
      <c r="E22" s="31">
        <f>MIN(B22,$B$13)*20</f>
        <v>0</v>
      </c>
      <c r="F22" s="37">
        <f>IF(B22&lt;$B$13,20,0)</f>
        <v>20</v>
      </c>
      <c r="G22" s="38">
        <f>Коэфф.!B$3*($D22*($D22-1)*((2*$D22+8)/6+2/$D22)-IF($B22=0,-2,$B22*($B22-1)*((2*$B22+8)/6+2/$B22)))/2</f>
        <v>100</v>
      </c>
      <c r="H22" s="38">
        <f>Коэфф.!C$3*($D22*($D22-1)*((2*$D22+8)/6+2/$D22)-IF($B22=0,-2,$B22*($B22-1)*((2*$B22+8)/6+2/$B22)))/2</f>
        <v>50</v>
      </c>
      <c r="I22" s="38">
        <f>Коэфф.!D$3*($D22*($D22-1)*((2*$D22+8)/6+2/$D22)-IF($B22=0,-2,$B22*($B22-1)*((2*$B22+8)/6+2/$B22)))/2</f>
        <v>50</v>
      </c>
      <c r="J22" s="39">
        <f>G22+(H22+I22)*2+N22+(O22+P22)*2</f>
        <v>300</v>
      </c>
      <c r="K22" s="40">
        <f>IF(F22&gt;0,(J22/(F22*60*24)),9999)</f>
        <v>1.0416666666666666E-2</v>
      </c>
      <c r="L22" s="33">
        <f t="shared" si="0"/>
        <v>2.0833333333333332E-2</v>
      </c>
      <c r="M22" s="37">
        <f>ROUNDUP(SQRT(Коэфф.!C$3*(($D22-1)*($D22-1)+3*($D22-1)+2)/100+100)-10,0)</f>
        <v>1</v>
      </c>
      <c r="N22" s="38">
        <f>IF($M22&gt;$B$13,Коэфф.!B$10*($M22*($M22-1)*((2*$M22+8)/6+2/$M22)-IF($B$13=0,-2,$B$13*($B$13-1)*((2*$B$13+8)/6+2/$B$13)))/2,0)</f>
        <v>0</v>
      </c>
      <c r="O22" s="38">
        <f>IF($M22&gt;$B$13,Коэфф.!C$10*($M22*($M22-1)*((2*$M22+8)/6+2/$M22)-IF($B$13=0,-2,$B$13*($B$13-1)*((2*$B$13+8)/6+2/$B$13)))/2,0)</f>
        <v>0</v>
      </c>
      <c r="P22" s="38">
        <f>IF($M22&gt;$B$13,Коэфф.!D$10*($M22*($M22-1)*((2*$M22+8)/6+2/$M22)-IF($B$13=0,-2,$B$13*($B$13-1)*((2*$B$13+8)/6+2/$B$13)))/2,0)</f>
        <v>0</v>
      </c>
    </row>
    <row r="23" spans="1:16" x14ac:dyDescent="0.25">
      <c r="B23" s="26" t="s">
        <v>43</v>
      </c>
      <c r="C23" s="26"/>
      <c r="D23" s="26"/>
      <c r="E23" s="26"/>
      <c r="F23" s="2"/>
      <c r="J23" s="2"/>
      <c r="K23" s="6"/>
      <c r="L23" s="2"/>
    </row>
    <row r="24" spans="1:16" x14ac:dyDescent="0.25">
      <c r="A24" t="str">
        <f>INDEX(Advanced!A2:F6,MATCH(MIN(Advanced!D2:D6),Advanced!D2:D6,0),6)</f>
        <v>Склад</v>
      </c>
      <c r="B24" s="25" t="str">
        <f>INDEX(Advanced!A2:F6,MATCH(MIN(Advanced!D2:D6),Advanced!D2:D6,0),1)</f>
        <v>Склад + Лесопилка + Шахта</v>
      </c>
      <c r="C24" s="25"/>
      <c r="D24" s="25"/>
      <c r="E24" s="25"/>
      <c r="F24" s="2">
        <f>INDEX(Advanced!A2:F6,MATCH(MIN(Advanced!D2:D6),Advanced!D2:D6,0),3)</f>
        <v>40</v>
      </c>
      <c r="J24" s="22">
        <f>INDEX(Advanced!A2:F6,MATCH(MIN(Advanced!D2:D6),Advanced!D2:D6,0),2)</f>
        <v>2400</v>
      </c>
      <c r="K24" s="23">
        <f>IF(F24&gt;0,(J24/(F24*60*24)),9999)</f>
        <v>4.1666666666666664E-2</v>
      </c>
      <c r="L24" s="18">
        <f>INDEX(Advanced!A2:F6,MATCH(MIN(Advanced!D2:D6),Advanced!D2:D6,0),5)</f>
        <v>0.16666666666666666</v>
      </c>
    </row>
    <row r="25" spans="1:16" x14ac:dyDescent="0.25">
      <c r="B25" s="2"/>
      <c r="C25" s="2"/>
      <c r="D25" s="2"/>
      <c r="E25" s="2"/>
      <c r="F25" s="2"/>
      <c r="J25" s="2"/>
      <c r="K25" s="6"/>
      <c r="L25" s="2"/>
    </row>
    <row r="26" spans="1:16" x14ac:dyDescent="0.25">
      <c r="A26" t="s">
        <v>13</v>
      </c>
    </row>
    <row r="27" spans="1:16" x14ac:dyDescent="0.25">
      <c r="A27" t="s">
        <v>25</v>
      </c>
    </row>
    <row r="28" spans="1:16" x14ac:dyDescent="0.25">
      <c r="A28" t="s">
        <v>29</v>
      </c>
    </row>
    <row r="29" spans="1:16" s="4" customFormat="1" ht="15.75" thickBot="1" x14ac:dyDescent="0.3">
      <c r="M29" s="9"/>
    </row>
    <row r="31" spans="1:16" x14ac:dyDescent="0.25">
      <c r="G31" s="45" t="s">
        <v>22</v>
      </c>
      <c r="H31" s="45"/>
      <c r="I31" s="45"/>
      <c r="J31" s="45"/>
      <c r="N31" s="45" t="s">
        <v>33</v>
      </c>
      <c r="O31" s="45"/>
      <c r="P31" s="45"/>
    </row>
    <row r="32" spans="1:16" ht="45" customHeight="1" thickBot="1" x14ac:dyDescent="0.3">
      <c r="B32" s="49" t="s">
        <v>4</v>
      </c>
      <c r="C32" s="1"/>
      <c r="D32" s="1"/>
      <c r="E32" s="35" t="s">
        <v>18</v>
      </c>
      <c r="F32" s="34" t="s">
        <v>24</v>
      </c>
      <c r="G32" s="37" t="s">
        <v>8</v>
      </c>
      <c r="H32" s="37" t="s">
        <v>9</v>
      </c>
      <c r="I32" s="37" t="s">
        <v>10</v>
      </c>
      <c r="J32" s="43" t="s">
        <v>21</v>
      </c>
      <c r="K32" s="34" t="s">
        <v>20</v>
      </c>
      <c r="L32" s="35" t="s">
        <v>46</v>
      </c>
      <c r="M32" s="34" t="s">
        <v>34</v>
      </c>
      <c r="N32" s="34" t="s">
        <v>8</v>
      </c>
      <c r="O32" s="34" t="s">
        <v>9</v>
      </c>
      <c r="P32" s="34" t="s">
        <v>10</v>
      </c>
    </row>
    <row r="33" spans="1:16" ht="15.75" thickBot="1" x14ac:dyDescent="0.3">
      <c r="A33" s="41" t="s">
        <v>15</v>
      </c>
      <c r="B33" s="12">
        <v>0</v>
      </c>
      <c r="C33" s="42" t="s">
        <v>32</v>
      </c>
      <c r="D33" s="8">
        <f>B33+1</f>
        <v>1</v>
      </c>
      <c r="E33" s="48">
        <f>B33*40</f>
        <v>0</v>
      </c>
      <c r="F33" s="48">
        <v>40</v>
      </c>
      <c r="G33" s="38">
        <f>Коэфф.!B$7*($D33*($D33-1)*((2*$D33+8)/6+2/$D33)-IF($B33=0,-2,$B33*($B33-1)*((2*$B33+8)/6+2/$B33)))/2</f>
        <v>200</v>
      </c>
      <c r="H33" s="38">
        <f>Коэфф.!C$7*($D33*($D33-1)*((2*$D33+8)/6+2/$D33)-IF($B33=0,-2,$B33*($B33-1)*((2*$B33+8)/6+2/$B33)))/2</f>
        <v>100</v>
      </c>
      <c r="I33" s="38">
        <f>Коэфф.!D$7*($D33*($D33-1)*((2*$D33+8)/6+2/$D33)-IF($B33=0,-2,$B33*($B33-1)*((2*$B33+8)/6+2/$B33)))/2</f>
        <v>100</v>
      </c>
      <c r="J33" s="39">
        <f>G33+(H33+I33)*2+N33+(O33+P33)*2</f>
        <v>600</v>
      </c>
      <c r="K33" s="38">
        <f>ROUND(J33/F33,0)</f>
        <v>15</v>
      </c>
      <c r="L33" s="33">
        <f t="shared" ref="L33:L35" si="1">J33/(SUM($E$18:$E$22)*60*24)</f>
        <v>4.1666666666666664E-2</v>
      </c>
      <c r="M33" s="37">
        <f>ROUNDUP(SQRT(Коэфф.!C$7*(($D33-1)*($D33-1)+3*($D33-1)+2)/100+100)-10,0)</f>
        <v>1</v>
      </c>
      <c r="N33" s="38">
        <f>IF($M33&gt;$B$13,Коэфф.!B$10*($M33*($M33-1)*((2*$M33+8)/6+2/$M33)-IF($B$13=0,-2,$B$13*($B$13-1)*((2*$B$13+8)/6+2/$B$13)))/2,0)</f>
        <v>0</v>
      </c>
      <c r="O33" s="38">
        <f>IF($M33&gt;$B$13,Коэфф.!C$10*($M33*($M33-1)*((2*$M33+8)/6+2/$M33)-IF($B$13=0,-2,$B$13*($B$13-1)*((2*$B$13+8)/6+2/$B$13)))/2,0)</f>
        <v>0</v>
      </c>
      <c r="P33" s="38">
        <f>IF($M33&gt;$B$13,Коэфф.!D$10*($M33*($M33-1)*((2*$M33+8)/6+2/$M33)-IF($B$13=0,-2,$B$13*($B$13-1)*((2*$B$13+8)/6+2/$B$13)))/2,0)</f>
        <v>0</v>
      </c>
    </row>
    <row r="34" spans="1:16" ht="15.75" thickBot="1" x14ac:dyDescent="0.3">
      <c r="A34" s="41" t="s">
        <v>16</v>
      </c>
      <c r="B34" s="12">
        <v>0</v>
      </c>
      <c r="C34" s="42" t="s">
        <v>32</v>
      </c>
      <c r="D34" s="8">
        <f t="shared" ref="D34:D35" si="2">B34+1</f>
        <v>1</v>
      </c>
      <c r="E34" s="48">
        <f>ROUND(B34*10*(0.2+0.008*B34/2)*5+$E$33*(1+0.0025*B34),0)</f>
        <v>0</v>
      </c>
      <c r="F34" s="48">
        <f>ROUND(10*(0.2+0.008*B34/2)*5+E33*0.0025,0)</f>
        <v>10</v>
      </c>
      <c r="G34" s="38">
        <f>Коэфф.!B$8*($D34*($D34-1)*((2*$D34+8)/6+2/$D34)-IF($B34=0,-2,$B34*($B34-1)*((2*$B34+8)/6+2/$B34)))/2</f>
        <v>5000</v>
      </c>
      <c r="H34" s="38">
        <f>Коэфф.!C$8*($D34*($D34-1)*((2*$D34+8)/6+2/$D34)-IF($B34=0,-2,$B34*($B34-1)*((2*$B34+8)/6+2/$B34)))/2</f>
        <v>500</v>
      </c>
      <c r="I34" s="38">
        <f>Коэфф.!D$8*($D34*($D34-1)*((2*$D34+8)/6+2/$D34)-IF($B34=0,-2,$B34*($B34-1)*((2*$B34+8)/6+2/$B34)))/2</f>
        <v>1500</v>
      </c>
      <c r="J34" s="39">
        <f>G34+(H34+I34)*2+N34+(O34+P34)*2</f>
        <v>10800</v>
      </c>
      <c r="K34" s="38">
        <f>ROUND(J34/F34,0)</f>
        <v>1080</v>
      </c>
      <c r="L34" s="33">
        <f t="shared" si="1"/>
        <v>0.75</v>
      </c>
      <c r="M34" s="37">
        <f>ROUNDUP(SQRT(Коэфф.!D$8*(($D34-1)*($D34-1)+3*($D34-1)+2)/100+100)-10,0)</f>
        <v>2</v>
      </c>
      <c r="N34" s="38">
        <f>IF($M34&gt;$B$13,Коэфф.!B$10*($M34*($M34-1)*((2*$M34+8)/6+2/$M34)-IF($B$13=0,-2,$B$13*($B$13-1)*((2*$B$13+8)/6+2/$B$13)))/2,0)</f>
        <v>600</v>
      </c>
      <c r="O34" s="38">
        <f>IF($M34&gt;$B$13,Коэфф.!C$10*($M34*($M34-1)*((2*$M34+8)/6+2/$M34)-IF($B$13=0,-2,$B$13*($B$13-1)*((2*$B$13+8)/6+2/$B$13)))/2,0)</f>
        <v>300</v>
      </c>
      <c r="P34" s="38">
        <f>IF($M34&gt;$B$13,Коэфф.!D$10*($M34*($M34-1)*((2*$M34+8)/6+2/$M34)-IF($B$13=0,-2,$B$13*($B$13-1)*((2*$B$13+8)/6+2/$B$13)))/2,0)</f>
        <v>300</v>
      </c>
    </row>
    <row r="35" spans="1:16" ht="15.75" thickBot="1" x14ac:dyDescent="0.3">
      <c r="A35" s="41" t="s">
        <v>17</v>
      </c>
      <c r="B35" s="12">
        <v>0</v>
      </c>
      <c r="C35" s="42" t="s">
        <v>32</v>
      </c>
      <c r="D35" s="8">
        <f t="shared" si="2"/>
        <v>1</v>
      </c>
      <c r="E35" s="48">
        <f>ROUND(B35*10*(0.2+0.008*B35/2)*5+$E$33*(1+0.0025*B35),0)</f>
        <v>0</v>
      </c>
      <c r="F35" s="48">
        <f>ROUND((2+E33*0.005),0)</f>
        <v>2</v>
      </c>
      <c r="G35" s="38">
        <f>Коэфф.!B$9*($D35*($D35-1)*((2*$D35+8)/6+2/$D35)-IF($B35=0,-2,$B35*($B35-1)*((2*$B35+8)/6+2/$B35)))/2</f>
        <v>8000</v>
      </c>
      <c r="H35" s="38">
        <f>Коэфф.!C$9*($D35*($D35-1)*((2*$D35+8)/6+2/$D35)-IF($B35=0,-2,$B35*($B35-1)*((2*$B35+8)/6+2/$B35)))/2</f>
        <v>1000</v>
      </c>
      <c r="I35" s="38">
        <f>Коэфф.!D$9*($D35*($D35-1)*((2*$D35+8)/6+2/$D35)-IF($B35=0,-2,$B35*($B35-1)*((2*$B35+8)/6+2/$B35)))/2</f>
        <v>300</v>
      </c>
      <c r="J35" s="39">
        <f>G35+(H35+I35)*2+N35+(O35+P35)*2</f>
        <v>10600</v>
      </c>
      <c r="K35" s="38">
        <f>ROUND(J35/F35,0)</f>
        <v>5300</v>
      </c>
      <c r="L35" s="33">
        <f t="shared" si="1"/>
        <v>0.73611111111111116</v>
      </c>
      <c r="M35" s="37">
        <f>ROUNDUP(SQRT(Коэфф.!C$9*(($D35-1)*($D35-1)+3*($D35-1)+2)/100+100)-10,0)</f>
        <v>1</v>
      </c>
      <c r="N35" s="38">
        <f>IF($M35&gt;$B$13,Коэфф.!B$10*($M35*($M35-1)*((2*$M35+8)/6+2/$M35)-IF($B$13=0,-2,$B$13*($B$13-1)*((2*$B$13+8)/6+2/$B$13)))/2,0)</f>
        <v>0</v>
      </c>
      <c r="O35" s="38">
        <f>IF($M35&gt;$B$13,Коэфф.!C$10*($M35*($M35-1)*((2*$M35+8)/6+2/$M35)-IF($B$13=0,-2,$B$13*($B$13-1)*((2*$B$13+8)/6+2/$B$13)))/2,0)</f>
        <v>0</v>
      </c>
      <c r="P35" s="38">
        <f>IF($M35&gt;$B$13,Коэфф.!D$10*($M35*($M35-1)*((2*$M35+8)/6+2/$M35)-IF($B$13=0,-2,$B$13*($B$13-1)*((2*$B$13+8)/6+2/$B$13)))/2,0)</f>
        <v>0</v>
      </c>
    </row>
    <row r="37" spans="1:16" x14ac:dyDescent="0.25">
      <c r="A37" t="s">
        <v>19</v>
      </c>
    </row>
    <row r="38" spans="1:16" x14ac:dyDescent="0.25">
      <c r="A38" t="s">
        <v>28</v>
      </c>
    </row>
    <row r="39" spans="1:16" x14ac:dyDescent="0.25">
      <c r="A39" t="s">
        <v>29</v>
      </c>
    </row>
    <row r="40" spans="1:16" x14ac:dyDescent="0.25">
      <c r="J40" s="5"/>
    </row>
    <row r="41" spans="1:16" x14ac:dyDescent="0.25">
      <c r="J41" s="5"/>
    </row>
  </sheetData>
  <mergeCells count="8">
    <mergeCell ref="G11:J11"/>
    <mergeCell ref="G16:J16"/>
    <mergeCell ref="G31:J31"/>
    <mergeCell ref="N16:P16"/>
    <mergeCell ref="N31:P31"/>
    <mergeCell ref="B24:E24"/>
    <mergeCell ref="B23:E23"/>
    <mergeCell ref="E18:E19"/>
  </mergeCells>
  <conditionalFormatting sqref="H18:I22 H33:I35">
    <cfRule type="cellIs" dxfId="1" priority="12" operator="greaterThan">
      <formula>$E$13</formula>
    </cfRule>
  </conditionalFormatting>
  <conditionalFormatting sqref="M33:M35 M18:M22">
    <cfRule type="cellIs" dxfId="0" priority="4" operator="greaterThan">
      <formula>$B$13</formula>
    </cfRule>
  </conditionalFormatting>
  <conditionalFormatting sqref="K18:K22 K13 K24">
    <cfRule type="colorScale" priority="2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15</v>
      </c>
      <c r="B7">
        <v>200</v>
      </c>
      <c r="C7">
        <v>100</v>
      </c>
      <c r="D7">
        <v>100</v>
      </c>
    </row>
    <row r="8" spans="1:4" x14ac:dyDescent="0.25">
      <c r="A8" t="s">
        <v>16</v>
      </c>
      <c r="B8">
        <v>5000</v>
      </c>
      <c r="C8">
        <v>500</v>
      </c>
      <c r="D8">
        <v>1500</v>
      </c>
    </row>
    <row r="9" spans="1:4" x14ac:dyDescent="0.25">
      <c r="A9" t="s">
        <v>17</v>
      </c>
      <c r="B9">
        <v>8000</v>
      </c>
      <c r="C9">
        <v>1000</v>
      </c>
      <c r="D9">
        <v>300</v>
      </c>
    </row>
    <row r="10" spans="1:4" x14ac:dyDescent="0.25">
      <c r="A10" t="s">
        <v>26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9"/>
  <sheetViews>
    <sheetView workbookViewId="0">
      <selection activeCell="A9" sqref="A9:XFD10"/>
    </sheetView>
  </sheetViews>
  <sheetFormatPr defaultRowHeight="15" x14ac:dyDescent="0.25"/>
  <cols>
    <col min="1" max="1" width="34.28515625" customWidth="1"/>
    <col min="2" max="2" width="15.140625" customWidth="1"/>
    <col min="3" max="3" width="15.28515625" customWidth="1"/>
    <col min="4" max="4" width="18.42578125" customWidth="1"/>
    <col min="5" max="5" width="17.85546875" customWidth="1"/>
    <col min="6" max="6" width="14.85546875" customWidth="1"/>
    <col min="10" max="10" width="9.140625" customWidth="1"/>
  </cols>
  <sheetData>
    <row r="1" spans="1:14" ht="57" customHeight="1" x14ac:dyDescent="0.25">
      <c r="A1" s="1" t="s">
        <v>39</v>
      </c>
      <c r="B1" s="1" t="s">
        <v>21</v>
      </c>
      <c r="C1" s="1" t="s">
        <v>23</v>
      </c>
      <c r="D1" s="1" t="s">
        <v>12</v>
      </c>
      <c r="E1" s="1" t="s">
        <v>14</v>
      </c>
      <c r="F1" s="1" t="s">
        <v>35</v>
      </c>
      <c r="J1" s="6"/>
    </row>
    <row r="2" spans="1:14" x14ac:dyDescent="0.25">
      <c r="A2" t="s">
        <v>41</v>
      </c>
      <c r="B2" s="19">
        <f>Расчет!G19+Расчет!H19*4+Расчет!J18</f>
        <v>3100</v>
      </c>
      <c r="C2" s="19">
        <f>Расчет!F19+(Расчет!B19+1)*2</f>
        <v>-6</v>
      </c>
      <c r="D2" s="17">
        <f>IF(C2&gt;0,(B2/(C2*60*24)),9999)</f>
        <v>9999</v>
      </c>
      <c r="E2" s="18">
        <f>B2/(SUM(Расчет!$E$18:$E$22)*60*24)</f>
        <v>0.21527777777777779</v>
      </c>
      <c r="F2" s="3" t="str">
        <f>IF(Расчет!K19=MIN(Расчет!K19,Расчет!K18),"Дома","Ратуша")</f>
        <v>Ратуша</v>
      </c>
      <c r="G2" s="3"/>
    </row>
    <row r="3" spans="1:14" x14ac:dyDescent="0.25">
      <c r="A3" t="s">
        <v>42</v>
      </c>
      <c r="B3" s="20">
        <f>Расчет!J19+Расчет!J20</f>
        <v>2700</v>
      </c>
      <c r="C3" s="19">
        <f>10+Расчет!B18*2-IF(Расчет!B13&lt;=Расчет!B20,20,0)</f>
        <v>-10</v>
      </c>
      <c r="D3" s="17">
        <f t="shared" ref="D3:D6" si="0">IF(C3&gt;0,(B3/(C3*60*24)),9999)</f>
        <v>9999</v>
      </c>
      <c r="E3" s="18">
        <f>B3/(SUM(Расчет!$E$18:$E$22)*60*24)</f>
        <v>0.1875</v>
      </c>
      <c r="F3" t="str">
        <f>IF(Расчет!K19=MIN(Расчет!K19,Расчет!K20),"Дома","Ферма")</f>
        <v>Дома</v>
      </c>
      <c r="G3" s="3"/>
      <c r="J3" s="6"/>
    </row>
    <row r="4" spans="1:14" x14ac:dyDescent="0.25">
      <c r="A4" t="s">
        <v>40</v>
      </c>
      <c r="B4" s="19">
        <f>Расчет!J13+Расчет!J19+Расчет!J20</f>
        <v>4500</v>
      </c>
      <c r="C4" s="19">
        <f>10+Расчет!B18*2</f>
        <v>10</v>
      </c>
      <c r="D4" s="17">
        <f t="shared" si="0"/>
        <v>0.3125</v>
      </c>
      <c r="E4" s="18">
        <f>B4/(SUM(Расчет!$E$18:$E$22)*60*24)</f>
        <v>0.3125</v>
      </c>
      <c r="F4" t="s">
        <v>26</v>
      </c>
      <c r="G4" s="3"/>
      <c r="J4" s="6"/>
    </row>
    <row r="5" spans="1:14" x14ac:dyDescent="0.25">
      <c r="A5" t="s">
        <v>37</v>
      </c>
      <c r="B5" s="19">
        <f>Расчет!J13+Расчет!J21+Расчет!J22</f>
        <v>2400</v>
      </c>
      <c r="C5" s="19">
        <f>40</f>
        <v>40</v>
      </c>
      <c r="D5" s="17">
        <f t="shared" si="0"/>
        <v>4.1666666666666664E-2</v>
      </c>
      <c r="E5" s="18">
        <f>B5/(SUM(Расчет!$E$18:$E$22)*60*24)</f>
        <v>0.16666666666666666</v>
      </c>
      <c r="F5" t="s">
        <v>26</v>
      </c>
      <c r="G5" s="3"/>
      <c r="J5" s="6"/>
    </row>
    <row r="6" spans="1:14" x14ac:dyDescent="0.25">
      <c r="A6" t="s">
        <v>38</v>
      </c>
      <c r="B6" s="19">
        <f>Расчет!J13+Расчет!J20+Расчет!J21+Расчет!J22</f>
        <v>3300</v>
      </c>
      <c r="C6" s="19">
        <f>40+IF((Расчет!B20+1)&gt;=Расчет!B19,5,20)</f>
        <v>45</v>
      </c>
      <c r="D6" s="17">
        <f t="shared" si="0"/>
        <v>5.0925925925925923E-2</v>
      </c>
      <c r="E6" s="18">
        <f>B6/(SUM(Расчет!$E$18:$E$22)*60*24)</f>
        <v>0.22916666666666666</v>
      </c>
      <c r="F6" t="s">
        <v>26</v>
      </c>
      <c r="G6" s="3"/>
      <c r="J6" s="6"/>
    </row>
    <row r="8" spans="1:14" x14ac:dyDescent="0.25">
      <c r="N8" s="6"/>
    </row>
    <row r="9" spans="1:14" x14ac:dyDescent="0.25">
      <c r="N9" s="6"/>
    </row>
  </sheetData>
  <conditionalFormatting sqref="D2:D6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Расчет</vt:lpstr>
      <vt:lpstr>Коэфф.</vt:lpstr>
      <vt:lpstr>Advanced</vt:lpstr>
      <vt:lpstr>test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2017-02-04T17:45:39Z</dcterms:modified>
</cp:coreProperties>
</file>