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580" yWindow="210" windowWidth="14415" windowHeight="11475"/>
  </bookViews>
  <sheets>
    <sheet name="Расчет" sheetId="2" r:id="rId1"/>
    <sheet name="Война" sheetId="5" r:id="rId2"/>
    <sheet name="Коэфф." sheetId="3" r:id="rId3"/>
    <sheet name="Advanced" sheetId="4" r:id="rId4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3" i="2" l="1"/>
  <c r="D35" i="2" l="1"/>
  <c r="D34" i="2"/>
  <c r="E6" i="5"/>
  <c r="D13" i="2" l="1"/>
  <c r="D19" i="2" l="1"/>
  <c r="E18" i="2" l="1"/>
  <c r="D20" i="2" l="1"/>
  <c r="D21" i="2"/>
  <c r="D22" i="2"/>
  <c r="D18" i="2"/>
  <c r="B6" i="5"/>
  <c r="B7" i="5" l="1"/>
  <c r="M4" i="5" l="1"/>
  <c r="H4" i="5"/>
  <c r="E8" i="5"/>
  <c r="E7" i="5"/>
  <c r="N4" i="5" s="1"/>
  <c r="F33" i="2"/>
  <c r="O4" i="5" l="1"/>
  <c r="B8" i="5"/>
  <c r="I4" i="5"/>
  <c r="P4" i="5" l="1"/>
  <c r="S5" i="5" s="1"/>
  <c r="J4" i="5"/>
  <c r="C4" i="4"/>
  <c r="C3" i="4"/>
  <c r="M34" i="2"/>
  <c r="E33" i="2"/>
  <c r="H33" i="2"/>
  <c r="M22" i="2"/>
  <c r="N22" i="2" s="1"/>
  <c r="I22" i="2"/>
  <c r="H22" i="2"/>
  <c r="G22" i="2"/>
  <c r="E22" i="2"/>
  <c r="E21" i="2"/>
  <c r="M21" i="2"/>
  <c r="M20" i="2"/>
  <c r="O20" i="2" s="1"/>
  <c r="I20" i="2"/>
  <c r="H20" i="2"/>
  <c r="G20" i="2"/>
  <c r="F20" i="2"/>
  <c r="E20" i="2"/>
  <c r="F19" i="2"/>
  <c r="C2" i="4" s="1"/>
  <c r="H19" i="2"/>
  <c r="F18" i="2"/>
  <c r="F22" i="2"/>
  <c r="I18" i="2"/>
  <c r="F13" i="2"/>
  <c r="E13" i="2"/>
  <c r="M13" i="2" s="1"/>
  <c r="G13" i="2"/>
  <c r="E8" i="2"/>
  <c r="E5" i="2"/>
  <c r="E35" i="2" l="1"/>
  <c r="F35" i="2" s="1"/>
  <c r="R5" i="5"/>
  <c r="T5" i="5" s="1"/>
  <c r="I5" i="5"/>
  <c r="J5" i="5" s="1"/>
  <c r="O22" i="2"/>
  <c r="P22" i="2"/>
  <c r="N5" i="5"/>
  <c r="P20" i="2"/>
  <c r="N20" i="2"/>
  <c r="M18" i="2"/>
  <c r="P18" i="2" s="1"/>
  <c r="H18" i="2"/>
  <c r="M5" i="2"/>
  <c r="O21" i="2"/>
  <c r="N21" i="2"/>
  <c r="P21" i="2"/>
  <c r="G21" i="2"/>
  <c r="H21" i="2"/>
  <c r="I21" i="2"/>
  <c r="M19" i="2"/>
  <c r="G19" i="2"/>
  <c r="I19" i="2"/>
  <c r="G18" i="2"/>
  <c r="F21" i="2"/>
  <c r="C5" i="4" s="1"/>
  <c r="M8" i="2"/>
  <c r="K4" i="5"/>
  <c r="O5" i="5"/>
  <c r="H35" i="2"/>
  <c r="I35" i="2"/>
  <c r="G35" i="2"/>
  <c r="M35" i="2"/>
  <c r="E34" i="2"/>
  <c r="F34" i="2" s="1"/>
  <c r="O34" i="2"/>
  <c r="P34" i="2"/>
  <c r="N34" i="2"/>
  <c r="G34" i="2"/>
  <c r="H34" i="2"/>
  <c r="I34" i="2"/>
  <c r="H13" i="2"/>
  <c r="F5" i="2"/>
  <c r="I13" i="2"/>
  <c r="I33" i="2"/>
  <c r="M33" i="2"/>
  <c r="G33" i="2"/>
  <c r="N6" i="5" l="1"/>
  <c r="U5" i="5"/>
  <c r="M5" i="5" s="1"/>
  <c r="J22" i="2"/>
  <c r="L22" i="2" s="1"/>
  <c r="O6" i="5"/>
  <c r="J20" i="2"/>
  <c r="K20" i="2" s="1"/>
  <c r="N18" i="2"/>
  <c r="O18" i="2"/>
  <c r="J21" i="2"/>
  <c r="L21" i="2" s="1"/>
  <c r="O19" i="2"/>
  <c r="N19" i="2"/>
  <c r="P19" i="2"/>
  <c r="J13" i="2"/>
  <c r="N35" i="2"/>
  <c r="P35" i="2"/>
  <c r="O35" i="2"/>
  <c r="J34" i="2"/>
  <c r="C6" i="4"/>
  <c r="P33" i="2"/>
  <c r="O33" i="2"/>
  <c r="N33" i="2"/>
  <c r="H5" i="5" l="1"/>
  <c r="K22" i="2"/>
  <c r="L20" i="2"/>
  <c r="L13" i="2"/>
  <c r="K13" i="2"/>
  <c r="J18" i="2"/>
  <c r="L18" i="2" s="1"/>
  <c r="K21" i="2"/>
  <c r="J19" i="2"/>
  <c r="K19" i="2" s="1"/>
  <c r="B5" i="4"/>
  <c r="B6" i="4"/>
  <c r="E6" i="4" s="1"/>
  <c r="J35" i="2"/>
  <c r="L35" i="2" s="1"/>
  <c r="L34" i="2"/>
  <c r="K34" i="2"/>
  <c r="J33" i="2"/>
  <c r="L33" i="2" l="1"/>
  <c r="K33" i="2"/>
  <c r="B2" i="4"/>
  <c r="D2" i="4" s="1"/>
  <c r="K18" i="2"/>
  <c r="F2" i="4" s="1"/>
  <c r="B3" i="4"/>
  <c r="E3" i="4" s="1"/>
  <c r="L19" i="2"/>
  <c r="B4" i="4"/>
  <c r="D6" i="4"/>
  <c r="F3" i="4"/>
  <c r="E5" i="4"/>
  <c r="D5" i="4"/>
  <c r="K35" i="2"/>
  <c r="E2" i="4" l="1"/>
  <c r="D3" i="4"/>
  <c r="E4" i="4"/>
  <c r="D4" i="4"/>
  <c r="J24" i="2" l="1"/>
  <c r="A24" i="2"/>
  <c r="B24" i="2"/>
  <c r="F24" i="2"/>
  <c r="L24" i="2"/>
  <c r="K24" i="2" l="1"/>
  <c r="K2" i="2" s="1"/>
  <c r="K5" i="5"/>
  <c r="P5" i="5"/>
  <c r="S6" i="5" l="1"/>
  <c r="R6" i="5"/>
  <c r="U6" i="5" s="1"/>
  <c r="I6" i="5" l="1"/>
  <c r="J6" i="5" s="1"/>
  <c r="T6" i="5"/>
  <c r="H6" i="5" s="1"/>
  <c r="O7" i="5" l="1"/>
  <c r="N7" i="5"/>
  <c r="M6" i="5"/>
  <c r="K6" i="5" s="1"/>
  <c r="P6" i="5" l="1"/>
  <c r="S7" i="5" l="1"/>
  <c r="R7" i="5"/>
  <c r="T7" i="5" s="1"/>
  <c r="I7" i="5" l="1"/>
  <c r="J7" i="5" s="1"/>
  <c r="U7" i="5"/>
  <c r="H7" i="5" s="1"/>
  <c r="O8" i="5" l="1"/>
  <c r="N8" i="5"/>
  <c r="M7" i="5"/>
  <c r="P7" i="5" s="1"/>
  <c r="S8" i="5" s="1"/>
  <c r="I8" i="5" l="1"/>
  <c r="R8" i="5"/>
  <c r="T8" i="5" s="1"/>
  <c r="K7" i="5"/>
  <c r="J8" i="5" l="1"/>
  <c r="U8" i="5"/>
  <c r="H8" i="5" s="1"/>
  <c r="O9" i="5" l="1"/>
  <c r="N9" i="5"/>
  <c r="M8" i="5"/>
  <c r="P8" i="5" s="1"/>
  <c r="S9" i="5" s="1"/>
  <c r="I9" i="5" l="1"/>
  <c r="K8" i="5"/>
  <c r="R9" i="5"/>
  <c r="T9" i="5" s="1"/>
  <c r="U9" i="5" l="1"/>
  <c r="H9" i="5" s="1"/>
  <c r="M9" i="5" l="1"/>
</calcChain>
</file>

<file path=xl/sharedStrings.xml><?xml version="1.0" encoding="utf-8"?>
<sst xmlns="http://schemas.openxmlformats.org/spreadsheetml/2006/main" count="135" uniqueCount="71">
  <si>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</si>
  <si>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</si>
  <si>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</si>
  <si>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</si>
  <si>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</si>
  <si>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</si>
  <si>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</si>
  <si>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</si>
  <si>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</si>
  <si>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</si>
  <si>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</si>
  <si>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</si>
  <si>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</si>
  <si>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</si>
  <si>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</si>
  <si>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</si>
  <si>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</si>
  <si>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</si>
  <si>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</si>
  <si>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</si>
  <si>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</si>
  <si>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</si>
  <si>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</si>
  <si>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</si>
  <si>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</si>
  <si>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</si>
  <si>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</si>
  <si>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</si>
  <si>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</si>
  <si>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</si>
  <si>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</si>
  <si>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</si>
  <si>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</si>
  <si>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</si>
  <si>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</si>
  <si>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</si>
  <si>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</si>
  <si>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</si>
  <si>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</si>
  <si>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</si>
  <si>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</si>
  <si>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</si>
  <si>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</si>
  <si>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</si>
  <si>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</si>
  <si>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</si>
  <si>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</si>
  <si>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</si>
  <si>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</si>
  <si>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</si>
  <si>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</si>
  <si>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2. Эквивалент армии для требушетов указан при атаке, без учета действия стены обороняющейся стороны</t>
  </si>
  <si>
    <t>Инженеры</t>
  </si>
  <si>
    <t>Атака</t>
  </si>
  <si>
    <t>Оборона</t>
  </si>
  <si>
    <t>VS</t>
  </si>
  <si>
    <t>Бонус</t>
  </si>
  <si>
    <t>Лучники</t>
  </si>
  <si>
    <t>Прочность</t>
  </si>
  <si>
    <t>Атака требушета</t>
  </si>
  <si>
    <t>Прочность стены</t>
  </si>
  <si>
    <t>Раунд</t>
  </si>
  <si>
    <t>ИТОГ</t>
  </si>
  <si>
    <t>Армия</t>
  </si>
  <si>
    <t>Армия атаки</t>
  </si>
  <si>
    <t>Бонус атаки</t>
  </si>
  <si>
    <t>Бонус обороны</t>
  </si>
  <si>
    <t>Оставшиеся бонусы</t>
  </si>
  <si>
    <t>1. Лучники</t>
  </si>
  <si>
    <t>3. требушеты</t>
  </si>
  <si>
    <t>v1.0412a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</si>
</sst>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6" fillId="7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I1" lockText="1" noThreeD="1"/>
</file>

<file path=xl/ctrlProps/ctrlProp2.xml><?xml version="1.0" encoding="utf-8"?>
<formControlPr xmlns="http://schemas.microsoft.com/office/spreadsheetml/2009/9/main" objectType="CheckBox" checked="Checked" fmlaLink="N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0</xdr:row>
          <xdr:rowOff>19050</xdr:rowOff>
        </xdr:from>
        <xdr:to>
          <xdr:col>9</xdr:col>
          <xdr:colOff>533400</xdr:colOff>
          <xdr:row>0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инженеров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400050</xdr:colOff>
          <xdr:row>0</xdr:row>
          <xdr:rowOff>19050</xdr:rowOff>
        </xdr:from>
        <xdr:to>
          <xdr:col>14</xdr:col>
          <xdr:colOff>647700</xdr:colOff>
          <xdr:row>0</xdr:row>
          <xdr:rowOff>257175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лучников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3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7" width="10.85546875" customWidth="1"/>
    <col min="8" max="9" width="9.85546875" customWidth="1"/>
    <col min="10" max="10" width="15.140625" customWidth="1"/>
    <col min="11" max="11" width="18.42578125" customWidth="1"/>
    <col min="12" max="12" width="18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70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4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56" t="s">
        <v>21</v>
      </c>
      <c r="H11" s="56"/>
      <c r="I11" s="56"/>
      <c r="J11" s="56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60" t="s">
        <v>21</v>
      </c>
      <c r="H16" s="60"/>
      <c r="I16" s="60"/>
      <c r="J16" s="60"/>
      <c r="N16" s="56" t="s">
        <v>31</v>
      </c>
      <c r="O16" s="56"/>
      <c r="P16" s="56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59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>B19+1</f>
        <v>2</v>
      </c>
      <c r="E19" s="59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>J20/(SUM($E$18:$E$22)*60*24)</f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>J21/(SUM($E$18:$E$22)*60*24)</f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>J22/(SUM($E$18:$E$22)*60*24)</f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58" t="s">
        <v>41</v>
      </c>
      <c r="C23" s="58"/>
      <c r="D23" s="58"/>
      <c r="E23" s="58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57" t="str">
        <f>INDEX(Advanced!A2:F6,MATCH(MIN(Advanced!D2:D6),Advanced!D2:D6,0),1)</f>
        <v>Склад + Дома + Ферма</v>
      </c>
      <c r="C24" s="57"/>
      <c r="D24" s="57"/>
      <c r="E24" s="57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56" t="s">
        <v>21</v>
      </c>
      <c r="H31" s="56"/>
      <c r="I31" s="56"/>
      <c r="J31" s="56"/>
      <c r="N31" s="56" t="s">
        <v>31</v>
      </c>
      <c r="O31" s="56"/>
      <c r="P31" s="56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f>($D$33-$B$33)*40</f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ROUND($B34*10*((40+1.2*ROUNDDOWN($B34/2,0))/(100+ROUNDDOWN($B34/2,0)))*5+$E$33*((100+1.5*ROUNDDOWN($B34/2,0))/(100+ROUNDDOWN($B34/2,0))),0)</f>
        <v>0</v>
      </c>
      <c r="F34" s="47">
        <f>ROUND($D34*10*((40+1.2*ROUNDDOWN($D34/2,0))/(100+ROUNDDOWN($D34/2,0)))*5+$E$33*((100+1.5*ROUNDDOWN($D34/2,0))/(100+ROUNDDOWN($D34/2,0))),0)-E34</f>
        <v>41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1156</v>
      </c>
      <c r="L34" s="31">
        <f>J34/(SUM($E$18:$E$22)*60*24)</f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7">
        <f>ROUND($E$33*(2*(50+ROUNDDOWN($B35/2,0))/(100+ROUNDDOWN($B35/2,0))),0)</f>
        <v>0</v>
      </c>
      <c r="F35" s="47">
        <f>ROUND($E$33*(2*(50+ROUNDDOWN($D35/2,0))/(100+ROUNDDOWN($D35/2,0))),0)-E35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>J35/(SUM($E$18:$E$22)*60*24)</f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51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  <row r="43" spans="1:16" x14ac:dyDescent="0.25">
      <c r="F43" s="48"/>
    </row>
  </sheetData>
  <mergeCells count="8">
    <mergeCell ref="G11:J11"/>
    <mergeCell ref="G16:J16"/>
    <mergeCell ref="G31:J31"/>
    <mergeCell ref="N16:P16"/>
    <mergeCell ref="N31:P31"/>
    <mergeCell ref="B24:E24"/>
    <mergeCell ref="B23:E23"/>
    <mergeCell ref="E18:E19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U9"/>
  <sheetViews>
    <sheetView workbookViewId="0">
      <selection activeCell="A4" sqref="A4"/>
    </sheetView>
  </sheetViews>
  <sheetFormatPr defaultRowHeight="15" x14ac:dyDescent="0.25"/>
  <cols>
    <col min="1" max="1" width="11" customWidth="1"/>
    <col min="2" max="2" width="10.140625" customWidth="1"/>
    <col min="3" max="3" width="5.140625" customWidth="1"/>
    <col min="4" max="5" width="10.140625" customWidth="1"/>
    <col min="8" max="11" width="11.28515625" customWidth="1"/>
    <col min="12" max="12" width="5.28515625" customWidth="1"/>
    <col min="13" max="16" width="10.42578125" customWidth="1"/>
    <col min="18" max="21" width="14" style="3" hidden="1" customWidth="1"/>
  </cols>
  <sheetData>
    <row r="1" spans="1:21" ht="21" customHeight="1" x14ac:dyDescent="0.25">
      <c r="I1" s="53" t="b">
        <v>1</v>
      </c>
      <c r="N1" s="53" t="b">
        <v>1</v>
      </c>
      <c r="R1" s="3" t="s">
        <v>68</v>
      </c>
      <c r="T1" s="3" t="s">
        <v>69</v>
      </c>
    </row>
    <row r="2" spans="1:21" x14ac:dyDescent="0.25">
      <c r="A2" s="61" t="s">
        <v>53</v>
      </c>
      <c r="B2" s="61"/>
      <c r="C2" s="34" t="s">
        <v>55</v>
      </c>
      <c r="D2" s="62" t="s">
        <v>54</v>
      </c>
      <c r="E2" s="62"/>
      <c r="H2" s="63" t="s">
        <v>53</v>
      </c>
      <c r="I2" s="63"/>
      <c r="J2" s="63"/>
      <c r="K2" s="63"/>
      <c r="L2" s="6" t="s">
        <v>55</v>
      </c>
      <c r="M2" s="64" t="s">
        <v>54</v>
      </c>
      <c r="N2" s="64"/>
      <c r="O2" s="64"/>
      <c r="P2" s="64"/>
      <c r="T2" s="65" t="s">
        <v>67</v>
      </c>
      <c r="U2" s="65"/>
    </row>
    <row r="3" spans="1:21" ht="30.75" thickBot="1" x14ac:dyDescent="0.3">
      <c r="A3" s="45" t="s">
        <v>14</v>
      </c>
      <c r="B3" s="45" t="s">
        <v>16</v>
      </c>
      <c r="C3" s="6"/>
      <c r="D3" s="45" t="s">
        <v>14</v>
      </c>
      <c r="E3" s="45" t="s">
        <v>15</v>
      </c>
      <c r="G3" s="6" t="s">
        <v>61</v>
      </c>
      <c r="H3" s="6" t="s">
        <v>63</v>
      </c>
      <c r="I3" s="6" t="s">
        <v>52</v>
      </c>
      <c r="J3" s="1" t="s">
        <v>59</v>
      </c>
      <c r="K3" s="6" t="s">
        <v>56</v>
      </c>
      <c r="L3" s="6"/>
      <c r="M3" s="6" t="s">
        <v>63</v>
      </c>
      <c r="N3" s="6" t="s">
        <v>57</v>
      </c>
      <c r="O3" s="1" t="s">
        <v>60</v>
      </c>
      <c r="P3" s="6" t="s">
        <v>56</v>
      </c>
      <c r="R3" s="1" t="s">
        <v>64</v>
      </c>
      <c r="S3" s="1" t="s">
        <v>52</v>
      </c>
      <c r="T3" s="1" t="s">
        <v>65</v>
      </c>
      <c r="U3" s="1" t="s">
        <v>66</v>
      </c>
    </row>
    <row r="4" spans="1:21" ht="15.75" thickBot="1" x14ac:dyDescent="0.3">
      <c r="A4" s="51">
        <v>10</v>
      </c>
      <c r="B4" s="51">
        <v>0</v>
      </c>
      <c r="D4" s="51">
        <v>10</v>
      </c>
      <c r="E4" s="51">
        <v>0</v>
      </c>
      <c r="G4" s="49">
        <v>1</v>
      </c>
      <c r="H4" s="49">
        <f>$B$6</f>
        <v>400</v>
      </c>
      <c r="I4" s="49">
        <f>$B$7</f>
        <v>0</v>
      </c>
      <c r="J4" s="49">
        <f>IF($B$7&gt;0,ROUND($B$8*I4/$B$7,0),0)</f>
        <v>0</v>
      </c>
      <c r="K4" s="49">
        <f>IF($H4&gt;$M4,ROUNDDOWN(($H4-$M4)/100,0),0)+IF($B$4&gt;0,ROUND(ROUNDDOWN($B$4/2,0)*J4/$B$8,0),0)</f>
        <v>0</v>
      </c>
      <c r="L4" s="49"/>
      <c r="M4" s="49">
        <f>$E$6</f>
        <v>400</v>
      </c>
      <c r="N4" s="49">
        <f>$E$7</f>
        <v>0</v>
      </c>
      <c r="O4" s="49">
        <f>$E$8</f>
        <v>0</v>
      </c>
      <c r="P4" s="49">
        <f>IF($M4&gt;$H4,ROUNDDOWN(($M4-$H4)/100,0),0)+IF($E$4&gt;0,ROUND(ROUNDDOWN($E$4/2,0)*O4/$E$8,0),0)</f>
        <v>0</v>
      </c>
    </row>
    <row r="5" spans="1:21" x14ac:dyDescent="0.25">
      <c r="G5" s="49">
        <v>2</v>
      </c>
      <c r="H5" s="49">
        <f>ROUND($R5-MIN($R5,$M4)*($U5+50)/($T5+$U5+100),0)</f>
        <v>200</v>
      </c>
      <c r="I5" s="49">
        <f>MAX(IF(I$1,I4,ROUND(S5,0)),0)</f>
        <v>0</v>
      </c>
      <c r="J5" s="50">
        <f>IF($B$7&gt;0,ROUND($B$8*I5/$B$7,0),0)</f>
        <v>0</v>
      </c>
      <c r="K5" s="50">
        <f>IF($H5&gt;$M5,ROUNDDOWN(($H5-$M5)/100,0),0)+IF($B$4&gt;0,ROUND(ROUNDDOWN($B$4/2,0)*J5/$B$8,0),0)</f>
        <v>0</v>
      </c>
      <c r="L5" s="49"/>
      <c r="M5" s="49">
        <f>ROUND($M4-MIN($R5,$M4)*($T5+50)/($T5+$U5+100),0)</f>
        <v>200</v>
      </c>
      <c r="N5" s="49">
        <f>MAX(IF(N$1,N4,ROUND(N4-J4/20,0)),0)</f>
        <v>0</v>
      </c>
      <c r="O5" s="49">
        <f>MAX(ROUND(O4-J4*0.5,0),0)</f>
        <v>0</v>
      </c>
      <c r="P5" s="50">
        <f>IF($M5&gt;$H5,ROUNDDOWN(($M5-$H5)/100,0),0)+IF($E$4&gt;0,ROUND(ROUNDDOWN($E$4/2,0)*O5/$E$8,0),0)</f>
        <v>0</v>
      </c>
      <c r="R5" s="3">
        <f>ROUND($H4-MIN($N4,$H4)*($P4+20)/($P4+80),0)</f>
        <v>400</v>
      </c>
      <c r="S5" s="3">
        <f>I4-IF(N4&gt;0,(P4+20)/(P4+100),0)</f>
        <v>0</v>
      </c>
      <c r="T5" s="3">
        <f>IF($R5&gt;$M4,ROUNDDOWN((R5-$M4)/100,0),0)+IF($B$4&gt;0,ROUND(ROUNDDOWN($B$4/2,0)*J4/$B$8,0),0)</f>
        <v>0</v>
      </c>
      <c r="U5" s="3">
        <f>IF($M4&gt;$R5,ROUNDDOWN(($M4-$R5)/100,0),0)+IF($E$4&gt;0,ROUND(ROUNDDOWN($E$4/2,0)*$O5/$E$8,0),0)</f>
        <v>0</v>
      </c>
    </row>
    <row r="6" spans="1:21" x14ac:dyDescent="0.25">
      <c r="A6" t="s">
        <v>63</v>
      </c>
      <c r="B6">
        <f>$A$4*40</f>
        <v>400</v>
      </c>
      <c r="D6" t="s">
        <v>63</v>
      </c>
      <c r="E6">
        <f>$D$4*40</f>
        <v>400</v>
      </c>
      <c r="G6" s="49">
        <v>3</v>
      </c>
      <c r="H6" s="54">
        <f>ROUND($R6-MIN($R6,$M5)*($U6+50)/($T6+$U6+100),0)</f>
        <v>100</v>
      </c>
      <c r="I6" s="55">
        <f t="shared" ref="I6:I8" si="0">MAX(IF(I$1,I5,ROUND(S6,0)),0)</f>
        <v>0</v>
      </c>
      <c r="J6" s="50">
        <f>IF($B$7&gt;0,ROUND($B$8*I6/$B$7,0),0)</f>
        <v>0</v>
      </c>
      <c r="K6" s="50">
        <f>IF($H6&gt;$M6,ROUNDDOWN(($H6-$M6)/100,0),0)+IF($B$4&gt;0,ROUND(ROUNDDOWN($B$4/2,0)*J6/$B$8,0),0)</f>
        <v>0</v>
      </c>
      <c r="L6" s="49"/>
      <c r="M6" s="54">
        <f>ROUND($M5-MIN($R6,$M5)*($T6+50)/($T6+$U6+100),0)</f>
        <v>100</v>
      </c>
      <c r="N6" s="50">
        <f>MAX(IF(N$1,N5,ROUND(N5-J5/20,0)),0)</f>
        <v>0</v>
      </c>
      <c r="O6" s="50">
        <f>MAX(ROUND(O5-J5*0.5,0),0)</f>
        <v>0</v>
      </c>
      <c r="P6" s="50">
        <f>IF($M6&gt;$H6,ROUNDDOWN(($M6-$H6)/100,0),0)+IF($E$4&gt;0,ROUND(ROUNDDOWN($E$4/2,0)*O6/$E$8,0),0)</f>
        <v>0</v>
      </c>
      <c r="R6" s="3">
        <f>ROUND($H5-MIN($N5,$H5)*($P5+20)/($P5+80),0)</f>
        <v>200</v>
      </c>
      <c r="S6" s="3">
        <f>S5-IF(N5&gt;0,(P5+20)/(P5+100),0)</f>
        <v>0</v>
      </c>
      <c r="T6" s="3">
        <f>IF(R6&gt;$M5,ROUNDDOWN((R6-$M5)/100,0),0)+IF($B$4&gt;0,ROUND(ROUNDDOWN($B$4/2,0)*J5/$B$8,0),0)</f>
        <v>0</v>
      </c>
      <c r="U6" s="3">
        <f>IF($M5&gt;$R6,ROUNDDOWN(($M5-$R6)/100,0),0)+IF($E$4&gt;0,ROUND(ROUNDDOWN($E$4/2,0)*$O6/$E$8,0),0)</f>
        <v>0</v>
      </c>
    </row>
    <row r="7" spans="1:21" x14ac:dyDescent="0.25">
      <c r="A7" t="s">
        <v>52</v>
      </c>
      <c r="B7">
        <f>IF($B$4=0,0,ROUNDDOWN(1+$B$4/5,0))</f>
        <v>0</v>
      </c>
      <c r="D7" t="s">
        <v>57</v>
      </c>
      <c r="E7">
        <f>$E$4*10</f>
        <v>0</v>
      </c>
      <c r="G7" s="49">
        <v>4</v>
      </c>
      <c r="H7" s="54">
        <f>ROUND($R7-MIN($R7,$M6)*($U7+50)/($T7+$U7+100),0)</f>
        <v>50</v>
      </c>
      <c r="I7" s="55">
        <f t="shared" si="0"/>
        <v>0</v>
      </c>
      <c r="J7" s="50">
        <f>IF($B$7&gt;0,ROUND($B$8*I7/$B$7,0),0)</f>
        <v>0</v>
      </c>
      <c r="K7" s="50">
        <f>IF($H7&gt;$M7,ROUNDDOWN(($H7-$M7)/100,0),0)+IF($B$4&gt;0,ROUND(ROUNDDOWN($B$4/2,0)*J7/$B$8,0),0)</f>
        <v>0</v>
      </c>
      <c r="L7" s="49"/>
      <c r="M7" s="54">
        <f>ROUND($M6-MIN($R7,$M6)*($T7+50)/($T7+$U7+100),0)</f>
        <v>50</v>
      </c>
      <c r="N7" s="50">
        <f>MAX(IF(N$1,N6,ROUND(N6-J6/20,0)),0)</f>
        <v>0</v>
      </c>
      <c r="O7" s="50">
        <f>MAX(ROUND(O6-J6*0.5,0),0)</f>
        <v>0</v>
      </c>
      <c r="P7" s="50">
        <f>IF($M7&gt;$H7,ROUNDDOWN(($M7-$H7)/100,0),0)+IF($E$4&gt;0,ROUND(ROUNDDOWN($E$4/2,0)*O7/$E$8,0),0)</f>
        <v>0</v>
      </c>
      <c r="R7" s="3">
        <f>ROUND($H6-MIN($N6,$H6)*($P6+20)/($P6+80),0)</f>
        <v>100</v>
      </c>
      <c r="S7" s="3">
        <f t="shared" ref="S7:S9" si="1">S6-IF(N6&gt;0,(P6+20)/(P6+100),0)</f>
        <v>0</v>
      </c>
      <c r="T7" s="3">
        <f>IF(R7&gt;$M6,ROUNDDOWN((R7-$M6)/100,0),0)+IF($B$4&gt;0,ROUND(ROUNDDOWN($B$4/2,0)*J6/$B$8,0),0)</f>
        <v>0</v>
      </c>
      <c r="U7" s="3">
        <f>IF($M6&gt;$R7,ROUNDDOWN(($M6-$R7)/100,0),0)+IF($E$4&gt;0,ROUND(ROUNDDOWN($E$4/2,0)*$O7/$E$8,0),0)</f>
        <v>0</v>
      </c>
    </row>
    <row r="8" spans="1:21" x14ac:dyDescent="0.25">
      <c r="A8" t="s">
        <v>53</v>
      </c>
      <c r="B8">
        <f>$B$4*20</f>
        <v>0</v>
      </c>
      <c r="D8" t="s">
        <v>58</v>
      </c>
      <c r="E8">
        <f>$E$4*100</f>
        <v>0</v>
      </c>
      <c r="G8" s="49">
        <v>5</v>
      </c>
      <c r="H8" s="54">
        <f>ROUND($R8-MIN($R8,$M7)*($U8+50)/($T8+$U8+100),0)</f>
        <v>25</v>
      </c>
      <c r="I8" s="55">
        <f t="shared" si="0"/>
        <v>0</v>
      </c>
      <c r="J8" s="50">
        <f>IF($B$7&gt;0,ROUND($B$8*I8/$B$7,0),0)</f>
        <v>0</v>
      </c>
      <c r="K8" s="50">
        <f>IF($H8&gt;$M8,ROUNDDOWN(($H8-$M8)/100,0),0)+IF($B$4&gt;0,ROUND(ROUNDDOWN($B$4/2,0)*J8/$B$8,0),0)</f>
        <v>0</v>
      </c>
      <c r="L8" s="49"/>
      <c r="M8" s="54">
        <f>ROUND($M7-MIN($R8,$M7)*($T8+50)/($T8+$U8+100),0)</f>
        <v>25</v>
      </c>
      <c r="N8" s="50">
        <f>MAX(IF(N$1,N7,ROUND(N7-J7/20,0)),0)</f>
        <v>0</v>
      </c>
      <c r="O8" s="50">
        <f>MAX(ROUND(O7-J7*0.5,0),0)</f>
        <v>0</v>
      </c>
      <c r="P8" s="50">
        <f>IF($M8&gt;$H8,ROUNDDOWN(($M8-$H8)/100,0),0)+IF($E$4&gt;0,ROUND(ROUNDDOWN($E$4/2,0)*O8/$E$8,0),0)</f>
        <v>0</v>
      </c>
      <c r="R8" s="3">
        <f>ROUND($H7-MIN($N7,$H7)*($P7+20)/($P7+80),0)</f>
        <v>50</v>
      </c>
      <c r="S8" s="3">
        <f t="shared" si="1"/>
        <v>0</v>
      </c>
      <c r="T8" s="3">
        <f>IF(R8&gt;$M7,ROUNDDOWN((R8-$M7)/100,0),0)+IF($B$4&gt;0,ROUND(ROUNDDOWN($B$4/2,0)*J7/$B$8,0),0)</f>
        <v>0</v>
      </c>
      <c r="U8" s="3">
        <f>IF($M7&gt;$R8,ROUNDDOWN(($M7-$R8)/100,0),0)+IF($E$4&gt;0,ROUND(ROUNDDOWN($E$4/2,0)*$O8/$E$8,0),0)</f>
        <v>0</v>
      </c>
    </row>
    <row r="9" spans="1:21" x14ac:dyDescent="0.25">
      <c r="G9" s="49" t="s">
        <v>62</v>
      </c>
      <c r="H9" s="52">
        <f>ROUND($R9-MIN($R9,$M8)*($U9+50)/($T9+$U9+100),0)</f>
        <v>13</v>
      </c>
      <c r="I9" s="52">
        <f>MAX(IF(I$1,I8,ROUND(S9,0)),0)</f>
        <v>0</v>
      </c>
      <c r="J9" s="49"/>
      <c r="K9" s="49"/>
      <c r="L9" s="49"/>
      <c r="M9" s="52">
        <f>ROUND($M8-MIN($R9,$M8)*($T9+50)/($T9+$U9+100),0)</f>
        <v>13</v>
      </c>
      <c r="N9" s="52">
        <f>MAX(IF(N$1,N8,ROUND(N8-J8/20,0)),0)</f>
        <v>0</v>
      </c>
      <c r="O9" s="52">
        <f>MAX(ROUND(O8-J8*0.5,0),0)</f>
        <v>0</v>
      </c>
      <c r="P9" s="49"/>
      <c r="R9" s="3">
        <f>ROUND($H8-MIN($N8,$H8)*($P8+20)/($P8+80),0)</f>
        <v>25</v>
      </c>
      <c r="S9" s="3">
        <f t="shared" si="1"/>
        <v>0</v>
      </c>
      <c r="T9" s="3">
        <f>IF(R9&gt;$M8,ROUNDDOWN((R9-$M8)/100,0),0)+IF($B$4&gt;0,ROUND(ROUNDDOWN($B$4/2,0)*J8/$B$8,0),0)</f>
        <v>0</v>
      </c>
      <c r="U9" s="3">
        <f>IF($M8&gt;$R9,ROUNDDOWN(($M8-$R9)/100,0),0)+IF($E$4&gt;0,ROUND(ROUNDDOWN($E$4/2,0)*$O9/$E$8,0),0)</f>
        <v>0</v>
      </c>
    </row>
  </sheetData>
  <mergeCells count="5">
    <mergeCell ref="A2:B2"/>
    <mergeCell ref="D2:E2"/>
    <mergeCell ref="H2:K2"/>
    <mergeCell ref="M2:P2"/>
    <mergeCell ref="T2:U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7</xdr:col>
                    <xdr:colOff>400050</xdr:colOff>
                    <xdr:row>0</xdr:row>
                    <xdr:rowOff>19050</xdr:rowOff>
                  </from>
                  <to>
                    <xdr:col>9</xdr:col>
                    <xdr:colOff>533400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12</xdr:col>
                    <xdr:colOff>400050</xdr:colOff>
                    <xdr:row>0</xdr:row>
                    <xdr:rowOff>19050</xdr:rowOff>
                  </from>
                  <to>
                    <xdr:col>14</xdr:col>
                    <xdr:colOff>647700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>IF(C4&gt;0,(B4/(C4*60*24)),9999)</f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>IF(C5&gt;0,(B5/(C5*60*24)),9999)</f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>IF(C6&gt;0,(B6/(C6*60*24)),9999)</f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Расчет</vt:lpstr>
      <vt:lpstr>Война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2017-04-12T11:11:40Z</dcterms:modified>
</cp:coreProperties>
</file>