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s\"/>
    </mc:Choice>
  </mc:AlternateContent>
  <xr:revisionPtr revIDLastSave="0" documentId="13_ncr:1_{E8A4268D-58D7-4E97-ABCA-D10270BE973C}" xr6:coauthVersionLast="46" xr6:coauthVersionMax="46" xr10:uidLastSave="{00000000-0000-0000-0000-000000000000}"/>
  <bookViews>
    <workbookView xWindow="28680" yWindow="-120" windowWidth="29040" windowHeight="16440" tabRatio="683" activeTab="5" xr2:uid="{57BC8838-A03B-4060-A826-FB1B09F7071F}"/>
  </bookViews>
  <sheets>
    <sheet name="FI_Combined22_clase" sheetId="2" r:id="rId1"/>
    <sheet name="FI_Combined22_especie" sheetId="3" r:id="rId2"/>
    <sheet name="FI_Combined22_family" sheetId="4" r:id="rId3"/>
    <sheet name="FI_Combined22_filo" sheetId="5" r:id="rId4"/>
    <sheet name="FI_Combined22_genus" sheetId="6" r:id="rId5"/>
    <sheet name="FI_Combined22_orden" sheetId="7" r:id="rId6"/>
  </sheets>
  <definedNames>
    <definedName name="DatosExternos_1" localSheetId="0" hidden="1">FI_Combined22_clase!$A$1:$V$12</definedName>
    <definedName name="DatosExternos_1" localSheetId="1" hidden="1">FI_Combined22_especie!$A$1:$V$11</definedName>
    <definedName name="DatosExternos_1" localSheetId="2" hidden="1">FI_Combined22_family!$A$1:$V$11</definedName>
    <definedName name="DatosExternos_1" localSheetId="3" hidden="1">FI_Combined22_filo!$A$1:$V$11</definedName>
    <definedName name="DatosExternos_1" localSheetId="4" hidden="1">FI_Combined22_genus!$A$1:$V$11</definedName>
    <definedName name="DatosExternos_1" localSheetId="5" hidden="1">FI_Combined22_orden!$A$1:$V$11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A16" i="7"/>
  <c r="A14" i="7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A16" i="5"/>
  <c r="A14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A16" i="4"/>
  <c r="A14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A16" i="3"/>
  <c r="B16" i="3"/>
  <c r="A14" i="3"/>
  <c r="B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6" i="3"/>
  <c r="C14" i="3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17" i="2"/>
  <c r="A15" i="2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A15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A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2AACC-80E3-45CF-B951-0CF93C842AE4}" keepAlive="1" name="Consulta - FI_Combined22_clase" description="Conexión a la consulta 'FI_Combined22_clase' en el libro." type="5" refreshedVersion="7" background="1" saveData="1">
    <dbPr connection="Provider=Microsoft.Mashup.OleDb.1;Data Source=$Workbook$;Location=FI_Combined22_clase;Extended Properties=&quot;&quot;" command="SELECT * FROM [FI_Combined22_clase]"/>
  </connection>
  <connection id="2" xr16:uid="{AF416F2E-34C7-433B-AFFE-123354B30DE8}" keepAlive="1" name="Consulta - FI_Combined22_especie" description="Conexión a la consulta 'FI_Combined22_especie' en el libro." type="5" refreshedVersion="7" background="1" saveData="1">
    <dbPr connection="Provider=Microsoft.Mashup.OleDb.1;Data Source=$Workbook$;Location=FI_Combined22_especie;Extended Properties=&quot;&quot;" command="SELECT * FROM [FI_Combined22_especie]"/>
  </connection>
  <connection id="3" xr16:uid="{80702131-BA69-4644-A4F4-E29C782C2721}" keepAlive="1" name="Consulta - FI_Combined22_family" description="Conexión a la consulta 'FI_Combined22_family' en el libro." type="5" refreshedVersion="7" background="1" saveData="1">
    <dbPr connection="Provider=Microsoft.Mashup.OleDb.1;Data Source=$Workbook$;Location=FI_Combined22_family;Extended Properties=&quot;&quot;" command="SELECT * FROM [FI_Combined22_family]"/>
  </connection>
  <connection id="4" xr16:uid="{959CB9D1-3AEB-475E-95B0-F6358DC47754}" keepAlive="1" name="Consulta - FI_Combined22_filo" description="Conexión a la consulta 'FI_Combined22_filo' en el libro." type="5" refreshedVersion="7" background="1" saveData="1">
    <dbPr connection="Provider=Microsoft.Mashup.OleDb.1;Data Source=$Workbook$;Location=FI_Combined22_filo;Extended Properties=&quot;&quot;" command="SELECT * FROM [FI_Combined22_filo]"/>
  </connection>
  <connection id="5" xr16:uid="{1964E213-8B2C-474B-8D55-6AB2D172EE92}" keepAlive="1" name="Consulta - FI_Combined22_genus" description="Conexión a la consulta 'FI_Combined22_genus' en el libro." type="5" refreshedVersion="7" background="1" saveData="1">
    <dbPr connection="Provider=Microsoft.Mashup.OleDb.1;Data Source=$Workbook$;Location=FI_Combined22_genus;Extended Properties=&quot;&quot;" command="SELECT * FROM [FI_Combined22_genus]"/>
  </connection>
  <connection id="6" xr16:uid="{EEDD26D4-D2D3-4B94-9390-F0B31FCB06D3}" keepAlive="1" name="Consulta - FI_Combined22_orden" description="Conexión a la consulta 'FI_Combined22_orden' en el libro." type="5" refreshedVersion="7" background="1" saveData="1">
    <dbPr connection="Provider=Microsoft.Mashup.OleDb.1;Data Source=$Workbook$;Location=FI_Combined22_orden;Extended Properties=&quot;&quot;" command="SELECT * FROM [FI_Combined22_orden]"/>
  </connection>
</connections>
</file>

<file path=xl/sharedStrings.xml><?xml version="1.0" encoding="utf-8"?>
<sst xmlns="http://schemas.openxmlformats.org/spreadsheetml/2006/main" count="144" uniqueCount="24">
  <si>
    <t>PROT</t>
  </si>
  <si>
    <t>TFAT</t>
  </si>
  <si>
    <t>CARB</t>
  </si>
  <si>
    <t>MOIS</t>
  </si>
  <si>
    <t>ALC</t>
  </si>
  <si>
    <t>CAFF</t>
  </si>
  <si>
    <t>THEO</t>
  </si>
  <si>
    <t>CALC</t>
  </si>
  <si>
    <t>MAGN</t>
  </si>
  <si>
    <t>POTA</t>
  </si>
  <si>
    <t>ZINC</t>
  </si>
  <si>
    <t>VC</t>
  </si>
  <si>
    <t>VB1</t>
  </si>
  <si>
    <t>VB6</t>
  </si>
  <si>
    <t>VARA</t>
  </si>
  <si>
    <t>ACAR</t>
  </si>
  <si>
    <t>CRYP</t>
  </si>
  <si>
    <t>LYCO</t>
  </si>
  <si>
    <t>ATOC</t>
  </si>
  <si>
    <t>VK</t>
  </si>
  <si>
    <t>CHOLE</t>
  </si>
  <si>
    <t>VITD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</si>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</sst>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0" xfId="1" applyNumberFormat="1"/>
  </cellXfs>
  <cellStyles count="2">
    <cellStyle name="Neutral" xfId="1" builtinId="28"/>
    <cellStyle name="Normal" xfId="0" builtinId="0"/>
  </cellStyles>
  <dxfs count="166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214AC4-1FF9-4086-A6E5-B6443409FD55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B235C5E-3C77-42FB-A0E3-A1397F413ECD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E732690-8AF2-4F2E-9662-1B2E6B445BC3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9195ABE-93CF-4714-A5B1-CEDAAD57E20B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60CD1AD-5F9E-414B-B211-88DC9F0BC1FC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5CD509A6-E1C2-4149-9C32-84169AE93CD4}" autoFormatId="16" applyNumberFormats="0" applyBorderFormats="0" applyFontFormats="0" applyPatternFormats="0" applyAlignmentFormats="0" applyWidthHeightFormats="0">
  <queryTableRefresh nextId="23">
    <queryTableFields count="22">
      <queryTableField id="1" name="PROT" tableColumnId="1"/>
      <queryTableField id="2" name="TFAT" tableColumnId="2"/>
      <queryTableField id="3" name="CARB" tableColumnId="3"/>
      <queryTableField id="4" name="MOIS" tableColumnId="4"/>
      <queryTableField id="5" name="ALC" tableColumnId="5"/>
      <queryTableField id="6" name="CAFF" tableColumnId="6"/>
      <queryTableField id="7" name="THEO" tableColumnId="7"/>
      <queryTableField id="8" name="CALC" tableColumnId="8"/>
      <queryTableField id="9" name="MAGN" tableColumnId="9"/>
      <queryTableField id="10" name="POTA" tableColumnId="10"/>
      <queryTableField id="11" name="ZINC" tableColumnId="11"/>
      <queryTableField id="12" name="VC" tableColumnId="12"/>
      <queryTableField id="13" name="VB1" tableColumnId="13"/>
      <queryTableField id="14" name="VB6" tableColumnId="14"/>
      <queryTableField id="15" name="VARA" tableColumnId="15"/>
      <queryTableField id="16" name="ACAR" tableColumnId="16"/>
      <queryTableField id="17" name="CRYP" tableColumnId="17"/>
      <queryTableField id="18" name="LYCO" tableColumnId="18"/>
      <queryTableField id="19" name="ATOC" tableColumnId="19"/>
      <queryTableField id="20" name="VK" tableColumnId="20"/>
      <queryTableField id="21" name="CHOLE" tableColumnId="21"/>
      <queryTableField id="22" name="VITD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37A14-8E47-4209-AC93-45F5B5C65EE5}" name="FI_Combined22_clase" displayName="FI_Combined22_clase" ref="A1:V13" tableType="queryTable" totalsRowCount="1" headerRowDxfId="47" dataDxfId="46">
  <autoFilter ref="A1:V12" xr:uid="{8BB76C4E-1466-4156-9EAE-B5C5150BC6B1}"/>
  <tableColumns count="22">
    <tableColumn id="1" xr3:uid="{AC725903-337F-4240-A3FE-9B58A88F5150}" uniqueName="1" name="PROT" queryTableFieldId="1" dataDxfId="69" totalsRowDxfId="21"/>
    <tableColumn id="2" xr3:uid="{401C91D7-2AE6-4EA2-8CFB-E88A105F0B1D}" uniqueName="2" name="TFAT" queryTableFieldId="2" dataDxfId="68" totalsRowDxfId="20"/>
    <tableColumn id="3" xr3:uid="{2A76AA28-C3A0-4CDE-9AEC-2592B8F1D1A7}" uniqueName="3" name="CARB" queryTableFieldId="3" dataDxfId="67" totalsRowDxfId="19"/>
    <tableColumn id="4" xr3:uid="{07F4E4C5-F0E9-4C8C-A04A-473C1D3178C6}" uniqueName="4" name="MOIS" queryTableFieldId="4" dataDxfId="66" totalsRowDxfId="18"/>
    <tableColumn id="5" xr3:uid="{F39D7B39-F8E9-4123-B03A-F993BD3E526A}" uniqueName="5" name="ALC" queryTableFieldId="5" dataDxfId="65" totalsRowDxfId="17"/>
    <tableColumn id="6" xr3:uid="{546A300B-5D3D-44F1-972D-CD2991A285BC}" uniqueName="6" name="CAFF" queryTableFieldId="6" dataDxfId="64" totalsRowDxfId="16"/>
    <tableColumn id="7" xr3:uid="{581EDCF5-C92D-43EF-8361-61A909B4EECD}" uniqueName="7" name="THEO" queryTableFieldId="7" dataDxfId="63" totalsRowDxfId="15"/>
    <tableColumn id="8" xr3:uid="{70F89FF0-E94C-4E02-81A2-9966DC5CFBE4}" uniqueName="8" name="CALC" queryTableFieldId="8" dataDxfId="62" totalsRowDxfId="14"/>
    <tableColumn id="9" xr3:uid="{E230B301-F0B8-4046-89C3-2C86019EA260}" uniqueName="9" name="MAGN" queryTableFieldId="9" dataDxfId="61" totalsRowDxfId="13"/>
    <tableColumn id="10" xr3:uid="{B5F2A1B3-37A7-46A8-88D3-4FD15195565A}" uniqueName="10" name="POTA" queryTableFieldId="10" dataDxfId="60" totalsRowDxfId="12"/>
    <tableColumn id="11" xr3:uid="{14C9CBB3-56B9-4AA4-AD5B-D55CA0F1B039}" uniqueName="11" name="ZINC" queryTableFieldId="11" dataDxfId="59" totalsRowDxfId="11"/>
    <tableColumn id="12" xr3:uid="{2E58B90B-E7B9-41E8-AABE-3741EBF0AFFE}" uniqueName="12" name="VC" queryTableFieldId="12" dataDxfId="58" totalsRowDxfId="10"/>
    <tableColumn id="13" xr3:uid="{0EFF3A64-B9F9-408D-BD20-0BC7B703DD3D}" uniqueName="13" name="VB1" queryTableFieldId="13" dataDxfId="57" totalsRowDxfId="9"/>
    <tableColumn id="14" xr3:uid="{513C0AAE-6489-4E26-907A-B91A9E572011}" uniqueName="14" name="VB6" queryTableFieldId="14" dataDxfId="56" totalsRowDxfId="8"/>
    <tableColumn id="15" xr3:uid="{45CD55CB-72B3-4242-B96D-C3218935A837}" uniqueName="15" name="VARA" queryTableFieldId="15" dataDxfId="55" totalsRowDxfId="7"/>
    <tableColumn id="16" xr3:uid="{E1F0F60C-47EE-4636-A905-91BF4D570044}" uniqueName="16" name="ACAR" queryTableFieldId="16" dataDxfId="54" totalsRowDxfId="6"/>
    <tableColumn id="17" xr3:uid="{F19D08BC-7852-4516-8F92-68FB5D3EA0A4}" uniqueName="17" name="CRYP" queryTableFieldId="17" dataDxfId="53" totalsRowDxfId="5"/>
    <tableColumn id="18" xr3:uid="{68B2A4B9-879A-4F70-BF80-4820268DE0AD}" uniqueName="18" name="LYCO" queryTableFieldId="18" dataDxfId="52" totalsRowDxfId="4"/>
    <tableColumn id="19" xr3:uid="{904CB3AF-297A-4542-950E-5DA58CB2C11F}" uniqueName="19" name="ATOC" queryTableFieldId="19" dataDxfId="51" totalsRowDxfId="3"/>
    <tableColumn id="20" xr3:uid="{DB8FCF93-2869-415D-879E-B402856221BF}" uniqueName="20" name="VK" queryTableFieldId="20" dataDxfId="50" totalsRowDxfId="2"/>
    <tableColumn id="21" xr3:uid="{725576D5-8CDA-4CCA-9076-887632DF0EA9}" uniqueName="21" name="CHOLE" queryTableFieldId="21" dataDxfId="49" totalsRowDxfId="1"/>
    <tableColumn id="22" xr3:uid="{0F9A2C09-4347-4E82-95C1-21D8B87205E0}" uniqueName="22" name="VITD" queryTableFieldId="22" dataDxfId="48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81288-2FFF-4A5B-80D2-6483B308AD0A}" name="FI_Combined22_especie" displayName="FI_Combined22_especie" ref="A1:V11" tableType="queryTable" totalsRowShown="0" headerRowDxfId="71" dataDxfId="70">
  <autoFilter ref="A1:V11" xr:uid="{A6C5DBDE-9B94-44DC-A060-7063FA50D70A}"/>
  <tableColumns count="22">
    <tableColumn id="1" xr3:uid="{914F621B-5803-4BD1-ACB8-779E5C660B73}" uniqueName="1" name="PROT" queryTableFieldId="1" dataDxfId="93"/>
    <tableColumn id="2" xr3:uid="{CF9B2E82-D4B9-42AB-A342-C8DF33318392}" uniqueName="2" name="TFAT" queryTableFieldId="2" dataDxfId="92"/>
    <tableColumn id="3" xr3:uid="{F615D99C-C8B7-4586-9E61-4F97EF216618}" uniqueName="3" name="CARB" queryTableFieldId="3" dataDxfId="91"/>
    <tableColumn id="4" xr3:uid="{065DDEA3-58E9-4DF7-AD74-A03518005527}" uniqueName="4" name="MOIS" queryTableFieldId="4" dataDxfId="90"/>
    <tableColumn id="5" xr3:uid="{5A34172C-DDD8-4D1E-B539-ACC092D88FF8}" uniqueName="5" name="ALC" queryTableFieldId="5" dataDxfId="89"/>
    <tableColumn id="6" xr3:uid="{2ACB445F-5DE8-438D-A619-C82CA2A62924}" uniqueName="6" name="CAFF" queryTableFieldId="6" dataDxfId="88"/>
    <tableColumn id="7" xr3:uid="{C69CC93A-4524-4F30-BDBE-F6D35902706B}" uniqueName="7" name="THEO" queryTableFieldId="7" dataDxfId="87"/>
    <tableColumn id="8" xr3:uid="{9FADC65C-7C99-4AA8-A1AA-CB97D7503BDC}" uniqueName="8" name="CALC" queryTableFieldId="8" dataDxfId="86"/>
    <tableColumn id="9" xr3:uid="{A62EDC17-F1D2-4D9B-8128-F5D4F9EB62EE}" uniqueName="9" name="MAGN" queryTableFieldId="9" dataDxfId="85"/>
    <tableColumn id="10" xr3:uid="{26223415-FFB0-4AB3-94B8-52AA84EFE164}" uniqueName="10" name="POTA" queryTableFieldId="10" dataDxfId="84"/>
    <tableColumn id="11" xr3:uid="{405A3DE1-C9CA-404E-80D7-2BA7EF971D3A}" uniqueName="11" name="ZINC" queryTableFieldId="11" dataDxfId="83"/>
    <tableColumn id="12" xr3:uid="{73FC38B6-4ABE-421E-9A42-90C82D9225D4}" uniqueName="12" name="VC" queryTableFieldId="12" dataDxfId="82"/>
    <tableColumn id="13" xr3:uid="{427B1F42-B352-48A2-BCE5-F3FF6DE15729}" uniqueName="13" name="VB1" queryTableFieldId="13" dataDxfId="81"/>
    <tableColumn id="14" xr3:uid="{5AEA4E2E-8442-4ABA-BB6B-CE5F4CCB84F7}" uniqueName="14" name="VB6" queryTableFieldId="14" dataDxfId="80"/>
    <tableColumn id="15" xr3:uid="{4C573FEF-85C5-4346-8473-464D1959CCEE}" uniqueName="15" name="VARA" queryTableFieldId="15" dataDxfId="79"/>
    <tableColumn id="16" xr3:uid="{3ADF8245-24C0-4F74-9056-920E1862E888}" uniqueName="16" name="ACAR" queryTableFieldId="16" dataDxfId="78"/>
    <tableColumn id="17" xr3:uid="{7AACD1B6-CB4A-4470-8D13-DBEEA880F30B}" uniqueName="17" name="CRYP" queryTableFieldId="17" dataDxfId="77"/>
    <tableColumn id="18" xr3:uid="{56D4E771-0CA5-4458-88AD-064D57B52EB4}" uniqueName="18" name="LYCO" queryTableFieldId="18" dataDxfId="76"/>
    <tableColumn id="19" xr3:uid="{9F0C1384-9BDE-4B80-866D-F362B3FBA4BD}" uniqueName="19" name="ATOC" queryTableFieldId="19" dataDxfId="75"/>
    <tableColumn id="20" xr3:uid="{F13EBB9C-641B-4D0F-85B8-B96BC22037A3}" uniqueName="20" name="VK" queryTableFieldId="20" dataDxfId="74"/>
    <tableColumn id="21" xr3:uid="{2097AAEA-A333-41F2-AF2B-900E7260A789}" uniqueName="21" name="CHOLE" queryTableFieldId="21" dataDxfId="73"/>
    <tableColumn id="22" xr3:uid="{C0559EA2-85DC-417B-9951-3074BCB22B13}" uniqueName="22" name="VITD" queryTableFieldId="22" dataDxfId="7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D5FF9A-FF66-473D-B9E5-D4780B7B96EE}" name="FI_Combined22_family" displayName="FI_Combined22_family" ref="A1:V11" tableType="queryTable" totalsRowShown="0" headerRowDxfId="95" dataDxfId="94">
  <autoFilter ref="A1:V11" xr:uid="{13E7CA52-96C2-4277-AED5-DD05F126C983}"/>
  <tableColumns count="22">
    <tableColumn id="1" xr3:uid="{0BE33822-9204-41A0-8B16-0478932E81FF}" uniqueName="1" name="PROT" queryTableFieldId="1" dataDxfId="117"/>
    <tableColumn id="2" xr3:uid="{65FF527C-B596-483B-8A59-918F93F551F5}" uniqueName="2" name="TFAT" queryTableFieldId="2" dataDxfId="116"/>
    <tableColumn id="3" xr3:uid="{59AFAF85-8A22-4DC3-B7B6-5E40502309A6}" uniqueName="3" name="CARB" queryTableFieldId="3" dataDxfId="115"/>
    <tableColumn id="4" xr3:uid="{19E72C5F-3D54-4607-9297-298AA0E6DC38}" uniqueName="4" name="MOIS" queryTableFieldId="4" dataDxfId="114"/>
    <tableColumn id="5" xr3:uid="{A9DBE9CA-CD1A-4C2E-9E8E-09FCCB484A3E}" uniqueName="5" name="ALC" queryTableFieldId="5" dataDxfId="113"/>
    <tableColumn id="6" xr3:uid="{0DB2C87E-052F-477F-BD23-0D03FE8B575A}" uniqueName="6" name="CAFF" queryTableFieldId="6" dataDxfId="112"/>
    <tableColumn id="7" xr3:uid="{6EDCEDC0-D974-4E4F-9725-12AC12982622}" uniqueName="7" name="THEO" queryTableFieldId="7" dataDxfId="111"/>
    <tableColumn id="8" xr3:uid="{F929259D-7D82-4223-B81B-3B2FEF203766}" uniqueName="8" name="CALC" queryTableFieldId="8" dataDxfId="110"/>
    <tableColumn id="9" xr3:uid="{F348FBF8-5BC5-44A8-BBB0-638D1F73AA02}" uniqueName="9" name="MAGN" queryTableFieldId="9" dataDxfId="109"/>
    <tableColumn id="10" xr3:uid="{962141E2-CE5C-4350-8BBE-7B95DA14498C}" uniqueName="10" name="POTA" queryTableFieldId="10" dataDxfId="108"/>
    <tableColumn id="11" xr3:uid="{FD28127D-F9DE-4B2A-A671-047FBBEBC138}" uniqueName="11" name="ZINC" queryTableFieldId="11" dataDxfId="107"/>
    <tableColumn id="12" xr3:uid="{3E22E7D2-71A9-4C8C-9835-2C566924CC0B}" uniqueName="12" name="VC" queryTableFieldId="12" dataDxfId="106"/>
    <tableColumn id="13" xr3:uid="{142E5D31-AB40-4015-B491-0E804D332A74}" uniqueName="13" name="VB1" queryTableFieldId="13" dataDxfId="105"/>
    <tableColumn id="14" xr3:uid="{27EE2E05-2A29-41F4-B676-BA851A54D6A5}" uniqueName="14" name="VB6" queryTableFieldId="14" dataDxfId="104"/>
    <tableColumn id="15" xr3:uid="{A02470B3-26FA-43FF-8F55-00C99DD5CA9D}" uniqueName="15" name="VARA" queryTableFieldId="15" dataDxfId="103"/>
    <tableColumn id="16" xr3:uid="{508E3EF3-0212-48B5-908D-2BDEB8C1B11D}" uniqueName="16" name="ACAR" queryTableFieldId="16" dataDxfId="102"/>
    <tableColumn id="17" xr3:uid="{FE580CBE-06BD-4C9C-907D-4F17E1900FB7}" uniqueName="17" name="CRYP" queryTableFieldId="17" dataDxfId="101"/>
    <tableColumn id="18" xr3:uid="{E631ECE4-1CF0-4BE0-87CD-23BAC2A545CE}" uniqueName="18" name="LYCO" queryTableFieldId="18" dataDxfId="100"/>
    <tableColumn id="19" xr3:uid="{4CB55ACD-1F70-4C57-9D99-C5F5806250D8}" uniqueName="19" name="ATOC" queryTableFieldId="19" dataDxfId="99"/>
    <tableColumn id="20" xr3:uid="{4098BBE8-8A6D-446C-B261-0E83ECAE4644}" uniqueName="20" name="VK" queryTableFieldId="20" dataDxfId="98"/>
    <tableColumn id="21" xr3:uid="{CFED7DEA-DB96-41D2-AE07-E0FF7BC19E28}" uniqueName="21" name="CHOLE" queryTableFieldId="21" dataDxfId="97"/>
    <tableColumn id="22" xr3:uid="{6FFD39F3-417A-475E-A372-07502CB358E0}" uniqueName="22" name="VITD" queryTableFieldId="22" dataDxfId="9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25500-99E2-4FCE-A8CE-871626AB1992}" name="FI_Combined22_filo" displayName="FI_Combined22_filo" ref="A1:V11" tableType="queryTable" totalsRowShown="0" headerRowDxfId="119" dataDxfId="118">
  <autoFilter ref="A1:V11" xr:uid="{A1B2360B-3BDA-4227-A1DC-DFD1BBBEC4C2}"/>
  <tableColumns count="22">
    <tableColumn id="1" xr3:uid="{CFD22AD2-0F45-499A-8B0F-5399871D576D}" uniqueName="1" name="PROT" queryTableFieldId="1" dataDxfId="141"/>
    <tableColumn id="2" xr3:uid="{9BB06772-26C0-4AD3-8FF0-0107FCB5358B}" uniqueName="2" name="TFAT" queryTableFieldId="2" dataDxfId="140"/>
    <tableColumn id="3" xr3:uid="{CA60655C-76BB-4797-BF0A-4499B421505D}" uniqueName="3" name="CARB" queryTableFieldId="3" dataDxfId="139"/>
    <tableColumn id="4" xr3:uid="{1E961476-4C25-4F48-94AF-7626B4624171}" uniqueName="4" name="MOIS" queryTableFieldId="4" dataDxfId="138"/>
    <tableColumn id="5" xr3:uid="{B3961EBF-ED57-4ED1-982C-13EE06A23C44}" uniqueName="5" name="ALC" queryTableFieldId="5" dataDxfId="137"/>
    <tableColumn id="6" xr3:uid="{43E5DB0E-752E-4554-9885-6B88E67CEA58}" uniqueName="6" name="CAFF" queryTableFieldId="6" dataDxfId="136"/>
    <tableColumn id="7" xr3:uid="{D81192ED-8928-4655-BE5F-66297495C0EC}" uniqueName="7" name="THEO" queryTableFieldId="7" dataDxfId="135"/>
    <tableColumn id="8" xr3:uid="{A8EA6C88-9352-4239-BCEB-B4EFAFD1898B}" uniqueName="8" name="CALC" queryTableFieldId="8" dataDxfId="134"/>
    <tableColumn id="9" xr3:uid="{28CE681F-A59C-4BA2-BAFA-8B2AFFB29C0E}" uniqueName="9" name="MAGN" queryTableFieldId="9" dataDxfId="133"/>
    <tableColumn id="10" xr3:uid="{698730BD-4212-4DAE-88BC-E0393A8E951C}" uniqueName="10" name="POTA" queryTableFieldId="10" dataDxfId="132"/>
    <tableColumn id="11" xr3:uid="{23EF6FE8-E498-464F-87BE-80C0BC802609}" uniqueName="11" name="ZINC" queryTableFieldId="11" dataDxfId="131"/>
    <tableColumn id="12" xr3:uid="{DDDD25B3-EF3F-4057-B695-A174C59637B4}" uniqueName="12" name="VC" queryTableFieldId="12" dataDxfId="130"/>
    <tableColumn id="13" xr3:uid="{3964E8C4-BD81-4173-B1F5-761460FDE7B4}" uniqueName="13" name="VB1" queryTableFieldId="13" dataDxfId="129"/>
    <tableColumn id="14" xr3:uid="{65FEC49A-0934-49E9-92B3-8BD97F297D26}" uniqueName="14" name="VB6" queryTableFieldId="14" dataDxfId="128"/>
    <tableColumn id="15" xr3:uid="{E84F4021-37B0-4BED-BF8F-AED6AC706E2C}" uniqueName="15" name="VARA" queryTableFieldId="15" dataDxfId="127"/>
    <tableColumn id="16" xr3:uid="{6F4D0157-03AB-4BC7-92EF-D09815908541}" uniqueName="16" name="ACAR" queryTableFieldId="16" dataDxfId="126"/>
    <tableColumn id="17" xr3:uid="{38508BF6-9914-49F7-88F4-50BC185AD201}" uniqueName="17" name="CRYP" queryTableFieldId="17" dataDxfId="125"/>
    <tableColumn id="18" xr3:uid="{B5F3F4EA-41F1-4985-9C02-E98A8F1486B7}" uniqueName="18" name="LYCO" queryTableFieldId="18" dataDxfId="124"/>
    <tableColumn id="19" xr3:uid="{7CF6FC60-1651-4DCA-B5E2-DD967B0EEF72}" uniqueName="19" name="ATOC" queryTableFieldId="19" dataDxfId="123"/>
    <tableColumn id="20" xr3:uid="{7D3B8EC9-5C1F-4063-A55B-95145CAEEB2E}" uniqueName="20" name="VK" queryTableFieldId="20" dataDxfId="122"/>
    <tableColumn id="21" xr3:uid="{33E7ACDF-3C9E-4696-A047-847DED4909B1}" uniqueName="21" name="CHOLE" queryTableFieldId="21" dataDxfId="121"/>
    <tableColumn id="22" xr3:uid="{94970415-1537-427C-BE84-A912909C1EA7}" uniqueName="22" name="VITD" queryTableFieldId="22" dataDxfId="1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3E8DF4-1579-424D-A706-428A9A59FF75}" name="FI_Combined22_genus" displayName="FI_Combined22_genus" ref="A1:V11" tableType="queryTable" totalsRowShown="0" headerRowDxfId="45" dataDxfId="44">
  <autoFilter ref="A1:V11" xr:uid="{C40660CD-F991-4618-9CC6-99DC71B3DDC3}"/>
  <tableColumns count="22">
    <tableColumn id="1" xr3:uid="{E591B6D6-AFA0-4E88-B3C6-DE223F92A2C8}" uniqueName="1" name="PROT" queryTableFieldId="1" dataDxfId="43"/>
    <tableColumn id="2" xr3:uid="{ACEC4D75-8D16-4EDD-980F-699CE8E688E3}" uniqueName="2" name="TFAT" queryTableFieldId="2" dataDxfId="42"/>
    <tableColumn id="3" xr3:uid="{BE63B6BD-B943-4BDC-B3CC-EC35E47FCC6F}" uniqueName="3" name="CARB" queryTableFieldId="3" dataDxfId="41"/>
    <tableColumn id="4" xr3:uid="{F4D9AC2E-E725-4186-A448-788442A9AF4B}" uniqueName="4" name="MOIS" queryTableFieldId="4" dataDxfId="40"/>
    <tableColumn id="5" xr3:uid="{6532829D-209F-419C-8140-F8296EACFDF7}" uniqueName="5" name="ALC" queryTableFieldId="5" dataDxfId="39"/>
    <tableColumn id="6" xr3:uid="{057E6EA6-CCD4-4F08-9842-40302177999A}" uniqueName="6" name="CAFF" queryTableFieldId="6" dataDxfId="38"/>
    <tableColumn id="7" xr3:uid="{3F4B0344-319B-47BB-9AFB-89F986ED9858}" uniqueName="7" name="THEO" queryTableFieldId="7" dataDxfId="37"/>
    <tableColumn id="8" xr3:uid="{4776B6D1-1CBC-47B6-BEDB-7EC7522D3B1C}" uniqueName="8" name="CALC" queryTableFieldId="8" dataDxfId="36"/>
    <tableColumn id="9" xr3:uid="{BFC4686B-86C4-4626-8D9D-B39C59C58F35}" uniqueName="9" name="MAGN" queryTableFieldId="9" dataDxfId="35"/>
    <tableColumn id="10" xr3:uid="{B5ECD9D7-B936-4C99-95CA-EF89DCFB5CA7}" uniqueName="10" name="POTA" queryTableFieldId="10" dataDxfId="34"/>
    <tableColumn id="11" xr3:uid="{BE400EB4-5613-4707-A9C8-55D321AB9E3B}" uniqueName="11" name="ZINC" queryTableFieldId="11" dataDxfId="33"/>
    <tableColumn id="12" xr3:uid="{B5550D45-D165-4E0D-87F5-55351AFB7539}" uniqueName="12" name="VC" queryTableFieldId="12" dataDxfId="32"/>
    <tableColumn id="13" xr3:uid="{60F34CF5-D99F-4153-8CAD-E287063E816C}" uniqueName="13" name="VB1" queryTableFieldId="13" dataDxfId="31"/>
    <tableColumn id="14" xr3:uid="{46DAE931-07B2-44B5-A4DA-DE42C4C3A72D}" uniqueName="14" name="VB6" queryTableFieldId="14" dataDxfId="30"/>
    <tableColumn id="15" xr3:uid="{D206FFD7-C5F5-4409-BA05-9058C821AF23}" uniqueName="15" name="VARA" queryTableFieldId="15" dataDxfId="29"/>
    <tableColumn id="16" xr3:uid="{B51F029B-AE8B-48E1-B71C-FF081AA60D6D}" uniqueName="16" name="ACAR" queryTableFieldId="16" dataDxfId="28"/>
    <tableColumn id="17" xr3:uid="{70AACFB1-004E-4DC7-BF57-79ADEBD3CEA5}" uniqueName="17" name="CRYP" queryTableFieldId="17" dataDxfId="27"/>
    <tableColumn id="18" xr3:uid="{867E6E57-6142-46C8-B6C5-D8387DCE0F7D}" uniqueName="18" name="LYCO" queryTableFieldId="18" dataDxfId="26"/>
    <tableColumn id="19" xr3:uid="{6859E4CD-6A79-4C22-A42D-11844B305AFF}" uniqueName="19" name="ATOC" queryTableFieldId="19" dataDxfId="25"/>
    <tableColumn id="20" xr3:uid="{507FBD1F-2914-43AD-AC02-8301607C34C3}" uniqueName="20" name="VK" queryTableFieldId="20" dataDxfId="24"/>
    <tableColumn id="21" xr3:uid="{93225A33-B0B2-48F7-851A-803B18AF2DA3}" uniqueName="21" name="CHOLE" queryTableFieldId="21" dataDxfId="23"/>
    <tableColumn id="22" xr3:uid="{18C51CC5-857C-46C7-8B11-240F8F3E324C}" uniqueName="22" name="VITD" queryTableFieldId="22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6387A3-11C8-4EBD-B9A2-32A2DEFE4997}" name="FI_Combined22_orden" displayName="FI_Combined22_orden" ref="A1:V11" tableType="queryTable" totalsRowShown="0" headerRowDxfId="143" dataDxfId="142">
  <autoFilter ref="A1:V11" xr:uid="{0FB80546-6EF9-4B36-A224-BDCDFF28E9FA}"/>
  <tableColumns count="22">
    <tableColumn id="1" xr3:uid="{6146DAF2-8F47-474E-913B-BFA13D90DE8A}" uniqueName="1" name="PROT" queryTableFieldId="1" dataDxfId="165"/>
    <tableColumn id="2" xr3:uid="{CBC2B119-C9AD-4775-B7CD-1663878032BA}" uniqueName="2" name="TFAT" queryTableFieldId="2" dataDxfId="164"/>
    <tableColumn id="3" xr3:uid="{72595710-A201-4B62-A8FD-7F77AB806AC3}" uniqueName="3" name="CARB" queryTableFieldId="3" dataDxfId="163"/>
    <tableColumn id="4" xr3:uid="{4EBE9C01-63AF-4DC6-AB6F-29BA447DF4D4}" uniqueName="4" name="MOIS" queryTableFieldId="4" dataDxfId="162"/>
    <tableColumn id="5" xr3:uid="{56A090DB-D0C3-4081-9FC4-AC321462EF43}" uniqueName="5" name="ALC" queryTableFieldId="5" dataDxfId="161"/>
    <tableColumn id="6" xr3:uid="{AD5B4570-F0FB-4B06-AB5B-A7A44A80DD7E}" uniqueName="6" name="CAFF" queryTableFieldId="6" dataDxfId="160"/>
    <tableColumn id="7" xr3:uid="{586B999F-3F73-4466-80F6-0936987369EA}" uniqueName="7" name="THEO" queryTableFieldId="7" dataDxfId="159"/>
    <tableColumn id="8" xr3:uid="{8011B24C-2E96-452A-B3F9-95376C76924E}" uniqueName="8" name="CALC" queryTableFieldId="8" dataDxfId="158"/>
    <tableColumn id="9" xr3:uid="{96E20BFD-A78A-433B-BD70-95EAE510BEA0}" uniqueName="9" name="MAGN" queryTableFieldId="9" dataDxfId="157"/>
    <tableColumn id="10" xr3:uid="{C3480056-0E45-40DB-99A6-65A8D73D88C9}" uniqueName="10" name="POTA" queryTableFieldId="10" dataDxfId="156"/>
    <tableColumn id="11" xr3:uid="{9B630D35-1BE1-4CCC-9538-2E99E1409CA4}" uniqueName="11" name="ZINC" queryTableFieldId="11" dataDxfId="155"/>
    <tableColumn id="12" xr3:uid="{7F8C01F4-E41A-4122-85A9-06A30406849D}" uniqueName="12" name="VC" queryTableFieldId="12" dataDxfId="154"/>
    <tableColumn id="13" xr3:uid="{BA13161F-12FB-4A38-8040-0D48FE5B6A6D}" uniqueName="13" name="VB1" queryTableFieldId="13" dataDxfId="153"/>
    <tableColumn id="14" xr3:uid="{3725E4C5-D857-482B-8F5F-E3B2DB05479E}" uniqueName="14" name="VB6" queryTableFieldId="14" dataDxfId="152"/>
    <tableColumn id="15" xr3:uid="{2846F097-60F0-482B-ACED-294B05A0808A}" uniqueName="15" name="VARA" queryTableFieldId="15" dataDxfId="151"/>
    <tableColumn id="16" xr3:uid="{7FB74AA9-3F0C-49B2-B978-2D23D88D7009}" uniqueName="16" name="ACAR" queryTableFieldId="16" dataDxfId="150"/>
    <tableColumn id="17" xr3:uid="{8A4CF61F-928E-4B64-994B-A046B88D350F}" uniqueName="17" name="CRYP" queryTableFieldId="17" dataDxfId="149"/>
    <tableColumn id="18" xr3:uid="{74FFB548-9E73-4374-A101-DBF9BF8128DF}" uniqueName="18" name="LYCO" queryTableFieldId="18" dataDxfId="148"/>
    <tableColumn id="19" xr3:uid="{DFE709AB-2012-4B17-AFC9-E4C9FFA2E4F1}" uniqueName="19" name="ATOC" queryTableFieldId="19" dataDxfId="147"/>
    <tableColumn id="20" xr3:uid="{E2A36224-2C35-4458-9AB0-6ACF7DD84781}" uniqueName="20" name="VK" queryTableFieldId="20" dataDxfId="146"/>
    <tableColumn id="21" xr3:uid="{A05546B9-7769-4494-A06F-80B0698C0A9E}" uniqueName="21" name="CHOLE" queryTableFieldId="21" dataDxfId="145"/>
    <tableColumn id="22" xr3:uid="{AFBB8695-70F7-4C93-A1E8-F5E43768CA92}" uniqueName="22" name="VITD" queryTableFieldId="22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2AA4-3F64-4CA9-B7F7-F43E16B9F338}">
  <dimension ref="A1:V17"/>
  <sheetViews>
    <sheetView workbookViewId="0">
      <selection activeCell="A16" sqref="A16"/>
    </sheetView>
  </sheetViews>
  <sheetFormatPr baseColWidth="10" defaultRowHeight="14.5" x14ac:dyDescent="0.35"/>
  <cols>
    <col min="1" max="1" width="23.1796875" style="1" bestFit="1" customWidth="1"/>
    <col min="2" max="2" width="22.1796875" style="1" bestFit="1" customWidth="1"/>
    <col min="3" max="3" width="23.1796875" style="1" bestFit="1" customWidth="1"/>
    <col min="4" max="5" width="22.1796875" style="1" bestFit="1" customWidth="1"/>
    <col min="6" max="6" width="22.54296875" style="1" bestFit="1" customWidth="1"/>
    <col min="7" max="8" width="23.1796875" style="1" bestFit="1" customWidth="1"/>
    <col min="9" max="9" width="22.81640625" style="1" bestFit="1" customWidth="1"/>
    <col min="10" max="10" width="23.1796875" style="1" bestFit="1" customWidth="1"/>
    <col min="11" max="11" width="21.54296875" style="1" bestFit="1" customWidth="1"/>
    <col min="12" max="12" width="23.1796875" style="1" bestFit="1" customWidth="1"/>
    <col min="13" max="14" width="21.54296875" style="1" bestFit="1" customWidth="1"/>
    <col min="15" max="15" width="23.1796875" style="1" bestFit="1" customWidth="1"/>
    <col min="16" max="17" width="21.54296875" style="1" bestFit="1" customWidth="1"/>
    <col min="18" max="21" width="22.1796875" style="1" bestFit="1" customWidth="1"/>
    <col min="22" max="22" width="21.5429687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-1.01543962955474E-4</v>
      </c>
      <c r="B2" s="1">
        <v>-1.61664932966232E-3</v>
      </c>
      <c r="C2" s="1">
        <v>-2.2346004843711801E-3</v>
      </c>
      <c r="D2" s="1">
        <v>-6.5550208091735796E-3</v>
      </c>
      <c r="E2" s="1">
        <v>-2.44032591581344E-3</v>
      </c>
      <c r="F2" s="1">
        <v>2.4227276444435098E-3</v>
      </c>
      <c r="G2" s="1">
        <v>-1.3890862464904701E-3</v>
      </c>
      <c r="H2" s="1">
        <v>-1.7328038811683601E-3</v>
      </c>
      <c r="I2" s="1">
        <v>1.2521371245384199E-3</v>
      </c>
      <c r="J2" s="1">
        <v>1.1959522962570099E-3</v>
      </c>
      <c r="K2" s="1">
        <v>1.3232752680778499E-3</v>
      </c>
      <c r="L2" s="1">
        <v>2.9638186097144998E-3</v>
      </c>
      <c r="M2" s="1">
        <v>9.35949385166168E-4</v>
      </c>
      <c r="N2" s="1">
        <v>1.35580450296401E-3</v>
      </c>
      <c r="O2" s="1">
        <v>1.8244385719299299E-3</v>
      </c>
      <c r="P2" s="1">
        <v>2.3602843284606899E-3</v>
      </c>
      <c r="Q2" s="1">
        <v>4.9150958657264701E-3</v>
      </c>
      <c r="R2" s="1">
        <v>-6.9578438997268599E-3</v>
      </c>
      <c r="S2" s="1">
        <v>-1.0019168257713301E-3</v>
      </c>
      <c r="T2" s="1">
        <v>-4.3117627501487697E-3</v>
      </c>
      <c r="U2" s="1">
        <v>-3.50973010063171E-3</v>
      </c>
      <c r="V2" s="1">
        <v>3.09555977582931E-3</v>
      </c>
    </row>
    <row r="3" spans="1:22" x14ac:dyDescent="0.35">
      <c r="A3" s="1">
        <v>-1.4414787292480399E-3</v>
      </c>
      <c r="B3" s="1">
        <v>-9.7860395908355691E-4</v>
      </c>
      <c r="C3" s="1">
        <v>-1.8431171774864099E-3</v>
      </c>
      <c r="D3" s="1">
        <v>-2.3706704378128E-3</v>
      </c>
      <c r="E3" s="1">
        <v>-2.4354159832000702E-3</v>
      </c>
      <c r="F3" s="1">
        <v>-1.1698231101036E-3</v>
      </c>
      <c r="G3" s="1">
        <v>-1.45022571086883E-3</v>
      </c>
      <c r="H3" s="1">
        <v>3.9413571357727002E-4</v>
      </c>
      <c r="I3" s="1">
        <v>1.15338712930679E-3</v>
      </c>
      <c r="J3" s="1">
        <v>4.5170783996581997E-3</v>
      </c>
      <c r="K3" s="1">
        <v>9.5984339714050195E-4</v>
      </c>
      <c r="L3" s="1">
        <v>1.1108517646789501E-3</v>
      </c>
      <c r="M3" s="1">
        <v>9.8139047622680599E-4</v>
      </c>
      <c r="N3" s="1">
        <v>1.41892582178115E-3</v>
      </c>
      <c r="O3" s="1">
        <v>1.4155358076095501E-3</v>
      </c>
      <c r="P3" s="1">
        <v>2.5574490427970799E-3</v>
      </c>
      <c r="Q3" s="1">
        <v>6.7514851689338597E-3</v>
      </c>
      <c r="R3" s="1">
        <v>3.02796810865402E-3</v>
      </c>
      <c r="S3" s="1">
        <v>-9.7040086984634399E-4</v>
      </c>
      <c r="T3" s="1">
        <v>-1.4086887240409799E-3</v>
      </c>
      <c r="U3" s="1">
        <v>-7.3938071727752599E-4</v>
      </c>
      <c r="V3" s="1">
        <v>2.9342100024223302E-3</v>
      </c>
    </row>
    <row r="4" spans="1:22" x14ac:dyDescent="0.35">
      <c r="A4" s="1">
        <v>-1.5467405319213799E-5</v>
      </c>
      <c r="B4" s="1">
        <v>-1.45988911390304E-3</v>
      </c>
      <c r="C4" s="1">
        <v>-2.5761276483535702E-3</v>
      </c>
      <c r="D4" s="1">
        <v>-2.2578835487365701E-3</v>
      </c>
      <c r="E4" s="1">
        <v>-2.8505846858024502E-3</v>
      </c>
      <c r="F4" s="1">
        <v>1.7292648553848199E-3</v>
      </c>
      <c r="G4" s="1">
        <v>-1.26419216394424E-3</v>
      </c>
      <c r="H4" s="1">
        <v>-4.3014734983444197E-3</v>
      </c>
      <c r="I4" s="1">
        <v>-1.8685311079025199E-3</v>
      </c>
      <c r="J4" s="1">
        <v>7.8459829092025703E-4</v>
      </c>
      <c r="K4" s="1">
        <v>1.30719691514968E-3</v>
      </c>
      <c r="L4" s="1">
        <v>1.4439150691032401E-3</v>
      </c>
      <c r="M4" s="1">
        <v>1.0696798563003501E-3</v>
      </c>
      <c r="N4" s="1">
        <v>1.3317167758941601E-3</v>
      </c>
      <c r="O4" s="1">
        <v>1.0320395231246901E-3</v>
      </c>
      <c r="P4" s="1">
        <v>2.9309093952178899E-3</v>
      </c>
      <c r="Q4" s="1">
        <v>4.9337670207023603E-3</v>
      </c>
      <c r="R4" s="1">
        <v>5.2641704678535401E-3</v>
      </c>
      <c r="S4" s="1">
        <v>-1.67950987815856E-3</v>
      </c>
      <c r="T4" s="1">
        <v>-7.2029009461402798E-3</v>
      </c>
      <c r="U4" s="1">
        <v>-4.0449202060699402E-3</v>
      </c>
      <c r="V4" s="1">
        <v>3.3448338508605901E-3</v>
      </c>
    </row>
    <row r="5" spans="1:22" x14ac:dyDescent="0.35">
      <c r="A5" s="1">
        <v>-4.6704709529876698E-4</v>
      </c>
      <c r="B5" s="1">
        <v>-5.5998563766479395E-4</v>
      </c>
      <c r="C5" s="1">
        <v>-6.2720477581024105E-4</v>
      </c>
      <c r="D5" s="1">
        <v>-1.77701562643051E-3</v>
      </c>
      <c r="E5" s="1">
        <v>-2.6037395000457699E-3</v>
      </c>
      <c r="F5" s="1">
        <v>1.7298758029937701E-3</v>
      </c>
      <c r="G5" s="1">
        <v>-1.5105307102203299E-4</v>
      </c>
      <c r="H5" s="1">
        <v>2.11551785469055E-3</v>
      </c>
      <c r="I5" s="1">
        <v>7.7378749847412099E-4</v>
      </c>
      <c r="J5" s="1">
        <v>-4.2386353015899599E-4</v>
      </c>
      <c r="K5" s="1">
        <v>1.5067681670188899E-3</v>
      </c>
      <c r="L5" s="1">
        <v>5.6008994579315099E-4</v>
      </c>
      <c r="M5" s="1">
        <v>9.9818408489227295E-4</v>
      </c>
      <c r="N5" s="1">
        <v>1.3928338885307299E-3</v>
      </c>
      <c r="O5" s="1">
        <v>3.8056001067161499E-3</v>
      </c>
      <c r="P5" s="1">
        <v>6.7598968744277902E-3</v>
      </c>
      <c r="Q5" s="1">
        <v>5.3893402218818604E-3</v>
      </c>
      <c r="R5" s="1">
        <v>7.1302503347396799E-3</v>
      </c>
      <c r="S5" s="1">
        <v>-9.6686184406280496E-4</v>
      </c>
      <c r="T5" s="1">
        <v>-5.4223760962486198E-3</v>
      </c>
      <c r="U5" s="1">
        <v>3.0868500471115101E-4</v>
      </c>
      <c r="V5" s="1">
        <v>3.28410416841506E-3</v>
      </c>
    </row>
    <row r="6" spans="1:22" x14ac:dyDescent="0.35">
      <c r="A6" s="1">
        <v>-1.7429888248443601E-4</v>
      </c>
      <c r="B6" s="1">
        <v>-1.13821774721145E-3</v>
      </c>
      <c r="C6" s="1">
        <v>-2.10669636726379E-3</v>
      </c>
      <c r="D6" s="1">
        <v>-6.6044554114341701E-3</v>
      </c>
      <c r="E6" s="1">
        <v>-2.2682920098304701E-3</v>
      </c>
      <c r="F6" s="1">
        <v>1.9463151693344101E-3</v>
      </c>
      <c r="G6" s="1">
        <v>4.7408044338226298E-5</v>
      </c>
      <c r="H6" s="1">
        <v>2.82178074121475E-3</v>
      </c>
      <c r="I6" s="1">
        <v>-7.2196125984191801E-6</v>
      </c>
      <c r="J6" s="1">
        <v>-2.33350694179534E-3</v>
      </c>
      <c r="K6" s="1">
        <v>1.0963231325149499E-3</v>
      </c>
      <c r="L6" s="1">
        <v>-1.3472884893417299E-4</v>
      </c>
      <c r="M6" s="1">
        <v>1.0030865669250399E-3</v>
      </c>
      <c r="N6" s="1">
        <v>1.44329667091369E-3</v>
      </c>
      <c r="O6" s="1">
        <v>1.9761994481086701E-3</v>
      </c>
      <c r="P6" s="1">
        <v>1.7978325486183099E-3</v>
      </c>
      <c r="Q6" s="1">
        <v>6.8754032254219003E-3</v>
      </c>
      <c r="R6" s="1">
        <v>6.1314180493354797E-3</v>
      </c>
      <c r="S6" s="1">
        <v>-1.1949092149734399E-3</v>
      </c>
      <c r="T6" s="1">
        <v>-2.1456852555274898E-3</v>
      </c>
      <c r="U6" s="1">
        <v>-2.41504609584808E-3</v>
      </c>
      <c r="V6" s="1">
        <v>3.3916458487510599E-3</v>
      </c>
    </row>
    <row r="7" spans="1:22" x14ac:dyDescent="0.35">
      <c r="A7" s="1">
        <v>1.09125673770904E-3</v>
      </c>
      <c r="B7" s="1">
        <v>-7.2487443685531605E-4</v>
      </c>
      <c r="C7" s="1">
        <v>-2.5756210088729802E-3</v>
      </c>
      <c r="D7" s="1">
        <v>-6.26412779092788E-3</v>
      </c>
      <c r="E7" s="1">
        <v>-2.6518255472183202E-3</v>
      </c>
      <c r="F7" s="1">
        <v>-2.22688913345336E-3</v>
      </c>
      <c r="G7" s="1">
        <v>1.02818012237548E-6</v>
      </c>
      <c r="H7" s="1">
        <v>-2.1765083074569702E-3</v>
      </c>
      <c r="I7" s="1">
        <v>2.43862718343734E-3</v>
      </c>
      <c r="J7" s="1">
        <v>-1.4625415205955501E-3</v>
      </c>
      <c r="K7" s="1">
        <v>1.51710212230682E-3</v>
      </c>
      <c r="L7" s="1">
        <v>1.28138810396194E-3</v>
      </c>
      <c r="M7" s="1">
        <v>9.5073133707046498E-4</v>
      </c>
      <c r="N7" s="1">
        <v>1.3771355152130101E-3</v>
      </c>
      <c r="O7" s="1">
        <v>2.8634518384933398E-3</v>
      </c>
      <c r="P7" s="1">
        <v>7.39011168479919E-3</v>
      </c>
      <c r="Q7" s="1">
        <v>5.9008523821830697E-3</v>
      </c>
      <c r="R7" s="1">
        <v>3.1764283776283199E-3</v>
      </c>
      <c r="S7" s="1">
        <v>-1.6624778509139999E-3</v>
      </c>
      <c r="T7" s="1">
        <v>-2.3289248347282401E-3</v>
      </c>
      <c r="U7" s="1">
        <v>1.82823836803436E-3</v>
      </c>
      <c r="V7" s="1">
        <v>3.2122433185577302E-3</v>
      </c>
    </row>
    <row r="8" spans="1:22" x14ac:dyDescent="0.35">
      <c r="A8" s="1">
        <v>-1.63552165031433E-3</v>
      </c>
      <c r="B8" s="1">
        <v>-1.3843774795532201E-3</v>
      </c>
      <c r="C8" s="1">
        <v>-4.1622668504714901E-4</v>
      </c>
      <c r="D8" s="1">
        <v>-7.8119486570358198E-3</v>
      </c>
      <c r="E8" s="1">
        <v>-2.0390897989273002E-3</v>
      </c>
      <c r="F8" s="1">
        <v>2.1988973021507198E-3</v>
      </c>
      <c r="G8" s="1">
        <v>-1.94712728261947E-3</v>
      </c>
      <c r="H8" s="1">
        <v>-1.4073401689529399E-3</v>
      </c>
      <c r="I8" s="1">
        <v>-5.9428066015243498E-4</v>
      </c>
      <c r="J8" s="1">
        <v>-2.51244008541107E-3</v>
      </c>
      <c r="K8" s="1">
        <v>1.3273507356643601E-3</v>
      </c>
      <c r="L8" s="1">
        <v>2.6236027479171701E-3</v>
      </c>
      <c r="M8" s="1">
        <v>9.7206234931945801E-4</v>
      </c>
      <c r="N8" s="1">
        <v>1.0913312435150101E-3</v>
      </c>
      <c r="O8" s="1">
        <v>3.5736933350563002E-3</v>
      </c>
      <c r="P8" s="1">
        <v>3.5451352596282898E-3</v>
      </c>
      <c r="Q8" s="1">
        <v>6.4606368541717503E-3</v>
      </c>
      <c r="R8" s="1">
        <v>-4.0001124143600403E-3</v>
      </c>
      <c r="S8" s="1">
        <v>-1.1134669184684699E-3</v>
      </c>
      <c r="T8" s="1">
        <v>-6.3168257474899197E-3</v>
      </c>
      <c r="U8" s="1">
        <v>-6.4462423324584907E-5</v>
      </c>
      <c r="V8" s="1">
        <v>3.4730210900306702E-3</v>
      </c>
    </row>
    <row r="9" spans="1:22" x14ac:dyDescent="0.35">
      <c r="A9" s="1">
        <v>-1.6162618994712799E-3</v>
      </c>
      <c r="B9" s="1">
        <v>-1.90526992082595E-3</v>
      </c>
      <c r="C9" s="1">
        <v>-1.07484310865402E-3</v>
      </c>
      <c r="D9" s="1">
        <v>-6.79105520248413E-3</v>
      </c>
      <c r="E9" s="1">
        <v>-2.1737441420555102E-3</v>
      </c>
      <c r="F9" s="1">
        <v>1.9982457160949699E-4</v>
      </c>
      <c r="G9" s="1">
        <v>-4.8287212848663298E-4</v>
      </c>
      <c r="H9" s="1">
        <v>1.1220872402191099E-3</v>
      </c>
      <c r="I9" s="1">
        <v>2.8402730822563102E-3</v>
      </c>
      <c r="J9" s="1">
        <v>-1.4428794384002599E-4</v>
      </c>
      <c r="K9" s="1">
        <v>1.4316290616989101E-3</v>
      </c>
      <c r="L9" s="1">
        <v>6.6826492547988805E-4</v>
      </c>
      <c r="M9" s="1">
        <v>1.0409876704215999E-3</v>
      </c>
      <c r="N9" s="1">
        <v>1.4475807547569199E-3</v>
      </c>
      <c r="O9" s="1">
        <v>-9.8231434822082498E-4</v>
      </c>
      <c r="P9" s="1">
        <v>1.12747400999069E-3</v>
      </c>
      <c r="Q9" s="1">
        <v>5.20047545433044E-3</v>
      </c>
      <c r="R9" s="1">
        <v>3.77289950847625E-3</v>
      </c>
      <c r="S9" s="1">
        <v>-1.1772364377975401E-3</v>
      </c>
      <c r="T9" s="1">
        <v>6.7660957574844295E-4</v>
      </c>
      <c r="U9" s="1">
        <v>8.6461007595062202E-4</v>
      </c>
      <c r="V9" s="1">
        <v>3.5831108689308101E-3</v>
      </c>
    </row>
    <row r="10" spans="1:22" x14ac:dyDescent="0.35">
      <c r="A10" s="1">
        <v>-1.4994069933891201E-3</v>
      </c>
      <c r="B10" s="1">
        <v>-1.94381177425384E-3</v>
      </c>
      <c r="C10" s="1">
        <v>-2.4262890219688398E-3</v>
      </c>
      <c r="D10" s="1">
        <v>-5.0861388444900504E-3</v>
      </c>
      <c r="E10" s="1">
        <v>-2.57329642772674E-3</v>
      </c>
      <c r="F10" s="1">
        <v>2.0585209131240801E-3</v>
      </c>
      <c r="G10" s="1">
        <v>-4.3510645627975399E-4</v>
      </c>
      <c r="H10" s="1">
        <v>-1.2962520122528E-4</v>
      </c>
      <c r="I10" s="1">
        <v>9.9534541368484497E-4</v>
      </c>
      <c r="J10" s="1">
        <v>-1.5272796154022199E-3</v>
      </c>
      <c r="K10" s="1">
        <v>1.2691766023635799E-3</v>
      </c>
      <c r="L10" s="1">
        <v>1.2013316154479901E-4</v>
      </c>
      <c r="M10" s="1">
        <v>9.8987668752670201E-4</v>
      </c>
      <c r="N10" s="1">
        <v>1.4290958642959499E-3</v>
      </c>
      <c r="O10" s="1">
        <v>-1.5379488468170101E-4</v>
      </c>
      <c r="P10" s="1">
        <v>2.9706954956054601E-3</v>
      </c>
      <c r="Q10" s="1">
        <v>2.9001981019973699E-3</v>
      </c>
      <c r="R10" s="1">
        <v>-8.5966289043426503E-4</v>
      </c>
      <c r="S10" s="1">
        <v>-1.46440416574478E-3</v>
      </c>
      <c r="T10" s="1">
        <v>-7.5053423643112096E-3</v>
      </c>
      <c r="U10" s="1">
        <v>-9.3987584114074696E-4</v>
      </c>
      <c r="V10" s="1">
        <v>3.5432279109954799E-3</v>
      </c>
    </row>
    <row r="11" spans="1:22" x14ac:dyDescent="0.35">
      <c r="A11" s="1">
        <v>-4.5608729124069198E-4</v>
      </c>
      <c r="B11" s="1">
        <v>-1.53663009405136E-3</v>
      </c>
      <c r="C11" s="1">
        <v>-1.1589974164962699E-3</v>
      </c>
      <c r="D11" s="1">
        <v>-2.0374953746795598E-3</v>
      </c>
      <c r="E11" s="1">
        <v>-2.1376609802245998E-3</v>
      </c>
      <c r="F11" s="1">
        <v>-3.7999451160430897E-4</v>
      </c>
      <c r="G11" s="1">
        <v>-8.9466571807861296E-4</v>
      </c>
      <c r="H11" s="1">
        <v>-2.1371394395828199E-3</v>
      </c>
      <c r="I11" s="1">
        <v>-3.3167749643325801E-3</v>
      </c>
      <c r="J11" s="1">
        <v>1.2760162353515599E-3</v>
      </c>
      <c r="K11" s="1">
        <v>1.2148395180702201E-3</v>
      </c>
      <c r="L11" s="1">
        <v>9.4427913427352905E-4</v>
      </c>
      <c r="M11" s="1">
        <v>1.0095387697219801E-3</v>
      </c>
      <c r="N11" s="1">
        <v>1.49199366569519E-3</v>
      </c>
      <c r="O11" s="1">
        <v>4.0013119578361503E-3</v>
      </c>
      <c r="P11" s="1">
        <v>4.3110325932502703E-3</v>
      </c>
      <c r="Q11" s="1">
        <v>5.1451995968818604E-3</v>
      </c>
      <c r="R11" s="1">
        <v>-1.5408620238304099E-3</v>
      </c>
      <c r="S11" s="1">
        <v>-1.74411386251449E-3</v>
      </c>
      <c r="T11" s="1">
        <v>-7.8106597065925598E-3</v>
      </c>
      <c r="U11" s="1">
        <v>3.5432949662208501E-3</v>
      </c>
      <c r="V11" s="1">
        <v>3.3717378973960798E-3</v>
      </c>
    </row>
    <row r="14" spans="1:22" x14ac:dyDescent="0.35">
      <c r="A14" s="2" t="s">
        <v>22</v>
      </c>
    </row>
    <row r="15" spans="1:22" x14ac:dyDescent="0.35">
      <c r="A15" s="1">
        <f>AVERAGE(A2:A11)</f>
        <v>-6.3158571720123128E-4</v>
      </c>
      <c r="B15" s="1">
        <f t="shared" ref="B15:V15" si="0">AVERAGE(B2:B11)</f>
        <v>-1.3248309493064847E-3</v>
      </c>
      <c r="C15" s="1">
        <f t="shared" si="0"/>
        <v>-1.7039723694324451E-3</v>
      </c>
      <c r="D15" s="1">
        <f t="shared" si="0"/>
        <v>-4.7555811703205069E-3</v>
      </c>
      <c r="E15" s="1">
        <f t="shared" si="0"/>
        <v>-2.4173974990844673E-3</v>
      </c>
      <c r="F15" s="1">
        <f t="shared" si="0"/>
        <v>8.5087195038795367E-4</v>
      </c>
      <c r="G15" s="1">
        <f t="shared" si="0"/>
        <v>-7.9658925533294413E-4</v>
      </c>
      <c r="H15" s="1">
        <f t="shared" si="0"/>
        <v>-5.4313689470291088E-4</v>
      </c>
      <c r="I15" s="1">
        <f t="shared" si="0"/>
        <v>3.6667510867118718E-4</v>
      </c>
      <c r="J15" s="1">
        <f t="shared" si="0"/>
        <v>-6.3027441501617524E-5</v>
      </c>
      <c r="K15" s="1">
        <f t="shared" si="0"/>
        <v>1.2953504920005764E-3</v>
      </c>
      <c r="L15" s="1">
        <f t="shared" si="0"/>
        <v>1.1581614613532995E-3</v>
      </c>
      <c r="M15" s="1">
        <f t="shared" si="0"/>
        <v>9.9514871835708427E-4</v>
      </c>
      <c r="N15" s="1">
        <f t="shared" si="0"/>
        <v>1.377971470355982E-3</v>
      </c>
      <c r="O15" s="1">
        <f t="shared" si="0"/>
        <v>1.9356161355972255E-3</v>
      </c>
      <c r="P15" s="1">
        <f t="shared" si="0"/>
        <v>3.5750821232795661E-3</v>
      </c>
      <c r="Q15" s="1">
        <f t="shared" si="0"/>
        <v>5.4472453892230929E-3</v>
      </c>
      <c r="R15" s="1">
        <f t="shared" si="0"/>
        <v>1.5144653618335713E-3</v>
      </c>
      <c r="S15" s="1">
        <f t="shared" si="0"/>
        <v>-1.2975297868251759E-3</v>
      </c>
      <c r="T15" s="1">
        <f t="shared" si="0"/>
        <v>-4.3776556849479623E-3</v>
      </c>
      <c r="U15" s="1">
        <f t="shared" si="0"/>
        <v>-5.1685869693756054E-4</v>
      </c>
      <c r="V15" s="1">
        <f t="shared" si="0"/>
        <v>3.3233694732189116E-3</v>
      </c>
    </row>
    <row r="16" spans="1:22" x14ac:dyDescent="0.35">
      <c r="A16" s="2" t="s">
        <v>23</v>
      </c>
    </row>
    <row r="17" spans="1:22" x14ac:dyDescent="0.35">
      <c r="A17" s="1">
        <f>STDEV(A2:A11)</f>
        <v>8.9952030826504826E-4</v>
      </c>
      <c r="B17" s="1">
        <f t="shared" ref="B17:V17" si="1">STDEV(B2:B11)</f>
        <v>4.680317874717125E-4</v>
      </c>
      <c r="C17" s="1">
        <f t="shared" si="1"/>
        <v>8.1757095135830235E-4</v>
      </c>
      <c r="D17" s="1">
        <f t="shared" si="1"/>
        <v>2.3737446438509779E-3</v>
      </c>
      <c r="E17" s="1">
        <f t="shared" si="1"/>
        <v>2.5936985285394146E-4</v>
      </c>
      <c r="F17" s="1">
        <f t="shared" si="1"/>
        <v>1.6324913869734605E-3</v>
      </c>
      <c r="G17" s="1">
        <f t="shared" si="1"/>
        <v>6.9319171274718051E-4</v>
      </c>
      <c r="H17" s="1">
        <f t="shared" si="1"/>
        <v>2.2037733853212272E-3</v>
      </c>
      <c r="I17" s="1">
        <f t="shared" si="1"/>
        <v>1.8857000613829015E-3</v>
      </c>
      <c r="J17" s="1">
        <f t="shared" si="1"/>
        <v>2.120484387717093E-3</v>
      </c>
      <c r="K17" s="1">
        <f t="shared" si="1"/>
        <v>1.7439775859122756E-4</v>
      </c>
      <c r="L17" s="1">
        <f t="shared" si="1"/>
        <v>9.9440076584649136E-4</v>
      </c>
      <c r="M17" s="1">
        <f t="shared" si="1"/>
        <v>3.9669363072512731E-5</v>
      </c>
      <c r="N17" s="1">
        <f t="shared" si="1"/>
        <v>1.1126541792320657E-4</v>
      </c>
      <c r="O17" s="1">
        <f t="shared" si="1"/>
        <v>1.6762727735914462E-3</v>
      </c>
      <c r="P17" s="1">
        <f t="shared" si="1"/>
        <v>2.0461608891407267E-3</v>
      </c>
      <c r="Q17" s="1">
        <f t="shared" si="1"/>
        <v>1.162524593616655E-3</v>
      </c>
      <c r="R17" s="1">
        <f t="shared" si="1"/>
        <v>4.645535735794592E-3</v>
      </c>
      <c r="S17" s="1">
        <f t="shared" si="1"/>
        <v>3.1073434977823959E-4</v>
      </c>
      <c r="T17" s="1">
        <f t="shared" si="1"/>
        <v>2.9428909963159383E-3</v>
      </c>
      <c r="U17" s="1">
        <f t="shared" si="1"/>
        <v>2.357377096625608E-3</v>
      </c>
      <c r="V17" s="1">
        <f t="shared" si="1"/>
        <v>2.008022679955923E-4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D50E-5B76-40B6-9FA4-EFA3BC63B43F}">
  <dimension ref="A1:V16"/>
  <sheetViews>
    <sheetView workbookViewId="0">
      <selection activeCell="A15" sqref="A15"/>
    </sheetView>
  </sheetViews>
  <sheetFormatPr baseColWidth="10" defaultRowHeight="14.5" x14ac:dyDescent="0.35"/>
  <cols>
    <col min="1" max="1" width="21.54296875" style="1" bestFit="1" customWidth="1"/>
    <col min="2" max="2" width="22.54296875" style="1" bestFit="1" customWidth="1"/>
    <col min="3" max="3" width="23.1796875" style="1" bestFit="1" customWidth="1"/>
    <col min="4" max="4" width="21.54296875" style="1" bestFit="1" customWidth="1"/>
    <col min="5" max="22" width="20.45312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1.1652410030364899E-3</v>
      </c>
      <c r="B2" s="1">
        <v>-2.2358596324920598E-3</v>
      </c>
      <c r="C2" s="1">
        <v>-1.18279457092285E-3</v>
      </c>
      <c r="D2" s="1">
        <v>1.30887925624847E-2</v>
      </c>
      <c r="E2" s="1">
        <v>1.3880372047424301E-2</v>
      </c>
      <c r="F2" s="1">
        <v>1.1173009872436499E-2</v>
      </c>
      <c r="G2" s="1">
        <v>1.0328322649002001E-2</v>
      </c>
      <c r="H2" s="1">
        <v>1.7134606838226301E-2</v>
      </c>
      <c r="I2" s="1">
        <v>2.04255878925323E-2</v>
      </c>
      <c r="J2" s="1">
        <v>2.0216912031173699E-2</v>
      </c>
      <c r="K2" s="1">
        <v>2.15429365634918E-2</v>
      </c>
      <c r="L2" s="1">
        <v>2.1146029233932401E-2</v>
      </c>
      <c r="M2" s="1">
        <v>2.2579789161682101E-2</v>
      </c>
      <c r="N2" s="1">
        <v>2.2546678781509399E-2</v>
      </c>
      <c r="O2" s="1">
        <v>2.8790950775146401E-2</v>
      </c>
      <c r="P2" s="1">
        <v>2.7934253215789701E-2</v>
      </c>
      <c r="Q2" s="1">
        <v>2.7806133031844999E-2</v>
      </c>
      <c r="R2" s="1">
        <v>3.6909222602844197E-2</v>
      </c>
      <c r="S2" s="1">
        <v>3.1422585248947102E-2</v>
      </c>
      <c r="T2" s="1">
        <v>3.3464521169662399E-2</v>
      </c>
      <c r="U2" s="1">
        <v>3.4490436315536499E-2</v>
      </c>
      <c r="V2" s="1">
        <v>3.4463971853256198E-2</v>
      </c>
    </row>
    <row r="3" spans="1:22" x14ac:dyDescent="0.35">
      <c r="A3" s="1">
        <v>3.9398670196533203E-5</v>
      </c>
      <c r="B3" s="1">
        <v>-2.3077726364135699E-3</v>
      </c>
      <c r="C3" s="1">
        <v>9.3093514442443804E-4</v>
      </c>
      <c r="D3" s="1">
        <v>1.3037413358688301E-2</v>
      </c>
      <c r="E3" s="1">
        <v>1.38342678546905E-2</v>
      </c>
      <c r="F3" s="1">
        <v>9.9615454673767003E-3</v>
      </c>
      <c r="G3" s="1">
        <v>1.0879099369048999E-2</v>
      </c>
      <c r="H3" s="1">
        <v>2.5376915931701601E-2</v>
      </c>
      <c r="I3" s="1">
        <v>1.4695882797241201E-2</v>
      </c>
      <c r="J3" s="1">
        <v>2.6467531919479301E-2</v>
      </c>
      <c r="K3" s="1">
        <v>2.1996319293975799E-2</v>
      </c>
      <c r="L3" s="1">
        <v>2.01369822025299E-2</v>
      </c>
      <c r="M3" s="1">
        <v>2.2743016481399501E-2</v>
      </c>
      <c r="N3" s="1">
        <v>2.24681198596954E-2</v>
      </c>
      <c r="O3" s="1">
        <v>2.65829563140869E-2</v>
      </c>
      <c r="P3" s="1">
        <v>2.48730778694152E-2</v>
      </c>
      <c r="Q3" s="1">
        <v>3.2909810543060303E-2</v>
      </c>
      <c r="R3" s="1">
        <v>5.0815880298614502E-2</v>
      </c>
      <c r="S3" s="1">
        <v>3.1410455703735303E-2</v>
      </c>
      <c r="T3" s="1">
        <v>3.37038338184356E-2</v>
      </c>
      <c r="U3" s="1">
        <v>3.63381505012512E-2</v>
      </c>
      <c r="V3" s="1">
        <v>3.44381928443908E-2</v>
      </c>
    </row>
    <row r="4" spans="1:22" x14ac:dyDescent="0.35">
      <c r="A4" s="1">
        <v>-2.8091669082641602E-4</v>
      </c>
      <c r="B4" s="1">
        <v>-3.9041042327880798E-5</v>
      </c>
      <c r="C4" s="1">
        <v>4.3250620365142796E-3</v>
      </c>
      <c r="D4" s="1">
        <v>3.6981403827667202E-3</v>
      </c>
      <c r="E4" s="1">
        <v>1.3748884201049799E-2</v>
      </c>
      <c r="F4" s="1">
        <v>1.0293662548065101E-2</v>
      </c>
      <c r="G4" s="1">
        <v>1.4997929334640499E-2</v>
      </c>
      <c r="H4" s="1">
        <v>1.5076994895935E-2</v>
      </c>
      <c r="I4" s="1">
        <v>1.6962915658950799E-2</v>
      </c>
      <c r="J4" s="1">
        <v>1.95081233978271E-2</v>
      </c>
      <c r="K4" s="1">
        <v>2.1595567464828401E-2</v>
      </c>
      <c r="L4" s="1">
        <v>2.1877259016036901E-2</v>
      </c>
      <c r="M4" s="1">
        <v>2.2670537233352599E-2</v>
      </c>
      <c r="N4" s="1">
        <v>2.2494941949844301E-2</v>
      </c>
      <c r="O4" s="1">
        <v>2.2229939699172901E-2</v>
      </c>
      <c r="P4" s="1">
        <v>2.3352980613708399E-2</v>
      </c>
      <c r="Q4" s="1">
        <v>2.8649985790252599E-2</v>
      </c>
      <c r="R4" s="1">
        <v>2.58188545703887E-2</v>
      </c>
      <c r="S4" s="1">
        <v>3.1774103641510003E-2</v>
      </c>
      <c r="T4" s="1">
        <v>4.0326625108718803E-2</v>
      </c>
      <c r="U4" s="1">
        <v>4.1556060314178397E-2</v>
      </c>
      <c r="V4" s="1">
        <v>3.3472985029220498E-2</v>
      </c>
    </row>
    <row r="5" spans="1:22" x14ac:dyDescent="0.35">
      <c r="A5" s="1">
        <v>3.8325786590576101E-4</v>
      </c>
      <c r="B5" s="1">
        <v>2.01731920242309E-4</v>
      </c>
      <c r="C5" s="1">
        <v>3.32731008529663E-3</v>
      </c>
      <c r="D5" s="1">
        <v>1.8670499324798501E-2</v>
      </c>
      <c r="E5" s="1">
        <v>1.3808220624923701E-2</v>
      </c>
      <c r="F5" s="1">
        <v>1.3657331466674799E-2</v>
      </c>
      <c r="G5" s="1">
        <v>1.37123763561248E-2</v>
      </c>
      <c r="H5" s="1">
        <v>1.2784153223037701E-2</v>
      </c>
      <c r="I5" s="1">
        <v>1.7495781183242701E-2</v>
      </c>
      <c r="J5" s="1">
        <v>2.9597103595733601E-2</v>
      </c>
      <c r="K5" s="1">
        <v>2.1577805280685401E-2</v>
      </c>
      <c r="L5" s="1">
        <v>2.3460388183593701E-2</v>
      </c>
      <c r="M5" s="1">
        <v>2.26919651031494E-2</v>
      </c>
      <c r="N5" s="1">
        <v>2.2517293691635101E-2</v>
      </c>
      <c r="O5" s="1">
        <v>2.6697874069213801E-2</v>
      </c>
      <c r="P5" s="1">
        <v>3.08759212493896E-2</v>
      </c>
      <c r="Q5" s="1">
        <v>3.1956493854522698E-2</v>
      </c>
      <c r="R5" s="1">
        <v>3.6312580108642502E-2</v>
      </c>
      <c r="S5" s="1">
        <v>3.1240046024322499E-2</v>
      </c>
      <c r="T5" s="1">
        <v>3.2288581132888697E-2</v>
      </c>
      <c r="U5" s="1">
        <v>3.4173816442489603E-2</v>
      </c>
      <c r="V5" s="1">
        <v>3.3862620592117303E-2</v>
      </c>
    </row>
    <row r="6" spans="1:22" x14ac:dyDescent="0.35">
      <c r="A6" s="1">
        <v>1.07708573341369E-3</v>
      </c>
      <c r="B6" s="1">
        <v>1.4054775238037101E-4</v>
      </c>
      <c r="C6" s="1">
        <v>-2.4625658988952599E-4</v>
      </c>
      <c r="D6" s="1">
        <v>1.33978724479675E-2</v>
      </c>
      <c r="E6" s="1">
        <v>1.3974279165267899E-2</v>
      </c>
      <c r="F6" s="1">
        <v>1.59047842025756E-2</v>
      </c>
      <c r="G6" s="1">
        <v>1.1877030134200999E-2</v>
      </c>
      <c r="H6" s="1">
        <v>2.4614870548248201E-2</v>
      </c>
      <c r="I6" s="1">
        <v>1.7852008342742899E-2</v>
      </c>
      <c r="J6" s="1">
        <v>2.62725949287414E-2</v>
      </c>
      <c r="K6" s="1">
        <v>2.20801532268524E-2</v>
      </c>
      <c r="L6" s="1">
        <v>2.16929614543914E-2</v>
      </c>
      <c r="M6" s="1">
        <v>2.2651761770248399E-2</v>
      </c>
      <c r="N6" s="1">
        <v>2.2554546594619699E-2</v>
      </c>
      <c r="O6" s="1">
        <v>1.9578188657760599E-2</v>
      </c>
      <c r="P6" s="1">
        <v>2.6291489601135198E-2</v>
      </c>
      <c r="Q6" s="1">
        <v>2.6525586843490601E-2</v>
      </c>
      <c r="R6" s="1">
        <v>3.56650352478027E-2</v>
      </c>
      <c r="S6" s="1">
        <v>3.1615197658538798E-2</v>
      </c>
      <c r="T6" s="1">
        <v>3.77831161022186E-2</v>
      </c>
      <c r="U6" s="1">
        <v>3.5610795021057101E-2</v>
      </c>
      <c r="V6" s="1">
        <v>3.4138441085815402E-2</v>
      </c>
    </row>
    <row r="7" spans="1:22" x14ac:dyDescent="0.35">
      <c r="A7" s="1">
        <v>1.37943029403686E-3</v>
      </c>
      <c r="B7" s="1">
        <v>9.4288587570190397E-4</v>
      </c>
      <c r="C7" s="1">
        <v>-1.4004111289978E-4</v>
      </c>
      <c r="D7" s="1">
        <v>1.3994067907333299E-2</v>
      </c>
      <c r="E7" s="1">
        <v>1.3815522193908599E-2</v>
      </c>
      <c r="F7" s="1">
        <v>1.6389846801757799E-2</v>
      </c>
      <c r="G7" s="1">
        <v>1.16254985332489E-2</v>
      </c>
      <c r="H7" s="1">
        <v>1.55353546142578E-2</v>
      </c>
      <c r="I7" s="1">
        <v>1.71244442462921E-2</v>
      </c>
      <c r="J7" s="1">
        <v>3.5260289907455403E-2</v>
      </c>
      <c r="K7" s="1">
        <v>1.9642114639282199E-2</v>
      </c>
      <c r="L7" s="1">
        <v>1.8320858478546101E-2</v>
      </c>
      <c r="M7" s="1">
        <v>2.2684544324874802E-2</v>
      </c>
      <c r="N7" s="1">
        <v>2.2508084774017299E-2</v>
      </c>
      <c r="O7" s="1">
        <v>2.3305535316467198E-2</v>
      </c>
      <c r="P7" s="1">
        <v>2.8162926435470501E-2</v>
      </c>
      <c r="Q7" s="1">
        <v>2.75777578353881E-2</v>
      </c>
      <c r="R7" s="1">
        <v>3.3640831708907998E-2</v>
      </c>
      <c r="S7" s="1">
        <v>3.2377690076828003E-2</v>
      </c>
      <c r="T7" s="1">
        <v>2.92022824287414E-2</v>
      </c>
      <c r="U7" s="1">
        <v>3.7887841463088899E-2</v>
      </c>
      <c r="V7" s="1">
        <v>3.5124152898788397E-2</v>
      </c>
    </row>
    <row r="8" spans="1:22" x14ac:dyDescent="0.35">
      <c r="A8" s="1">
        <v>2.1902024745941101E-3</v>
      </c>
      <c r="B8" s="1">
        <v>1.6394257545471099E-4</v>
      </c>
      <c r="C8" s="1">
        <v>-2.6818513870239201E-3</v>
      </c>
      <c r="D8" s="1">
        <v>7.1540176868438703E-3</v>
      </c>
      <c r="E8" s="1">
        <v>1.24315321445465E-2</v>
      </c>
      <c r="F8" s="1">
        <v>1.1644572019577E-2</v>
      </c>
      <c r="G8" s="1">
        <v>1.3160794973373399E-2</v>
      </c>
      <c r="H8" s="1">
        <v>1.97412967681884E-2</v>
      </c>
      <c r="I8" s="1">
        <v>1.48873329162597E-2</v>
      </c>
      <c r="J8" s="1">
        <v>1.62795484066009E-2</v>
      </c>
      <c r="K8" s="1">
        <v>2.2334367036819399E-2</v>
      </c>
      <c r="L8" s="1">
        <v>2.22071409225463E-2</v>
      </c>
      <c r="M8" s="1">
        <v>2.2639453411102201E-2</v>
      </c>
      <c r="N8" s="1">
        <v>2.2562563419341999E-2</v>
      </c>
      <c r="O8" s="1">
        <v>1.9440293312072698E-2</v>
      </c>
      <c r="P8" s="1">
        <v>2.4836838245391801E-2</v>
      </c>
      <c r="Q8" s="1">
        <v>3.3203661441802902E-2</v>
      </c>
      <c r="R8" s="1">
        <v>4.0275275707244797E-2</v>
      </c>
      <c r="S8" s="1">
        <v>3.0898839235305699E-2</v>
      </c>
      <c r="T8" s="1">
        <v>3.4162044525146401E-2</v>
      </c>
      <c r="U8" s="1">
        <v>3.6524623632431003E-2</v>
      </c>
      <c r="V8" s="1">
        <v>3.3753663301467798E-2</v>
      </c>
    </row>
    <row r="9" spans="1:22" x14ac:dyDescent="0.35">
      <c r="A9" s="1">
        <v>9.7554922103881803E-4</v>
      </c>
      <c r="B9" s="1">
        <v>1.16565823554992E-3</v>
      </c>
      <c r="C9" s="1">
        <v>2.0102262496948199E-3</v>
      </c>
      <c r="D9" s="1">
        <v>1.6159147024154601E-2</v>
      </c>
      <c r="E9" s="1">
        <v>1.35916173458099E-2</v>
      </c>
      <c r="F9" s="1">
        <v>1.22854709625244E-2</v>
      </c>
      <c r="G9" s="1">
        <v>1.39380097389221E-2</v>
      </c>
      <c r="H9" s="1">
        <v>1.1498659849166801E-2</v>
      </c>
      <c r="I9" s="1">
        <v>1.69029533863067E-2</v>
      </c>
      <c r="J9" s="1">
        <v>3.0004501342773399E-2</v>
      </c>
      <c r="K9" s="1">
        <v>2.1843880414962699E-2</v>
      </c>
      <c r="L9" s="1">
        <v>2.0483940839767401E-2</v>
      </c>
      <c r="M9" s="1">
        <v>2.2625088691711401E-2</v>
      </c>
      <c r="N9" s="1">
        <v>2.25598812103271E-2</v>
      </c>
      <c r="O9" s="1">
        <v>2.7656763792037901E-2</v>
      </c>
      <c r="P9" s="1">
        <v>2.9880225658416699E-2</v>
      </c>
      <c r="Q9" s="1">
        <v>2.78174579143524E-2</v>
      </c>
      <c r="R9" s="1">
        <v>4.1175097227096502E-2</v>
      </c>
      <c r="S9" s="1">
        <v>3.1339406967163003E-2</v>
      </c>
      <c r="T9" s="1">
        <v>3.2202214002609197E-2</v>
      </c>
      <c r="U9" s="1">
        <v>3.58553230762481E-2</v>
      </c>
      <c r="V9" s="1">
        <v>3.4370869398117003E-2</v>
      </c>
    </row>
    <row r="10" spans="1:22" x14ac:dyDescent="0.35">
      <c r="A10" s="1">
        <v>1.0213553905487E-3</v>
      </c>
      <c r="B10" s="1">
        <v>9.4124674797058095E-4</v>
      </c>
      <c r="C10" s="1">
        <v>-8.81522893905639E-4</v>
      </c>
      <c r="D10" s="1">
        <v>1.20725929737091E-2</v>
      </c>
      <c r="E10" s="1">
        <v>1.37988626956939E-2</v>
      </c>
      <c r="F10" s="1">
        <v>1.0395169258117599E-2</v>
      </c>
      <c r="G10" s="1">
        <v>1.35041773319244E-2</v>
      </c>
      <c r="H10" s="1">
        <v>1.7768710851669301E-2</v>
      </c>
      <c r="I10" s="1">
        <v>2.0358711481094301E-2</v>
      </c>
      <c r="J10" s="1">
        <v>2.8646320104598999E-2</v>
      </c>
      <c r="K10" s="1">
        <v>2.15948522090911E-2</v>
      </c>
      <c r="L10" s="1">
        <v>1.9404500722885101E-2</v>
      </c>
      <c r="M10" s="1">
        <v>2.26204991340637E-2</v>
      </c>
      <c r="N10" s="1">
        <v>2.24730968475341E-2</v>
      </c>
      <c r="O10" s="1">
        <v>2.6146799325942899E-2</v>
      </c>
      <c r="P10" s="1">
        <v>3.21972966194152E-2</v>
      </c>
      <c r="Q10" s="1">
        <v>2.9914855957031201E-2</v>
      </c>
      <c r="R10" s="1">
        <v>3.5194069147109902E-2</v>
      </c>
      <c r="S10" s="1">
        <v>3.16822826862335E-2</v>
      </c>
      <c r="T10" s="1">
        <v>3.3536911010742097E-2</v>
      </c>
      <c r="U10" s="1">
        <v>3.6937564611434902E-2</v>
      </c>
      <c r="V10" s="1">
        <v>3.3755242824554402E-2</v>
      </c>
    </row>
    <row r="11" spans="1:22" x14ac:dyDescent="0.35">
      <c r="A11" s="1">
        <v>8.0436468124389605E-4</v>
      </c>
      <c r="B11" s="1">
        <v>-5.8373808860778798E-4</v>
      </c>
      <c r="C11" s="1">
        <v>1.6861855983734101E-3</v>
      </c>
      <c r="D11" s="1">
        <v>1.3872742652893E-2</v>
      </c>
      <c r="E11" s="1">
        <v>1.3832986354827799E-2</v>
      </c>
      <c r="F11" s="1">
        <v>1.3890802860259999E-2</v>
      </c>
      <c r="G11" s="1">
        <v>1.5083163976669299E-2</v>
      </c>
      <c r="H11" s="1">
        <v>1.6214370727539E-2</v>
      </c>
      <c r="I11" s="1">
        <v>1.7637610435485802E-2</v>
      </c>
      <c r="J11" s="1">
        <v>2.1047234535217198E-2</v>
      </c>
      <c r="K11" s="1">
        <v>2.2429078817367502E-2</v>
      </c>
      <c r="L11" s="1">
        <v>2.2714525461196899E-2</v>
      </c>
      <c r="M11" s="1">
        <v>2.25491225719451E-2</v>
      </c>
      <c r="N11" s="1">
        <v>2.2523999214172301E-2</v>
      </c>
      <c r="O11" s="1">
        <v>2.0323455333709699E-2</v>
      </c>
      <c r="P11" s="1">
        <v>2.6873677968978799E-2</v>
      </c>
      <c r="Q11" s="1">
        <v>3.2629698514938299E-2</v>
      </c>
      <c r="R11" s="1">
        <v>3.1689286231994601E-2</v>
      </c>
      <c r="S11" s="1">
        <v>3.1692177057266201E-2</v>
      </c>
      <c r="T11" s="1">
        <v>3.6493897438049303E-2</v>
      </c>
      <c r="U11" s="1">
        <v>3.4545451402664101E-2</v>
      </c>
      <c r="V11" s="1">
        <v>3.3870339393615702E-2</v>
      </c>
    </row>
    <row r="13" spans="1:22" x14ac:dyDescent="0.35">
      <c r="A13" s="2" t="s">
        <v>22</v>
      </c>
    </row>
    <row r="14" spans="1:22" x14ac:dyDescent="0.35">
      <c r="A14" s="1">
        <f>AVERAGE(FI_Combined22_especie[PROT])</f>
        <v>8.7549686431884417E-4</v>
      </c>
      <c r="B14" s="1">
        <f>AVERAGE(FI_Combined22_especie[TFAT])</f>
        <v>-1.6103982925415021E-4</v>
      </c>
      <c r="C14" s="1">
        <f>AVERAGE(FI_Combined22_especie[CARB])</f>
        <v>7.1472525596618622E-4</v>
      </c>
      <c r="D14" s="1">
        <f>AVERAGE(FI_Combined22_especie[MOIS])</f>
        <v>1.2514528632163962E-2</v>
      </c>
      <c r="E14" s="1">
        <f>AVERAGE(FI_Combined22_especie[ALC])</f>
        <v>1.3671654462814289E-2</v>
      </c>
      <c r="F14" s="1">
        <f>AVERAGE(FI_Combined22_especie[CAFF])</f>
        <v>1.255961954593655E-2</v>
      </c>
      <c r="G14" s="1">
        <f>AVERAGE(FI_Combined22_especie[THEO])</f>
        <v>1.291064023971554E-2</v>
      </c>
      <c r="H14" s="1">
        <f>AVERAGE(FI_Combined22_especie[CALC])</f>
        <v>1.7574593424797013E-2</v>
      </c>
      <c r="I14" s="1">
        <f>AVERAGE(FI_Combined22_especie[MAGN])</f>
        <v>1.7434322834014852E-2</v>
      </c>
      <c r="J14" s="1">
        <f>AVERAGE(FI_Combined22_especie[POTA])</f>
        <v>2.53300160169601E-2</v>
      </c>
      <c r="K14" s="1">
        <f>AVERAGE(FI_Combined22_especie[ZINC])</f>
        <v>2.166370749473567E-2</v>
      </c>
      <c r="L14" s="1">
        <f>AVERAGE(FI_Combined22_especie[VC])</f>
        <v>2.1144458651542613E-2</v>
      </c>
      <c r="M14" s="1">
        <f>AVERAGE(FI_Combined22_especie[VB1])</f>
        <v>2.2645577788352921E-2</v>
      </c>
      <c r="N14" s="1">
        <f>AVERAGE(FI_Combined22_especie[VB6])</f>
        <v>2.2520920634269668E-2</v>
      </c>
      <c r="O14" s="1">
        <f>AVERAGE(FI_Combined22_especie[VARA])</f>
        <v>2.40752756595611E-2</v>
      </c>
      <c r="P14" s="1">
        <f>AVERAGE(FI_Combined22_especie[ACAR])</f>
        <v>2.7527868747711105E-2</v>
      </c>
      <c r="Q14" s="1">
        <f>AVERAGE(FI_Combined22_especie[CRYP])</f>
        <v>2.9899144172668406E-2</v>
      </c>
      <c r="R14" s="1">
        <f>AVERAGE(FI_Combined22_especie[LYCO])</f>
        <v>3.6749613285064639E-2</v>
      </c>
      <c r="S14" s="1">
        <f>AVERAGE(FI_Combined22_especie[ATOC])</f>
        <v>3.1545278429985016E-2</v>
      </c>
      <c r="T14" s="1">
        <f>AVERAGE(FI_Combined22_especie[VK])</f>
        <v>3.4316402673721248E-2</v>
      </c>
      <c r="U14" s="1">
        <f>AVERAGE(FI_Combined22_especie[CHOLE])</f>
        <v>3.6392006278037979E-2</v>
      </c>
      <c r="V14" s="1">
        <f>AVERAGE(FI_Combined22_especie[VITD])</f>
        <v>3.4125047922134347E-2</v>
      </c>
    </row>
    <row r="15" spans="1:22" x14ac:dyDescent="0.35">
      <c r="A15" s="2" t="s">
        <v>23</v>
      </c>
    </row>
    <row r="16" spans="1:22" x14ac:dyDescent="0.35">
      <c r="A16" s="1">
        <f>STDEV(FI_Combined22_especie[PROT])</f>
        <v>7.0095063900280541E-4</v>
      </c>
      <c r="B16" s="1">
        <f>STDEV(FI_Combined22_especie[TFAT])</f>
        <v>1.2305772752954189E-3</v>
      </c>
      <c r="C16" s="1">
        <f>STDEV(FI_Combined22_especie[CARB])</f>
        <v>2.1568590870222901E-3</v>
      </c>
      <c r="D16" s="1">
        <f>STDEV(FI_Combined22_especie[TFAT])</f>
        <v>1.2305772752954189E-3</v>
      </c>
      <c r="E16" s="1">
        <f>STDEV(FI_Combined22_especie[CARB])</f>
        <v>2.1568590870222901E-3</v>
      </c>
      <c r="F16" s="1">
        <f>STDEV(FI_Combined22_especie[MOIS])</f>
        <v>4.259050108829994E-3</v>
      </c>
      <c r="G16" s="1">
        <f>STDEV(FI_Combined22_especie[CARB])</f>
        <v>2.1568590870222901E-3</v>
      </c>
      <c r="H16" s="1">
        <f>STDEV(FI_Combined22_especie[MOIS])</f>
        <v>4.259050108829994E-3</v>
      </c>
      <c r="I16" s="1">
        <f>STDEV(FI_Combined22_especie[ALC])</f>
        <v>4.4639540858933645E-4</v>
      </c>
      <c r="J16" s="1">
        <f>STDEV(FI_Combined22_especie[MOIS])</f>
        <v>4.259050108829994E-3</v>
      </c>
      <c r="K16" s="1">
        <f>STDEV(FI_Combined22_especie[ALC])</f>
        <v>4.4639540858933645E-4</v>
      </c>
      <c r="L16" s="1">
        <f>STDEV(FI_Combined22_especie[CAFF])</f>
        <v>2.3152235020207092E-3</v>
      </c>
      <c r="M16" s="1">
        <f>STDEV(FI_Combined22_especie[ALC])</f>
        <v>4.4639540858933645E-4</v>
      </c>
      <c r="N16" s="1">
        <f>STDEV(FI_Combined22_especie[CAFF])</f>
        <v>2.3152235020207092E-3</v>
      </c>
      <c r="O16" s="1">
        <f>STDEV(FI_Combined22_especie[THEO])</f>
        <v>1.6568118385989004E-3</v>
      </c>
      <c r="P16" s="1">
        <f>STDEV(FI_Combined22_especie[CAFF])</f>
        <v>2.3152235020207092E-3</v>
      </c>
      <c r="Q16" s="1">
        <f>STDEV(FI_Combined22_especie[THEO])</f>
        <v>1.6568118385989004E-3</v>
      </c>
      <c r="R16" s="1">
        <f>STDEV(FI_Combined22_especie[CALC])</f>
        <v>4.5641063004078141E-3</v>
      </c>
      <c r="S16" s="1">
        <f>STDEV(FI_Combined22_especie[THEO])</f>
        <v>1.6568118385989004E-3</v>
      </c>
      <c r="T16" s="1">
        <f>STDEV(FI_Combined22_especie[CALC])</f>
        <v>4.5641063004078141E-3</v>
      </c>
      <c r="U16" s="1">
        <f>STDEV(FI_Combined22_especie[MAGN])</f>
        <v>1.8946150063687069E-3</v>
      </c>
      <c r="V16" s="1">
        <f>STDEV(FI_Combined22_especie[CALC])</f>
        <v>4.5641063004078141E-3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B74D-E009-4A1E-A542-CA40784FBBF9}">
  <dimension ref="A1:V16"/>
  <sheetViews>
    <sheetView workbookViewId="0">
      <selection activeCell="A15" sqref="A15"/>
    </sheetView>
  </sheetViews>
  <sheetFormatPr baseColWidth="10" defaultRowHeight="14.5" x14ac:dyDescent="0.35"/>
  <cols>
    <col min="1" max="1" width="22.54296875" style="1" bestFit="1" customWidth="1"/>
    <col min="2" max="2" width="21.54296875" style="1" bestFit="1" customWidth="1"/>
    <col min="3" max="3" width="22.81640625" style="1" bestFit="1" customWidth="1"/>
    <col min="4" max="4" width="21.54296875" style="1" bestFit="1" customWidth="1"/>
    <col min="5" max="22" width="20.45312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1.11076235771179E-3</v>
      </c>
      <c r="B2" s="1">
        <v>3.2916963100433302E-3</v>
      </c>
      <c r="C2" s="1">
        <v>-2.6535689830779999E-3</v>
      </c>
      <c r="D2" s="1">
        <v>7.5235068798065099E-3</v>
      </c>
      <c r="E2" s="1">
        <v>1.35925114154815E-2</v>
      </c>
      <c r="F2" s="1">
        <v>1.8194556236267E-2</v>
      </c>
      <c r="G2" s="1">
        <v>2.1758019924163801E-2</v>
      </c>
      <c r="H2" s="1">
        <v>9.8572373390197702E-3</v>
      </c>
      <c r="I2" s="1">
        <v>2.0334690809249802E-2</v>
      </c>
      <c r="J2" s="1">
        <v>2.68563628196716E-2</v>
      </c>
      <c r="K2" s="1">
        <v>2.4966150522232E-2</v>
      </c>
      <c r="L2" s="1">
        <v>2.86758244037628E-2</v>
      </c>
      <c r="M2" s="1">
        <v>2.9456108808517401E-2</v>
      </c>
      <c r="N2" s="1">
        <v>2.94422805309295E-2</v>
      </c>
      <c r="O2" s="1">
        <v>3.6769926548004102E-2</v>
      </c>
      <c r="P2" s="1">
        <v>2.9468983411788899E-2</v>
      </c>
      <c r="Q2" s="1">
        <v>2.11734771728515E-2</v>
      </c>
      <c r="R2" s="1">
        <v>8.0074965953826904E-3</v>
      </c>
      <c r="S2" s="1">
        <v>1.49032175540924E-2</v>
      </c>
      <c r="T2" s="1">
        <v>1.7243862152099599E-2</v>
      </c>
      <c r="U2" s="1">
        <v>9.62105393409729E-3</v>
      </c>
      <c r="V2" s="1">
        <v>1.01998448371887E-2</v>
      </c>
    </row>
    <row r="3" spans="1:22" x14ac:dyDescent="0.35">
      <c r="A3" s="1">
        <v>1.8009543418884199E-4</v>
      </c>
      <c r="B3" s="1">
        <v>1.06945633888244E-3</v>
      </c>
      <c r="C3" s="1">
        <v>-2.86400318145751E-5</v>
      </c>
      <c r="D3" s="1">
        <v>3.9422214031219396E-3</v>
      </c>
      <c r="E3" s="1">
        <v>1.46933197975158E-2</v>
      </c>
      <c r="F3" s="1">
        <v>1.79562270641326E-2</v>
      </c>
      <c r="G3" s="1">
        <v>1.8947392702102599E-2</v>
      </c>
      <c r="H3" s="1">
        <v>1.8426328897476099E-2</v>
      </c>
      <c r="I3" s="1">
        <v>1.7192274332046498E-2</v>
      </c>
      <c r="J3" s="1">
        <v>1.7677247524261398E-2</v>
      </c>
      <c r="K3" s="1">
        <v>2.5762557983398399E-2</v>
      </c>
      <c r="L3" s="1">
        <v>2.86937057971954E-2</v>
      </c>
      <c r="M3" s="1">
        <v>2.93503105640411E-2</v>
      </c>
      <c r="N3" s="1">
        <v>2.97599732875823E-2</v>
      </c>
      <c r="O3" s="1">
        <v>3.4040808677673298E-2</v>
      </c>
      <c r="P3" s="1">
        <v>3.2237768173217697E-2</v>
      </c>
      <c r="Q3" s="1">
        <v>2.5583714246749802E-2</v>
      </c>
      <c r="R3" s="1">
        <v>1.3146609067916801E-2</v>
      </c>
      <c r="S3" s="1">
        <v>1.4859318733215301E-2</v>
      </c>
      <c r="T3" s="1">
        <v>1.1764585971832201E-2</v>
      </c>
      <c r="U3" s="1">
        <v>1.05884373188018E-2</v>
      </c>
      <c r="V3" s="1">
        <v>9.6909701824188198E-3</v>
      </c>
    </row>
    <row r="4" spans="1:22" x14ac:dyDescent="0.35">
      <c r="A4" s="1">
        <v>1.4600753784179601E-3</v>
      </c>
      <c r="B4" s="1">
        <v>8.4877014160156196E-4</v>
      </c>
      <c r="C4" s="1">
        <v>1.3981759548187199E-3</v>
      </c>
      <c r="D4" s="1">
        <v>5.4037570953369097E-4</v>
      </c>
      <c r="E4" s="1">
        <v>1.45426988601684E-2</v>
      </c>
      <c r="F4" s="1">
        <v>1.15385651588439E-2</v>
      </c>
      <c r="G4" s="1">
        <v>1.95844769477844E-2</v>
      </c>
      <c r="H4" s="1">
        <v>1.30146443843841E-2</v>
      </c>
      <c r="I4" s="1">
        <v>2.3031473159790001E-2</v>
      </c>
      <c r="J4" s="1">
        <v>1.8294006586074801E-2</v>
      </c>
      <c r="K4" s="1">
        <v>2.4933516979217502E-2</v>
      </c>
      <c r="L4" s="1">
        <v>2.8411984443664499E-2</v>
      </c>
      <c r="M4" s="1">
        <v>2.9455482959747301E-2</v>
      </c>
      <c r="N4" s="1">
        <v>2.9435425996780298E-2</v>
      </c>
      <c r="O4" s="1">
        <v>2.6783078908920201E-2</v>
      </c>
      <c r="P4" s="1">
        <v>2.1613717079162501E-2</v>
      </c>
      <c r="Q4" s="1">
        <v>2.6085078716278E-2</v>
      </c>
      <c r="R4" s="1">
        <v>1.86446011066436E-2</v>
      </c>
      <c r="S4" s="1">
        <v>1.48504674434661E-2</v>
      </c>
      <c r="T4" s="1">
        <v>1.5891611576080301E-2</v>
      </c>
      <c r="U4" s="1">
        <v>7.6723098754882804E-3</v>
      </c>
      <c r="V4" s="1">
        <v>1.02503299713134E-2</v>
      </c>
    </row>
    <row r="5" spans="1:22" x14ac:dyDescent="0.35">
      <c r="A5" s="1">
        <v>3.93122434616088E-4</v>
      </c>
      <c r="B5" s="1">
        <v>2.0416676998138402E-3</v>
      </c>
      <c r="C5" s="1">
        <v>-2.7040243148803698E-3</v>
      </c>
      <c r="D5" s="1">
        <v>1.36138200759887E-2</v>
      </c>
      <c r="E5" s="1">
        <v>1.4504462480545001E-2</v>
      </c>
      <c r="F5" s="1">
        <v>1.50086581707E-2</v>
      </c>
      <c r="G5" s="1">
        <v>1.85705721378326E-2</v>
      </c>
      <c r="H5" s="1">
        <v>1.4610588550567599E-2</v>
      </c>
      <c r="I5" s="1">
        <v>1.5687584877014101E-2</v>
      </c>
      <c r="J5" s="1">
        <v>2.7535051107406599E-2</v>
      </c>
      <c r="K5" s="1">
        <v>2.5430291891098002E-2</v>
      </c>
      <c r="L5" s="1">
        <v>2.53423750400543E-2</v>
      </c>
      <c r="M5" s="1">
        <v>2.9474884271621701E-2</v>
      </c>
      <c r="N5" s="1">
        <v>2.9527246952056801E-2</v>
      </c>
      <c r="O5" s="1">
        <v>2.2703856229782101E-2</v>
      </c>
      <c r="P5" s="1">
        <v>1.51146352291107E-2</v>
      </c>
      <c r="Q5" s="1">
        <v>2.4632960557937601E-2</v>
      </c>
      <c r="R5" s="1">
        <v>2.80611217021942E-2</v>
      </c>
      <c r="S5" s="1">
        <v>1.455619931221E-2</v>
      </c>
      <c r="T5" s="1">
        <v>1.0722428560256901E-2</v>
      </c>
      <c r="U5" s="1">
        <v>9.4843804836273193E-3</v>
      </c>
      <c r="V5" s="1">
        <v>1.04724764823913E-2</v>
      </c>
    </row>
    <row r="6" spans="1:22" x14ac:dyDescent="0.35">
      <c r="A6" s="1">
        <v>1.64473056793212E-3</v>
      </c>
      <c r="B6" s="1">
        <v>2.9024183750152501E-3</v>
      </c>
      <c r="C6" s="1">
        <v>-6.9946050643920898E-5</v>
      </c>
      <c r="D6" s="1">
        <v>6.9735050201415998E-3</v>
      </c>
      <c r="E6" s="1">
        <v>1.4713406562805099E-2</v>
      </c>
      <c r="F6" s="1">
        <v>1.30926370620727E-2</v>
      </c>
      <c r="G6" s="1">
        <v>2.05056071281433E-2</v>
      </c>
      <c r="H6" s="1">
        <v>1.1685013771057099E-2</v>
      </c>
      <c r="I6" s="1">
        <v>1.58662497997283E-2</v>
      </c>
      <c r="J6" s="1">
        <v>2.6449441909790001E-2</v>
      </c>
      <c r="K6" s="1">
        <v>2.58646309375762E-2</v>
      </c>
      <c r="L6" s="1">
        <v>2.7461439371108998E-2</v>
      </c>
      <c r="M6" s="1">
        <v>2.9414147138595501E-2</v>
      </c>
      <c r="N6" s="1">
        <v>2.9193282127380302E-2</v>
      </c>
      <c r="O6" s="1">
        <v>3.1961917877197203E-2</v>
      </c>
      <c r="P6" s="1">
        <v>2.4465113878250101E-2</v>
      </c>
      <c r="Q6" s="1">
        <v>2.69742310047149E-2</v>
      </c>
      <c r="R6" s="1">
        <v>2.3215025663375799E-2</v>
      </c>
      <c r="S6" s="1">
        <v>1.4787435531616201E-2</v>
      </c>
      <c r="T6" s="1">
        <v>1.4022052288055401E-2</v>
      </c>
      <c r="U6" s="1">
        <v>8.2899928092956508E-3</v>
      </c>
      <c r="V6" s="1">
        <v>9.8020434379577602E-3</v>
      </c>
    </row>
    <row r="7" spans="1:22" x14ac:dyDescent="0.35">
      <c r="A7" s="1">
        <v>5.9187412261962803E-5</v>
      </c>
      <c r="B7" s="1">
        <v>8.9797377586364703E-4</v>
      </c>
      <c r="C7" s="1">
        <v>-3.6888122558593698E-3</v>
      </c>
      <c r="D7" s="1">
        <v>7.8450441360473598E-3</v>
      </c>
      <c r="E7" s="1">
        <v>1.4624953269958401E-2</v>
      </c>
      <c r="F7" s="1">
        <v>1.46464705467224E-2</v>
      </c>
      <c r="G7" s="1">
        <v>1.9983172416687001E-2</v>
      </c>
      <c r="H7" s="1">
        <v>1.8612235784530601E-2</v>
      </c>
      <c r="I7" s="1">
        <v>1.54207646846771E-2</v>
      </c>
      <c r="J7" s="1">
        <v>1.69726014137268E-2</v>
      </c>
      <c r="K7" s="1">
        <v>2.5303483009338299E-2</v>
      </c>
      <c r="L7" s="1">
        <v>2.7934342622756899E-2</v>
      </c>
      <c r="M7" s="1">
        <v>2.94822752475738E-2</v>
      </c>
      <c r="N7" s="1">
        <v>2.9233396053314199E-2</v>
      </c>
      <c r="O7" s="1">
        <v>3.3443242311477599E-2</v>
      </c>
      <c r="P7" s="1">
        <v>2.5913953781127898E-2</v>
      </c>
      <c r="Q7" s="1">
        <v>2.6937752962112399E-2</v>
      </c>
      <c r="R7" s="1">
        <v>1.8584698438644399E-2</v>
      </c>
      <c r="S7" s="1">
        <v>1.4792382717132501E-2</v>
      </c>
      <c r="T7" s="1">
        <v>1.13076567649841E-2</v>
      </c>
      <c r="U7" s="1">
        <v>1.1965334415435701E-2</v>
      </c>
      <c r="V7" s="1">
        <v>1.03330612182617E-2</v>
      </c>
    </row>
    <row r="8" spans="1:22" x14ac:dyDescent="0.35">
      <c r="A8" s="1">
        <v>1.2852847576141301E-3</v>
      </c>
      <c r="B8" s="1">
        <v>4.4303238391876203E-3</v>
      </c>
      <c r="C8" s="1">
        <v>-1.4193356037139799E-3</v>
      </c>
      <c r="D8" s="1">
        <v>1.6560852527618401E-2</v>
      </c>
      <c r="E8" s="1">
        <v>1.4068901538848801E-2</v>
      </c>
      <c r="F8" s="1">
        <v>1.5266537666320801E-2</v>
      </c>
      <c r="G8" s="1">
        <v>1.90221965312957E-2</v>
      </c>
      <c r="H8" s="1">
        <v>1.1986047029495199E-2</v>
      </c>
      <c r="I8" s="1">
        <v>1.9449681043624802E-2</v>
      </c>
      <c r="J8" s="1">
        <v>2.1504074335098201E-2</v>
      </c>
      <c r="K8" s="1">
        <v>2.6267051696777299E-2</v>
      </c>
      <c r="L8" s="1">
        <v>2.78347432613372E-2</v>
      </c>
      <c r="M8" s="1">
        <v>2.9491394758224401E-2</v>
      </c>
      <c r="N8" s="1">
        <v>2.9775857925415001E-2</v>
      </c>
      <c r="O8" s="1">
        <v>2.0527005195617599E-2</v>
      </c>
      <c r="P8" s="1">
        <v>2.80933678150177E-2</v>
      </c>
      <c r="Q8" s="1">
        <v>2.63096094131469E-2</v>
      </c>
      <c r="R8" s="1">
        <v>1.9349277019500701E-2</v>
      </c>
      <c r="S8" s="1">
        <v>1.4770299196243199E-2</v>
      </c>
      <c r="T8" s="1">
        <v>1.6624957323074299E-2</v>
      </c>
      <c r="U8" s="1">
        <v>7.75235891342163E-3</v>
      </c>
      <c r="V8" s="1">
        <v>9.9571645259857108E-3</v>
      </c>
    </row>
    <row r="9" spans="1:22" x14ac:dyDescent="0.35">
      <c r="A9" s="1">
        <v>4.7338008880615202E-4</v>
      </c>
      <c r="B9" s="1">
        <v>3.14480066299438E-3</v>
      </c>
      <c r="C9" s="1">
        <v>-5.4384171962738002E-3</v>
      </c>
      <c r="D9" s="1">
        <v>8.4949433803558298E-3</v>
      </c>
      <c r="E9" s="1">
        <v>1.4763206243515001E-2</v>
      </c>
      <c r="F9" s="1">
        <v>1.5895843505859299E-2</v>
      </c>
      <c r="G9" s="1">
        <v>2.0932197570800701E-2</v>
      </c>
      <c r="H9" s="1">
        <v>1.34401321411132E-2</v>
      </c>
      <c r="I9" s="1">
        <v>1.71970725059509E-2</v>
      </c>
      <c r="J9" s="1">
        <v>2.5858581066131502E-2</v>
      </c>
      <c r="K9" s="1">
        <v>2.6125073432922301E-2</v>
      </c>
      <c r="L9" s="1">
        <v>2.5228053331375101E-2</v>
      </c>
      <c r="M9" s="1">
        <v>2.9360145330429001E-2</v>
      </c>
      <c r="N9" s="1">
        <v>2.9523342847824E-2</v>
      </c>
      <c r="O9" s="1">
        <v>2.45428383350372E-2</v>
      </c>
      <c r="P9" s="1">
        <v>2.33265459537506E-2</v>
      </c>
      <c r="Q9" s="1">
        <v>2.5852650403976399E-2</v>
      </c>
      <c r="R9" s="1">
        <v>1.5638649463653499E-2</v>
      </c>
      <c r="S9" s="1">
        <v>1.4924973249435401E-2</v>
      </c>
      <c r="T9" s="1">
        <v>1.9993484020233099E-2</v>
      </c>
      <c r="U9" s="1">
        <v>1.22100710868835E-2</v>
      </c>
      <c r="V9" s="1">
        <v>1.0136246681213301E-2</v>
      </c>
    </row>
    <row r="10" spans="1:22" x14ac:dyDescent="0.35">
      <c r="A10" s="1">
        <v>1.34739279747009E-3</v>
      </c>
      <c r="B10" s="1">
        <v>6.2149763107299805E-4</v>
      </c>
      <c r="C10" s="1">
        <v>8.5783004760742101E-4</v>
      </c>
      <c r="D10" s="1">
        <v>1.7263859510421701E-2</v>
      </c>
      <c r="E10" s="1">
        <v>1.4629095792770301E-2</v>
      </c>
      <c r="F10" s="1">
        <v>1.45845711231231E-2</v>
      </c>
      <c r="G10" s="1">
        <v>1.91287398338317E-2</v>
      </c>
      <c r="H10" s="1">
        <v>7.70649313926696E-3</v>
      </c>
      <c r="I10" s="1">
        <v>1.2027502059936499E-2</v>
      </c>
      <c r="J10" s="1">
        <v>2.3626506328582701E-2</v>
      </c>
      <c r="K10" s="1">
        <v>2.6445925235748201E-2</v>
      </c>
      <c r="L10" s="1">
        <v>2.4607658386230399E-2</v>
      </c>
      <c r="M10" s="1">
        <v>2.9435902833938599E-2</v>
      </c>
      <c r="N10" s="1">
        <v>2.9512614011764499E-2</v>
      </c>
      <c r="O10" s="1">
        <v>3.2762289047241197E-2</v>
      </c>
      <c r="P10" s="1">
        <v>1.9303500652313201E-2</v>
      </c>
      <c r="Q10" s="1">
        <v>2.7094602584838801E-2</v>
      </c>
      <c r="R10" s="1">
        <v>1.8121153116226099E-2</v>
      </c>
      <c r="S10" s="1">
        <v>1.41278505325317E-2</v>
      </c>
      <c r="T10" s="1">
        <v>1.0073959827423E-2</v>
      </c>
      <c r="U10" s="1">
        <v>1.0279238224029499E-2</v>
      </c>
      <c r="V10" s="1">
        <v>1.01067423820495E-2</v>
      </c>
    </row>
    <row r="11" spans="1:22" x14ac:dyDescent="0.35">
      <c r="A11" s="1">
        <v>2.3766756057739201E-3</v>
      </c>
      <c r="B11" s="1">
        <v>1.53785943984985E-3</v>
      </c>
      <c r="C11" s="1">
        <v>5.0550699234008702E-4</v>
      </c>
      <c r="D11" s="1">
        <v>1.42631530761718E-2</v>
      </c>
      <c r="E11" s="1">
        <v>1.50688588619232E-2</v>
      </c>
      <c r="F11" s="1">
        <v>1.7545282840728701E-2</v>
      </c>
      <c r="G11" s="1">
        <v>2.09524631500244E-2</v>
      </c>
      <c r="H11" s="1">
        <v>1.4155387878417899E-2</v>
      </c>
      <c r="I11" s="1">
        <v>1.84099078178405E-2</v>
      </c>
      <c r="J11" s="1">
        <v>2.6120394468307401E-2</v>
      </c>
      <c r="K11" s="1">
        <v>2.4850130081176699E-2</v>
      </c>
      <c r="L11" s="1">
        <v>2.9423952102661102E-2</v>
      </c>
      <c r="M11" s="1">
        <v>2.9312312602996798E-2</v>
      </c>
      <c r="N11" s="1">
        <v>2.9494881629943799E-2</v>
      </c>
      <c r="O11" s="1">
        <v>2.3073524236679001E-2</v>
      </c>
      <c r="P11" s="1">
        <v>2.80944108963012E-2</v>
      </c>
      <c r="Q11" s="1">
        <v>3.0446290969848602E-2</v>
      </c>
      <c r="R11" s="1">
        <v>1.4892965555191E-2</v>
      </c>
      <c r="S11" s="1">
        <v>1.4668107032775801E-2</v>
      </c>
      <c r="T11" s="1">
        <v>1.17213726043701E-2</v>
      </c>
      <c r="U11" s="1">
        <v>9.3241035938262905E-3</v>
      </c>
      <c r="V11" s="1">
        <v>1.0291457176208401E-2</v>
      </c>
    </row>
    <row r="13" spans="1:22" x14ac:dyDescent="0.35">
      <c r="A13" s="2" t="s">
        <v>22</v>
      </c>
    </row>
    <row r="14" spans="1:22" x14ac:dyDescent="0.35">
      <c r="A14" s="1">
        <f>AVERAGE(FI_Combined22_family[PROT])</f>
        <v>1.0330706834793056E-3</v>
      </c>
      <c r="B14" s="1">
        <f>AVERAGE(FI_Combined22_family[TFAT])</f>
        <v>2.0786464214324917E-3</v>
      </c>
      <c r="C14" s="1">
        <f>AVERAGE(FI_Combined22_family[CARB])</f>
        <v>-1.3241231441497789E-3</v>
      </c>
      <c r="D14" s="1">
        <f>AVERAGE(FI_Combined22_family[MOIS])</f>
        <v>9.7021281719207528E-3</v>
      </c>
      <c r="E14" s="1">
        <f>AVERAGE(FI_Combined22_family[ALC])</f>
        <v>1.4520141482353149E-2</v>
      </c>
      <c r="F14" s="1">
        <f>AVERAGE(FI_Combined22_family[CAFF])</f>
        <v>1.537293493747705E-2</v>
      </c>
      <c r="G14" s="1">
        <f>AVERAGE(FI_Combined22_family[THEO])</f>
        <v>1.9938483834266617E-2</v>
      </c>
      <c r="H14" s="1">
        <f>AVERAGE(FI_Combined22_family[CALC])</f>
        <v>1.334941089153285E-2</v>
      </c>
      <c r="I14" s="1">
        <f>AVERAGE(FI_Combined22_family[MAGN])</f>
        <v>1.7461720108985848E-2</v>
      </c>
      <c r="J14" s="1">
        <f>AVERAGE(FI_Combined22_family[POTA])</f>
        <v>2.3089426755905106E-2</v>
      </c>
      <c r="K14" s="1">
        <f>AVERAGE(FI_Combined22_family[ZINC])</f>
        <v>2.559488117694849E-2</v>
      </c>
      <c r="L14" s="1">
        <f>AVERAGE(FI_Combined22_family[VC])</f>
        <v>2.7361407876014664E-2</v>
      </c>
      <c r="M14" s="1">
        <f>AVERAGE(FI_Combined22_family[VB1])</f>
        <v>2.9423296451568558E-2</v>
      </c>
      <c r="N14" s="1">
        <f>AVERAGE(FI_Combined22_family[VB6])</f>
        <v>2.9489830136299071E-2</v>
      </c>
      <c r="O14" s="1">
        <f>AVERAGE(FI_Combined22_family[VARA])</f>
        <v>2.8660848736762955E-2</v>
      </c>
      <c r="P14" s="1">
        <f>AVERAGE(FI_Combined22_family[ACAR])</f>
        <v>2.476319968700405E-2</v>
      </c>
      <c r="Q14" s="1">
        <f>AVERAGE(FI_Combined22_family[CRYP])</f>
        <v>2.610903680324549E-2</v>
      </c>
      <c r="R14" s="1">
        <f>AVERAGE(FI_Combined22_family[LYCO])</f>
        <v>1.7766159772872877E-2</v>
      </c>
      <c r="S14" s="1">
        <f>AVERAGE(FI_Combined22_family[ATOC])</f>
        <v>1.4724025130271859E-2</v>
      </c>
      <c r="T14" s="1">
        <f>AVERAGE(FI_Combined22_family[VK])</f>
        <v>1.39365971088409E-2</v>
      </c>
      <c r="U14" s="1">
        <f>AVERAGE(FI_Combined22_family[CHOLE])</f>
        <v>9.7187280654906956E-3</v>
      </c>
      <c r="V14" s="1">
        <f>AVERAGE(FI_Combined22_family[VITD])</f>
        <v>1.0124033689498858E-2</v>
      </c>
    </row>
    <row r="15" spans="1:22" x14ac:dyDescent="0.35">
      <c r="A15" s="2" t="s">
        <v>23</v>
      </c>
    </row>
    <row r="16" spans="1:22" x14ac:dyDescent="0.35">
      <c r="A16" s="1">
        <f>STDEV(FI_Combined22_family[PROT])</f>
        <v>7.4004384724382513E-4</v>
      </c>
      <c r="B16" s="1">
        <f>STDEV(FI_Combined22_family[TFAT])</f>
        <v>1.2978319773418194E-3</v>
      </c>
      <c r="C16" s="1">
        <f>STDEV(FI_Combined22_family[CARB])</f>
        <v>2.2353325445445727E-3</v>
      </c>
      <c r="D16" s="1">
        <f>STDEV(FI_Combined22_family[MOIS])</f>
        <v>5.5230650487662122E-3</v>
      </c>
      <c r="E16" s="1">
        <f>STDEV(FI_Combined22_family[ALC])</f>
        <v>4.1031689751469443E-4</v>
      </c>
      <c r="F16" s="1">
        <f>STDEV(FI_Combined22_family[CAFF])</f>
        <v>2.1297602813953849E-3</v>
      </c>
      <c r="G16" s="1">
        <f>STDEV(FI_Combined22_family[THEO])</f>
        <v>1.0606073317917537E-3</v>
      </c>
      <c r="H16" s="1">
        <f>STDEV(FI_Combined22_family[CALC])</f>
        <v>3.4075025869162068E-3</v>
      </c>
      <c r="I16" s="1">
        <f>STDEV(FI_Combined22_family[MAGN])</f>
        <v>3.0488450246421799E-3</v>
      </c>
      <c r="J16" s="1">
        <f>STDEV(FI_Combined22_family[POTA])</f>
        <v>4.1446505489725468E-3</v>
      </c>
      <c r="K16" s="1">
        <f>STDEV(FI_Combined22_family[ZINC])</f>
        <v>5.8285075551093191E-4</v>
      </c>
      <c r="L16" s="1">
        <f>STDEV(FI_Combined22_family[VC])</f>
        <v>1.6876560582953439E-3</v>
      </c>
      <c r="M16" s="1">
        <f>STDEV(FI_Combined22_family[VB1])</f>
        <v>6.2151117206573245E-5</v>
      </c>
      <c r="N16" s="1">
        <f>STDEV(FI_Combined22_family[VB6])</f>
        <v>1.8760978910547504E-4</v>
      </c>
      <c r="O16" s="1">
        <f>STDEV(FI_Combined22_family[VARA])</f>
        <v>5.7603883458279027E-3</v>
      </c>
      <c r="P16" s="1">
        <f>STDEV(FI_Combined22_family[ACAR])</f>
        <v>5.1261852486332929E-3</v>
      </c>
      <c r="Q16" s="1">
        <f>STDEV(FI_Combined22_family[CRYP])</f>
        <v>2.3127543986624197E-3</v>
      </c>
      <c r="R16" s="1">
        <f>STDEV(FI_Combined22_family[LYCO])</f>
        <v>5.4681260926818824E-3</v>
      </c>
      <c r="S16" s="1">
        <f>STDEV(FI_Combined22_family[ATOC])</f>
        <v>2.3672147407667504E-4</v>
      </c>
      <c r="T16" s="1">
        <f>STDEV(FI_Combined22_family[VK])</f>
        <v>3.3411171029821708E-3</v>
      </c>
      <c r="U16" s="1">
        <f>STDEV(FI_Combined22_family[CHOLE])</f>
        <v>1.5860679173687283E-3</v>
      </c>
      <c r="V16" s="1">
        <f>STDEV(FI_Combined22_family[VITD])</f>
        <v>2.4366388050825263E-4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ADD6-FE6E-47B1-B4DD-1B5A023E2B59}">
  <dimension ref="A1:V16"/>
  <sheetViews>
    <sheetView workbookViewId="0">
      <selection activeCell="A15" sqref="A15"/>
    </sheetView>
  </sheetViews>
  <sheetFormatPr baseColWidth="10" defaultRowHeight="14.5" x14ac:dyDescent="0.35"/>
  <cols>
    <col min="1" max="1" width="23.1796875" style="1" bestFit="1" customWidth="1"/>
    <col min="2" max="2" width="22.1796875" style="1" bestFit="1" customWidth="1"/>
    <col min="3" max="4" width="23.1796875" style="1" bestFit="1" customWidth="1"/>
    <col min="5" max="6" width="21.54296875" style="1" bestFit="1" customWidth="1"/>
    <col min="7" max="7" width="23.1796875" style="1" bestFit="1" customWidth="1"/>
    <col min="8" max="8" width="22.81640625" style="1" bestFit="1" customWidth="1"/>
    <col min="9" max="9" width="22.54296875" style="1" bestFit="1" customWidth="1"/>
    <col min="10" max="10" width="22.1796875" style="1" bestFit="1" customWidth="1"/>
    <col min="11" max="11" width="22.54296875" style="1" bestFit="1" customWidth="1"/>
    <col min="12" max="12" width="23.1796875" style="1" bestFit="1" customWidth="1"/>
    <col min="13" max="14" width="21.54296875" style="1" bestFit="1" customWidth="1"/>
    <col min="15" max="15" width="22.1796875" style="1" bestFit="1" customWidth="1"/>
    <col min="16" max="16" width="21.1796875" style="1" bestFit="1" customWidth="1"/>
    <col min="17" max="22" width="22.179687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-4.5436620712280198E-4</v>
      </c>
      <c r="B2" s="1">
        <v>-6.1177462339401202E-4</v>
      </c>
      <c r="C2" s="1">
        <v>8.5561722517013496E-4</v>
      </c>
      <c r="D2" s="1">
        <v>6.2659382820129301E-6</v>
      </c>
      <c r="E2" s="1">
        <v>2.5207549333572301E-3</v>
      </c>
      <c r="F2" s="1">
        <v>1.3699382543563799E-3</v>
      </c>
      <c r="G2" s="1">
        <v>5.2116066217422399E-4</v>
      </c>
      <c r="H2" s="1">
        <v>2.4770051240920999E-3</v>
      </c>
      <c r="I2" s="1">
        <v>2.1680742502212498E-3</v>
      </c>
      <c r="J2" s="1">
        <v>2.69785523414611E-4</v>
      </c>
      <c r="K2" s="1">
        <v>6.9410353899001999E-4</v>
      </c>
      <c r="L2" s="1">
        <v>1.0830983519554099E-3</v>
      </c>
      <c r="M2" s="1">
        <v>1.3044551014900201E-3</v>
      </c>
      <c r="N2" s="1">
        <v>1.19074434041976E-3</v>
      </c>
      <c r="O2" s="1">
        <v>2.6181340217590302E-5</v>
      </c>
      <c r="P2" s="1">
        <v>-4.6551898121833801E-3</v>
      </c>
      <c r="Q2" s="1">
        <v>-7.0549175143241804E-3</v>
      </c>
      <c r="R2" s="1">
        <v>-1.0471343994140599E-3</v>
      </c>
      <c r="S2" s="1">
        <v>-4.1398331522941503E-3</v>
      </c>
      <c r="T2" s="1">
        <v>-2.3080781102180399E-3</v>
      </c>
      <c r="U2" s="1">
        <v>-1.6660988330840999E-3</v>
      </c>
      <c r="V2" s="1">
        <v>-7.0511922240257202E-3</v>
      </c>
    </row>
    <row r="3" spans="1:22" x14ac:dyDescent="0.35">
      <c r="A3" s="1">
        <v>-1.13792717456817E-4</v>
      </c>
      <c r="B3" s="1">
        <v>-6.2854588031768799E-4</v>
      </c>
      <c r="C3" s="1">
        <v>-3.1860172748565598E-4</v>
      </c>
      <c r="D3" s="1">
        <v>-3.52329015731811E-3</v>
      </c>
      <c r="E3" s="1">
        <v>2.0623803138732901E-3</v>
      </c>
      <c r="F3" s="1">
        <v>2.1033063530921901E-3</v>
      </c>
      <c r="G3" s="1">
        <v>5.2854418754577603E-5</v>
      </c>
      <c r="H3" s="1">
        <v>1.3632625341415401E-3</v>
      </c>
      <c r="I3" s="1">
        <v>2.3198723793029698E-3</v>
      </c>
      <c r="J3" s="1">
        <v>3.4034997224807701E-4</v>
      </c>
      <c r="K3" s="1">
        <v>4.6501308679580602E-4</v>
      </c>
      <c r="L3" s="1">
        <v>-2.6532262563705401E-4</v>
      </c>
      <c r="M3" s="1">
        <v>1.33464485406875E-3</v>
      </c>
      <c r="N3" s="1">
        <v>1.26182287931442E-3</v>
      </c>
      <c r="O3" s="1">
        <v>6.8604201078414895E-4</v>
      </c>
      <c r="P3" s="1">
        <v>-8.2399845123290998E-3</v>
      </c>
      <c r="Q3" s="1">
        <v>-8.1341639161109907E-3</v>
      </c>
      <c r="R3" s="1">
        <v>9.5962733030319203E-4</v>
      </c>
      <c r="S3" s="1">
        <v>-4.3434426188468898E-3</v>
      </c>
      <c r="T3" s="1">
        <v>-2.9811784625053401E-3</v>
      </c>
      <c r="U3" s="1">
        <v>-6.4950510859489398E-3</v>
      </c>
      <c r="V3" s="1">
        <v>-7.17262923717498E-3</v>
      </c>
    </row>
    <row r="4" spans="1:22" x14ac:dyDescent="0.35">
      <c r="A4" s="1">
        <v>-2.34253704547882E-4</v>
      </c>
      <c r="B4" s="1">
        <v>-1.8897503614425601E-3</v>
      </c>
      <c r="C4" s="1">
        <v>5.1422417163848801E-4</v>
      </c>
      <c r="D4" s="1">
        <v>-3.08623164892196E-3</v>
      </c>
      <c r="E4" s="1">
        <v>2.4889260530471802E-3</v>
      </c>
      <c r="F4" s="1">
        <v>1.09282881021499E-3</v>
      </c>
      <c r="G4" s="1">
        <v>1.2907832860946601E-3</v>
      </c>
      <c r="H4" s="1">
        <v>5.1739960908889701E-3</v>
      </c>
      <c r="I4" s="1">
        <v>-1.7708837985992399E-3</v>
      </c>
      <c r="J4" s="1">
        <v>3.7255883216857899E-4</v>
      </c>
      <c r="K4" s="1">
        <v>3.6581605672836298E-4</v>
      </c>
      <c r="L4" s="1">
        <v>-3.6855787038803101E-4</v>
      </c>
      <c r="M4" s="1">
        <v>1.22001022100448E-3</v>
      </c>
      <c r="N4" s="1">
        <v>1.2104660272598199E-3</v>
      </c>
      <c r="O4" s="1">
        <v>2.6430934667587198E-3</v>
      </c>
      <c r="P4" s="1">
        <v>-5.9275925159454302E-3</v>
      </c>
      <c r="Q4" s="1">
        <v>-8.3846822381019592E-3</v>
      </c>
      <c r="R4" s="1">
        <v>6.7794248461723302E-3</v>
      </c>
      <c r="S4" s="1">
        <v>-3.8759186863899201E-3</v>
      </c>
      <c r="T4" s="1">
        <v>-2.2939443588256801E-3</v>
      </c>
      <c r="U4" s="1">
        <v>-3.3683106303215001E-3</v>
      </c>
      <c r="V4" s="1">
        <v>-7.1454048156738203E-3</v>
      </c>
    </row>
    <row r="5" spans="1:22" x14ac:dyDescent="0.35">
      <c r="A5" s="1">
        <v>6.6740810871124203E-4</v>
      </c>
      <c r="B5" s="1">
        <v>-1.0911896824836701E-3</v>
      </c>
      <c r="C5" s="1">
        <v>-1.70681625604629E-3</v>
      </c>
      <c r="D5" s="1">
        <v>-7.2114169597625705E-5</v>
      </c>
      <c r="E5" s="1">
        <v>2.532459795475E-3</v>
      </c>
      <c r="F5" s="1">
        <v>1.9653514027595498E-3</v>
      </c>
      <c r="G5" s="1">
        <v>1.1414140462875299E-3</v>
      </c>
      <c r="H5" s="1">
        <v>-1.6217678785323999E-3</v>
      </c>
      <c r="I5" s="1">
        <v>1.4325082302093499E-3</v>
      </c>
      <c r="J5" s="1">
        <v>-2.6836320757865901E-3</v>
      </c>
      <c r="K5" s="1">
        <v>3.2403320074081399E-4</v>
      </c>
      <c r="L5" s="1">
        <v>1.8313527107238699E-4</v>
      </c>
      <c r="M5" s="1">
        <v>1.3368651270866301E-3</v>
      </c>
      <c r="N5" s="1">
        <v>1.2157410383224401E-3</v>
      </c>
      <c r="O5" s="1">
        <v>-2.47786939144134E-3</v>
      </c>
      <c r="P5" s="1">
        <v>-5.0361156463623004E-3</v>
      </c>
      <c r="Q5" s="1">
        <v>-8.4577426314353908E-3</v>
      </c>
      <c r="R5" s="1">
        <v>-1.98929756879806E-3</v>
      </c>
      <c r="S5" s="1">
        <v>-4.0695741772651603E-3</v>
      </c>
      <c r="T5" s="1">
        <v>-5.3620040416717503E-3</v>
      </c>
      <c r="U5" s="1">
        <v>-3.8960725069045999E-3</v>
      </c>
      <c r="V5" s="1">
        <v>-7.1006268262863098E-3</v>
      </c>
    </row>
    <row r="6" spans="1:22" x14ac:dyDescent="0.35">
      <c r="A6" s="1">
        <v>2.2532790899276701E-4</v>
      </c>
      <c r="B6" s="1">
        <v>-1.6363933682441701E-3</v>
      </c>
      <c r="C6" s="1">
        <v>-3.1397491693496699E-4</v>
      </c>
      <c r="D6" s="1">
        <v>6.9703161716461095E-4</v>
      </c>
      <c r="E6" s="1">
        <v>2.4179518222808799E-3</v>
      </c>
      <c r="F6" s="1">
        <v>1.5310123562812801E-3</v>
      </c>
      <c r="G6" s="1">
        <v>-1.7261505126953101E-4</v>
      </c>
      <c r="H6" s="1">
        <v>3.81954759359359E-3</v>
      </c>
      <c r="I6" s="1">
        <v>4.173144698143E-4</v>
      </c>
      <c r="J6" s="1">
        <v>-2.0233914256095799E-3</v>
      </c>
      <c r="K6" s="1">
        <v>4.5992434024810699E-4</v>
      </c>
      <c r="L6" s="1">
        <v>8.4122270345687801E-4</v>
      </c>
      <c r="M6" s="1">
        <v>1.3279467821121201E-3</v>
      </c>
      <c r="N6" s="1">
        <v>1.2407824397087E-3</v>
      </c>
      <c r="O6" s="1">
        <v>-1.28130614757537E-3</v>
      </c>
      <c r="P6" s="1">
        <v>-4.9085244536399798E-3</v>
      </c>
      <c r="Q6" s="1">
        <v>-7.6812878251075701E-3</v>
      </c>
      <c r="R6" s="1">
        <v>-3.5149380564689602E-3</v>
      </c>
      <c r="S6" s="1">
        <v>-4.3477416038513097E-3</v>
      </c>
      <c r="T6" s="1">
        <v>-4.3560415506362898E-3</v>
      </c>
      <c r="U6" s="1">
        <v>-1.76510959863662E-3</v>
      </c>
      <c r="V6" s="1">
        <v>-7.1802288293838501E-3</v>
      </c>
    </row>
    <row r="7" spans="1:22" x14ac:dyDescent="0.35">
      <c r="A7" s="1">
        <v>4.7706067562103197E-5</v>
      </c>
      <c r="B7" s="1">
        <v>-9.7128748893737695E-4</v>
      </c>
      <c r="C7" s="1">
        <v>6.1902403831481901E-4</v>
      </c>
      <c r="D7" s="1">
        <v>-4.1304454207420297E-3</v>
      </c>
      <c r="E7" s="1">
        <v>2.58903950452804E-3</v>
      </c>
      <c r="F7" s="1">
        <v>1.5259161591529801E-3</v>
      </c>
      <c r="G7" s="1">
        <v>2.07788497209548E-3</v>
      </c>
      <c r="H7" s="1">
        <v>6.5520629286766E-3</v>
      </c>
      <c r="I7" s="1">
        <v>1.83882564306259E-3</v>
      </c>
      <c r="J7" s="1">
        <v>4.9648657441139204E-3</v>
      </c>
      <c r="K7" s="1">
        <v>5.6561082601547198E-4</v>
      </c>
      <c r="L7" s="1">
        <v>1.8186867237091E-5</v>
      </c>
      <c r="M7" s="1">
        <v>1.24017894268035E-3</v>
      </c>
      <c r="N7" s="1">
        <v>1.21531635522842E-3</v>
      </c>
      <c r="O7" s="1">
        <v>3.3691376447677599E-3</v>
      </c>
      <c r="P7" s="1">
        <v>-5.2432119846343899E-3</v>
      </c>
      <c r="Q7" s="1">
        <v>-8.2631558179855295E-3</v>
      </c>
      <c r="R7" s="1">
        <v>4.38854098320007E-4</v>
      </c>
      <c r="S7" s="1">
        <v>-3.9619728922843898E-3</v>
      </c>
      <c r="T7" s="1">
        <v>-2.7308240532875E-3</v>
      </c>
      <c r="U7" s="1">
        <v>-5.3305327892303397E-3</v>
      </c>
      <c r="V7" s="1">
        <v>-7.0047378540039002E-3</v>
      </c>
    </row>
    <row r="8" spans="1:22" x14ac:dyDescent="0.35">
      <c r="A8" s="1">
        <v>-4.6177208423614502E-4</v>
      </c>
      <c r="B8" s="1">
        <v>-1.31098181009292E-3</v>
      </c>
      <c r="C8" s="1">
        <v>2.1000206470489499E-4</v>
      </c>
      <c r="D8" s="1">
        <v>-1.9378215074539101E-4</v>
      </c>
      <c r="E8" s="1">
        <v>1.8166601657867399E-3</v>
      </c>
      <c r="F8" s="1">
        <v>3.6248341202735901E-3</v>
      </c>
      <c r="G8" s="1">
        <v>-3.7062913179397502E-4</v>
      </c>
      <c r="H8" s="1">
        <v>-1.34069472551345E-3</v>
      </c>
      <c r="I8" s="1">
        <v>-3.2721459865569998E-4</v>
      </c>
      <c r="J8" s="1">
        <v>1.74975395202636E-3</v>
      </c>
      <c r="K8" s="1">
        <v>5.2957236766815099E-4</v>
      </c>
      <c r="L8" s="1">
        <v>1.32201611995697E-3</v>
      </c>
      <c r="M8" s="1">
        <v>1.3029128313064499E-3</v>
      </c>
      <c r="N8" s="1">
        <v>1.2604519724845799E-3</v>
      </c>
      <c r="O8" s="1">
        <v>2.1396651864051802E-3</v>
      </c>
      <c r="P8" s="1">
        <v>-6.19002431631088E-3</v>
      </c>
      <c r="Q8" s="1">
        <v>-8.0593824386596593E-3</v>
      </c>
      <c r="R8" s="1">
        <v>-2.7312636375427198E-3</v>
      </c>
      <c r="S8" s="1">
        <v>-4.2805373668670602E-3</v>
      </c>
      <c r="T8" s="1">
        <v>-2.71229445934295E-3</v>
      </c>
      <c r="U8" s="1">
        <v>-6.9054886698722796E-3</v>
      </c>
      <c r="V8" s="1">
        <v>-7.1489661931991499E-3</v>
      </c>
    </row>
    <row r="9" spans="1:22" x14ac:dyDescent="0.35">
      <c r="A9" s="1">
        <v>-1.10749155282974E-3</v>
      </c>
      <c r="B9" s="1">
        <v>-1.61994993686676E-3</v>
      </c>
      <c r="C9" s="1">
        <v>-1.7758458852767901E-4</v>
      </c>
      <c r="D9" s="1">
        <v>-2.7005001902580201E-3</v>
      </c>
      <c r="E9" s="1">
        <v>2.4474933743476798E-3</v>
      </c>
      <c r="F9" s="1">
        <v>3.2241195440292302E-3</v>
      </c>
      <c r="G9" s="1">
        <v>2.3646205663681E-3</v>
      </c>
      <c r="H9" s="1">
        <v>-4.3705105781555101E-5</v>
      </c>
      <c r="I9" s="1">
        <v>-5.4516643285751299E-4</v>
      </c>
      <c r="J9" s="1">
        <v>-1.1049956083297699E-3</v>
      </c>
      <c r="K9" s="1">
        <v>7.6428055763244602E-5</v>
      </c>
      <c r="L9" s="1">
        <v>-7.1384757757186803E-4</v>
      </c>
      <c r="M9" s="1">
        <v>1.3139694929122901E-3</v>
      </c>
      <c r="N9" s="1">
        <v>1.0504201054573001E-3</v>
      </c>
      <c r="O9" s="1">
        <v>5.9345513582229597E-3</v>
      </c>
      <c r="P9" s="1">
        <v>-5.86720556020736E-3</v>
      </c>
      <c r="Q9" s="1">
        <v>-8.9282691478729196E-3</v>
      </c>
      <c r="R9" s="1">
        <v>-4.7888681292533796E-3</v>
      </c>
      <c r="S9" s="1">
        <v>-4.2044371366500802E-3</v>
      </c>
      <c r="T9" s="1">
        <v>-4.3973848223686201E-3</v>
      </c>
      <c r="U9" s="1">
        <v>-1.09773874282836E-3</v>
      </c>
      <c r="V9" s="1">
        <v>-7.1277320384979196E-3</v>
      </c>
    </row>
    <row r="10" spans="1:22" x14ac:dyDescent="0.35">
      <c r="A10" s="1">
        <v>-6.3817203044891303E-4</v>
      </c>
      <c r="B10" s="1">
        <v>-1.02829933166503E-3</v>
      </c>
      <c r="C10" s="1">
        <v>8.9629739522933895E-4</v>
      </c>
      <c r="D10" s="1">
        <v>-2.6699900627136198E-4</v>
      </c>
      <c r="E10" s="1">
        <v>2.20470130443573E-3</v>
      </c>
      <c r="F10" s="1">
        <v>2.4774745106697E-3</v>
      </c>
      <c r="G10" s="1">
        <v>3.45252454280853E-4</v>
      </c>
      <c r="H10" s="1">
        <v>1.9679144024848899E-3</v>
      </c>
      <c r="I10" s="1">
        <v>9.1247260570526096E-5</v>
      </c>
      <c r="J10" s="1">
        <v>-4.5178607106208801E-3</v>
      </c>
      <c r="K10" s="1">
        <v>6.7411363124847401E-4</v>
      </c>
      <c r="L10" s="1">
        <v>8.1658363342285102E-4</v>
      </c>
      <c r="M10" s="1">
        <v>1.3072714209556499E-3</v>
      </c>
      <c r="N10" s="1">
        <v>1.18116289377212E-3</v>
      </c>
      <c r="O10" s="1">
        <v>1.4537647366523699E-3</v>
      </c>
      <c r="P10" s="1">
        <v>-6.7555680871009801E-3</v>
      </c>
      <c r="Q10" s="1">
        <v>-7.0049092173576303E-3</v>
      </c>
      <c r="R10" s="1">
        <v>2.29624658823013E-3</v>
      </c>
      <c r="S10" s="1">
        <v>-4.1904747486114502E-3</v>
      </c>
      <c r="T10" s="1">
        <v>-4.4461935758590698E-3</v>
      </c>
      <c r="U10" s="1">
        <v>-2.7499794960021899E-3</v>
      </c>
      <c r="V10" s="1">
        <v>-7.1812793612480103E-3</v>
      </c>
    </row>
    <row r="11" spans="1:22" x14ac:dyDescent="0.35">
      <c r="A11" s="1">
        <v>-6.8631023168563799E-4</v>
      </c>
      <c r="B11" s="1">
        <v>-6.5983086824417103E-4</v>
      </c>
      <c r="C11" s="1">
        <v>-9.4304978847503597E-4</v>
      </c>
      <c r="D11" s="1">
        <v>2.3126676678657501E-3</v>
      </c>
      <c r="E11" s="1">
        <v>2.43090093135833E-3</v>
      </c>
      <c r="F11" s="1">
        <v>3.4006685018539402E-4</v>
      </c>
      <c r="G11" s="1">
        <v>1.9378960132598801E-3</v>
      </c>
      <c r="H11" s="1">
        <v>1.28427147865295E-3</v>
      </c>
      <c r="I11" s="1">
        <v>6.3876062631607001E-4</v>
      </c>
      <c r="J11" s="1">
        <v>3.22125852108001E-4</v>
      </c>
      <c r="K11" s="1">
        <v>1.4995038509368799E-4</v>
      </c>
      <c r="L11" s="1">
        <v>1.2099370360374401E-3</v>
      </c>
      <c r="M11" s="1">
        <v>1.2448579072952199E-3</v>
      </c>
      <c r="N11" s="1">
        <v>1.2214109301567E-3</v>
      </c>
      <c r="O11" s="1">
        <v>-4.0454789996147104E-3</v>
      </c>
      <c r="P11" s="1">
        <v>-9.6358433365821804E-3</v>
      </c>
      <c r="Q11" s="1">
        <v>-7.35621899366378E-3</v>
      </c>
      <c r="R11" s="1">
        <v>-4.0178075432777396E-3</v>
      </c>
      <c r="S11" s="1">
        <v>-3.8594081997871399E-3</v>
      </c>
      <c r="T11" s="1">
        <v>-3.6448240280151302E-3</v>
      </c>
      <c r="U11" s="1">
        <v>-7.1536749601364101E-3</v>
      </c>
      <c r="V11" s="1">
        <v>-7.1576908230781503E-3</v>
      </c>
    </row>
    <row r="13" spans="1:22" x14ac:dyDescent="0.35">
      <c r="A13" s="2" t="s">
        <v>22</v>
      </c>
    </row>
    <row r="14" spans="1:22" x14ac:dyDescent="0.35">
      <c r="A14" s="1">
        <f>AVERAGE(FI_Combined22_filo[PROT])</f>
        <v>-2.7557164430618247E-4</v>
      </c>
      <c r="B14" s="1">
        <f>AVERAGE(FI_Combined22_filo[TFAT])</f>
        <v>-1.1448003351688359E-3</v>
      </c>
      <c r="C14" s="1">
        <f>AVERAGE(FI_Combined22_filo[CARB])</f>
        <v>-3.6486238241195194E-5</v>
      </c>
      <c r="D14" s="1">
        <f>AVERAGE(FI_Combined22_filo[MOIS])</f>
        <v>-1.0957397520542124E-3</v>
      </c>
      <c r="E14" s="1">
        <f>AVERAGE(FI_Combined22_filo[ALC])</f>
        <v>2.3511268198490101E-3</v>
      </c>
      <c r="F14" s="1">
        <f>AVERAGE(FI_Combined22_filo[CAFF])</f>
        <v>1.9254848361015286E-3</v>
      </c>
      <c r="G14" s="1">
        <f>AVERAGE(FI_Combined22_filo[THEO])</f>
        <v>9.1886222362518E-4</v>
      </c>
      <c r="H14" s="1">
        <f>AVERAGE(FI_Combined22_filo[CALC])</f>
        <v>1.9631892442703233E-3</v>
      </c>
      <c r="I14" s="1">
        <f>AVERAGE(FI_Combined22_filo[MAGN])</f>
        <v>6.2633380293846015E-4</v>
      </c>
      <c r="J14" s="1">
        <f>AVERAGE(FI_Combined22_filo[POTA])</f>
        <v>-2.3104399442672716E-4</v>
      </c>
      <c r="K14" s="1">
        <f>AVERAGE(FI_Combined22_filo[ZINC])</f>
        <v>4.3045654892921395E-4</v>
      </c>
      <c r="L14" s="1">
        <f>AVERAGE(FI_Combined22_filo[VC])</f>
        <v>4.1264519095420742E-4</v>
      </c>
      <c r="M14" s="1">
        <f>AVERAGE(FI_Combined22_filo[VB1])</f>
        <v>1.2933112680911961E-3</v>
      </c>
      <c r="N14" s="1">
        <f>AVERAGE(FI_Combined22_filo[VB6])</f>
        <v>1.2048318982124258E-3</v>
      </c>
      <c r="O14" s="1">
        <f>AVERAGE(FI_Combined22_filo[VARA])</f>
        <v>8.4477812051773091E-4</v>
      </c>
      <c r="P14" s="1">
        <f>AVERAGE(FI_Combined22_filo[ACAR])</f>
        <v>-6.2459260225295994E-3</v>
      </c>
      <c r="Q14" s="1">
        <f>AVERAGE(FI_Combined22_filo[CRYP])</f>
        <v>-7.9324729740619607E-3</v>
      </c>
      <c r="R14" s="1">
        <f>AVERAGE(FI_Combined22_filo[LYCO])</f>
        <v>-7.6151564717292597E-4</v>
      </c>
      <c r="S14" s="1">
        <f>AVERAGE(FI_Combined22_filo[ATOC])</f>
        <v>-4.1273340582847554E-3</v>
      </c>
      <c r="T14" s="1">
        <f>AVERAGE(FI_Combined22_filo[VK])</f>
        <v>-3.5232767462730374E-3</v>
      </c>
      <c r="U14" s="1">
        <f>AVERAGE(FI_Combined22_filo[CHOLE])</f>
        <v>-4.0428057312965338E-3</v>
      </c>
      <c r="V14" s="1">
        <f>AVERAGE(FI_Combined22_filo[VITD])</f>
        <v>-7.1270488202571812E-3</v>
      </c>
    </row>
    <row r="15" spans="1:22" x14ac:dyDescent="0.35">
      <c r="A15" s="2" t="s">
        <v>23</v>
      </c>
    </row>
    <row r="16" spans="1:22" x14ac:dyDescent="0.35">
      <c r="A16" s="1">
        <f>STDEV(FI_Combined22_filo[PROT])</f>
        <v>5.0896554241794726E-4</v>
      </c>
      <c r="B16" s="1">
        <f>STDEV(FI_Combined22_filo[TFAT])</f>
        <v>4.5733302083772622E-4</v>
      </c>
      <c r="C16" s="1">
        <f>STDEV(FI_Combined22_filo[CARB])</f>
        <v>8.3320157341908803E-4</v>
      </c>
      <c r="D16" s="1">
        <f>STDEV(FI_Combined22_filo[MOIS])</f>
        <v>2.1143317425111417E-3</v>
      </c>
      <c r="E16" s="1">
        <f>STDEV(FI_Combined22_filo[ALC])</f>
        <v>2.4671891391886435E-4</v>
      </c>
      <c r="F16" s="1">
        <f>STDEV(FI_Combined22_filo[CAFF])</f>
        <v>9.8561342698379162E-4</v>
      </c>
      <c r="G16" s="1">
        <f>STDEV(FI_Combined22_filo[THEO])</f>
        <v>9.8607584714222518E-4</v>
      </c>
      <c r="H16" s="1">
        <f>STDEV(FI_Combined22_filo[CALC])</f>
        <v>2.6602667135438413E-3</v>
      </c>
      <c r="I16" s="1">
        <f>STDEV(FI_Combined22_filo[MAGN])</f>
        <v>1.3217652711066522E-3</v>
      </c>
      <c r="J16" s="1">
        <f>STDEV(FI_Combined22_filo[POTA])</f>
        <v>2.5935171235387526E-3</v>
      </c>
      <c r="K16" s="1">
        <f>STDEV(FI_Combined22_filo[ZINC])</f>
        <v>2.0508963961608019E-4</v>
      </c>
      <c r="L16" s="1">
        <f>STDEV(FI_Combined22_filo[VC])</f>
        <v>7.3076511477693131E-4</v>
      </c>
      <c r="M16" s="1">
        <f>STDEV(FI_Combined22_filo[VB1])</f>
        <v>4.2409199256771198E-5</v>
      </c>
      <c r="N16" s="1">
        <f>STDEV(FI_Combined22_filo[VB6])</f>
        <v>6.0342752218458081E-5</v>
      </c>
      <c r="O16" s="1">
        <f>STDEV(FI_Combined22_filo[VARA])</f>
        <v>2.938817813367774E-3</v>
      </c>
      <c r="P16" s="1">
        <f>STDEV(FI_Combined22_filo[ACAR])</f>
        <v>1.5903736575981361E-3</v>
      </c>
      <c r="Q16" s="1">
        <f>STDEV(FI_Combined22_filo[CRYP])</f>
        <v>6.3803418398832642E-4</v>
      </c>
      <c r="R16" s="1">
        <f>STDEV(FI_Combined22_filo[LYCO])</f>
        <v>3.5038421394406392E-3</v>
      </c>
      <c r="S16" s="1">
        <f>STDEV(FI_Combined22_filo[ATOC])</f>
        <v>1.8089775584382003E-4</v>
      </c>
      <c r="T16" s="1">
        <f>STDEV(FI_Combined22_filo[VK])</f>
        <v>1.0683600810199813E-3</v>
      </c>
      <c r="U16" s="1">
        <f>STDEV(FI_Combined22_filo[CHOLE])</f>
        <v>2.2901270730211381E-3</v>
      </c>
      <c r="V16" s="1">
        <f>STDEV(FI_Combined22_filo[VITD])</f>
        <v>5.8704220655341884E-5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F74F-AB33-4F51-A872-78A9706A31C7}">
  <dimension ref="A1:V15"/>
  <sheetViews>
    <sheetView workbookViewId="0">
      <selection activeCell="A14" sqref="A14"/>
    </sheetView>
  </sheetViews>
  <sheetFormatPr baseColWidth="10" defaultRowHeight="14.5" x14ac:dyDescent="0.35"/>
  <cols>
    <col min="1" max="1" width="22.54296875" style="1" bestFit="1" customWidth="1"/>
    <col min="2" max="2" width="21.54296875" style="1" bestFit="1" customWidth="1"/>
    <col min="3" max="3" width="22.1796875" style="1" bestFit="1" customWidth="1"/>
    <col min="4" max="4" width="21.54296875" style="1" bestFit="1" customWidth="1"/>
    <col min="5" max="5" width="22.54296875" style="1" bestFit="1" customWidth="1"/>
    <col min="6" max="10" width="22.1796875" style="1" bestFit="1" customWidth="1"/>
    <col min="11" max="22" width="20.45312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-5.1781535148620595E-4</v>
      </c>
      <c r="B2" s="1">
        <v>3.3899843692779502E-3</v>
      </c>
      <c r="C2" s="1">
        <v>-3.7249922752380301E-4</v>
      </c>
      <c r="D2" s="1">
        <v>1.31298601627349E-2</v>
      </c>
      <c r="E2" s="1">
        <v>4.7001242637634201E-4</v>
      </c>
      <c r="F2" s="1">
        <v>3.4308731555938699E-3</v>
      </c>
      <c r="G2" s="1">
        <v>-1.7038583755493099E-3</v>
      </c>
      <c r="H2" s="1">
        <v>4.7496557235717704E-3</v>
      </c>
      <c r="I2" s="1">
        <v>-2.1087229251861499E-3</v>
      </c>
      <c r="J2" s="1">
        <v>-1.9639432430267299E-3</v>
      </c>
      <c r="K2" s="1">
        <v>1.4122784137725801E-2</v>
      </c>
      <c r="L2" s="1">
        <v>1.1953830718994101E-2</v>
      </c>
      <c r="M2" s="1">
        <v>1.36424601078033E-2</v>
      </c>
      <c r="N2" s="1">
        <v>1.3540655374526899E-2</v>
      </c>
      <c r="O2" s="1">
        <v>1.29116773605346E-2</v>
      </c>
      <c r="P2" s="1">
        <v>8.1669390201568604E-3</v>
      </c>
      <c r="Q2" s="1">
        <v>1.84656381607055E-2</v>
      </c>
      <c r="R2" s="1">
        <v>1.4678746461868199E-2</v>
      </c>
      <c r="S2" s="1">
        <v>1.41481757164001E-2</v>
      </c>
      <c r="T2" s="1">
        <v>1.6427427530288599E-2</v>
      </c>
      <c r="U2" s="1">
        <v>1.42712593078613E-2</v>
      </c>
      <c r="V2" s="1">
        <v>1.06759369373321E-2</v>
      </c>
    </row>
    <row r="3" spans="1:22" x14ac:dyDescent="0.35">
      <c r="A3" s="1">
        <v>3.16947698593139E-4</v>
      </c>
      <c r="B3" s="1">
        <v>2.9618144035339299E-3</v>
      </c>
      <c r="C3" s="1">
        <v>3.32522392272949E-3</v>
      </c>
      <c r="D3" s="1">
        <v>6.0940682888030997E-3</v>
      </c>
      <c r="E3" s="1">
        <v>5.6964159011840799E-4</v>
      </c>
      <c r="F3" s="1">
        <v>2.0250976085662798E-3</v>
      </c>
      <c r="G3" s="1">
        <v>-2.7059018611907898E-3</v>
      </c>
      <c r="H3" s="1">
        <v>6.0204565525054897E-3</v>
      </c>
      <c r="I3" s="1">
        <v>7.9599618911743095E-3</v>
      </c>
      <c r="J3" s="1">
        <v>1.3302564620971599E-3</v>
      </c>
      <c r="K3" s="1">
        <v>1.46154761314392E-2</v>
      </c>
      <c r="L3" s="1">
        <v>1.33561491966247E-2</v>
      </c>
      <c r="M3" s="1">
        <v>1.3633906841278E-2</v>
      </c>
      <c r="N3" s="1">
        <v>1.36092901229858E-2</v>
      </c>
      <c r="O3" s="1">
        <v>6.2641501426696699E-3</v>
      </c>
      <c r="P3" s="1">
        <v>1.3693541288375801E-2</v>
      </c>
      <c r="Q3" s="1">
        <v>1.4604419469833299E-2</v>
      </c>
      <c r="R3" s="1">
        <v>1.28424763679504E-2</v>
      </c>
      <c r="S3" s="1">
        <v>1.40235126018524E-2</v>
      </c>
      <c r="T3" s="1">
        <v>1.8551558256149198E-2</v>
      </c>
      <c r="U3" s="1">
        <v>7.9686939716339094E-3</v>
      </c>
      <c r="V3" s="1">
        <v>1.11268758773803E-2</v>
      </c>
    </row>
    <row r="4" spans="1:22" x14ac:dyDescent="0.35">
      <c r="A4" s="1">
        <v>2.1444857120513899E-3</v>
      </c>
      <c r="B4" s="1">
        <v>1.0938048362731901E-3</v>
      </c>
      <c r="C4" s="1">
        <v>-3.9556622505187902E-4</v>
      </c>
      <c r="D4" s="1">
        <v>9.7599625587463303E-4</v>
      </c>
      <c r="E4" s="1">
        <v>5.5390596389770497E-4</v>
      </c>
      <c r="F4" s="1">
        <v>5.0567686557769697E-3</v>
      </c>
      <c r="G4" s="1">
        <v>1.5239119529724099E-3</v>
      </c>
      <c r="H4" s="1">
        <v>6.6570937633514404E-3</v>
      </c>
      <c r="I4" s="1">
        <v>1.62506103515625E-3</v>
      </c>
      <c r="J4" s="1">
        <v>1.20918750762939E-2</v>
      </c>
      <c r="K4" s="1">
        <v>1.4403671026229799E-2</v>
      </c>
      <c r="L4" s="1">
        <v>1.55057311058044E-2</v>
      </c>
      <c r="M4" s="1">
        <v>1.3802707195281899E-2</v>
      </c>
      <c r="N4" s="1">
        <v>1.34987533092498E-2</v>
      </c>
      <c r="O4" s="1">
        <v>6.1920285224914499E-3</v>
      </c>
      <c r="P4" s="1">
        <v>8.3335638046264596E-3</v>
      </c>
      <c r="Q4" s="1">
        <v>2.1706342697143499E-2</v>
      </c>
      <c r="R4" s="1">
        <v>8.1516504287719692E-3</v>
      </c>
      <c r="S4" s="1">
        <v>1.4995068311691199E-2</v>
      </c>
      <c r="T4" s="1">
        <v>1.6385853290557799E-2</v>
      </c>
      <c r="U4" s="1">
        <v>3.8949847221374499E-3</v>
      </c>
      <c r="V4" s="1">
        <v>1.12224519252777E-2</v>
      </c>
    </row>
    <row r="5" spans="1:22" x14ac:dyDescent="0.35">
      <c r="A5" s="1">
        <v>2.19786167144775E-3</v>
      </c>
      <c r="B5" s="1">
        <v>3.4512281417846602E-3</v>
      </c>
      <c r="C5" s="1">
        <v>-3.7403702735900801E-3</v>
      </c>
      <c r="D5" s="1">
        <v>8.4376335144042904E-4</v>
      </c>
      <c r="E5" s="1">
        <v>9.0929865837097103E-4</v>
      </c>
      <c r="F5" s="1">
        <v>5.4297745227813703E-3</v>
      </c>
      <c r="G5" s="1">
        <v>-1.26320123672485E-3</v>
      </c>
      <c r="H5" s="1">
        <v>1.4749139547348E-2</v>
      </c>
      <c r="I5" s="1">
        <v>2.7753412723541199E-3</v>
      </c>
      <c r="J5" s="1">
        <v>1.4739990234375E-2</v>
      </c>
      <c r="K5" s="1">
        <v>1.42106413841247E-2</v>
      </c>
      <c r="L5" s="1">
        <v>1.55228972434997E-2</v>
      </c>
      <c r="M5" s="1">
        <v>1.36072635650634E-2</v>
      </c>
      <c r="N5" s="1">
        <v>1.3387680053710899E-2</v>
      </c>
      <c r="O5" s="1">
        <v>1.5250802040100001E-2</v>
      </c>
      <c r="P5" s="1">
        <v>1.9225865602493199E-2</v>
      </c>
      <c r="Q5" s="1">
        <v>1.2627154588699299E-2</v>
      </c>
      <c r="R5" s="1">
        <v>1.0976582765579199E-2</v>
      </c>
      <c r="S5" s="1">
        <v>1.48792266845703E-2</v>
      </c>
      <c r="T5" s="1">
        <v>1.50266289710998E-2</v>
      </c>
      <c r="U5" s="1">
        <v>2.4290680885314898E-3</v>
      </c>
      <c r="V5" s="1">
        <v>1.09955966472625E-2</v>
      </c>
    </row>
    <row r="6" spans="1:22" x14ac:dyDescent="0.35">
      <c r="A6" s="1">
        <v>4.9591362476348799E-3</v>
      </c>
      <c r="B6" s="1">
        <v>3.1314790248870802E-3</v>
      </c>
      <c r="C6" s="1">
        <v>-2.5627613067626901E-3</v>
      </c>
      <c r="D6" s="1">
        <v>-2.7831494808197E-3</v>
      </c>
      <c r="E6" s="1">
        <v>7.32868909835815E-4</v>
      </c>
      <c r="F6" s="1">
        <v>3.7954449653625402E-3</v>
      </c>
      <c r="G6" s="1">
        <v>-2.66253948211669E-4</v>
      </c>
      <c r="H6" s="1">
        <v>2.0955502986907898E-3</v>
      </c>
      <c r="I6" s="1">
        <v>5.76820969581604E-3</v>
      </c>
      <c r="J6" s="1">
        <v>-3.1502246856689401E-3</v>
      </c>
      <c r="K6" s="1">
        <v>1.52828991413116E-2</v>
      </c>
      <c r="L6" s="1">
        <v>1.50937438011169E-2</v>
      </c>
      <c r="M6" s="1">
        <v>1.37008428573608E-2</v>
      </c>
      <c r="N6" s="1">
        <v>1.3347327709197899E-2</v>
      </c>
      <c r="O6" s="1">
        <v>1.4243334531784E-2</v>
      </c>
      <c r="P6" s="1">
        <v>1.22484266757965E-2</v>
      </c>
      <c r="Q6" s="1">
        <v>1.9506961107254001E-2</v>
      </c>
      <c r="R6" s="1">
        <v>1.1673927307128899E-2</v>
      </c>
      <c r="S6" s="1">
        <v>1.45226716995239E-2</v>
      </c>
      <c r="T6" s="1">
        <v>1.6682922840118401E-2</v>
      </c>
      <c r="U6" s="1">
        <v>6.1308145523071202E-3</v>
      </c>
      <c r="V6" s="1">
        <v>1.05601251125335E-2</v>
      </c>
    </row>
    <row r="7" spans="1:22" x14ac:dyDescent="0.35">
      <c r="A7" s="1">
        <v>-3.9529800415038997E-4</v>
      </c>
      <c r="B7" s="1">
        <v>5.4851174354553201E-4</v>
      </c>
      <c r="C7" s="1">
        <v>4.6223402023315403E-5</v>
      </c>
      <c r="D7" s="1">
        <v>7.9214870929718E-3</v>
      </c>
      <c r="E7" s="1">
        <v>7.9476833343505805E-4</v>
      </c>
      <c r="F7" s="1">
        <v>1.6630291938781699E-3</v>
      </c>
      <c r="G7" s="1">
        <v>8.0028176307678201E-4</v>
      </c>
      <c r="H7" s="1">
        <v>9.3004703521728498E-3</v>
      </c>
      <c r="I7" s="1">
        <v>2.3176968097686698E-3</v>
      </c>
      <c r="J7" s="1">
        <v>1.10154747962951E-2</v>
      </c>
      <c r="K7" s="1">
        <v>1.3702899217605501E-2</v>
      </c>
      <c r="L7" s="1">
        <v>1.39685571193695E-2</v>
      </c>
      <c r="M7" s="1">
        <v>1.37376189231872E-2</v>
      </c>
      <c r="N7" s="1">
        <v>1.32984220981597E-2</v>
      </c>
      <c r="O7" s="1">
        <v>1.36236250400543E-2</v>
      </c>
      <c r="P7" s="1">
        <v>6.6555738449096602E-3</v>
      </c>
      <c r="Q7" s="1">
        <v>1.2847572565078701E-2</v>
      </c>
      <c r="R7" s="1">
        <v>2.79159843921661E-2</v>
      </c>
      <c r="S7" s="1">
        <v>1.46922469139099E-2</v>
      </c>
      <c r="T7" s="1">
        <v>1.00391507148742E-2</v>
      </c>
      <c r="U7" s="1">
        <v>8.9670717716217006E-3</v>
      </c>
      <c r="V7" s="1">
        <v>1.10475718975067E-2</v>
      </c>
    </row>
    <row r="8" spans="1:22" x14ac:dyDescent="0.35">
      <c r="A8" s="1">
        <v>2.11462378501892E-3</v>
      </c>
      <c r="B8" s="1">
        <v>2.86856293678283E-3</v>
      </c>
      <c r="C8" s="1">
        <v>3.9716064929962097E-3</v>
      </c>
      <c r="D8" s="1">
        <v>5.6333541870117101E-3</v>
      </c>
      <c r="E8" s="1">
        <v>3.7482380867004302E-4</v>
      </c>
      <c r="F8" s="1">
        <v>4.2511224746704102E-3</v>
      </c>
      <c r="G8" s="1">
        <v>-2.5169253349304199E-3</v>
      </c>
      <c r="H8" s="1">
        <v>1.26897692680358E-2</v>
      </c>
      <c r="I8" s="1">
        <v>-4.3928623199462803E-5</v>
      </c>
      <c r="J8" s="1">
        <v>-2.22322344779968E-3</v>
      </c>
      <c r="K8" s="1">
        <v>1.40130519866943E-2</v>
      </c>
      <c r="L8" s="1">
        <v>1.4907211065292299E-2</v>
      </c>
      <c r="M8" s="1">
        <v>1.3680875301361001E-2</v>
      </c>
      <c r="N8" s="1">
        <v>1.3532131910324E-2</v>
      </c>
      <c r="O8" s="1">
        <v>2.57832109928131E-2</v>
      </c>
      <c r="P8" s="1">
        <v>1.14235281944274E-2</v>
      </c>
      <c r="Q8" s="1">
        <v>1.89875364303588E-2</v>
      </c>
      <c r="R8" s="1">
        <v>2.88177728652954E-2</v>
      </c>
      <c r="S8" s="1">
        <v>1.4781475067138601E-2</v>
      </c>
      <c r="T8" s="1">
        <v>1.5409290790557801E-2</v>
      </c>
      <c r="U8" s="1">
        <v>1.28430724143981E-2</v>
      </c>
      <c r="V8" s="1">
        <v>1.12031400203704E-2</v>
      </c>
    </row>
    <row r="9" spans="1:22" x14ac:dyDescent="0.35">
      <c r="A9" s="1">
        <v>3.5820901393890298E-3</v>
      </c>
      <c r="B9" s="1">
        <v>1.74519419670104E-3</v>
      </c>
      <c r="C9" s="1">
        <v>3.2731890678405702E-4</v>
      </c>
      <c r="D9" s="1">
        <v>1.04844868183135E-2</v>
      </c>
      <c r="E9" s="1">
        <v>1.25503540039062E-3</v>
      </c>
      <c r="F9" s="1">
        <v>-1.3790726661682101E-3</v>
      </c>
      <c r="G9" s="1">
        <v>-6.5725147724151603E-3</v>
      </c>
      <c r="H9" s="1">
        <v>7.3666572570800703E-3</v>
      </c>
      <c r="I9" s="1">
        <v>-1.85915827751159E-3</v>
      </c>
      <c r="J9" s="1">
        <v>6.0800015926360997E-3</v>
      </c>
      <c r="K9" s="1">
        <v>1.46098434925079E-2</v>
      </c>
      <c r="L9" s="1">
        <v>1.55559480190277E-2</v>
      </c>
      <c r="M9" s="1">
        <v>1.3661056756973201E-2</v>
      </c>
      <c r="N9" s="1">
        <v>1.3580143451690599E-2</v>
      </c>
      <c r="O9" s="1">
        <v>6.6479444503784102E-3</v>
      </c>
      <c r="P9" s="1">
        <v>7.2783827781677203E-3</v>
      </c>
      <c r="Q9" s="1">
        <v>1.3987362384796099E-2</v>
      </c>
      <c r="R9" s="1">
        <v>2.2942095994949299E-2</v>
      </c>
      <c r="S9" s="1">
        <v>1.4418810606002801E-2</v>
      </c>
      <c r="T9" s="1">
        <v>1.4759868383407501E-2</v>
      </c>
      <c r="U9" s="1">
        <v>1.3073861598968501E-2</v>
      </c>
      <c r="V9" s="1">
        <v>1.1171102523803701E-2</v>
      </c>
    </row>
    <row r="10" spans="1:22" x14ac:dyDescent="0.35">
      <c r="A10" s="1">
        <v>4.4464170932769697E-3</v>
      </c>
      <c r="B10" s="1">
        <v>4.9947798252105704E-3</v>
      </c>
      <c r="C10" s="1">
        <v>-1.7567276954650801E-3</v>
      </c>
      <c r="D10" s="1">
        <v>1.31054818630218E-2</v>
      </c>
      <c r="E10" s="1">
        <v>1.0654628276824899E-3</v>
      </c>
      <c r="F10" s="1">
        <v>5.0789713859558097E-3</v>
      </c>
      <c r="G10" s="1">
        <v>-1.2356936931610101E-3</v>
      </c>
      <c r="H10" s="1">
        <v>6.5064132213592503E-3</v>
      </c>
      <c r="I10" s="1">
        <v>5.0763189792632996E-3</v>
      </c>
      <c r="J10" s="1">
        <v>1.4303922653198201E-3</v>
      </c>
      <c r="K10" s="1">
        <v>1.36291086673736E-2</v>
      </c>
      <c r="L10" s="1">
        <v>1.6046971082687302E-2</v>
      </c>
      <c r="M10" s="1">
        <v>1.36707425117492E-2</v>
      </c>
      <c r="N10" s="1">
        <v>1.3481020927429199E-2</v>
      </c>
      <c r="O10" s="1">
        <v>1.5271335840225201E-2</v>
      </c>
      <c r="P10" s="1">
        <v>2.64597833156585E-2</v>
      </c>
      <c r="Q10" s="1">
        <v>1.2764334678649901E-2</v>
      </c>
      <c r="R10" s="1">
        <v>9.0785622596740705E-3</v>
      </c>
      <c r="S10" s="1">
        <v>1.5101701021194401E-2</v>
      </c>
      <c r="T10" s="1">
        <v>1.0727435350418001E-2</v>
      </c>
      <c r="U10" s="1">
        <v>1.31536424160003E-2</v>
      </c>
      <c r="V10" s="1">
        <v>1.0998249053955E-2</v>
      </c>
    </row>
    <row r="11" spans="1:22" x14ac:dyDescent="0.35">
      <c r="A11" s="1">
        <v>5.0129592418670602E-3</v>
      </c>
      <c r="B11" s="1">
        <v>2.0760595798492401E-3</v>
      </c>
      <c r="C11" s="1">
        <v>-5.9130191802978498E-3</v>
      </c>
      <c r="D11" s="1">
        <v>5.7154893875122005E-4</v>
      </c>
      <c r="E11" s="1">
        <v>9.0980529785156196E-4</v>
      </c>
      <c r="F11" s="1">
        <v>-2.5941133499145499E-3</v>
      </c>
      <c r="G11" s="1">
        <v>-2.6887357234954799E-3</v>
      </c>
      <c r="H11" s="1">
        <v>-3.1180977821349998E-3</v>
      </c>
      <c r="I11" s="1">
        <v>-2.45538353919982E-3</v>
      </c>
      <c r="J11" s="1">
        <v>1.34893655776977E-2</v>
      </c>
      <c r="K11" s="1">
        <v>1.52070522308349E-2</v>
      </c>
      <c r="L11" s="1">
        <v>1.3655394315719599E-2</v>
      </c>
      <c r="M11" s="1">
        <v>1.3690233230590799E-2</v>
      </c>
      <c r="N11" s="1">
        <v>1.36508345603942E-2</v>
      </c>
      <c r="O11" s="1">
        <v>1.3439983129501299E-2</v>
      </c>
      <c r="P11" s="1">
        <v>1.95876657962799E-2</v>
      </c>
      <c r="Q11" s="1">
        <v>1.7305701971054001E-2</v>
      </c>
      <c r="R11" s="1">
        <v>1.3607233762741E-2</v>
      </c>
      <c r="S11" s="1">
        <v>1.4973133802413901E-2</v>
      </c>
      <c r="T11" s="1">
        <v>1.3618975877761799E-2</v>
      </c>
      <c r="U11" s="1">
        <v>1.11059844493865E-2</v>
      </c>
      <c r="V11" s="1">
        <v>1.10014975070953E-2</v>
      </c>
    </row>
    <row r="12" spans="1:22" x14ac:dyDescent="0.35">
      <c r="A12" s="2" t="s">
        <v>22</v>
      </c>
    </row>
    <row r="13" spans="1:22" x14ac:dyDescent="0.35">
      <c r="A13" s="1">
        <f>AVERAGE(FI_Combined22_genus[PROT])</f>
        <v>2.3861408233642545E-3</v>
      </c>
      <c r="B13" s="1">
        <f>AVERAGE(FI_Combined22_genus[TFAT])</f>
        <v>2.6261419057846021E-3</v>
      </c>
      <c r="C13" s="1">
        <f>AVERAGE(FI_Combined22_genus[CARB])</f>
        <v>-7.0705711841583094E-4</v>
      </c>
      <c r="D13" s="1">
        <f>AVERAGE(FI_Combined22_genus[MOIS])</f>
        <v>5.59768974781034E-3</v>
      </c>
      <c r="E13" s="1">
        <f>AVERAGE(FI_Combined22_genus[ALC])</f>
        <v>7.6356232166290136E-4</v>
      </c>
      <c r="F13" s="1">
        <f>AVERAGE(FI_Combined22_genus[CAFF])</f>
        <v>2.6757895946502666E-3</v>
      </c>
      <c r="G13" s="1">
        <f>AVERAGE(FI_Combined22_genus[THEO])</f>
        <v>-1.6628891229629496E-3</v>
      </c>
      <c r="H13" s="1">
        <f>AVERAGE(FI_Combined22_genus[CALC])</f>
        <v>6.7017108201980462E-3</v>
      </c>
      <c r="I13" s="1">
        <f>AVERAGE(FI_Combined22_genus[MAGN])</f>
        <v>1.9055396318435665E-3</v>
      </c>
      <c r="J13" s="1">
        <f>AVERAGE(FI_Combined22_genus[POTA])</f>
        <v>5.2839964628219422E-3</v>
      </c>
      <c r="K13" s="1">
        <f>AVERAGE(FI_Combined22_genus[ZINC])</f>
        <v>1.437974274158473E-2</v>
      </c>
      <c r="L13" s="1">
        <f>AVERAGE(FI_Combined22_genus[VC])</f>
        <v>1.455664336681362E-2</v>
      </c>
      <c r="M13" s="1">
        <f>AVERAGE(FI_Combined22_genus[VB1])</f>
        <v>1.368277072906488E-2</v>
      </c>
      <c r="N13" s="1">
        <f>AVERAGE(FI_Combined22_genus[VB6])</f>
        <v>1.3492625951766901E-2</v>
      </c>
      <c r="O13" s="1">
        <f>AVERAGE(FI_Combined22_genus[VARA])</f>
        <v>1.2962809205055204E-2</v>
      </c>
      <c r="P13" s="1">
        <f>AVERAGE(FI_Combined22_genus[ACAR])</f>
        <v>1.33073270320892E-2</v>
      </c>
      <c r="Q13" s="1">
        <f>AVERAGE(FI_Combined22_genus[CRYP])</f>
        <v>1.6280302405357307E-2</v>
      </c>
      <c r="R13" s="1">
        <f>AVERAGE(FI_Combined22_genus[LYCO])</f>
        <v>1.6068503260612453E-2</v>
      </c>
      <c r="S13" s="1">
        <f>AVERAGE(FI_Combined22_genus[ATOC])</f>
        <v>1.4653602242469751E-2</v>
      </c>
      <c r="T13" s="1">
        <f>AVERAGE(FI_Combined22_genus[VK])</f>
        <v>1.476291120052331E-2</v>
      </c>
      <c r="U13" s="1">
        <f>AVERAGE(FI_Combined22_genus[CHOLE])</f>
        <v>9.3838453292846378E-3</v>
      </c>
      <c r="V13" s="1">
        <f>AVERAGE(FI_Combined22_genus[VITD])</f>
        <v>1.1000254750251719E-2</v>
      </c>
    </row>
    <row r="14" spans="1:22" x14ac:dyDescent="0.35">
      <c r="A14" s="2" t="s">
        <v>23</v>
      </c>
    </row>
    <row r="15" spans="1:22" x14ac:dyDescent="0.35">
      <c r="A15" s="1">
        <f>STDEV(FI_Combined22_genus[PROT])</f>
        <v>2.1032779937307589E-3</v>
      </c>
      <c r="B15" s="1">
        <f>STDEV(FI_Combined22_genus[TFAT])</f>
        <v>1.2929183699532715E-3</v>
      </c>
      <c r="C15" s="1">
        <f>STDEV(FI_Combined22_genus[CARB])</f>
        <v>2.9971093571528468E-3</v>
      </c>
      <c r="D15" s="1">
        <f>STDEV(FI_Combined22_genus[MOIS])</f>
        <v>5.5985061643131651E-3</v>
      </c>
      <c r="E15" s="1">
        <f>STDEV(FI_Combined22_genus[ALC])</f>
        <v>2.7810507651518862E-4</v>
      </c>
      <c r="F15" s="1">
        <f>STDEV(FI_Combined22_genus[CAFF])</f>
        <v>2.7688164078110474E-3</v>
      </c>
      <c r="G15" s="1">
        <f>STDEV(FI_Combined22_genus[THEO])</f>
        <v>2.2482453709780034E-3</v>
      </c>
      <c r="H15" s="1">
        <f>STDEV(FI_Combined22_genus[CALC])</f>
        <v>5.0527635123977814E-3</v>
      </c>
      <c r="I15" s="1">
        <f>STDEV(FI_Combined22_genus[MAGN])</f>
        <v>3.5860922537305981E-3</v>
      </c>
      <c r="J15" s="1">
        <f>STDEV(FI_Combined22_genus[POTA])</f>
        <v>7.048120097984981E-3</v>
      </c>
      <c r="K15" s="1">
        <f>STDEV(FI_Combined22_genus[ZINC])</f>
        <v>5.6370553730335845E-4</v>
      </c>
      <c r="L15" s="1">
        <f>STDEV(FI_Combined22_genus[VC])</f>
        <v>1.2840643106832698E-3</v>
      </c>
      <c r="M15" s="1">
        <f>STDEV(FI_Combined22_genus[VB1])</f>
        <v>5.5885891531998079E-5</v>
      </c>
      <c r="N15" s="1">
        <f>STDEV(FI_Combined22_genus[VB6])</f>
        <v>1.1555659044764229E-4</v>
      </c>
      <c r="O15" s="1">
        <f>STDEV(FI_Combined22_genus[VARA])</f>
        <v>5.8483298821424582E-3</v>
      </c>
      <c r="P15" s="1">
        <f>STDEV(FI_Combined22_genus[ACAR])</f>
        <v>6.5322608678157592E-3</v>
      </c>
      <c r="Q15" s="1">
        <f>STDEV(FI_Combined22_genus[CRYP])</f>
        <v>3.309360496448505E-3</v>
      </c>
      <c r="R15" s="1">
        <f>STDEV(FI_Combined22_genus[LYCO])</f>
        <v>7.639991774299114E-3</v>
      </c>
      <c r="S15" s="1">
        <f>STDEV(FI_Combined22_genus[ATOC])</f>
        <v>3.671182244660833E-4</v>
      </c>
      <c r="T15" s="1">
        <f>STDEV(FI_Combined22_genus[VK])</f>
        <v>2.6633265796500881E-3</v>
      </c>
      <c r="U15" s="1">
        <f>STDEV(FI_Combined22_genus[CHOLE])</f>
        <v>4.1886287964689028E-3</v>
      </c>
      <c r="V15" s="1">
        <f>STDEV(FI_Combined22_genus[VITD])</f>
        <v>2.2033262944128325E-4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F811-B0A7-4D76-8A94-5F35060B220D}">
  <dimension ref="A1:V16"/>
  <sheetViews>
    <sheetView tabSelected="1" workbookViewId="0">
      <selection activeCell="A15" sqref="A15"/>
    </sheetView>
  </sheetViews>
  <sheetFormatPr baseColWidth="10" defaultRowHeight="14.5" x14ac:dyDescent="0.35"/>
  <cols>
    <col min="1" max="1" width="23.1796875" style="1" bestFit="1" customWidth="1"/>
    <col min="2" max="4" width="22.1796875" style="1" bestFit="1" customWidth="1"/>
    <col min="5" max="5" width="22.54296875" style="1" bestFit="1" customWidth="1"/>
    <col min="6" max="6" width="23.1796875" style="1" bestFit="1" customWidth="1"/>
    <col min="7" max="7" width="21.54296875" style="1" bestFit="1" customWidth="1"/>
    <col min="8" max="8" width="22.1796875" style="1" bestFit="1" customWidth="1"/>
    <col min="9" max="9" width="21.54296875" style="1" bestFit="1" customWidth="1"/>
    <col min="10" max="11" width="22.1796875" style="1" bestFit="1" customWidth="1"/>
    <col min="12" max="12" width="22.54296875" style="1" bestFit="1" customWidth="1"/>
    <col min="13" max="14" width="22.1796875" style="1" bestFit="1" customWidth="1"/>
    <col min="15" max="15" width="22.54296875" style="1" bestFit="1" customWidth="1"/>
    <col min="16" max="16" width="22.81640625" style="1" bestFit="1" customWidth="1"/>
    <col min="17" max="17" width="22.1796875" style="1" bestFit="1" customWidth="1"/>
    <col min="18" max="21" width="21.54296875" style="1" bestFit="1" customWidth="1"/>
    <col min="22" max="22" width="20.453125" style="1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s="1">
        <v>1.0013580322265601E-4</v>
      </c>
      <c r="B2" s="1">
        <v>-2.5977194309234602E-3</v>
      </c>
      <c r="C2" s="1">
        <v>-3.69390845298767E-3</v>
      </c>
      <c r="D2" s="1">
        <v>-2.08006054162979E-3</v>
      </c>
      <c r="E2" s="1">
        <v>8.2433968782424905E-4</v>
      </c>
      <c r="F2" s="1">
        <v>6.3297450542449899E-3</v>
      </c>
      <c r="G2" s="1">
        <v>3.3618509769439602E-3</v>
      </c>
      <c r="H2" s="1">
        <v>4.7683268785476598E-3</v>
      </c>
      <c r="I2" s="1">
        <v>5.2430629730224601E-3</v>
      </c>
      <c r="J2" s="1">
        <v>1.10939145088195E-3</v>
      </c>
      <c r="K2" s="1">
        <v>-1.50354206562042E-3</v>
      </c>
      <c r="L2" s="1">
        <v>-1.5479177236557E-3</v>
      </c>
      <c r="M2" s="1">
        <v>-3.4242346882820099E-3</v>
      </c>
      <c r="N2" s="1">
        <v>-3.4997612237930298E-3</v>
      </c>
      <c r="O2" s="1">
        <v>-5.6207925081252998E-4</v>
      </c>
      <c r="P2" s="1">
        <v>-7.0349574089050198E-3</v>
      </c>
      <c r="Q2" s="1">
        <v>-2.3214593529701198E-3</v>
      </c>
      <c r="R2" s="1">
        <v>5.1700919866561803E-3</v>
      </c>
      <c r="S2" s="1">
        <v>5.8902055025100699E-3</v>
      </c>
      <c r="T2" s="1">
        <v>6.2770098447799596E-3</v>
      </c>
      <c r="U2" s="1">
        <v>9.99421626329422E-3</v>
      </c>
      <c r="V2" s="1">
        <v>7.5183585286140399E-3</v>
      </c>
    </row>
    <row r="3" spans="1:22" x14ac:dyDescent="0.35">
      <c r="A3" s="1">
        <v>-3.3369660377502398E-4</v>
      </c>
      <c r="B3" s="1">
        <v>-2.29882448911666E-3</v>
      </c>
      <c r="C3" s="1">
        <v>-3.8225725293159398E-3</v>
      </c>
      <c r="D3" s="1">
        <v>-9.0152025222778307E-5</v>
      </c>
      <c r="E3" s="1">
        <v>3.9432942867278999E-4</v>
      </c>
      <c r="F3" s="1">
        <v>-1.9633769989013599E-4</v>
      </c>
      <c r="G3" s="1">
        <v>2.2590309381484899E-3</v>
      </c>
      <c r="H3" s="1">
        <v>6.4994320273399301E-3</v>
      </c>
      <c r="I3" s="1">
        <v>5.5676996707916199E-3</v>
      </c>
      <c r="J3" s="1">
        <v>-7.3908269405364903E-3</v>
      </c>
      <c r="K3" s="1">
        <v>-1.4427676796913099E-3</v>
      </c>
      <c r="L3" s="1">
        <v>-2.8385818004608098E-3</v>
      </c>
      <c r="M3" s="1">
        <v>-3.4073293209075902E-3</v>
      </c>
      <c r="N3" s="1">
        <v>-3.4719929099082899E-3</v>
      </c>
      <c r="O3" s="1">
        <v>2.8848722577095001E-3</v>
      </c>
      <c r="P3" s="1">
        <v>-1.18745863437652E-3</v>
      </c>
      <c r="Q3" s="1">
        <v>-4.7580450773239101E-3</v>
      </c>
      <c r="R3" s="1">
        <v>1.4299377799034099E-3</v>
      </c>
      <c r="S3" s="1">
        <v>5.5316314101219099E-3</v>
      </c>
      <c r="T3" s="1">
        <v>7.9187825322151097E-3</v>
      </c>
      <c r="U3" s="1">
        <v>5.9068948030471802E-3</v>
      </c>
      <c r="V3" s="1">
        <v>7.3830187320709202E-3</v>
      </c>
    </row>
    <row r="4" spans="1:22" x14ac:dyDescent="0.35">
      <c r="A4" s="1">
        <v>-1.2325793504714901E-3</v>
      </c>
      <c r="B4" s="1">
        <v>-4.0687024593353202E-3</v>
      </c>
      <c r="C4" s="1">
        <v>-7.9606473445892301E-4</v>
      </c>
      <c r="D4" s="1">
        <v>1.1100545525550799E-3</v>
      </c>
      <c r="E4" s="1">
        <v>6.4886361360549905E-4</v>
      </c>
      <c r="F4" s="1">
        <v>2.9151365160942E-3</v>
      </c>
      <c r="G4" s="1">
        <v>3.9084255695343E-3</v>
      </c>
      <c r="H4" s="1">
        <v>-1.43913924694061E-3</v>
      </c>
      <c r="I4" s="1">
        <v>6.2611103057861302E-3</v>
      </c>
      <c r="J4" s="1">
        <v>-2.28466093540191E-3</v>
      </c>
      <c r="K4" s="1">
        <v>-1.69981271028518E-3</v>
      </c>
      <c r="L4" s="1">
        <v>-3.0358508229255598E-3</v>
      </c>
      <c r="M4" s="1">
        <v>-3.4595280885696398E-3</v>
      </c>
      <c r="N4" s="1">
        <v>-3.50715219974517E-3</v>
      </c>
      <c r="O4" s="1">
        <v>-2.87955999374389E-3</v>
      </c>
      <c r="P4" s="1">
        <v>-6.5513923764228803E-3</v>
      </c>
      <c r="Q4" s="1">
        <v>-4.7642961144447301E-3</v>
      </c>
      <c r="R4" s="1">
        <v>6.9620534777641296E-3</v>
      </c>
      <c r="S4" s="1">
        <v>5.4807513952255197E-3</v>
      </c>
      <c r="T4" s="1">
        <v>1.0177589952945701E-2</v>
      </c>
      <c r="U4" s="1">
        <v>7.2268992662429801E-3</v>
      </c>
      <c r="V4" s="1">
        <v>7.5623616576194702E-3</v>
      </c>
    </row>
    <row r="5" spans="1:22" x14ac:dyDescent="0.35">
      <c r="A5" s="1">
        <v>-1.97870284318923E-3</v>
      </c>
      <c r="B5" s="1">
        <v>-4.40583378076553E-3</v>
      </c>
      <c r="C5" s="1">
        <v>-5.5565237998962402E-3</v>
      </c>
      <c r="D5" s="1">
        <v>-3.4488439559936502E-3</v>
      </c>
      <c r="E5" s="1">
        <v>7.6735764741897496E-4</v>
      </c>
      <c r="F5" s="1">
        <v>3.8948953151702798E-3</v>
      </c>
      <c r="G5" s="1">
        <v>3.6883801221847499E-3</v>
      </c>
      <c r="H5" s="1">
        <v>3.1795054674148499E-3</v>
      </c>
      <c r="I5" s="1">
        <v>5.7462379336357099E-3</v>
      </c>
      <c r="J5" s="1">
        <v>-6.5430253744125301E-4</v>
      </c>
      <c r="K5" s="1">
        <v>-1.75387412309646E-3</v>
      </c>
      <c r="L5" s="1">
        <v>-1.72404199838638E-3</v>
      </c>
      <c r="M5" s="1">
        <v>-3.3561885356902998E-3</v>
      </c>
      <c r="N5" s="1">
        <v>-3.4799277782440099E-3</v>
      </c>
      <c r="O5" s="1">
        <v>-1.9296705722808801E-3</v>
      </c>
      <c r="P5" s="1">
        <v>-1.21891498565673E-5</v>
      </c>
      <c r="Q5" s="1">
        <v>-6.39630854129791E-3</v>
      </c>
      <c r="R5" s="1">
        <v>1.3931296765804201E-2</v>
      </c>
      <c r="S5" s="1">
        <v>5.0850510597229004E-3</v>
      </c>
      <c r="T5" s="1">
        <v>8.0626457929611206E-3</v>
      </c>
      <c r="U5" s="1">
        <v>8.9871957898139902E-3</v>
      </c>
      <c r="V5" s="1">
        <v>7.5439959764480504E-3</v>
      </c>
    </row>
    <row r="6" spans="1:22" x14ac:dyDescent="0.35">
      <c r="A6" s="1">
        <v>-4.1738897562026902E-4</v>
      </c>
      <c r="B6" s="1">
        <v>-3.2156109809875402E-3</v>
      </c>
      <c r="C6" s="1">
        <v>-1.8784031271934501E-3</v>
      </c>
      <c r="D6" s="1">
        <v>-2.4878382682800202E-3</v>
      </c>
      <c r="E6" s="1">
        <v>4.1280686855316102E-4</v>
      </c>
      <c r="F6" s="1">
        <v>-8.3379447460174506E-5</v>
      </c>
      <c r="G6" s="1">
        <v>4.8121586441993696E-3</v>
      </c>
      <c r="H6" s="1">
        <v>-2.5089830160140899E-4</v>
      </c>
      <c r="I6" s="1">
        <v>1.1076182126998899E-3</v>
      </c>
      <c r="J6" s="1">
        <v>6.7200511693954403E-4</v>
      </c>
      <c r="K6" s="1">
        <v>-8.9459866285324097E-4</v>
      </c>
      <c r="L6" s="1">
        <v>-4.8271566629409703E-3</v>
      </c>
      <c r="M6" s="1">
        <v>-3.4044161438941899E-3</v>
      </c>
      <c r="N6" s="1">
        <v>-3.4620016813278198E-3</v>
      </c>
      <c r="O6" s="1">
        <v>-9.0356916189193704E-4</v>
      </c>
      <c r="P6" s="1">
        <v>-3.9840489625930699E-3</v>
      </c>
      <c r="Q6" s="1">
        <v>-5.8163106441497803E-3</v>
      </c>
      <c r="R6" s="1">
        <v>3.3274814486503601E-3</v>
      </c>
      <c r="S6" s="1">
        <v>5.4691582918167097E-3</v>
      </c>
      <c r="T6" s="1">
        <v>7.4261352419853202E-3</v>
      </c>
      <c r="U6" s="1">
        <v>7.4571818113327E-3</v>
      </c>
      <c r="V6" s="1">
        <v>7.5029358267784101E-3</v>
      </c>
    </row>
    <row r="7" spans="1:22" x14ac:dyDescent="0.35">
      <c r="A7" s="1">
        <v>-4.1940808296203602E-4</v>
      </c>
      <c r="B7" s="1">
        <v>-3.24437022209167E-3</v>
      </c>
      <c r="C7" s="1">
        <v>-2.31290608644485E-3</v>
      </c>
      <c r="D7" s="1">
        <v>1.0081462562084101E-2</v>
      </c>
      <c r="E7" s="1">
        <v>5.9482455253600998E-4</v>
      </c>
      <c r="F7" s="1">
        <v>2.2294372320175102E-3</v>
      </c>
      <c r="G7" s="1">
        <v>4.2545720934867798E-3</v>
      </c>
      <c r="H7" s="1">
        <v>2.2933185100555398E-3</v>
      </c>
      <c r="I7" s="1">
        <v>5.4630488157272304E-3</v>
      </c>
      <c r="J7" s="1">
        <v>-4.8414394259452802E-3</v>
      </c>
      <c r="K7" s="1">
        <v>-1.63189321756362E-3</v>
      </c>
      <c r="L7" s="1">
        <v>-2.8053745627403199E-3</v>
      </c>
      <c r="M7" s="1">
        <v>-3.3520981669425899E-3</v>
      </c>
      <c r="N7" s="1">
        <v>-3.47998738288879E-3</v>
      </c>
      <c r="O7" s="1">
        <v>3.1018629670143101E-3</v>
      </c>
      <c r="P7" s="1">
        <v>-6.8968534469604397E-3</v>
      </c>
      <c r="Q7" s="1">
        <v>-6.7908167839050198E-3</v>
      </c>
      <c r="R7" s="1">
        <v>1.0292463004588999E-2</v>
      </c>
      <c r="S7" s="1">
        <v>5.5297762155532802E-3</v>
      </c>
      <c r="T7" s="1">
        <v>3.3659636974334699E-3</v>
      </c>
      <c r="U7" s="1">
        <v>5.77813386917114E-3</v>
      </c>
      <c r="V7" s="1">
        <v>7.4653625488281198E-3</v>
      </c>
    </row>
    <row r="8" spans="1:22" x14ac:dyDescent="0.35">
      <c r="A8" s="1">
        <v>3.4745037555694499E-4</v>
      </c>
      <c r="B8" s="1">
        <v>-3.5857781767845102E-3</v>
      </c>
      <c r="C8" s="1">
        <v>-2.1427348256111102E-3</v>
      </c>
      <c r="D8" s="1">
        <v>1.25350058078765E-3</v>
      </c>
      <c r="E8" s="1">
        <v>8.5735321044921799E-4</v>
      </c>
      <c r="F8" s="1">
        <v>2.8660222887992798E-3</v>
      </c>
      <c r="G8" s="1">
        <v>4.1463226079940796E-3</v>
      </c>
      <c r="H8" s="1">
        <v>4.2562931776046701E-3</v>
      </c>
      <c r="I8" s="1">
        <v>3.1777322292327798E-3</v>
      </c>
      <c r="J8" s="1">
        <v>-1.7153993248939499E-3</v>
      </c>
      <c r="K8" s="1">
        <v>-1.19455158710479E-3</v>
      </c>
      <c r="L8" s="1">
        <v>-5.1707029342651302E-4</v>
      </c>
      <c r="M8" s="1">
        <v>-3.4135282039642299E-3</v>
      </c>
      <c r="N8" s="1">
        <v>-3.5578384995460502E-3</v>
      </c>
      <c r="O8" s="1">
        <v>2.7859210968017502E-4</v>
      </c>
      <c r="P8" s="1">
        <v>-4.5883506536483704E-3</v>
      </c>
      <c r="Q8" s="1">
        <v>-6.24461472034454E-3</v>
      </c>
      <c r="R8" s="1">
        <v>6.4839273691177299E-3</v>
      </c>
      <c r="S8" s="1">
        <v>5.4620876908302298E-3</v>
      </c>
      <c r="T8" s="1">
        <v>2.8473660349845799E-3</v>
      </c>
      <c r="U8" s="1">
        <v>7.2133839130401603E-3</v>
      </c>
      <c r="V8" s="1">
        <v>7.2914436459541303E-3</v>
      </c>
    </row>
    <row r="9" spans="1:22" x14ac:dyDescent="0.35">
      <c r="A9" s="1">
        <v>-7.3064863681793202E-4</v>
      </c>
      <c r="B9" s="1">
        <v>-4.3159797787666303E-3</v>
      </c>
      <c r="C9" s="1">
        <v>-3.00619006156921E-3</v>
      </c>
      <c r="D9" s="1">
        <v>-5.4132714867591797E-3</v>
      </c>
      <c r="E9" s="1">
        <v>4.8923492431640603E-4</v>
      </c>
      <c r="F9" s="1">
        <v>-6.5135955810546799E-4</v>
      </c>
      <c r="G9" s="1">
        <v>4.2611435055732701E-3</v>
      </c>
      <c r="H9" s="1">
        <v>4.1914284229278504E-3</v>
      </c>
      <c r="I9" s="1">
        <v>3.5087764263152998E-3</v>
      </c>
      <c r="J9" s="1">
        <v>-3.85434180498123E-3</v>
      </c>
      <c r="K9" s="1">
        <v>-1.5732645988464299E-3</v>
      </c>
      <c r="L9" s="1">
        <v>1.0758638381958E-4</v>
      </c>
      <c r="M9" s="1">
        <v>-3.4110546112060499E-3</v>
      </c>
      <c r="N9" s="1">
        <v>-3.4841299057006801E-3</v>
      </c>
      <c r="O9" s="1">
        <v>2.5725439190864498E-3</v>
      </c>
      <c r="P9" s="1">
        <v>-4.7162398695945696E-3</v>
      </c>
      <c r="Q9" s="1">
        <v>-3.3673569560050899E-3</v>
      </c>
      <c r="R9" s="1">
        <v>6.2323883175849897E-3</v>
      </c>
      <c r="S9" s="1">
        <v>5.37467002868652E-3</v>
      </c>
      <c r="T9" s="1">
        <v>8.8505074381828308E-3</v>
      </c>
      <c r="U9" s="1">
        <v>4.5537203550338702E-3</v>
      </c>
      <c r="V9" s="1">
        <v>7.5750201940536499E-3</v>
      </c>
    </row>
    <row r="10" spans="1:22" x14ac:dyDescent="0.35">
      <c r="A10" s="1">
        <v>3.6050379276275602E-4</v>
      </c>
      <c r="B10" s="1">
        <v>-3.5094469785690299E-3</v>
      </c>
      <c r="C10" s="1">
        <v>-7.9187005758285501E-4</v>
      </c>
      <c r="D10" s="1">
        <v>-2.94375419616699E-3</v>
      </c>
      <c r="E10" s="1">
        <v>2.7477741241455002E-4</v>
      </c>
      <c r="F10" s="1">
        <v>1.5937685966491699E-3</v>
      </c>
      <c r="G10" s="1">
        <v>5.1625519990921003E-3</v>
      </c>
      <c r="H10" s="1">
        <v>2.0164102315902701E-3</v>
      </c>
      <c r="I10" s="1">
        <v>7.8014284372329703E-3</v>
      </c>
      <c r="J10" s="1">
        <v>2.5492161512374802E-4</v>
      </c>
      <c r="K10" s="1">
        <v>-1.64766609668731E-3</v>
      </c>
      <c r="L10" s="1">
        <v>-1.9901618361473001E-3</v>
      </c>
      <c r="M10" s="1">
        <v>-3.4754127264022801E-3</v>
      </c>
      <c r="N10" s="1">
        <v>-3.48395854234695E-3</v>
      </c>
      <c r="O10" s="1">
        <v>1.4269351959228499E-4</v>
      </c>
      <c r="P10" s="1">
        <v>-6.3632428646087603E-4</v>
      </c>
      <c r="Q10" s="1">
        <v>-6.3712745904922399E-3</v>
      </c>
      <c r="R10" s="1">
        <v>7.3845833539962699E-3</v>
      </c>
      <c r="S10" s="1">
        <v>5.7073831558227496E-3</v>
      </c>
      <c r="T10" s="1">
        <v>5.5489093065261797E-3</v>
      </c>
      <c r="U10" s="1">
        <v>1.4825515449047E-2</v>
      </c>
      <c r="V10" s="1">
        <v>7.2719231247901899E-3</v>
      </c>
    </row>
    <row r="11" spans="1:22" x14ac:dyDescent="0.35">
      <c r="A11" s="1">
        <v>-1.5688985586166299E-3</v>
      </c>
      <c r="B11" s="1">
        <v>-3.2584741711616499E-3</v>
      </c>
      <c r="C11" s="1">
        <v>-5.3424462676048201E-3</v>
      </c>
      <c r="D11" s="1">
        <v>8.8700652122497504E-4</v>
      </c>
      <c r="E11" s="1">
        <v>1.0157227516174299E-3</v>
      </c>
      <c r="F11" s="1">
        <v>4.6859756112098598E-3</v>
      </c>
      <c r="G11" s="1">
        <v>4.2861551046371399E-3</v>
      </c>
      <c r="H11" s="1">
        <v>5.00547140836715E-3</v>
      </c>
      <c r="I11" s="1">
        <v>4.24332916736602E-3</v>
      </c>
      <c r="J11" s="1">
        <v>-1.57582014799118E-3</v>
      </c>
      <c r="K11" s="1">
        <v>-1.73792243003845E-3</v>
      </c>
      <c r="L11" s="1">
        <v>-3.42024117708206E-3</v>
      </c>
      <c r="M11" s="1">
        <v>-3.4674406051635699E-3</v>
      </c>
      <c r="N11" s="1">
        <v>-3.4888908267021101E-3</v>
      </c>
      <c r="O11" s="1">
        <v>-7.3453634977340698E-3</v>
      </c>
      <c r="P11" s="1">
        <v>-6.2512457370757996E-3</v>
      </c>
      <c r="Q11" s="1">
        <v>-5.4499059915542603E-3</v>
      </c>
      <c r="R11" s="1">
        <v>5.3543597459793004E-3</v>
      </c>
      <c r="S11" s="1">
        <v>5.8235824108123701E-3</v>
      </c>
      <c r="T11" s="1">
        <v>9.0116783976554801E-3</v>
      </c>
      <c r="U11" s="1">
        <v>7.1761086583137504E-3</v>
      </c>
      <c r="V11" s="1">
        <v>7.2418376803398098E-3</v>
      </c>
    </row>
    <row r="13" spans="1:22" x14ac:dyDescent="0.35">
      <c r="A13" s="2" t="s">
        <v>22</v>
      </c>
    </row>
    <row r="14" spans="1:22" x14ac:dyDescent="0.35">
      <c r="A14" s="1">
        <f>AVERAGE(FI_Combined22_orden[PROT])</f>
        <v>-5.8732330799102543E-4</v>
      </c>
      <c r="B14" s="1">
        <f>AVERAGE(FI_Combined22_orden[TFAT])</f>
        <v>-3.4500740468502008E-3</v>
      </c>
      <c r="C14" s="1">
        <f>AVERAGE(FI_Combined22_orden[CARB])</f>
        <v>-2.9343619942665071E-3</v>
      </c>
      <c r="D14" s="1">
        <f>AVERAGE(FI_Combined22_orden[MOIS])</f>
        <v>-3.1318962574006015E-4</v>
      </c>
      <c r="E14" s="1">
        <f>AVERAGE(FI_Combined22_orden[ALC])</f>
        <v>6.2796100974082882E-4</v>
      </c>
      <c r="F14" s="1">
        <f>AVERAGE(FI_Combined22_orden[CAFF])</f>
        <v>2.3583903908729509E-3</v>
      </c>
      <c r="G14" s="1">
        <f>AVERAGE(FI_Combined22_orden[THEO])</f>
        <v>4.0140591561794231E-3</v>
      </c>
      <c r="H14" s="1">
        <f>AVERAGE(FI_Combined22_orden[CALC])</f>
        <v>3.0520148575305904E-3</v>
      </c>
      <c r="I14" s="1">
        <f>AVERAGE(FI_Combined22_orden[MAGN])</f>
        <v>4.812004417181011E-3</v>
      </c>
      <c r="J14" s="1">
        <f>AVERAGE(FI_Combined22_orden[POTA])</f>
        <v>-2.0280472934246048E-3</v>
      </c>
      <c r="K14" s="1">
        <f>AVERAGE(FI_Combined22_orden[ZINC])</f>
        <v>-1.5079893171787212E-3</v>
      </c>
      <c r="L14" s="1">
        <f>AVERAGE(FI_Combined22_orden[VC])</f>
        <v>-2.2598810493946035E-3</v>
      </c>
      <c r="M14" s="1">
        <f>AVERAGE(FI_Combined22_orden[VB1])</f>
        <v>-3.4171231091022448E-3</v>
      </c>
      <c r="N14" s="1">
        <f>AVERAGE(FI_Combined22_orden[VB6])</f>
        <v>-3.4915640950202902E-3</v>
      </c>
      <c r="O14" s="1">
        <f>AVERAGE(FI_Combined22_orden[VARA])</f>
        <v>-4.6396777033805867E-4</v>
      </c>
      <c r="P14" s="1">
        <f>AVERAGE(FI_Combined22_orden[ACAR])</f>
        <v>-4.1859060525894108E-3</v>
      </c>
      <c r="Q14" s="1">
        <f>AVERAGE(FI_Combined22_orden[CRYP])</f>
        <v>-5.2280388772487597E-3</v>
      </c>
      <c r="R14" s="1">
        <f>AVERAGE(FI_Combined22_orden[LYCO])</f>
        <v>6.656858325004557E-3</v>
      </c>
      <c r="S14" s="1">
        <f>AVERAGE(FI_Combined22_orden[ATOC])</f>
        <v>5.5354297161102264E-3</v>
      </c>
      <c r="T14" s="1">
        <f>AVERAGE(FI_Combined22_orden[VK])</f>
        <v>6.9486588239669744E-3</v>
      </c>
      <c r="U14" s="1">
        <f>AVERAGE(FI_Combined22_orden[CHOLE])</f>
        <v>7.9119250178337E-3</v>
      </c>
      <c r="V14" s="1">
        <f>AVERAGE(FI_Combined22_orden[VITD])</f>
        <v>7.4356257915496795E-3</v>
      </c>
    </row>
    <row r="15" spans="1:22" x14ac:dyDescent="0.35">
      <c r="A15" s="2" t="s">
        <v>23</v>
      </c>
    </row>
    <row r="16" spans="1:22" x14ac:dyDescent="0.35">
      <c r="A16" s="1">
        <f>STDEV(FI_Combined22_orden[PROT])</f>
        <v>7.9599708828502556E-4</v>
      </c>
      <c r="B16" s="1">
        <f>STDEV(FI_Combined22_orden[TFAT])</f>
        <v>6.8749082537609789E-4</v>
      </c>
      <c r="C16" s="1">
        <f>STDEV(FI_Combined22_orden[CARB])</f>
        <v>1.6778328439358546E-3</v>
      </c>
      <c r="D16" s="1">
        <f>STDEV(FI_Combined22_orden[MOIS])</f>
        <v>4.2769812230589619E-3</v>
      </c>
      <c r="E16" s="1">
        <f>STDEV(FI_Combined22_orden[ALC])</f>
        <v>2.3743291496880581E-4</v>
      </c>
      <c r="F16" s="1">
        <f>STDEV(FI_Combined22_orden[CAFF])</f>
        <v>2.2673175613543506E-3</v>
      </c>
      <c r="G16" s="1">
        <f>STDEV(FI_Combined22_orden[THEO])</f>
        <v>8.0202178001304622E-4</v>
      </c>
      <c r="H16" s="1">
        <f>STDEV(FI_Combined22_orden[CALC])</f>
        <v>2.4526404277120375E-3</v>
      </c>
      <c r="I16" s="1">
        <f>STDEV(FI_Combined22_orden[MAGN])</f>
        <v>1.8709836743533914E-3</v>
      </c>
      <c r="J16" s="1">
        <f>STDEV(FI_Combined22_orden[POTA])</f>
        <v>2.6793649282219017E-3</v>
      </c>
      <c r="K16" s="1">
        <f>STDEV(FI_Combined22_orden[ZINC])</f>
        <v>2.724400801532994E-4</v>
      </c>
      <c r="L16" s="1">
        <f>STDEV(FI_Combined22_orden[VC])</f>
        <v>1.4407167052039071E-3</v>
      </c>
      <c r="M16" s="1">
        <f>STDEV(FI_Combined22_orden[VB1])</f>
        <v>4.2198851140702336E-5</v>
      </c>
      <c r="N16" s="1">
        <f>STDEV(FI_Combined22_orden[VB6])</f>
        <v>2.6560472535934162E-5</v>
      </c>
      <c r="O16" s="1">
        <f>STDEV(FI_Combined22_orden[VARA])</f>
        <v>3.1554110070992456E-3</v>
      </c>
      <c r="P16" s="1">
        <f>STDEV(FI_Combined22_orden[ACAR])</f>
        <v>2.6837282376919978E-3</v>
      </c>
      <c r="Q16" s="1">
        <f>STDEV(FI_Combined22_orden[CRYP])</f>
        <v>1.4487207033730197E-3</v>
      </c>
      <c r="R16" s="1">
        <f>STDEV(FI_Combined22_orden[LYCO])</f>
        <v>3.48457408811086E-3</v>
      </c>
      <c r="S16" s="1">
        <f>STDEV(FI_Combined22_orden[ATOC])</f>
        <v>2.3092988186900314E-4</v>
      </c>
      <c r="T16" s="1">
        <f>STDEV(FI_Combined22_orden[VK])</f>
        <v>2.4215670506725516E-3</v>
      </c>
      <c r="U16" s="1">
        <f>STDEV(FI_Combined22_orden[CHOLE])</f>
        <v>2.8837873082757991E-3</v>
      </c>
      <c r="V16" s="1">
        <f>STDEV(FI_Combined22_orden[VITD])</f>
        <v>1.2797781339699799E-4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j a 6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j a 6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u u 1 J e A I T 7 C A I A A C k W A A A T A B w A R m 9 y b X V s Y X M v U 2 V j d G l v b j E u b S C i G A A o o B Q A A A A A A A A A A A A A A A A A A A A A A A A A A A D t k 1 F v 2 j A Q x 9 + R + A 5 W 9 g J S i k q k 7 W F T H t J A B h o l L K S T u n p C J r l 2 l h w b + R w 0 h v r d 5 0 K r b n L 6 A R j J g 2 P / d X f + 3 8 k / h M J w J c n y + B 9 + 6 n a 6 H f z J N J Q k m a 5 i V a 2 5 h D I I V o V g C C Q k A k y 3 Q + y X a v 4 A 0 i o x b g c j V d Q V S N N L u I B B r K S x B + x 5 8 U d 6 g 6 C R M s k q R l M J I 8 2 3 Q F / i F d L g M r i 8 s M u Q b j S z L g q G 1 G g m s a g 1 K l p y M G j q c r e y J c Q O A S 8 q h g Y 0 z Q B r Y Z D K 2 m h u a w H S Z E o b X A 8 K 3 H p 9 / 2 4 E g l f c p o a e 7 / k k V q K u J I Z B 4 J O x L F T J 5 U M 4 D N 7 b 4 9 d a G V i a n Y D w d T u Y K w k / + v 6 x / X e e z W F r + M 1 K h W S j V a W 2 3 G 4 9 O 5 G c r W 3 4 4 k k z M A F W 2 g n 0 j v P y y d 2 z H g m x L J h g G k O j 6 7 8 L 5 3 y j S M F s E 7 b 2 a 7 3 8 a S j 3 S l d H 4 / l u A 9 h 7 0 4 a / 3 3 u L L M 1 t o 8 Z G E g O / z K N P 9 l 6 e R K 4 Y R 9 m V I 1 6 n 0 6 U j R r O 4 I T t J 3 H s m 4 7 Q h s i H 9 O v o 8 d 8 R F m k e O + H 0 6 d 9 O / N U h X w w b t g 6 t F m X t J Z I f h G s 9 u F 4 4 4 u 4 3 d F q M 8 b T D 0 x a 0 4 S W d j N 3 C a j / 4 R H / v d D p f N T + N t W g E 3 U P D T 4 / X Z d 0 t s S + y Z E X v P K i 5 2 J w f s 0 X b L a 8 v r u f H K h T o 9 W q 3 p l t W W 1 T N j 1 b 6 0 G k 8 O 1 o P r l t a W 1 j O j V e n y w O Z p 0 X p w 3 d L a 0 v p / 0 v o H U E s B A i 0 A F A A C A A g A j a 6 7 U t z + Y r m k A A A A 9 Q A A A B I A A A A A A A A A A A A A A A A A A A A A A E N v b m Z p Z y 9 Q Y W N r Y W d l L n h t b F B L A Q I t A B Q A A g A I A I 2 u u 1 I P y u m r p A A A A O k A A A A T A A A A A A A A A A A A A A A A A P A A A A B b Q 2 9 u d G V u d F 9 U e X B l c 1 0 u e G 1 s U E s B A i 0 A F A A C A A g A j a 6 7 U l 4 A h P s I A g A A K R Y A A B M A A A A A A A A A A A A A A A A A 4 Q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3 w A A A A A A A B 1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Y 2 x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M j J f Y 2 x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T A 6 N D g u N D A z N j Q w M 1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Q 0 F M Q y Z x d W 9 0 O y w m c X V v d D t N Q U d O J n F 1 b 3 Q 7 L C Z x d W 9 0 O 1 B P V E E m c X V v d D s s J n F 1 b 3 Q 7 W k l O Q y Z x d W 9 0 O y w m c X V v d D t W Q y Z x d W 9 0 O y w m c X V v d D t W Q j E m c X V v d D s s J n F 1 b 3 Q 7 V k I 2 J n F 1 b 3 Q 7 L C Z x d W 9 0 O 1 Z B U k E m c X V v d D s s J n F 1 b 3 Q 7 Q U N B U i Z x d W 9 0 O y w m c X V v d D t D U l l Q J n F 1 b 3 Q 7 L C Z x d W 9 0 O 0 x Z Q 0 8 m c X V v d D s s J n F 1 b 3 Q 7 Q V R P Q y Z x d W 9 0 O y w m c X V v d D t W S y Z x d W 9 0 O y w m c X V v d D t D S E 9 M R S Z x d W 9 0 O y w m c X V v d D t W S V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M j J f Y 2 x h c 2 U v Q X V 0 b 1 J l b W 9 2 Z W R D b 2 x 1 b W 5 z M S 5 7 U F J P V C w w f S Z x d W 9 0 O y w m c X V v d D t T Z W N 0 a W 9 u M S 9 G S V 9 D b 2 1 i a W 5 l Z D I y X 2 N s Y X N l L 0 F 1 d G 9 S Z W 1 v d m V k Q 2 9 s d W 1 u c z E u e 1 R G Q V Q s M X 0 m c X V v d D s s J n F 1 b 3 Q 7 U 2 V j d G l v b j E v R k l f Q 2 9 t Y m l u Z W Q y M l 9 j b G F z Z S 9 B d X R v U m V t b 3 Z l Z E N v b H V t b n M x L n t D Q V J C L D J 9 J n F 1 b 3 Q 7 L C Z x d W 9 0 O 1 N l Y 3 R p b 2 4 x L 0 Z J X 0 N v b W J p b m V k M j J f Y 2 x h c 2 U v Q X V 0 b 1 J l b W 9 2 Z W R D b 2 x 1 b W 5 z M S 5 7 T U 9 J U y w z f S Z x d W 9 0 O y w m c X V v d D t T Z W N 0 a W 9 u M S 9 G S V 9 D b 2 1 i a W 5 l Z D I y X 2 N s Y X N l L 0 F 1 d G 9 S Z W 1 v d m V k Q 2 9 s d W 1 u c z E u e 0 F M Q y w 0 f S Z x d W 9 0 O y w m c X V v d D t T Z W N 0 a W 9 u M S 9 G S V 9 D b 2 1 i a W 5 l Z D I y X 2 N s Y X N l L 0 F 1 d G 9 S Z W 1 v d m V k Q 2 9 s d W 1 u c z E u e 0 N B R k Y s N X 0 m c X V v d D s s J n F 1 b 3 Q 7 U 2 V j d G l v b j E v R k l f Q 2 9 t Y m l u Z W Q y M l 9 j b G F z Z S 9 B d X R v U m V t b 3 Z l Z E N v b H V t b n M x L n t U S E V P L D Z 9 J n F 1 b 3 Q 7 L C Z x d W 9 0 O 1 N l Y 3 R p b 2 4 x L 0 Z J X 0 N v b W J p b m V k M j J f Y 2 x h c 2 U v Q X V 0 b 1 J l b W 9 2 Z W R D b 2 x 1 b W 5 z M S 5 7 Q 0 F M Q y w 3 f S Z x d W 9 0 O y w m c X V v d D t T Z W N 0 a W 9 u M S 9 G S V 9 D b 2 1 i a W 5 l Z D I y X 2 N s Y X N l L 0 F 1 d G 9 S Z W 1 v d m V k Q 2 9 s d W 1 u c z E u e 0 1 B R 0 4 s O H 0 m c X V v d D s s J n F 1 b 3 Q 7 U 2 V j d G l v b j E v R k l f Q 2 9 t Y m l u Z W Q y M l 9 j b G F z Z S 9 B d X R v U m V t b 3 Z l Z E N v b H V t b n M x L n t Q T 1 R B L D l 9 J n F 1 b 3 Q 7 L C Z x d W 9 0 O 1 N l Y 3 R p b 2 4 x L 0 Z J X 0 N v b W J p b m V k M j J f Y 2 x h c 2 U v Q X V 0 b 1 J l b W 9 2 Z W R D b 2 x 1 b W 5 z M S 5 7 W k l O Q y w x M H 0 m c X V v d D s s J n F 1 b 3 Q 7 U 2 V j d G l v b j E v R k l f Q 2 9 t Y m l u Z W Q y M l 9 j b G F z Z S 9 B d X R v U m V t b 3 Z l Z E N v b H V t b n M x L n t W Q y w x M X 0 m c X V v d D s s J n F 1 b 3 Q 7 U 2 V j d G l v b j E v R k l f Q 2 9 t Y m l u Z W Q y M l 9 j b G F z Z S 9 B d X R v U m V t b 3 Z l Z E N v b H V t b n M x L n t W Q j E s M T J 9 J n F 1 b 3 Q 7 L C Z x d W 9 0 O 1 N l Y 3 R p b 2 4 x L 0 Z J X 0 N v b W J p b m V k M j J f Y 2 x h c 2 U v Q X V 0 b 1 J l b W 9 2 Z W R D b 2 x 1 b W 5 z M S 5 7 V k I 2 L D E z f S Z x d W 9 0 O y w m c X V v d D t T Z W N 0 a W 9 u M S 9 G S V 9 D b 2 1 i a W 5 l Z D I y X 2 N s Y X N l L 0 F 1 d G 9 S Z W 1 v d m V k Q 2 9 s d W 1 u c z E u e 1 Z B U k E s M T R 9 J n F 1 b 3 Q 7 L C Z x d W 9 0 O 1 N l Y 3 R p b 2 4 x L 0 Z J X 0 N v b W J p b m V k M j J f Y 2 x h c 2 U v Q X V 0 b 1 J l b W 9 2 Z W R D b 2 x 1 b W 5 z M S 5 7 Q U N B U i w x N X 0 m c X V v d D s s J n F 1 b 3 Q 7 U 2 V j d G l v b j E v R k l f Q 2 9 t Y m l u Z W Q y M l 9 j b G F z Z S 9 B d X R v U m V t b 3 Z l Z E N v b H V t b n M x L n t D U l l Q L D E 2 f S Z x d W 9 0 O y w m c X V v d D t T Z W N 0 a W 9 u M S 9 G S V 9 D b 2 1 i a W 5 l Z D I y X 2 N s Y X N l L 0 F 1 d G 9 S Z W 1 v d m V k Q 2 9 s d W 1 u c z E u e 0 x Z Q 0 8 s M T d 9 J n F 1 b 3 Q 7 L C Z x d W 9 0 O 1 N l Y 3 R p b 2 4 x L 0 Z J X 0 N v b W J p b m V k M j J f Y 2 x h c 2 U v Q X V 0 b 1 J l b W 9 2 Z W R D b 2 x 1 b W 5 z M S 5 7 Q V R P Q y w x O H 0 m c X V v d D s s J n F 1 b 3 Q 7 U 2 V j d G l v b j E v R k l f Q 2 9 t Y m l u Z W Q y M l 9 j b G F z Z S 9 B d X R v U m V t b 3 Z l Z E N v b H V t b n M x L n t W S y w x O X 0 m c X V v d D s s J n F 1 b 3 Q 7 U 2 V j d G l v b j E v R k l f Q 2 9 t Y m l u Z W Q y M l 9 j b G F z Z S 9 B d X R v U m V t b 3 Z l Z E N v b H V t b n M x L n t D S E 9 M R S w y M H 0 m c X V v d D s s J n F 1 b 3 Q 7 U 2 V j d G l v b j E v R k l f Q 2 9 t Y m l u Z W Q y M l 9 j b G F z Z S 9 B d X R v U m V t b 3 Z l Z E N v b H V t b n M x L n t W S V R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k l f Q 2 9 t Y m l u Z W Q y M l 9 j b G F z Z S 9 B d X R v U m V t b 3 Z l Z E N v b H V t b n M x L n t Q U k 9 U L D B 9 J n F 1 b 3 Q 7 L C Z x d W 9 0 O 1 N l Y 3 R p b 2 4 x L 0 Z J X 0 N v b W J p b m V k M j J f Y 2 x h c 2 U v Q X V 0 b 1 J l b W 9 2 Z W R D b 2 x 1 b W 5 z M S 5 7 V E Z B V C w x f S Z x d W 9 0 O y w m c X V v d D t T Z W N 0 a W 9 u M S 9 G S V 9 D b 2 1 i a W 5 l Z D I y X 2 N s Y X N l L 0 F 1 d G 9 S Z W 1 v d m V k Q 2 9 s d W 1 u c z E u e 0 N B U k I s M n 0 m c X V v d D s s J n F 1 b 3 Q 7 U 2 V j d G l v b j E v R k l f Q 2 9 t Y m l u Z W Q y M l 9 j b G F z Z S 9 B d X R v U m V t b 3 Z l Z E N v b H V t b n M x L n t N T 0 l T L D N 9 J n F 1 b 3 Q 7 L C Z x d W 9 0 O 1 N l Y 3 R p b 2 4 x L 0 Z J X 0 N v b W J p b m V k M j J f Y 2 x h c 2 U v Q X V 0 b 1 J l b W 9 2 Z W R D b 2 x 1 b W 5 z M S 5 7 Q U x D L D R 9 J n F 1 b 3 Q 7 L C Z x d W 9 0 O 1 N l Y 3 R p b 2 4 x L 0 Z J X 0 N v b W J p b m V k M j J f Y 2 x h c 2 U v Q X V 0 b 1 J l b W 9 2 Z W R D b 2 x 1 b W 5 z M S 5 7 Q 0 F G R i w 1 f S Z x d W 9 0 O y w m c X V v d D t T Z W N 0 a W 9 u M S 9 G S V 9 D b 2 1 i a W 5 l Z D I y X 2 N s Y X N l L 0 F 1 d G 9 S Z W 1 v d m V k Q 2 9 s d W 1 u c z E u e 1 R I R U 8 s N n 0 m c X V v d D s s J n F 1 b 3 Q 7 U 2 V j d G l v b j E v R k l f Q 2 9 t Y m l u Z W Q y M l 9 j b G F z Z S 9 B d X R v U m V t b 3 Z l Z E N v b H V t b n M x L n t D Q U x D L D d 9 J n F 1 b 3 Q 7 L C Z x d W 9 0 O 1 N l Y 3 R p b 2 4 x L 0 Z J X 0 N v b W J p b m V k M j J f Y 2 x h c 2 U v Q X V 0 b 1 J l b W 9 2 Z W R D b 2 x 1 b W 5 z M S 5 7 T U F H T i w 4 f S Z x d W 9 0 O y w m c X V v d D t T Z W N 0 a W 9 u M S 9 G S V 9 D b 2 1 i a W 5 l Z D I y X 2 N s Y X N l L 0 F 1 d G 9 S Z W 1 v d m V k Q 2 9 s d W 1 u c z E u e 1 B P V E E s O X 0 m c X V v d D s s J n F 1 b 3 Q 7 U 2 V j d G l v b j E v R k l f Q 2 9 t Y m l u Z W Q y M l 9 j b G F z Z S 9 B d X R v U m V t b 3 Z l Z E N v b H V t b n M x L n t a S U 5 D L D E w f S Z x d W 9 0 O y w m c X V v d D t T Z W N 0 a W 9 u M S 9 G S V 9 D b 2 1 i a W 5 l Z D I y X 2 N s Y X N l L 0 F 1 d G 9 S Z W 1 v d m V k Q 2 9 s d W 1 u c z E u e 1 Z D L D E x f S Z x d W 9 0 O y w m c X V v d D t T Z W N 0 a W 9 u M S 9 G S V 9 D b 2 1 i a W 5 l Z D I y X 2 N s Y X N l L 0 F 1 d G 9 S Z W 1 v d m V k Q 2 9 s d W 1 u c z E u e 1 Z C M S w x M n 0 m c X V v d D s s J n F 1 b 3 Q 7 U 2 V j d G l v b j E v R k l f Q 2 9 t Y m l u Z W Q y M l 9 j b G F z Z S 9 B d X R v U m V t b 3 Z l Z E N v b H V t b n M x L n t W Q j Y s M T N 9 J n F 1 b 3 Q 7 L C Z x d W 9 0 O 1 N l Y 3 R p b 2 4 x L 0 Z J X 0 N v b W J p b m V k M j J f Y 2 x h c 2 U v Q X V 0 b 1 J l b W 9 2 Z W R D b 2 x 1 b W 5 z M S 5 7 V k F S Q S w x N H 0 m c X V v d D s s J n F 1 b 3 Q 7 U 2 V j d G l v b j E v R k l f Q 2 9 t Y m l u Z W Q y M l 9 j b G F z Z S 9 B d X R v U m V t b 3 Z l Z E N v b H V t b n M x L n t B Q 0 F S L D E 1 f S Z x d W 9 0 O y w m c X V v d D t T Z W N 0 a W 9 u M S 9 G S V 9 D b 2 1 i a W 5 l Z D I y X 2 N s Y X N l L 0 F 1 d G 9 S Z W 1 v d m V k Q 2 9 s d W 1 u c z E u e 0 N S W V A s M T Z 9 J n F 1 b 3 Q 7 L C Z x d W 9 0 O 1 N l Y 3 R p b 2 4 x L 0 Z J X 0 N v b W J p b m V k M j J f Y 2 x h c 2 U v Q X V 0 b 1 J l b W 9 2 Z W R D b 2 x 1 b W 5 z M S 5 7 T F l D T y w x N 3 0 m c X V v d D s s J n F 1 b 3 Q 7 U 2 V j d G l v b j E v R k l f Q 2 9 t Y m l u Z W Q y M l 9 j b G F z Z S 9 B d X R v U m V t b 3 Z l Z E N v b H V t b n M x L n t B V E 9 D L D E 4 f S Z x d W 9 0 O y w m c X V v d D t T Z W N 0 a W 9 u M S 9 G S V 9 D b 2 1 i a W 5 l Z D I y X 2 N s Y X N l L 0 F 1 d G 9 S Z W 1 v d m V k Q 2 9 s d W 1 u c z E u e 1 Z L L D E 5 f S Z x d W 9 0 O y w m c X V v d D t T Z W N 0 a W 9 u M S 9 G S V 9 D b 2 1 i a W 5 l Z D I y X 2 N s Y X N l L 0 F 1 d G 9 S Z W 1 v d m V k Q 2 9 s d W 1 u c z E u e 0 N I T 0 x F L D I w f S Z x d W 9 0 O y w m c X V v d D t T Z W N 0 a W 9 u M S 9 G S V 9 D b 2 1 i a W 5 l Z D I y X 2 N s Y X N l L 0 F 1 d G 9 S Z W 1 v d m V k Q 2 9 s d W 1 u c z E u e 1 Z J V E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D I y X 2 N s Y X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Y 2 x h c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y M l 9 j b G F z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I y X 2 V z c G V j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M j J f Z X N w Z W N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1 M T o w O S 4 2 N T Y z O T I 4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1 B S T 1 Q m c X V v d D s s J n F 1 b 3 Q 7 V E Z B V C Z x d W 9 0 O y w m c X V v d D t D Q V J C J n F 1 b 3 Q 7 L C Z x d W 9 0 O 0 1 P S V M m c X V v d D s s J n F 1 b 3 Q 7 Q U x D J n F 1 b 3 Q 7 L C Z x d W 9 0 O 0 N B R k Y m c X V v d D s s J n F 1 b 3 Q 7 V E h F T y Z x d W 9 0 O y w m c X V v d D t D Q U x D J n F 1 b 3 Q 7 L C Z x d W 9 0 O 0 1 B R 0 4 m c X V v d D s s J n F 1 b 3 Q 7 U E 9 U Q S Z x d W 9 0 O y w m c X V v d D t a S U 5 D J n F 1 b 3 Q 7 L C Z x d W 9 0 O 1 Z D J n F 1 b 3 Q 7 L C Z x d W 9 0 O 1 Z C M S Z x d W 9 0 O y w m c X V v d D t W Q j Y m c X V v d D s s J n F 1 b 3 Q 7 V k F S Q S Z x d W 9 0 O y w m c X V v d D t B Q 0 F S J n F 1 b 3 Q 7 L C Z x d W 9 0 O 0 N S W V A m c X V v d D s s J n F 1 b 3 Q 7 T F l D T y Z x d W 9 0 O y w m c X V v d D t B V E 9 D J n F 1 b 3 Q 7 L C Z x d W 9 0 O 1 Z L J n F 1 b 3 Q 7 L C Z x d W 9 0 O 0 N I T 0 x F J n F 1 b 3 Q 7 L C Z x d W 9 0 O 1 Z J V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Q 2 9 t Y m l u Z W Q y M l 9 l c 3 B l Y 2 l l L 0 F 1 d G 9 S Z W 1 v d m V k Q 2 9 s d W 1 u c z E u e 1 B S T 1 Q s M H 0 m c X V v d D s s J n F 1 b 3 Q 7 U 2 V j d G l v b j E v R k l f Q 2 9 t Y m l u Z W Q y M l 9 l c 3 B l Y 2 l l L 0 F 1 d G 9 S Z W 1 v d m V k Q 2 9 s d W 1 u c z E u e 1 R G Q V Q s M X 0 m c X V v d D s s J n F 1 b 3 Q 7 U 2 V j d G l v b j E v R k l f Q 2 9 t Y m l u Z W Q y M l 9 l c 3 B l Y 2 l l L 0 F 1 d G 9 S Z W 1 v d m V k Q 2 9 s d W 1 u c z E u e 0 N B U k I s M n 0 m c X V v d D s s J n F 1 b 3 Q 7 U 2 V j d G l v b j E v R k l f Q 2 9 t Y m l u Z W Q y M l 9 l c 3 B l Y 2 l l L 0 F 1 d G 9 S Z W 1 v d m V k Q 2 9 s d W 1 u c z E u e 0 1 P S V M s M 3 0 m c X V v d D s s J n F 1 b 3 Q 7 U 2 V j d G l v b j E v R k l f Q 2 9 t Y m l u Z W Q y M l 9 l c 3 B l Y 2 l l L 0 F 1 d G 9 S Z W 1 v d m V k Q 2 9 s d W 1 u c z E u e 0 F M Q y w 0 f S Z x d W 9 0 O y w m c X V v d D t T Z W N 0 a W 9 u M S 9 G S V 9 D b 2 1 i a W 5 l Z D I y X 2 V z c G V j a W U v Q X V 0 b 1 J l b W 9 2 Z W R D b 2 x 1 b W 5 z M S 5 7 Q 0 F G R i w 1 f S Z x d W 9 0 O y w m c X V v d D t T Z W N 0 a W 9 u M S 9 G S V 9 D b 2 1 i a W 5 l Z D I y X 2 V z c G V j a W U v Q X V 0 b 1 J l b W 9 2 Z W R D b 2 x 1 b W 5 z M S 5 7 V E h F T y w 2 f S Z x d W 9 0 O y w m c X V v d D t T Z W N 0 a W 9 u M S 9 G S V 9 D b 2 1 i a W 5 l Z D I y X 2 V z c G V j a W U v Q X V 0 b 1 J l b W 9 2 Z W R D b 2 x 1 b W 5 z M S 5 7 Q 0 F M Q y w 3 f S Z x d W 9 0 O y w m c X V v d D t T Z W N 0 a W 9 u M S 9 G S V 9 D b 2 1 i a W 5 l Z D I y X 2 V z c G V j a W U v Q X V 0 b 1 J l b W 9 2 Z W R D b 2 x 1 b W 5 z M S 5 7 T U F H T i w 4 f S Z x d W 9 0 O y w m c X V v d D t T Z W N 0 a W 9 u M S 9 G S V 9 D b 2 1 i a W 5 l Z D I y X 2 V z c G V j a W U v Q X V 0 b 1 J l b W 9 2 Z W R D b 2 x 1 b W 5 z M S 5 7 U E 9 U Q S w 5 f S Z x d W 9 0 O y w m c X V v d D t T Z W N 0 a W 9 u M S 9 G S V 9 D b 2 1 i a W 5 l Z D I y X 2 V z c G V j a W U v Q X V 0 b 1 J l b W 9 2 Z W R D b 2 x 1 b W 5 z M S 5 7 W k l O Q y w x M H 0 m c X V v d D s s J n F 1 b 3 Q 7 U 2 V j d G l v b j E v R k l f Q 2 9 t Y m l u Z W Q y M l 9 l c 3 B l Y 2 l l L 0 F 1 d G 9 S Z W 1 v d m V k Q 2 9 s d W 1 u c z E u e 1 Z D L D E x f S Z x d W 9 0 O y w m c X V v d D t T Z W N 0 a W 9 u M S 9 G S V 9 D b 2 1 i a W 5 l Z D I y X 2 V z c G V j a W U v Q X V 0 b 1 J l b W 9 2 Z W R D b 2 x 1 b W 5 z M S 5 7 V k I x L D E y f S Z x d W 9 0 O y w m c X V v d D t T Z W N 0 a W 9 u M S 9 G S V 9 D b 2 1 i a W 5 l Z D I y X 2 V z c G V j a W U v Q X V 0 b 1 J l b W 9 2 Z W R D b 2 x 1 b W 5 z M S 5 7 V k I 2 L D E z f S Z x d W 9 0 O y w m c X V v d D t T Z W N 0 a W 9 u M S 9 G S V 9 D b 2 1 i a W 5 l Z D I y X 2 V z c G V j a W U v Q X V 0 b 1 J l b W 9 2 Z W R D b 2 x 1 b W 5 z M S 5 7 V k F S Q S w x N H 0 m c X V v d D s s J n F 1 b 3 Q 7 U 2 V j d G l v b j E v R k l f Q 2 9 t Y m l u Z W Q y M l 9 l c 3 B l Y 2 l l L 0 F 1 d G 9 S Z W 1 v d m V k Q 2 9 s d W 1 u c z E u e 0 F D Q V I s M T V 9 J n F 1 b 3 Q 7 L C Z x d W 9 0 O 1 N l Y 3 R p b 2 4 x L 0 Z J X 0 N v b W J p b m V k M j J f Z X N w Z W N p Z S 9 B d X R v U m V t b 3 Z l Z E N v b H V t b n M x L n t D U l l Q L D E 2 f S Z x d W 9 0 O y w m c X V v d D t T Z W N 0 a W 9 u M S 9 G S V 9 D b 2 1 i a W 5 l Z D I y X 2 V z c G V j a W U v Q X V 0 b 1 J l b W 9 2 Z W R D b 2 x 1 b W 5 z M S 5 7 T F l D T y w x N 3 0 m c X V v d D s s J n F 1 b 3 Q 7 U 2 V j d G l v b j E v R k l f Q 2 9 t Y m l u Z W Q y M l 9 l c 3 B l Y 2 l l L 0 F 1 d G 9 S Z W 1 v d m V k Q 2 9 s d W 1 u c z E u e 0 F U T 0 M s M T h 9 J n F 1 b 3 Q 7 L C Z x d W 9 0 O 1 N l Y 3 R p b 2 4 x L 0 Z J X 0 N v b W J p b m V k M j J f Z X N w Z W N p Z S 9 B d X R v U m V t b 3 Z l Z E N v b H V t b n M x L n t W S y w x O X 0 m c X V v d D s s J n F 1 b 3 Q 7 U 2 V j d G l v b j E v R k l f Q 2 9 t Y m l u Z W Q y M l 9 l c 3 B l Y 2 l l L 0 F 1 d G 9 S Z W 1 v d m V k Q 2 9 s d W 1 u c z E u e 0 N I T 0 x F L D I w f S Z x d W 9 0 O y w m c X V v d D t T Z W N 0 a W 9 u M S 9 G S V 9 D b 2 1 i a W 5 l Z D I y X 2 V z c G V j a W U v Q X V 0 b 1 J l b W 9 2 Z W R D b 2 x 1 b W 5 z M S 5 7 V k l U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J X 0 N v b W J p b m V k M j J f Z X N w Z W N p Z S 9 B d X R v U m V t b 3 Z l Z E N v b H V t b n M x L n t Q U k 9 U L D B 9 J n F 1 b 3 Q 7 L C Z x d W 9 0 O 1 N l Y 3 R p b 2 4 x L 0 Z J X 0 N v b W J p b m V k M j J f Z X N w Z W N p Z S 9 B d X R v U m V t b 3 Z l Z E N v b H V t b n M x L n t U R k F U L D F 9 J n F 1 b 3 Q 7 L C Z x d W 9 0 O 1 N l Y 3 R p b 2 4 x L 0 Z J X 0 N v b W J p b m V k M j J f Z X N w Z W N p Z S 9 B d X R v U m V t b 3 Z l Z E N v b H V t b n M x L n t D Q V J C L D J 9 J n F 1 b 3 Q 7 L C Z x d W 9 0 O 1 N l Y 3 R p b 2 4 x L 0 Z J X 0 N v b W J p b m V k M j J f Z X N w Z W N p Z S 9 B d X R v U m V t b 3 Z l Z E N v b H V t b n M x L n t N T 0 l T L D N 9 J n F 1 b 3 Q 7 L C Z x d W 9 0 O 1 N l Y 3 R p b 2 4 x L 0 Z J X 0 N v b W J p b m V k M j J f Z X N w Z W N p Z S 9 B d X R v U m V t b 3 Z l Z E N v b H V t b n M x L n t B T E M s N H 0 m c X V v d D s s J n F 1 b 3 Q 7 U 2 V j d G l v b j E v R k l f Q 2 9 t Y m l u Z W Q y M l 9 l c 3 B l Y 2 l l L 0 F 1 d G 9 S Z W 1 v d m V k Q 2 9 s d W 1 u c z E u e 0 N B R k Y s N X 0 m c X V v d D s s J n F 1 b 3 Q 7 U 2 V j d G l v b j E v R k l f Q 2 9 t Y m l u Z W Q y M l 9 l c 3 B l Y 2 l l L 0 F 1 d G 9 S Z W 1 v d m V k Q 2 9 s d W 1 u c z E u e 1 R I R U 8 s N n 0 m c X V v d D s s J n F 1 b 3 Q 7 U 2 V j d G l v b j E v R k l f Q 2 9 t Y m l u Z W Q y M l 9 l c 3 B l Y 2 l l L 0 F 1 d G 9 S Z W 1 v d m V k Q 2 9 s d W 1 u c z E u e 0 N B T E M s N 3 0 m c X V v d D s s J n F 1 b 3 Q 7 U 2 V j d G l v b j E v R k l f Q 2 9 t Y m l u Z W Q y M l 9 l c 3 B l Y 2 l l L 0 F 1 d G 9 S Z W 1 v d m V k Q 2 9 s d W 1 u c z E u e 0 1 B R 0 4 s O H 0 m c X V v d D s s J n F 1 b 3 Q 7 U 2 V j d G l v b j E v R k l f Q 2 9 t Y m l u Z W Q y M l 9 l c 3 B l Y 2 l l L 0 F 1 d G 9 S Z W 1 v d m V k Q 2 9 s d W 1 u c z E u e 1 B P V E E s O X 0 m c X V v d D s s J n F 1 b 3 Q 7 U 2 V j d G l v b j E v R k l f Q 2 9 t Y m l u Z W Q y M l 9 l c 3 B l Y 2 l l L 0 F 1 d G 9 S Z W 1 v d m V k Q 2 9 s d W 1 u c z E u e 1 p J T k M s M T B 9 J n F 1 b 3 Q 7 L C Z x d W 9 0 O 1 N l Y 3 R p b 2 4 x L 0 Z J X 0 N v b W J p b m V k M j J f Z X N w Z W N p Z S 9 B d X R v U m V t b 3 Z l Z E N v b H V t b n M x L n t W Q y w x M X 0 m c X V v d D s s J n F 1 b 3 Q 7 U 2 V j d G l v b j E v R k l f Q 2 9 t Y m l u Z W Q y M l 9 l c 3 B l Y 2 l l L 0 F 1 d G 9 S Z W 1 v d m V k Q 2 9 s d W 1 u c z E u e 1 Z C M S w x M n 0 m c X V v d D s s J n F 1 b 3 Q 7 U 2 V j d G l v b j E v R k l f Q 2 9 t Y m l u Z W Q y M l 9 l c 3 B l Y 2 l l L 0 F 1 d G 9 S Z W 1 v d m V k Q 2 9 s d W 1 u c z E u e 1 Z C N i w x M 3 0 m c X V v d D s s J n F 1 b 3 Q 7 U 2 V j d G l v b j E v R k l f Q 2 9 t Y m l u Z W Q y M l 9 l c 3 B l Y 2 l l L 0 F 1 d G 9 S Z W 1 v d m V k Q 2 9 s d W 1 u c z E u e 1 Z B U k E s M T R 9 J n F 1 b 3 Q 7 L C Z x d W 9 0 O 1 N l Y 3 R p b 2 4 x L 0 Z J X 0 N v b W J p b m V k M j J f Z X N w Z W N p Z S 9 B d X R v U m V t b 3 Z l Z E N v b H V t b n M x L n t B Q 0 F S L D E 1 f S Z x d W 9 0 O y w m c X V v d D t T Z W N 0 a W 9 u M S 9 G S V 9 D b 2 1 i a W 5 l Z D I y X 2 V z c G V j a W U v Q X V 0 b 1 J l b W 9 2 Z W R D b 2 x 1 b W 5 z M S 5 7 Q 1 J Z U C w x N n 0 m c X V v d D s s J n F 1 b 3 Q 7 U 2 V j d G l v b j E v R k l f Q 2 9 t Y m l u Z W Q y M l 9 l c 3 B l Y 2 l l L 0 F 1 d G 9 S Z W 1 v d m V k Q 2 9 s d W 1 u c z E u e 0 x Z Q 0 8 s M T d 9 J n F 1 b 3 Q 7 L C Z x d W 9 0 O 1 N l Y 3 R p b 2 4 x L 0 Z J X 0 N v b W J p b m V k M j J f Z X N w Z W N p Z S 9 B d X R v U m V t b 3 Z l Z E N v b H V t b n M x L n t B V E 9 D L D E 4 f S Z x d W 9 0 O y w m c X V v d D t T Z W N 0 a W 9 u M S 9 G S V 9 D b 2 1 i a W 5 l Z D I y X 2 V z c G V j a W U v Q X V 0 b 1 J l b W 9 2 Z W R D b 2 x 1 b W 5 z M S 5 7 V k s s M T l 9 J n F 1 b 3 Q 7 L C Z x d W 9 0 O 1 N l Y 3 R p b 2 4 x L 0 Z J X 0 N v b W J p b m V k M j J f Z X N w Z W N p Z S 9 B d X R v U m V t b 3 Z l Z E N v b H V t b n M x L n t D S E 9 M R S w y M H 0 m c X V v d D s s J n F 1 b 3 Q 7 U 2 V j d G l v b j E v R k l f Q 2 9 t Y m l u Z W Q y M l 9 l c 3 B l Y 2 l l L 0 F 1 d G 9 S Z W 1 v d m V k Q 2 9 s d W 1 u c z E u e 1 Z J V E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D I y X 2 V z c G V j a W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y M l 9 l c 3 B l Y 2 l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X N w Z W N p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I y X 2 Z h b W l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Q y M l 9 m Y W 1 p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T E 6 M j Y u M D U x M z k 0 M l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Q 0 F M Q y Z x d W 9 0 O y w m c X V v d D t N Q U d O J n F 1 b 3 Q 7 L C Z x d W 9 0 O 1 B P V E E m c X V v d D s s J n F 1 b 3 Q 7 W k l O Q y Z x d W 9 0 O y w m c X V v d D t W Q y Z x d W 9 0 O y w m c X V v d D t W Q j E m c X V v d D s s J n F 1 b 3 Q 7 V k I 2 J n F 1 b 3 Q 7 L C Z x d W 9 0 O 1 Z B U k E m c X V v d D s s J n F 1 b 3 Q 7 Q U N B U i Z x d W 9 0 O y w m c X V v d D t D U l l Q J n F 1 b 3 Q 7 L C Z x d W 9 0 O 0 x Z Q 0 8 m c X V v d D s s J n F 1 b 3 Q 7 Q V R P Q y Z x d W 9 0 O y w m c X V v d D t W S y Z x d W 9 0 O y w m c X V v d D t D S E 9 M R S Z x d W 9 0 O y w m c X V v d D t W S V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M j J f Z m F t a W x 5 L 0 F 1 d G 9 S Z W 1 v d m V k Q 2 9 s d W 1 u c z E u e 1 B S T 1 Q s M H 0 m c X V v d D s s J n F 1 b 3 Q 7 U 2 V j d G l v b j E v R k l f Q 2 9 t Y m l u Z W Q y M l 9 m Y W 1 p b H k v Q X V 0 b 1 J l b W 9 2 Z W R D b 2 x 1 b W 5 z M S 5 7 V E Z B V C w x f S Z x d W 9 0 O y w m c X V v d D t T Z W N 0 a W 9 u M S 9 G S V 9 D b 2 1 i a W 5 l Z D I y X 2 Z h b W l s e S 9 B d X R v U m V t b 3 Z l Z E N v b H V t b n M x L n t D Q V J C L D J 9 J n F 1 b 3 Q 7 L C Z x d W 9 0 O 1 N l Y 3 R p b 2 4 x L 0 Z J X 0 N v b W J p b m V k M j J f Z m F t a W x 5 L 0 F 1 d G 9 S Z W 1 v d m V k Q 2 9 s d W 1 u c z E u e 0 1 P S V M s M 3 0 m c X V v d D s s J n F 1 b 3 Q 7 U 2 V j d G l v b j E v R k l f Q 2 9 t Y m l u Z W Q y M l 9 m Y W 1 p b H k v Q X V 0 b 1 J l b W 9 2 Z W R D b 2 x 1 b W 5 z M S 5 7 Q U x D L D R 9 J n F 1 b 3 Q 7 L C Z x d W 9 0 O 1 N l Y 3 R p b 2 4 x L 0 Z J X 0 N v b W J p b m V k M j J f Z m F t a W x 5 L 0 F 1 d G 9 S Z W 1 v d m V k Q 2 9 s d W 1 u c z E u e 0 N B R k Y s N X 0 m c X V v d D s s J n F 1 b 3 Q 7 U 2 V j d G l v b j E v R k l f Q 2 9 t Y m l u Z W Q y M l 9 m Y W 1 p b H k v Q X V 0 b 1 J l b W 9 2 Z W R D b 2 x 1 b W 5 z M S 5 7 V E h F T y w 2 f S Z x d W 9 0 O y w m c X V v d D t T Z W N 0 a W 9 u M S 9 G S V 9 D b 2 1 i a W 5 l Z D I y X 2 Z h b W l s e S 9 B d X R v U m V t b 3 Z l Z E N v b H V t b n M x L n t D Q U x D L D d 9 J n F 1 b 3 Q 7 L C Z x d W 9 0 O 1 N l Y 3 R p b 2 4 x L 0 Z J X 0 N v b W J p b m V k M j J f Z m F t a W x 5 L 0 F 1 d G 9 S Z W 1 v d m V k Q 2 9 s d W 1 u c z E u e 0 1 B R 0 4 s O H 0 m c X V v d D s s J n F 1 b 3 Q 7 U 2 V j d G l v b j E v R k l f Q 2 9 t Y m l u Z W Q y M l 9 m Y W 1 p b H k v Q X V 0 b 1 J l b W 9 2 Z W R D b 2 x 1 b W 5 z M S 5 7 U E 9 U Q S w 5 f S Z x d W 9 0 O y w m c X V v d D t T Z W N 0 a W 9 u M S 9 G S V 9 D b 2 1 i a W 5 l Z D I y X 2 Z h b W l s e S 9 B d X R v U m V t b 3 Z l Z E N v b H V t b n M x L n t a S U 5 D L D E w f S Z x d W 9 0 O y w m c X V v d D t T Z W N 0 a W 9 u M S 9 G S V 9 D b 2 1 i a W 5 l Z D I y X 2 Z h b W l s e S 9 B d X R v U m V t b 3 Z l Z E N v b H V t b n M x L n t W Q y w x M X 0 m c X V v d D s s J n F 1 b 3 Q 7 U 2 V j d G l v b j E v R k l f Q 2 9 t Y m l u Z W Q y M l 9 m Y W 1 p b H k v Q X V 0 b 1 J l b W 9 2 Z W R D b 2 x 1 b W 5 z M S 5 7 V k I x L D E y f S Z x d W 9 0 O y w m c X V v d D t T Z W N 0 a W 9 u M S 9 G S V 9 D b 2 1 i a W 5 l Z D I y X 2 Z h b W l s e S 9 B d X R v U m V t b 3 Z l Z E N v b H V t b n M x L n t W Q j Y s M T N 9 J n F 1 b 3 Q 7 L C Z x d W 9 0 O 1 N l Y 3 R p b 2 4 x L 0 Z J X 0 N v b W J p b m V k M j J f Z m F t a W x 5 L 0 F 1 d G 9 S Z W 1 v d m V k Q 2 9 s d W 1 u c z E u e 1 Z B U k E s M T R 9 J n F 1 b 3 Q 7 L C Z x d W 9 0 O 1 N l Y 3 R p b 2 4 x L 0 Z J X 0 N v b W J p b m V k M j J f Z m F t a W x 5 L 0 F 1 d G 9 S Z W 1 v d m V k Q 2 9 s d W 1 u c z E u e 0 F D Q V I s M T V 9 J n F 1 b 3 Q 7 L C Z x d W 9 0 O 1 N l Y 3 R p b 2 4 x L 0 Z J X 0 N v b W J p b m V k M j J f Z m F t a W x 5 L 0 F 1 d G 9 S Z W 1 v d m V k Q 2 9 s d W 1 u c z E u e 0 N S W V A s M T Z 9 J n F 1 b 3 Q 7 L C Z x d W 9 0 O 1 N l Y 3 R p b 2 4 x L 0 Z J X 0 N v b W J p b m V k M j J f Z m F t a W x 5 L 0 F 1 d G 9 S Z W 1 v d m V k Q 2 9 s d W 1 u c z E u e 0 x Z Q 0 8 s M T d 9 J n F 1 b 3 Q 7 L C Z x d W 9 0 O 1 N l Y 3 R p b 2 4 x L 0 Z J X 0 N v b W J p b m V k M j J f Z m F t a W x 5 L 0 F 1 d G 9 S Z W 1 v d m V k Q 2 9 s d W 1 u c z E u e 0 F U T 0 M s M T h 9 J n F 1 b 3 Q 7 L C Z x d W 9 0 O 1 N l Y 3 R p b 2 4 x L 0 Z J X 0 N v b W J p b m V k M j J f Z m F t a W x 5 L 0 F 1 d G 9 S Z W 1 v d m V k Q 2 9 s d W 1 u c z E u e 1 Z L L D E 5 f S Z x d W 9 0 O y w m c X V v d D t T Z W N 0 a W 9 u M S 9 G S V 9 D b 2 1 i a W 5 l Z D I y X 2 Z h b W l s e S 9 B d X R v U m V t b 3 Z l Z E N v b H V t b n M x L n t D S E 9 M R S w y M H 0 m c X V v d D s s J n F 1 b 3 Q 7 U 2 V j d G l v b j E v R k l f Q 2 9 t Y m l u Z W Q y M l 9 m Y W 1 p b H k v Q X V 0 b 1 J l b W 9 2 Z W R D b 2 x 1 b W 5 z M S 5 7 V k l U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J X 0 N v b W J p b m V k M j J f Z m F t a W x 5 L 0 F 1 d G 9 S Z W 1 v d m V k Q 2 9 s d W 1 u c z E u e 1 B S T 1 Q s M H 0 m c X V v d D s s J n F 1 b 3 Q 7 U 2 V j d G l v b j E v R k l f Q 2 9 t Y m l u Z W Q y M l 9 m Y W 1 p b H k v Q X V 0 b 1 J l b W 9 2 Z W R D b 2 x 1 b W 5 z M S 5 7 V E Z B V C w x f S Z x d W 9 0 O y w m c X V v d D t T Z W N 0 a W 9 u M S 9 G S V 9 D b 2 1 i a W 5 l Z D I y X 2 Z h b W l s e S 9 B d X R v U m V t b 3 Z l Z E N v b H V t b n M x L n t D Q V J C L D J 9 J n F 1 b 3 Q 7 L C Z x d W 9 0 O 1 N l Y 3 R p b 2 4 x L 0 Z J X 0 N v b W J p b m V k M j J f Z m F t a W x 5 L 0 F 1 d G 9 S Z W 1 v d m V k Q 2 9 s d W 1 u c z E u e 0 1 P S V M s M 3 0 m c X V v d D s s J n F 1 b 3 Q 7 U 2 V j d G l v b j E v R k l f Q 2 9 t Y m l u Z W Q y M l 9 m Y W 1 p b H k v Q X V 0 b 1 J l b W 9 2 Z W R D b 2 x 1 b W 5 z M S 5 7 Q U x D L D R 9 J n F 1 b 3 Q 7 L C Z x d W 9 0 O 1 N l Y 3 R p b 2 4 x L 0 Z J X 0 N v b W J p b m V k M j J f Z m F t a W x 5 L 0 F 1 d G 9 S Z W 1 v d m V k Q 2 9 s d W 1 u c z E u e 0 N B R k Y s N X 0 m c X V v d D s s J n F 1 b 3 Q 7 U 2 V j d G l v b j E v R k l f Q 2 9 t Y m l u Z W Q y M l 9 m Y W 1 p b H k v Q X V 0 b 1 J l b W 9 2 Z W R D b 2 x 1 b W 5 z M S 5 7 V E h F T y w 2 f S Z x d W 9 0 O y w m c X V v d D t T Z W N 0 a W 9 u M S 9 G S V 9 D b 2 1 i a W 5 l Z D I y X 2 Z h b W l s e S 9 B d X R v U m V t b 3 Z l Z E N v b H V t b n M x L n t D Q U x D L D d 9 J n F 1 b 3 Q 7 L C Z x d W 9 0 O 1 N l Y 3 R p b 2 4 x L 0 Z J X 0 N v b W J p b m V k M j J f Z m F t a W x 5 L 0 F 1 d G 9 S Z W 1 v d m V k Q 2 9 s d W 1 u c z E u e 0 1 B R 0 4 s O H 0 m c X V v d D s s J n F 1 b 3 Q 7 U 2 V j d G l v b j E v R k l f Q 2 9 t Y m l u Z W Q y M l 9 m Y W 1 p b H k v Q X V 0 b 1 J l b W 9 2 Z W R D b 2 x 1 b W 5 z M S 5 7 U E 9 U Q S w 5 f S Z x d W 9 0 O y w m c X V v d D t T Z W N 0 a W 9 u M S 9 G S V 9 D b 2 1 i a W 5 l Z D I y X 2 Z h b W l s e S 9 B d X R v U m V t b 3 Z l Z E N v b H V t b n M x L n t a S U 5 D L D E w f S Z x d W 9 0 O y w m c X V v d D t T Z W N 0 a W 9 u M S 9 G S V 9 D b 2 1 i a W 5 l Z D I y X 2 Z h b W l s e S 9 B d X R v U m V t b 3 Z l Z E N v b H V t b n M x L n t W Q y w x M X 0 m c X V v d D s s J n F 1 b 3 Q 7 U 2 V j d G l v b j E v R k l f Q 2 9 t Y m l u Z W Q y M l 9 m Y W 1 p b H k v Q X V 0 b 1 J l b W 9 2 Z W R D b 2 x 1 b W 5 z M S 5 7 V k I x L D E y f S Z x d W 9 0 O y w m c X V v d D t T Z W N 0 a W 9 u M S 9 G S V 9 D b 2 1 i a W 5 l Z D I y X 2 Z h b W l s e S 9 B d X R v U m V t b 3 Z l Z E N v b H V t b n M x L n t W Q j Y s M T N 9 J n F 1 b 3 Q 7 L C Z x d W 9 0 O 1 N l Y 3 R p b 2 4 x L 0 Z J X 0 N v b W J p b m V k M j J f Z m F t a W x 5 L 0 F 1 d G 9 S Z W 1 v d m V k Q 2 9 s d W 1 u c z E u e 1 Z B U k E s M T R 9 J n F 1 b 3 Q 7 L C Z x d W 9 0 O 1 N l Y 3 R p b 2 4 x L 0 Z J X 0 N v b W J p b m V k M j J f Z m F t a W x 5 L 0 F 1 d G 9 S Z W 1 v d m V k Q 2 9 s d W 1 u c z E u e 0 F D Q V I s M T V 9 J n F 1 b 3 Q 7 L C Z x d W 9 0 O 1 N l Y 3 R p b 2 4 x L 0 Z J X 0 N v b W J p b m V k M j J f Z m F t a W x 5 L 0 F 1 d G 9 S Z W 1 v d m V k Q 2 9 s d W 1 u c z E u e 0 N S W V A s M T Z 9 J n F 1 b 3 Q 7 L C Z x d W 9 0 O 1 N l Y 3 R p b 2 4 x L 0 Z J X 0 N v b W J p b m V k M j J f Z m F t a W x 5 L 0 F 1 d G 9 S Z W 1 v d m V k Q 2 9 s d W 1 u c z E u e 0 x Z Q 0 8 s M T d 9 J n F 1 b 3 Q 7 L C Z x d W 9 0 O 1 N l Y 3 R p b 2 4 x L 0 Z J X 0 N v b W J p b m V k M j J f Z m F t a W x 5 L 0 F 1 d G 9 S Z W 1 v d m V k Q 2 9 s d W 1 u c z E u e 0 F U T 0 M s M T h 9 J n F 1 b 3 Q 7 L C Z x d W 9 0 O 1 N l Y 3 R p b 2 4 x L 0 Z J X 0 N v b W J p b m V k M j J f Z m F t a W x 5 L 0 F 1 d G 9 S Z W 1 v d m V k Q 2 9 s d W 1 u c z E u e 1 Z L L D E 5 f S Z x d W 9 0 O y w m c X V v d D t T Z W N 0 a W 9 u M S 9 G S V 9 D b 2 1 i a W 5 l Z D I y X 2 Z h b W l s e S 9 B d X R v U m V t b 3 Z l Z E N v b H V t b n M x L n t D S E 9 M R S w y M H 0 m c X V v d D s s J n F 1 b 3 Q 7 U 2 V j d G l v b j E v R k l f Q 2 9 t Y m l u Z W Q y M l 9 m Y W 1 p b H k v Q X V 0 b 1 J l b W 9 2 Z W R D b 2 x 1 b W 5 z M S 5 7 V k l U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N v b W J p b m V k M j J f Z m F t a W x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m F t a W x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m F t a W x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m l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Q y M l 9 m a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x O j Q y L j k 2 M T I 3 N D Z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0 N B T E M m c X V v d D s s J n F 1 b 3 Q 7 T U F H T i Z x d W 9 0 O y w m c X V v d D t Q T 1 R B J n F 1 b 3 Q 7 L C Z x d W 9 0 O 1 p J T k M m c X V v d D s s J n F 1 b 3 Q 7 V k M m c X V v d D s s J n F 1 b 3 Q 7 V k I x J n F 1 b 3 Q 7 L C Z x d W 9 0 O 1 Z C N i Z x d W 9 0 O y w m c X V v d D t W Q V J B J n F 1 b 3 Q 7 L C Z x d W 9 0 O 0 F D Q V I m c X V v d D s s J n F 1 b 3 Q 7 Q 1 J Z U C Z x d W 9 0 O y w m c X V v d D t M W U N P J n F 1 b 3 Q 7 L C Z x d W 9 0 O 0 F U T 0 M m c X V v d D s s J n F 1 b 3 Q 7 V k s m c X V v d D s s J n F 1 b 3 Q 7 Q 0 h P T E U m c X V v d D s s J n F 1 b 3 Q 7 V k l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D b 2 1 i a W 5 l Z D I y X 2 Z p b G 8 v Q X V 0 b 1 J l b W 9 2 Z W R D b 2 x 1 b W 5 z M S 5 7 U F J P V C w w f S Z x d W 9 0 O y w m c X V v d D t T Z W N 0 a W 9 u M S 9 G S V 9 D b 2 1 i a W 5 l Z D I y X 2 Z p b G 8 v Q X V 0 b 1 J l b W 9 2 Z W R D b 2 x 1 b W 5 z M S 5 7 V E Z B V C w x f S Z x d W 9 0 O y w m c X V v d D t T Z W N 0 a W 9 u M S 9 G S V 9 D b 2 1 i a W 5 l Z D I y X 2 Z p b G 8 v Q X V 0 b 1 J l b W 9 2 Z W R D b 2 x 1 b W 5 z M S 5 7 Q 0 F S Q i w y f S Z x d W 9 0 O y w m c X V v d D t T Z W N 0 a W 9 u M S 9 G S V 9 D b 2 1 i a W 5 l Z D I y X 2 Z p b G 8 v Q X V 0 b 1 J l b W 9 2 Z W R D b 2 x 1 b W 5 z M S 5 7 T U 9 J U y w z f S Z x d W 9 0 O y w m c X V v d D t T Z W N 0 a W 9 u M S 9 G S V 9 D b 2 1 i a W 5 l Z D I y X 2 Z p b G 8 v Q X V 0 b 1 J l b W 9 2 Z W R D b 2 x 1 b W 5 z M S 5 7 Q U x D L D R 9 J n F 1 b 3 Q 7 L C Z x d W 9 0 O 1 N l Y 3 R p b 2 4 x L 0 Z J X 0 N v b W J p b m V k M j J f Z m l s b y 9 B d X R v U m V t b 3 Z l Z E N v b H V t b n M x L n t D Q U Z G L D V 9 J n F 1 b 3 Q 7 L C Z x d W 9 0 O 1 N l Y 3 R p b 2 4 x L 0 Z J X 0 N v b W J p b m V k M j J f Z m l s b y 9 B d X R v U m V t b 3 Z l Z E N v b H V t b n M x L n t U S E V P L D Z 9 J n F 1 b 3 Q 7 L C Z x d W 9 0 O 1 N l Y 3 R p b 2 4 x L 0 Z J X 0 N v b W J p b m V k M j J f Z m l s b y 9 B d X R v U m V t b 3 Z l Z E N v b H V t b n M x L n t D Q U x D L D d 9 J n F 1 b 3 Q 7 L C Z x d W 9 0 O 1 N l Y 3 R p b 2 4 x L 0 Z J X 0 N v b W J p b m V k M j J f Z m l s b y 9 B d X R v U m V t b 3 Z l Z E N v b H V t b n M x L n t N Q U d O L D h 9 J n F 1 b 3 Q 7 L C Z x d W 9 0 O 1 N l Y 3 R p b 2 4 x L 0 Z J X 0 N v b W J p b m V k M j J f Z m l s b y 9 B d X R v U m V t b 3 Z l Z E N v b H V t b n M x L n t Q T 1 R B L D l 9 J n F 1 b 3 Q 7 L C Z x d W 9 0 O 1 N l Y 3 R p b 2 4 x L 0 Z J X 0 N v b W J p b m V k M j J f Z m l s b y 9 B d X R v U m V t b 3 Z l Z E N v b H V t b n M x L n t a S U 5 D L D E w f S Z x d W 9 0 O y w m c X V v d D t T Z W N 0 a W 9 u M S 9 G S V 9 D b 2 1 i a W 5 l Z D I y X 2 Z p b G 8 v Q X V 0 b 1 J l b W 9 2 Z W R D b 2 x 1 b W 5 z M S 5 7 V k M s M T F 9 J n F 1 b 3 Q 7 L C Z x d W 9 0 O 1 N l Y 3 R p b 2 4 x L 0 Z J X 0 N v b W J p b m V k M j J f Z m l s b y 9 B d X R v U m V t b 3 Z l Z E N v b H V t b n M x L n t W Q j E s M T J 9 J n F 1 b 3 Q 7 L C Z x d W 9 0 O 1 N l Y 3 R p b 2 4 x L 0 Z J X 0 N v b W J p b m V k M j J f Z m l s b y 9 B d X R v U m V t b 3 Z l Z E N v b H V t b n M x L n t W Q j Y s M T N 9 J n F 1 b 3 Q 7 L C Z x d W 9 0 O 1 N l Y 3 R p b 2 4 x L 0 Z J X 0 N v b W J p b m V k M j J f Z m l s b y 9 B d X R v U m V t b 3 Z l Z E N v b H V t b n M x L n t W Q V J B L D E 0 f S Z x d W 9 0 O y w m c X V v d D t T Z W N 0 a W 9 u M S 9 G S V 9 D b 2 1 i a W 5 l Z D I y X 2 Z p b G 8 v Q X V 0 b 1 J l b W 9 2 Z W R D b 2 x 1 b W 5 z M S 5 7 Q U N B U i w x N X 0 m c X V v d D s s J n F 1 b 3 Q 7 U 2 V j d G l v b j E v R k l f Q 2 9 t Y m l u Z W Q y M l 9 m a W x v L 0 F 1 d G 9 S Z W 1 v d m V k Q 2 9 s d W 1 u c z E u e 0 N S W V A s M T Z 9 J n F 1 b 3 Q 7 L C Z x d W 9 0 O 1 N l Y 3 R p b 2 4 x L 0 Z J X 0 N v b W J p b m V k M j J f Z m l s b y 9 B d X R v U m V t b 3 Z l Z E N v b H V t b n M x L n t M W U N P L D E 3 f S Z x d W 9 0 O y w m c X V v d D t T Z W N 0 a W 9 u M S 9 G S V 9 D b 2 1 i a W 5 l Z D I y X 2 Z p b G 8 v Q X V 0 b 1 J l b W 9 2 Z W R D b 2 x 1 b W 5 z M S 5 7 Q V R P Q y w x O H 0 m c X V v d D s s J n F 1 b 3 Q 7 U 2 V j d G l v b j E v R k l f Q 2 9 t Y m l u Z W Q y M l 9 m a W x v L 0 F 1 d G 9 S Z W 1 v d m V k Q 2 9 s d W 1 u c z E u e 1 Z L L D E 5 f S Z x d W 9 0 O y w m c X V v d D t T Z W N 0 a W 9 u M S 9 G S V 9 D b 2 1 i a W 5 l Z D I y X 2 Z p b G 8 v Q X V 0 b 1 J l b W 9 2 Z W R D b 2 x 1 b W 5 z M S 5 7 Q 0 h P T E U s M j B 9 J n F 1 b 3 Q 7 L C Z x d W 9 0 O 1 N l Y 3 R p b 2 4 x L 0 Z J X 0 N v b W J p b m V k M j J f Z m l s b y 9 B d X R v U m V t b 3 Z l Z E N v b H V t b n M x L n t W S V R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k l f Q 2 9 t Y m l u Z W Q y M l 9 m a W x v L 0 F 1 d G 9 S Z W 1 v d m V k Q 2 9 s d W 1 u c z E u e 1 B S T 1 Q s M H 0 m c X V v d D s s J n F 1 b 3 Q 7 U 2 V j d G l v b j E v R k l f Q 2 9 t Y m l u Z W Q y M l 9 m a W x v L 0 F 1 d G 9 S Z W 1 v d m V k Q 2 9 s d W 1 u c z E u e 1 R G Q V Q s M X 0 m c X V v d D s s J n F 1 b 3 Q 7 U 2 V j d G l v b j E v R k l f Q 2 9 t Y m l u Z W Q y M l 9 m a W x v L 0 F 1 d G 9 S Z W 1 v d m V k Q 2 9 s d W 1 u c z E u e 0 N B U k I s M n 0 m c X V v d D s s J n F 1 b 3 Q 7 U 2 V j d G l v b j E v R k l f Q 2 9 t Y m l u Z W Q y M l 9 m a W x v L 0 F 1 d G 9 S Z W 1 v d m V k Q 2 9 s d W 1 u c z E u e 0 1 P S V M s M 3 0 m c X V v d D s s J n F 1 b 3 Q 7 U 2 V j d G l v b j E v R k l f Q 2 9 t Y m l u Z W Q y M l 9 m a W x v L 0 F 1 d G 9 S Z W 1 v d m V k Q 2 9 s d W 1 u c z E u e 0 F M Q y w 0 f S Z x d W 9 0 O y w m c X V v d D t T Z W N 0 a W 9 u M S 9 G S V 9 D b 2 1 i a W 5 l Z D I y X 2 Z p b G 8 v Q X V 0 b 1 J l b W 9 2 Z W R D b 2 x 1 b W 5 z M S 5 7 Q 0 F G R i w 1 f S Z x d W 9 0 O y w m c X V v d D t T Z W N 0 a W 9 u M S 9 G S V 9 D b 2 1 i a W 5 l Z D I y X 2 Z p b G 8 v Q X V 0 b 1 J l b W 9 2 Z W R D b 2 x 1 b W 5 z M S 5 7 V E h F T y w 2 f S Z x d W 9 0 O y w m c X V v d D t T Z W N 0 a W 9 u M S 9 G S V 9 D b 2 1 i a W 5 l Z D I y X 2 Z p b G 8 v Q X V 0 b 1 J l b W 9 2 Z W R D b 2 x 1 b W 5 z M S 5 7 Q 0 F M Q y w 3 f S Z x d W 9 0 O y w m c X V v d D t T Z W N 0 a W 9 u M S 9 G S V 9 D b 2 1 i a W 5 l Z D I y X 2 Z p b G 8 v Q X V 0 b 1 J l b W 9 2 Z W R D b 2 x 1 b W 5 z M S 5 7 T U F H T i w 4 f S Z x d W 9 0 O y w m c X V v d D t T Z W N 0 a W 9 u M S 9 G S V 9 D b 2 1 i a W 5 l Z D I y X 2 Z p b G 8 v Q X V 0 b 1 J l b W 9 2 Z W R D b 2 x 1 b W 5 z M S 5 7 U E 9 U Q S w 5 f S Z x d W 9 0 O y w m c X V v d D t T Z W N 0 a W 9 u M S 9 G S V 9 D b 2 1 i a W 5 l Z D I y X 2 Z p b G 8 v Q X V 0 b 1 J l b W 9 2 Z W R D b 2 x 1 b W 5 z M S 5 7 W k l O Q y w x M H 0 m c X V v d D s s J n F 1 b 3 Q 7 U 2 V j d G l v b j E v R k l f Q 2 9 t Y m l u Z W Q y M l 9 m a W x v L 0 F 1 d G 9 S Z W 1 v d m V k Q 2 9 s d W 1 u c z E u e 1 Z D L D E x f S Z x d W 9 0 O y w m c X V v d D t T Z W N 0 a W 9 u M S 9 G S V 9 D b 2 1 i a W 5 l Z D I y X 2 Z p b G 8 v Q X V 0 b 1 J l b W 9 2 Z W R D b 2 x 1 b W 5 z M S 5 7 V k I x L D E y f S Z x d W 9 0 O y w m c X V v d D t T Z W N 0 a W 9 u M S 9 G S V 9 D b 2 1 i a W 5 l Z D I y X 2 Z p b G 8 v Q X V 0 b 1 J l b W 9 2 Z W R D b 2 x 1 b W 5 z M S 5 7 V k I 2 L D E z f S Z x d W 9 0 O y w m c X V v d D t T Z W N 0 a W 9 u M S 9 G S V 9 D b 2 1 i a W 5 l Z D I y X 2 Z p b G 8 v Q X V 0 b 1 J l b W 9 2 Z W R D b 2 x 1 b W 5 z M S 5 7 V k F S Q S w x N H 0 m c X V v d D s s J n F 1 b 3 Q 7 U 2 V j d G l v b j E v R k l f Q 2 9 t Y m l u Z W Q y M l 9 m a W x v L 0 F 1 d G 9 S Z W 1 v d m V k Q 2 9 s d W 1 u c z E u e 0 F D Q V I s M T V 9 J n F 1 b 3 Q 7 L C Z x d W 9 0 O 1 N l Y 3 R p b 2 4 x L 0 Z J X 0 N v b W J p b m V k M j J f Z m l s b y 9 B d X R v U m V t b 3 Z l Z E N v b H V t b n M x L n t D U l l Q L D E 2 f S Z x d W 9 0 O y w m c X V v d D t T Z W N 0 a W 9 u M S 9 G S V 9 D b 2 1 i a W 5 l Z D I y X 2 Z p b G 8 v Q X V 0 b 1 J l b W 9 2 Z W R D b 2 x 1 b W 5 z M S 5 7 T F l D T y w x N 3 0 m c X V v d D s s J n F 1 b 3 Q 7 U 2 V j d G l v b j E v R k l f Q 2 9 t Y m l u Z W Q y M l 9 m a W x v L 0 F 1 d G 9 S Z W 1 v d m V k Q 2 9 s d W 1 u c z E u e 0 F U T 0 M s M T h 9 J n F 1 b 3 Q 7 L C Z x d W 9 0 O 1 N l Y 3 R p b 2 4 x L 0 Z J X 0 N v b W J p b m V k M j J f Z m l s b y 9 B d X R v U m V t b 3 Z l Z E N v b H V t b n M x L n t W S y w x O X 0 m c X V v d D s s J n F 1 b 3 Q 7 U 2 V j d G l v b j E v R k l f Q 2 9 t Y m l u Z W Q y M l 9 m a W x v L 0 F 1 d G 9 S Z W 1 v d m V k Q 2 9 s d W 1 u c z E u e 0 N I T 0 x F L D I w f S Z x d W 9 0 O y w m c X V v d D t T Z W N 0 a W 9 u M S 9 G S V 9 D b 2 1 i a W 5 l Z D I y X 2 Z p b G 8 v Q X V 0 b 1 J l b W 9 2 Z W R D b 2 x 1 b W 5 z M S 5 7 V k l U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N v b W J p b m V k M j J f Z m l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I y X 2 Z p b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y M l 9 m a W x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2 V u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M j J f Z 2 V u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T I 6 M D A u O T M x N z E 0 N 1 o i I C 8 + P E V u d H J 5 I F R 5 c G U 9 I k Z p b G x D b 2 x 1 b W 5 U e X B l c y I g V m F s d W U 9 I n N C Z 1 l H Q m d Z R 0 J n W U d C Z 1 l H Q m d Z R 0 J n W U d C Z 1 l H Q m c 9 P S I g L z 4 8 R W 5 0 c n k g V H l w Z T 0 i R m l s b E N v b H V t b k 5 h b W V z I i B W Y W x 1 Z T 0 i c 1 s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Q 0 F M Q y Z x d W 9 0 O y w m c X V v d D t N Q U d O J n F 1 b 3 Q 7 L C Z x d W 9 0 O 1 B P V E E m c X V v d D s s J n F 1 b 3 Q 7 W k l O Q y Z x d W 9 0 O y w m c X V v d D t W Q y Z x d W 9 0 O y w m c X V v d D t W Q j E m c X V v d D s s J n F 1 b 3 Q 7 V k I 2 J n F 1 b 3 Q 7 L C Z x d W 9 0 O 1 Z B U k E m c X V v d D s s J n F 1 b 3 Q 7 Q U N B U i Z x d W 9 0 O y w m c X V v d D t D U l l Q J n F 1 b 3 Q 7 L C Z x d W 9 0 O 0 x Z Q 0 8 m c X V v d D s s J n F 1 b 3 Q 7 Q V R P Q y Z x d W 9 0 O y w m c X V v d D t W S y Z x d W 9 0 O y w m c X V v d D t D S E 9 M R S Z x d W 9 0 O y w m c X V v d D t W S V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M j J f Z 2 V u d X M v Q X V 0 b 1 J l b W 9 2 Z W R D b 2 x 1 b W 5 z M S 5 7 U F J P V C w w f S Z x d W 9 0 O y w m c X V v d D t T Z W N 0 a W 9 u M S 9 G S V 9 D b 2 1 i a W 5 l Z D I y X 2 d l b n V z L 0 F 1 d G 9 S Z W 1 v d m V k Q 2 9 s d W 1 u c z E u e 1 R G Q V Q s M X 0 m c X V v d D s s J n F 1 b 3 Q 7 U 2 V j d G l v b j E v R k l f Q 2 9 t Y m l u Z W Q y M l 9 n Z W 5 1 c y 9 B d X R v U m V t b 3 Z l Z E N v b H V t b n M x L n t D Q V J C L D J 9 J n F 1 b 3 Q 7 L C Z x d W 9 0 O 1 N l Y 3 R p b 2 4 x L 0 Z J X 0 N v b W J p b m V k M j J f Z 2 V u d X M v Q X V 0 b 1 J l b W 9 2 Z W R D b 2 x 1 b W 5 z M S 5 7 T U 9 J U y w z f S Z x d W 9 0 O y w m c X V v d D t T Z W N 0 a W 9 u M S 9 G S V 9 D b 2 1 i a W 5 l Z D I y X 2 d l b n V z L 0 F 1 d G 9 S Z W 1 v d m V k Q 2 9 s d W 1 u c z E u e 0 F M Q y w 0 f S Z x d W 9 0 O y w m c X V v d D t T Z W N 0 a W 9 u M S 9 G S V 9 D b 2 1 i a W 5 l Z D I y X 2 d l b n V z L 0 F 1 d G 9 S Z W 1 v d m V k Q 2 9 s d W 1 u c z E u e 0 N B R k Y s N X 0 m c X V v d D s s J n F 1 b 3 Q 7 U 2 V j d G l v b j E v R k l f Q 2 9 t Y m l u Z W Q y M l 9 n Z W 5 1 c y 9 B d X R v U m V t b 3 Z l Z E N v b H V t b n M x L n t U S E V P L D Z 9 J n F 1 b 3 Q 7 L C Z x d W 9 0 O 1 N l Y 3 R p b 2 4 x L 0 Z J X 0 N v b W J p b m V k M j J f Z 2 V u d X M v Q X V 0 b 1 J l b W 9 2 Z W R D b 2 x 1 b W 5 z M S 5 7 Q 0 F M Q y w 3 f S Z x d W 9 0 O y w m c X V v d D t T Z W N 0 a W 9 u M S 9 G S V 9 D b 2 1 i a W 5 l Z D I y X 2 d l b n V z L 0 F 1 d G 9 S Z W 1 v d m V k Q 2 9 s d W 1 u c z E u e 0 1 B R 0 4 s O H 0 m c X V v d D s s J n F 1 b 3 Q 7 U 2 V j d G l v b j E v R k l f Q 2 9 t Y m l u Z W Q y M l 9 n Z W 5 1 c y 9 B d X R v U m V t b 3 Z l Z E N v b H V t b n M x L n t Q T 1 R B L D l 9 J n F 1 b 3 Q 7 L C Z x d W 9 0 O 1 N l Y 3 R p b 2 4 x L 0 Z J X 0 N v b W J p b m V k M j J f Z 2 V u d X M v Q X V 0 b 1 J l b W 9 2 Z W R D b 2 x 1 b W 5 z M S 5 7 W k l O Q y w x M H 0 m c X V v d D s s J n F 1 b 3 Q 7 U 2 V j d G l v b j E v R k l f Q 2 9 t Y m l u Z W Q y M l 9 n Z W 5 1 c y 9 B d X R v U m V t b 3 Z l Z E N v b H V t b n M x L n t W Q y w x M X 0 m c X V v d D s s J n F 1 b 3 Q 7 U 2 V j d G l v b j E v R k l f Q 2 9 t Y m l u Z W Q y M l 9 n Z W 5 1 c y 9 B d X R v U m V t b 3 Z l Z E N v b H V t b n M x L n t W Q j E s M T J 9 J n F 1 b 3 Q 7 L C Z x d W 9 0 O 1 N l Y 3 R p b 2 4 x L 0 Z J X 0 N v b W J p b m V k M j J f Z 2 V u d X M v Q X V 0 b 1 J l b W 9 2 Z W R D b 2 x 1 b W 5 z M S 5 7 V k I 2 L D E z f S Z x d W 9 0 O y w m c X V v d D t T Z W N 0 a W 9 u M S 9 G S V 9 D b 2 1 i a W 5 l Z D I y X 2 d l b n V z L 0 F 1 d G 9 S Z W 1 v d m V k Q 2 9 s d W 1 u c z E u e 1 Z B U k E s M T R 9 J n F 1 b 3 Q 7 L C Z x d W 9 0 O 1 N l Y 3 R p b 2 4 x L 0 Z J X 0 N v b W J p b m V k M j J f Z 2 V u d X M v Q X V 0 b 1 J l b W 9 2 Z W R D b 2 x 1 b W 5 z M S 5 7 Q U N B U i w x N X 0 m c X V v d D s s J n F 1 b 3 Q 7 U 2 V j d G l v b j E v R k l f Q 2 9 t Y m l u Z W Q y M l 9 n Z W 5 1 c y 9 B d X R v U m V t b 3 Z l Z E N v b H V t b n M x L n t D U l l Q L D E 2 f S Z x d W 9 0 O y w m c X V v d D t T Z W N 0 a W 9 u M S 9 G S V 9 D b 2 1 i a W 5 l Z D I y X 2 d l b n V z L 0 F 1 d G 9 S Z W 1 v d m V k Q 2 9 s d W 1 u c z E u e 0 x Z Q 0 8 s M T d 9 J n F 1 b 3 Q 7 L C Z x d W 9 0 O 1 N l Y 3 R p b 2 4 x L 0 Z J X 0 N v b W J p b m V k M j J f Z 2 V u d X M v Q X V 0 b 1 J l b W 9 2 Z W R D b 2 x 1 b W 5 z M S 5 7 Q V R P Q y w x O H 0 m c X V v d D s s J n F 1 b 3 Q 7 U 2 V j d G l v b j E v R k l f Q 2 9 t Y m l u Z W Q y M l 9 n Z W 5 1 c y 9 B d X R v U m V t b 3 Z l Z E N v b H V t b n M x L n t W S y w x O X 0 m c X V v d D s s J n F 1 b 3 Q 7 U 2 V j d G l v b j E v R k l f Q 2 9 t Y m l u Z W Q y M l 9 n Z W 5 1 c y 9 B d X R v U m V t b 3 Z l Z E N v b H V t b n M x L n t D S E 9 M R S w y M H 0 m c X V v d D s s J n F 1 b 3 Q 7 U 2 V j d G l v b j E v R k l f Q 2 9 t Y m l u Z W Q y M l 9 n Z W 5 1 c y 9 B d X R v U m V t b 3 Z l Z E N v b H V t b n M x L n t W S V R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k l f Q 2 9 t Y m l u Z W Q y M l 9 n Z W 5 1 c y 9 B d X R v U m V t b 3 Z l Z E N v b H V t b n M x L n t Q U k 9 U L D B 9 J n F 1 b 3 Q 7 L C Z x d W 9 0 O 1 N l Y 3 R p b 2 4 x L 0 Z J X 0 N v b W J p b m V k M j J f Z 2 V u d X M v Q X V 0 b 1 J l b W 9 2 Z W R D b 2 x 1 b W 5 z M S 5 7 V E Z B V C w x f S Z x d W 9 0 O y w m c X V v d D t T Z W N 0 a W 9 u M S 9 G S V 9 D b 2 1 i a W 5 l Z D I y X 2 d l b n V z L 0 F 1 d G 9 S Z W 1 v d m V k Q 2 9 s d W 1 u c z E u e 0 N B U k I s M n 0 m c X V v d D s s J n F 1 b 3 Q 7 U 2 V j d G l v b j E v R k l f Q 2 9 t Y m l u Z W Q y M l 9 n Z W 5 1 c y 9 B d X R v U m V t b 3 Z l Z E N v b H V t b n M x L n t N T 0 l T L D N 9 J n F 1 b 3 Q 7 L C Z x d W 9 0 O 1 N l Y 3 R p b 2 4 x L 0 Z J X 0 N v b W J p b m V k M j J f Z 2 V u d X M v Q X V 0 b 1 J l b W 9 2 Z W R D b 2 x 1 b W 5 z M S 5 7 Q U x D L D R 9 J n F 1 b 3 Q 7 L C Z x d W 9 0 O 1 N l Y 3 R p b 2 4 x L 0 Z J X 0 N v b W J p b m V k M j J f Z 2 V u d X M v Q X V 0 b 1 J l b W 9 2 Z W R D b 2 x 1 b W 5 z M S 5 7 Q 0 F G R i w 1 f S Z x d W 9 0 O y w m c X V v d D t T Z W N 0 a W 9 u M S 9 G S V 9 D b 2 1 i a W 5 l Z D I y X 2 d l b n V z L 0 F 1 d G 9 S Z W 1 v d m V k Q 2 9 s d W 1 u c z E u e 1 R I R U 8 s N n 0 m c X V v d D s s J n F 1 b 3 Q 7 U 2 V j d G l v b j E v R k l f Q 2 9 t Y m l u Z W Q y M l 9 n Z W 5 1 c y 9 B d X R v U m V t b 3 Z l Z E N v b H V t b n M x L n t D Q U x D L D d 9 J n F 1 b 3 Q 7 L C Z x d W 9 0 O 1 N l Y 3 R p b 2 4 x L 0 Z J X 0 N v b W J p b m V k M j J f Z 2 V u d X M v Q X V 0 b 1 J l b W 9 2 Z W R D b 2 x 1 b W 5 z M S 5 7 T U F H T i w 4 f S Z x d W 9 0 O y w m c X V v d D t T Z W N 0 a W 9 u M S 9 G S V 9 D b 2 1 i a W 5 l Z D I y X 2 d l b n V z L 0 F 1 d G 9 S Z W 1 v d m V k Q 2 9 s d W 1 u c z E u e 1 B P V E E s O X 0 m c X V v d D s s J n F 1 b 3 Q 7 U 2 V j d G l v b j E v R k l f Q 2 9 t Y m l u Z W Q y M l 9 n Z W 5 1 c y 9 B d X R v U m V t b 3 Z l Z E N v b H V t b n M x L n t a S U 5 D L D E w f S Z x d W 9 0 O y w m c X V v d D t T Z W N 0 a W 9 u M S 9 G S V 9 D b 2 1 i a W 5 l Z D I y X 2 d l b n V z L 0 F 1 d G 9 S Z W 1 v d m V k Q 2 9 s d W 1 u c z E u e 1 Z D L D E x f S Z x d W 9 0 O y w m c X V v d D t T Z W N 0 a W 9 u M S 9 G S V 9 D b 2 1 i a W 5 l Z D I y X 2 d l b n V z L 0 F 1 d G 9 S Z W 1 v d m V k Q 2 9 s d W 1 u c z E u e 1 Z C M S w x M n 0 m c X V v d D s s J n F 1 b 3 Q 7 U 2 V j d G l v b j E v R k l f Q 2 9 t Y m l u Z W Q y M l 9 n Z W 5 1 c y 9 B d X R v U m V t b 3 Z l Z E N v b H V t b n M x L n t W Q j Y s M T N 9 J n F 1 b 3 Q 7 L C Z x d W 9 0 O 1 N l Y 3 R p b 2 4 x L 0 Z J X 0 N v b W J p b m V k M j J f Z 2 V u d X M v Q X V 0 b 1 J l b W 9 2 Z W R D b 2 x 1 b W 5 z M S 5 7 V k F S Q S w x N H 0 m c X V v d D s s J n F 1 b 3 Q 7 U 2 V j d G l v b j E v R k l f Q 2 9 t Y m l u Z W Q y M l 9 n Z W 5 1 c y 9 B d X R v U m V t b 3 Z l Z E N v b H V t b n M x L n t B Q 0 F S L D E 1 f S Z x d W 9 0 O y w m c X V v d D t T Z W N 0 a W 9 u M S 9 G S V 9 D b 2 1 i a W 5 l Z D I y X 2 d l b n V z L 0 F 1 d G 9 S Z W 1 v d m V k Q 2 9 s d W 1 u c z E u e 0 N S W V A s M T Z 9 J n F 1 b 3 Q 7 L C Z x d W 9 0 O 1 N l Y 3 R p b 2 4 x L 0 Z J X 0 N v b W J p b m V k M j J f Z 2 V u d X M v Q X V 0 b 1 J l b W 9 2 Z W R D b 2 x 1 b W 5 z M S 5 7 T F l D T y w x N 3 0 m c X V v d D s s J n F 1 b 3 Q 7 U 2 V j d G l v b j E v R k l f Q 2 9 t Y m l u Z W Q y M l 9 n Z W 5 1 c y 9 B d X R v U m V t b 3 Z l Z E N v b H V t b n M x L n t B V E 9 D L D E 4 f S Z x d W 9 0 O y w m c X V v d D t T Z W N 0 a W 9 u M S 9 G S V 9 D b 2 1 i a W 5 l Z D I y X 2 d l b n V z L 0 F 1 d G 9 S Z W 1 v d m V k Q 2 9 s d W 1 u c z E u e 1 Z L L D E 5 f S Z x d W 9 0 O y w m c X V v d D t T Z W N 0 a W 9 u M S 9 G S V 9 D b 2 1 i a W 5 l Z D I y X 2 d l b n V z L 0 F 1 d G 9 S Z W 1 v d m V k Q 2 9 s d W 1 u c z E u e 0 N I T 0 x F L D I w f S Z x d W 9 0 O y w m c X V v d D t T Z W N 0 a W 9 u M S 9 G S V 9 D b 2 1 i a W 5 l Z D I y X 2 d l b n V z L 0 F 1 d G 9 S Z W 1 v d m V k Q 2 9 s d W 1 u c z E u e 1 Z J V E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D I y X 2 d l b n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Z 2 V u d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y M l 9 n Z W 5 1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I y X 2 9 y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D b 2 1 i a W 5 l Z D I y X 2 9 y Z G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y O j I 2 L j E x N D U 2 N D B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0 N B T E M m c X V v d D s s J n F 1 b 3 Q 7 T U F H T i Z x d W 9 0 O y w m c X V v d D t Q T 1 R B J n F 1 b 3 Q 7 L C Z x d W 9 0 O 1 p J T k M m c X V v d D s s J n F 1 b 3 Q 7 V k M m c X V v d D s s J n F 1 b 3 Q 7 V k I x J n F 1 b 3 Q 7 L C Z x d W 9 0 O 1 Z C N i Z x d W 9 0 O y w m c X V v d D t W Q V J B J n F 1 b 3 Q 7 L C Z x d W 9 0 O 0 F D Q V I m c X V v d D s s J n F 1 b 3 Q 7 Q 1 J Z U C Z x d W 9 0 O y w m c X V v d D t M W U N P J n F 1 b 3 Q 7 L C Z x d W 9 0 O 0 F U T 0 M m c X V v d D s s J n F 1 b 3 Q 7 V k s m c X V v d D s s J n F 1 b 3 Q 7 Q 0 h P T E U m c X V v d D s s J n F 1 b 3 Q 7 V k l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D b 2 1 i a W 5 l Z D I y X 2 9 y Z G V u L 0 F 1 d G 9 S Z W 1 v d m V k Q 2 9 s d W 1 u c z E u e 1 B S T 1 Q s M H 0 m c X V v d D s s J n F 1 b 3 Q 7 U 2 V j d G l v b j E v R k l f Q 2 9 t Y m l u Z W Q y M l 9 v c m R l b i 9 B d X R v U m V t b 3 Z l Z E N v b H V t b n M x L n t U R k F U L D F 9 J n F 1 b 3 Q 7 L C Z x d W 9 0 O 1 N l Y 3 R p b 2 4 x L 0 Z J X 0 N v b W J p b m V k M j J f b 3 J k Z W 4 v Q X V 0 b 1 J l b W 9 2 Z W R D b 2 x 1 b W 5 z M S 5 7 Q 0 F S Q i w y f S Z x d W 9 0 O y w m c X V v d D t T Z W N 0 a W 9 u M S 9 G S V 9 D b 2 1 i a W 5 l Z D I y X 2 9 y Z G V u L 0 F 1 d G 9 S Z W 1 v d m V k Q 2 9 s d W 1 u c z E u e 0 1 P S V M s M 3 0 m c X V v d D s s J n F 1 b 3 Q 7 U 2 V j d G l v b j E v R k l f Q 2 9 t Y m l u Z W Q y M l 9 v c m R l b i 9 B d X R v U m V t b 3 Z l Z E N v b H V t b n M x L n t B T E M s N H 0 m c X V v d D s s J n F 1 b 3 Q 7 U 2 V j d G l v b j E v R k l f Q 2 9 t Y m l u Z W Q y M l 9 v c m R l b i 9 B d X R v U m V t b 3 Z l Z E N v b H V t b n M x L n t D Q U Z G L D V 9 J n F 1 b 3 Q 7 L C Z x d W 9 0 O 1 N l Y 3 R p b 2 4 x L 0 Z J X 0 N v b W J p b m V k M j J f b 3 J k Z W 4 v Q X V 0 b 1 J l b W 9 2 Z W R D b 2 x 1 b W 5 z M S 5 7 V E h F T y w 2 f S Z x d W 9 0 O y w m c X V v d D t T Z W N 0 a W 9 u M S 9 G S V 9 D b 2 1 i a W 5 l Z D I y X 2 9 y Z G V u L 0 F 1 d G 9 S Z W 1 v d m V k Q 2 9 s d W 1 u c z E u e 0 N B T E M s N 3 0 m c X V v d D s s J n F 1 b 3 Q 7 U 2 V j d G l v b j E v R k l f Q 2 9 t Y m l u Z W Q y M l 9 v c m R l b i 9 B d X R v U m V t b 3 Z l Z E N v b H V t b n M x L n t N Q U d O L D h 9 J n F 1 b 3 Q 7 L C Z x d W 9 0 O 1 N l Y 3 R p b 2 4 x L 0 Z J X 0 N v b W J p b m V k M j J f b 3 J k Z W 4 v Q X V 0 b 1 J l b W 9 2 Z W R D b 2 x 1 b W 5 z M S 5 7 U E 9 U Q S w 5 f S Z x d W 9 0 O y w m c X V v d D t T Z W N 0 a W 9 u M S 9 G S V 9 D b 2 1 i a W 5 l Z D I y X 2 9 y Z G V u L 0 F 1 d G 9 S Z W 1 v d m V k Q 2 9 s d W 1 u c z E u e 1 p J T k M s M T B 9 J n F 1 b 3 Q 7 L C Z x d W 9 0 O 1 N l Y 3 R p b 2 4 x L 0 Z J X 0 N v b W J p b m V k M j J f b 3 J k Z W 4 v Q X V 0 b 1 J l b W 9 2 Z W R D b 2 x 1 b W 5 z M S 5 7 V k M s M T F 9 J n F 1 b 3 Q 7 L C Z x d W 9 0 O 1 N l Y 3 R p b 2 4 x L 0 Z J X 0 N v b W J p b m V k M j J f b 3 J k Z W 4 v Q X V 0 b 1 J l b W 9 2 Z W R D b 2 x 1 b W 5 z M S 5 7 V k I x L D E y f S Z x d W 9 0 O y w m c X V v d D t T Z W N 0 a W 9 u M S 9 G S V 9 D b 2 1 i a W 5 l Z D I y X 2 9 y Z G V u L 0 F 1 d G 9 S Z W 1 v d m V k Q 2 9 s d W 1 u c z E u e 1 Z C N i w x M 3 0 m c X V v d D s s J n F 1 b 3 Q 7 U 2 V j d G l v b j E v R k l f Q 2 9 t Y m l u Z W Q y M l 9 v c m R l b i 9 B d X R v U m V t b 3 Z l Z E N v b H V t b n M x L n t W Q V J B L D E 0 f S Z x d W 9 0 O y w m c X V v d D t T Z W N 0 a W 9 u M S 9 G S V 9 D b 2 1 i a W 5 l Z D I y X 2 9 y Z G V u L 0 F 1 d G 9 S Z W 1 v d m V k Q 2 9 s d W 1 u c z E u e 0 F D Q V I s M T V 9 J n F 1 b 3 Q 7 L C Z x d W 9 0 O 1 N l Y 3 R p b 2 4 x L 0 Z J X 0 N v b W J p b m V k M j J f b 3 J k Z W 4 v Q X V 0 b 1 J l b W 9 2 Z W R D b 2 x 1 b W 5 z M S 5 7 Q 1 J Z U C w x N n 0 m c X V v d D s s J n F 1 b 3 Q 7 U 2 V j d G l v b j E v R k l f Q 2 9 t Y m l u Z W Q y M l 9 v c m R l b i 9 B d X R v U m V t b 3 Z l Z E N v b H V t b n M x L n t M W U N P L D E 3 f S Z x d W 9 0 O y w m c X V v d D t T Z W N 0 a W 9 u M S 9 G S V 9 D b 2 1 i a W 5 l Z D I y X 2 9 y Z G V u L 0 F 1 d G 9 S Z W 1 v d m V k Q 2 9 s d W 1 u c z E u e 0 F U T 0 M s M T h 9 J n F 1 b 3 Q 7 L C Z x d W 9 0 O 1 N l Y 3 R p b 2 4 x L 0 Z J X 0 N v b W J p b m V k M j J f b 3 J k Z W 4 v Q X V 0 b 1 J l b W 9 2 Z W R D b 2 x 1 b W 5 z M S 5 7 V k s s M T l 9 J n F 1 b 3 Q 7 L C Z x d W 9 0 O 1 N l Y 3 R p b 2 4 x L 0 Z J X 0 N v b W J p b m V k M j J f b 3 J k Z W 4 v Q X V 0 b 1 J l b W 9 2 Z W R D b 2 x 1 b W 5 z M S 5 7 Q 0 h P T E U s M j B 9 J n F 1 b 3 Q 7 L C Z x d W 9 0 O 1 N l Y 3 R p b 2 4 x L 0 Z J X 0 N v b W J p b m V k M j J f b 3 J k Z W 4 v Q X V 0 b 1 J l b W 9 2 Z W R D b 2 x 1 b W 5 z M S 5 7 V k l U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J X 0 N v b W J p b m V k M j J f b 3 J k Z W 4 v Q X V 0 b 1 J l b W 9 2 Z W R D b 2 x 1 b W 5 z M S 5 7 U F J P V C w w f S Z x d W 9 0 O y w m c X V v d D t T Z W N 0 a W 9 u M S 9 G S V 9 D b 2 1 i a W 5 l Z D I y X 2 9 y Z G V u L 0 F 1 d G 9 S Z W 1 v d m V k Q 2 9 s d W 1 u c z E u e 1 R G Q V Q s M X 0 m c X V v d D s s J n F 1 b 3 Q 7 U 2 V j d G l v b j E v R k l f Q 2 9 t Y m l u Z W Q y M l 9 v c m R l b i 9 B d X R v U m V t b 3 Z l Z E N v b H V t b n M x L n t D Q V J C L D J 9 J n F 1 b 3 Q 7 L C Z x d W 9 0 O 1 N l Y 3 R p b 2 4 x L 0 Z J X 0 N v b W J p b m V k M j J f b 3 J k Z W 4 v Q X V 0 b 1 J l b W 9 2 Z W R D b 2 x 1 b W 5 z M S 5 7 T U 9 J U y w z f S Z x d W 9 0 O y w m c X V v d D t T Z W N 0 a W 9 u M S 9 G S V 9 D b 2 1 i a W 5 l Z D I y X 2 9 y Z G V u L 0 F 1 d G 9 S Z W 1 v d m V k Q 2 9 s d W 1 u c z E u e 0 F M Q y w 0 f S Z x d W 9 0 O y w m c X V v d D t T Z W N 0 a W 9 u M S 9 G S V 9 D b 2 1 i a W 5 l Z D I y X 2 9 y Z G V u L 0 F 1 d G 9 S Z W 1 v d m V k Q 2 9 s d W 1 u c z E u e 0 N B R k Y s N X 0 m c X V v d D s s J n F 1 b 3 Q 7 U 2 V j d G l v b j E v R k l f Q 2 9 t Y m l u Z W Q y M l 9 v c m R l b i 9 B d X R v U m V t b 3 Z l Z E N v b H V t b n M x L n t U S E V P L D Z 9 J n F 1 b 3 Q 7 L C Z x d W 9 0 O 1 N l Y 3 R p b 2 4 x L 0 Z J X 0 N v b W J p b m V k M j J f b 3 J k Z W 4 v Q X V 0 b 1 J l b W 9 2 Z W R D b 2 x 1 b W 5 z M S 5 7 Q 0 F M Q y w 3 f S Z x d W 9 0 O y w m c X V v d D t T Z W N 0 a W 9 u M S 9 G S V 9 D b 2 1 i a W 5 l Z D I y X 2 9 y Z G V u L 0 F 1 d G 9 S Z W 1 v d m V k Q 2 9 s d W 1 u c z E u e 0 1 B R 0 4 s O H 0 m c X V v d D s s J n F 1 b 3 Q 7 U 2 V j d G l v b j E v R k l f Q 2 9 t Y m l u Z W Q y M l 9 v c m R l b i 9 B d X R v U m V t b 3 Z l Z E N v b H V t b n M x L n t Q T 1 R B L D l 9 J n F 1 b 3 Q 7 L C Z x d W 9 0 O 1 N l Y 3 R p b 2 4 x L 0 Z J X 0 N v b W J p b m V k M j J f b 3 J k Z W 4 v Q X V 0 b 1 J l b W 9 2 Z W R D b 2 x 1 b W 5 z M S 5 7 W k l O Q y w x M H 0 m c X V v d D s s J n F 1 b 3 Q 7 U 2 V j d G l v b j E v R k l f Q 2 9 t Y m l u Z W Q y M l 9 v c m R l b i 9 B d X R v U m V t b 3 Z l Z E N v b H V t b n M x L n t W Q y w x M X 0 m c X V v d D s s J n F 1 b 3 Q 7 U 2 V j d G l v b j E v R k l f Q 2 9 t Y m l u Z W Q y M l 9 v c m R l b i 9 B d X R v U m V t b 3 Z l Z E N v b H V t b n M x L n t W Q j E s M T J 9 J n F 1 b 3 Q 7 L C Z x d W 9 0 O 1 N l Y 3 R p b 2 4 x L 0 Z J X 0 N v b W J p b m V k M j J f b 3 J k Z W 4 v Q X V 0 b 1 J l b W 9 2 Z W R D b 2 x 1 b W 5 z M S 5 7 V k I 2 L D E z f S Z x d W 9 0 O y w m c X V v d D t T Z W N 0 a W 9 u M S 9 G S V 9 D b 2 1 i a W 5 l Z D I y X 2 9 y Z G V u L 0 F 1 d G 9 S Z W 1 v d m V k Q 2 9 s d W 1 u c z E u e 1 Z B U k E s M T R 9 J n F 1 b 3 Q 7 L C Z x d W 9 0 O 1 N l Y 3 R p b 2 4 x L 0 Z J X 0 N v b W J p b m V k M j J f b 3 J k Z W 4 v Q X V 0 b 1 J l b W 9 2 Z W R D b 2 x 1 b W 5 z M S 5 7 Q U N B U i w x N X 0 m c X V v d D s s J n F 1 b 3 Q 7 U 2 V j d G l v b j E v R k l f Q 2 9 t Y m l u Z W Q y M l 9 v c m R l b i 9 B d X R v U m V t b 3 Z l Z E N v b H V t b n M x L n t D U l l Q L D E 2 f S Z x d W 9 0 O y w m c X V v d D t T Z W N 0 a W 9 u M S 9 G S V 9 D b 2 1 i a W 5 l Z D I y X 2 9 y Z G V u L 0 F 1 d G 9 S Z W 1 v d m V k Q 2 9 s d W 1 u c z E u e 0 x Z Q 0 8 s M T d 9 J n F 1 b 3 Q 7 L C Z x d W 9 0 O 1 N l Y 3 R p b 2 4 x L 0 Z J X 0 N v b W J p b m V k M j J f b 3 J k Z W 4 v Q X V 0 b 1 J l b W 9 2 Z W R D b 2 x 1 b W 5 z M S 5 7 Q V R P Q y w x O H 0 m c X V v d D s s J n F 1 b 3 Q 7 U 2 V j d G l v b j E v R k l f Q 2 9 t Y m l u Z W Q y M l 9 v c m R l b i 9 B d X R v U m V t b 3 Z l Z E N v b H V t b n M x L n t W S y w x O X 0 m c X V v d D s s J n F 1 b 3 Q 7 U 2 V j d G l v b j E v R k l f Q 2 9 t Y m l u Z W Q y M l 9 v c m R l b i 9 B d X R v U m V t b 3 Z l Z E N v b H V t b n M x L n t D S E 9 M R S w y M H 0 m c X V v d D s s J n F 1 b 3 Q 7 U 2 V j d G l v b j E v R k l f Q 2 9 t Y m l u Z W Q y M l 9 v c m R l b i 9 B d X R v U m V t b 3 Z l Z E N v b H V t b n M x L n t W S V R E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Q y M l 9 v c m R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I y X 2 9 y Z G V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M j J f b 3 J k Z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/ x E A 4 9 z 9 G p t F j I s l b t N g A A A A A A g A A A A A A E G Y A A A A B A A A g A A A A g U F b o g D a 8 R N 9 e m A b 1 8 l e 4 w Y q k E V 6 S d 7 n W S H V v / V Q 6 M s A A A A A D o A A A A A C A A A g A A A A z d n 6 L p o u M 1 t a m R W T g F e F R 2 v i u S S L T E O l A A d O o I I T P o F Q A A A A 3 D K G z U K n X Y 6 P + i r Z f p h n t h D 8 s 4 k 2 T j z I E 8 w 5 Q U f g g n j e n Q k T 9 K Y U i k Z 2 I K C c y Q W m g D T M F z O d D e 9 i k 8 b D P m o E t w s h a g S u E U w 7 W e P Y R o 4 T c / F A A A A A e 1 p J B C m B k s j D X C D i m v E a e k e J v m t d J r H y y u L s H w / E C h u j w L x D c N j 6 j 3 U b + a r x X j 6 E c O Y E 7 / g B T k w Z i x C G m p w + a Q = = < / D a t a M a s h u p > 
</file>

<file path=customXml/itemProps1.xml><?xml version="1.0" encoding="utf-8"?>
<ds:datastoreItem xmlns:ds="http://schemas.openxmlformats.org/officeDocument/2006/customXml" ds:itemID="{62C37A07-1BED-4EE7-B28F-9FBD2BC48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FI_Combined22_clase</vt:lpstr>
      <vt:lpstr>FI_Combined22_especie</vt:lpstr>
      <vt:lpstr>FI_Combined22_family</vt:lpstr>
      <vt:lpstr>FI_Combined22_filo</vt:lpstr>
      <vt:lpstr>FI_Combined22_genus</vt:lpstr>
      <vt:lpstr>FI_Combined22_orden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2021-05-27T19:49:05Z</dcterms:created>
  <dcterms:modified xsi:type="dcterms:W3CDTF">2021-05-27T20:22:16Z</dcterms:modified>
</cp:coreProperties>
</file>