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OneDrive\Documentos\2020-2021\practicas\transcurso\dietstudy_analyses-master\Results\"/>
    </mc:Choice>
  </mc:AlternateContent>
  <xr:revisionPtr revIDLastSave="0" documentId="13_ncr:1_{EAE32538-6C05-44BC-BC62-994C95181D3A}" xr6:coauthVersionLast="46" xr6:coauthVersionMax="46" xr10:uidLastSave="{00000000-0000-0000-0000-000000000000}"/>
  <bookViews>
    <workbookView xWindow="28680" yWindow="-120" windowWidth="29040" windowHeight="16440" tabRatio="703" activeTab="5" xr2:uid="{11CA2F10-ACF1-41EF-AC03-02781C8E2751}"/>
  </bookViews>
  <sheets>
    <sheet name="FI_OTU22_clase" sheetId="2" r:id="rId1"/>
    <sheet name="FI_OTU22_especie" sheetId="3" r:id="rId2"/>
    <sheet name="FI_OTU22_familia" sheetId="4" r:id="rId3"/>
    <sheet name="FI_OTU22_filo" sheetId="5" r:id="rId4"/>
    <sheet name="FI_OTU22_genus" sheetId="6" r:id="rId5"/>
    <sheet name="FI_OTU22_orden" sheetId="7" r:id="rId6"/>
  </sheets>
  <definedNames>
    <definedName name="DatosExternos_1" localSheetId="0" hidden="1">FI_OTU22_clase!$A$1:$V$11</definedName>
    <definedName name="DatosExternos_1" localSheetId="1" hidden="1">FI_OTU22_especie!$A$1:$V$11</definedName>
    <definedName name="DatosExternos_1" localSheetId="2" hidden="1">FI_OTU22_familia!$A$1:$V$11</definedName>
    <definedName name="DatosExternos_1" localSheetId="3" hidden="1">FI_OTU22_filo!$A$1:$V$11</definedName>
    <definedName name="DatosExternos_1" localSheetId="4" hidden="1">FI_OTU22_genus!$A$1:$V$11</definedName>
    <definedName name="DatosExternos_1" localSheetId="5" hidden="1">FI_OTU22_orden!$A$1:$V$11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6" l="1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A16" i="6"/>
  <c r="A14" i="6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A16" i="5"/>
  <c r="A14" i="5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A16" i="4"/>
  <c r="A14" i="4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A16" i="3"/>
  <c r="A14" i="3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16" i="2"/>
  <c r="A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20EC0-AE5F-4CFB-BA8C-4D0DF178B400}" keepAlive="1" name="Consulta - FI_OTU22_clase" description="Conexión a la consulta 'FI_OTU22_clase' en el libro." type="5" refreshedVersion="7" background="1" saveData="1">
    <dbPr connection="Provider=Microsoft.Mashup.OleDb.1;Data Source=$Workbook$;Location=FI_OTU22_clase;Extended Properties=&quot;&quot;" command="SELECT * FROM [FI_OTU22_clase]"/>
  </connection>
  <connection id="2" xr16:uid="{33F7AE62-8F35-406D-B760-3D90209DA9EE}" keepAlive="1" name="Consulta - FI_OTU22_especie" description="Conexión a la consulta 'FI_OTU22_especie' en el libro." type="5" refreshedVersion="7" background="1" saveData="1">
    <dbPr connection="Provider=Microsoft.Mashup.OleDb.1;Data Source=$Workbook$;Location=FI_OTU22_especie;Extended Properties=&quot;&quot;" command="SELECT * FROM [FI_OTU22_especie]"/>
  </connection>
  <connection id="3" xr16:uid="{28FEF9DF-F87D-4494-ACE4-EABD739A1F18}" keepAlive="1" name="Consulta - FI_OTU22_familia" description="Conexión a la consulta 'FI_OTU22_familia' en el libro." type="5" refreshedVersion="7" background="1" saveData="1">
    <dbPr connection="Provider=Microsoft.Mashup.OleDb.1;Data Source=$Workbook$;Location=FI_OTU22_familia;Extended Properties=&quot;&quot;" command="SELECT * FROM [FI_OTU22_familia]"/>
  </connection>
  <connection id="4" xr16:uid="{49DFD64C-2A04-43FB-BEDE-2019DF5D8C19}" keepAlive="1" name="Consulta - FI_OTU22_filo" description="Conexión a la consulta 'FI_OTU22_filo' en el libro." type="5" refreshedVersion="7" background="1" saveData="1">
    <dbPr connection="Provider=Microsoft.Mashup.OleDb.1;Data Source=$Workbook$;Location=FI_OTU22_filo;Extended Properties=&quot;&quot;" command="SELECT * FROM [FI_OTU22_filo]"/>
  </connection>
  <connection id="5" xr16:uid="{643780CF-1FEE-4774-BCBC-7EAD9B02A9A3}" keepAlive="1" name="Consulta - FI_OTU22_genus" description="Conexión a la consulta 'FI_OTU22_genus' en el libro." type="5" refreshedVersion="7" background="1" saveData="1">
    <dbPr connection="Provider=Microsoft.Mashup.OleDb.1;Data Source=$Workbook$;Location=FI_OTU22_genus;Extended Properties=&quot;&quot;" command="SELECT * FROM [FI_OTU22_genus]"/>
  </connection>
  <connection id="6" xr16:uid="{2DC5935D-6125-4EB8-9AD4-DBD2AF9E9840}" keepAlive="1" name="Consulta - FI_OTU22_orden" description="Conexión a la consulta 'FI_OTU22_orden' en el libro." type="5" refreshedVersion="7" background="1" saveData="1">
    <dbPr connection="Provider=Microsoft.Mashup.OleDb.1;Data Source=$Workbook$;Location=FI_OTU22_orden;Extended Properties=&quot;&quot;" command="SELECT * FROM [FI_OTU22_orden]"/>
  </connection>
</connections>
</file>

<file path=xl/sharedStrings.xml><?xml version="1.0" encoding="utf-8"?>
<sst xmlns="http://schemas.openxmlformats.org/spreadsheetml/2006/main" count="364" uniqueCount="25">
  <si>
    <t>PROT</t>
  </si>
  <si>
    <t>TFAT</t>
  </si>
  <si>
    <t>CARB</t>
  </si>
  <si>
    <t>MOIS</t>
  </si>
  <si>
    <t>ALC</t>
  </si>
  <si>
    <t>CAFF</t>
  </si>
  <si>
    <t>THEO</t>
  </si>
  <si>
    <t>CALC</t>
  </si>
  <si>
    <t>MAGN</t>
  </si>
  <si>
    <t>POTA</t>
  </si>
  <si>
    <t>ZINC</t>
  </si>
  <si>
    <t>VC</t>
  </si>
  <si>
    <t>VB1</t>
  </si>
  <si>
    <t>VB6</t>
  </si>
  <si>
    <t>VARA</t>
  </si>
  <si>
    <t>ACAR</t>
  </si>
  <si>
    <t>CRYP</t>
  </si>
  <si>
    <t>LYCO</t>
  </si>
  <si>
    <t>ATOC</t>
  </si>
  <si>
    <t>VK</t>
  </si>
  <si>
    <t>CHOLE</t>
  </si>
  <si>
    <t>VITD</t>
  </si>
  <si>
    <t>0.0</t>
  </si>
  <si>
    <t>MEDIA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</si>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</sst>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2" borderId="0" xfId="1"/>
    <xf numFmtId="164" fontId="0" fillId="0" borderId="0" xfId="0" applyNumberFormat="1"/>
    <xf numFmtId="164" fontId="1" fillId="2" borderId="0" xfId="1" applyNumberFormat="1"/>
  </cellXfs>
  <cellStyles count="2">
    <cellStyle name="Neutral" xfId="1" builtinId="28"/>
    <cellStyle name="Normal" xfId="0" builtinId="0"/>
  </cellStyles>
  <dxfs count="142"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164" formatCode="0.000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80CD74-C40C-4FD1-8EB4-514EEA488D24}" autoFormatId="16" applyNumberFormats="0" applyBorderFormats="0" applyFontFormats="0" applyPatternFormats="0" applyAlignmentFormats="0" applyWidthHeightFormats="0">
  <queryTableRefresh nextId="23">
    <queryTableFields count="22">
      <queryTableField id="1" name="PROT" tableColumnId="1"/>
      <queryTableField id="2" name="TFAT" tableColumnId="2"/>
      <queryTableField id="3" name="CARB" tableColumnId="3"/>
      <queryTableField id="4" name="MOIS" tableColumnId="4"/>
      <queryTableField id="5" name="ALC" tableColumnId="5"/>
      <queryTableField id="6" name="CAFF" tableColumnId="6"/>
      <queryTableField id="7" name="THEO" tableColumnId="7"/>
      <queryTableField id="8" name="CALC" tableColumnId="8"/>
      <queryTableField id="9" name="MAGN" tableColumnId="9"/>
      <queryTableField id="10" name="POTA" tableColumnId="10"/>
      <queryTableField id="11" name="ZINC" tableColumnId="11"/>
      <queryTableField id="12" name="VC" tableColumnId="12"/>
      <queryTableField id="13" name="VB1" tableColumnId="13"/>
      <queryTableField id="14" name="VB6" tableColumnId="14"/>
      <queryTableField id="15" name="VARA" tableColumnId="15"/>
      <queryTableField id="16" name="ACAR" tableColumnId="16"/>
      <queryTableField id="17" name="CRYP" tableColumnId="17"/>
      <queryTableField id="18" name="LYCO" tableColumnId="18"/>
      <queryTableField id="19" name="ATOC" tableColumnId="19"/>
      <queryTableField id="20" name="VK" tableColumnId="20"/>
      <queryTableField id="21" name="CHOLE" tableColumnId="21"/>
      <queryTableField id="22" name="VITD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781A379-81F7-4437-84F5-46A421194008}" autoFormatId="16" applyNumberFormats="0" applyBorderFormats="0" applyFontFormats="0" applyPatternFormats="0" applyAlignmentFormats="0" applyWidthHeightFormats="0">
  <queryTableRefresh nextId="23">
    <queryTableFields count="22">
      <queryTableField id="1" name="PROT" tableColumnId="1"/>
      <queryTableField id="2" name="TFAT" tableColumnId="2"/>
      <queryTableField id="3" name="CARB" tableColumnId="3"/>
      <queryTableField id="4" name="MOIS" tableColumnId="4"/>
      <queryTableField id="5" name="ALC" tableColumnId="5"/>
      <queryTableField id="6" name="CAFF" tableColumnId="6"/>
      <queryTableField id="7" name="THEO" tableColumnId="7"/>
      <queryTableField id="8" name="CALC" tableColumnId="8"/>
      <queryTableField id="9" name="MAGN" tableColumnId="9"/>
      <queryTableField id="10" name="POTA" tableColumnId="10"/>
      <queryTableField id="11" name="ZINC" tableColumnId="11"/>
      <queryTableField id="12" name="VC" tableColumnId="12"/>
      <queryTableField id="13" name="VB1" tableColumnId="13"/>
      <queryTableField id="14" name="VB6" tableColumnId="14"/>
      <queryTableField id="15" name="VARA" tableColumnId="15"/>
      <queryTableField id="16" name="ACAR" tableColumnId="16"/>
      <queryTableField id="17" name="CRYP" tableColumnId="17"/>
      <queryTableField id="18" name="LYCO" tableColumnId="18"/>
      <queryTableField id="19" name="ATOC" tableColumnId="19"/>
      <queryTableField id="20" name="VK" tableColumnId="20"/>
      <queryTableField id="21" name="CHOLE" tableColumnId="21"/>
      <queryTableField id="22" name="VITD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2B0C5B59-429A-4039-BEB4-40F9117A0465}" autoFormatId="16" applyNumberFormats="0" applyBorderFormats="0" applyFontFormats="0" applyPatternFormats="0" applyAlignmentFormats="0" applyWidthHeightFormats="0">
  <queryTableRefresh nextId="23">
    <queryTableFields count="22">
      <queryTableField id="1" name="PROT" tableColumnId="1"/>
      <queryTableField id="2" name="TFAT" tableColumnId="2"/>
      <queryTableField id="3" name="CARB" tableColumnId="3"/>
      <queryTableField id="4" name="MOIS" tableColumnId="4"/>
      <queryTableField id="5" name="ALC" tableColumnId="5"/>
      <queryTableField id="6" name="CAFF" tableColumnId="6"/>
      <queryTableField id="7" name="THEO" tableColumnId="7"/>
      <queryTableField id="8" name="CALC" tableColumnId="8"/>
      <queryTableField id="9" name="MAGN" tableColumnId="9"/>
      <queryTableField id="10" name="POTA" tableColumnId="10"/>
      <queryTableField id="11" name="ZINC" tableColumnId="11"/>
      <queryTableField id="12" name="VC" tableColumnId="12"/>
      <queryTableField id="13" name="VB1" tableColumnId="13"/>
      <queryTableField id="14" name="VB6" tableColumnId="14"/>
      <queryTableField id="15" name="VARA" tableColumnId="15"/>
      <queryTableField id="16" name="ACAR" tableColumnId="16"/>
      <queryTableField id="17" name="CRYP" tableColumnId="17"/>
      <queryTableField id="18" name="LYCO" tableColumnId="18"/>
      <queryTableField id="19" name="ATOC" tableColumnId="19"/>
      <queryTableField id="20" name="VK" tableColumnId="20"/>
      <queryTableField id="21" name="CHOLE" tableColumnId="21"/>
      <queryTableField id="22" name="VITD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CB47548A-F3DA-475C-B2B4-126D2B054C2A}" autoFormatId="16" applyNumberFormats="0" applyBorderFormats="0" applyFontFormats="0" applyPatternFormats="0" applyAlignmentFormats="0" applyWidthHeightFormats="0">
  <queryTableRefresh nextId="23">
    <queryTableFields count="22">
      <queryTableField id="1" name="PROT" tableColumnId="1"/>
      <queryTableField id="2" name="TFAT" tableColumnId="2"/>
      <queryTableField id="3" name="CARB" tableColumnId="3"/>
      <queryTableField id="4" name="MOIS" tableColumnId="4"/>
      <queryTableField id="5" name="ALC" tableColumnId="5"/>
      <queryTableField id="6" name="CAFF" tableColumnId="6"/>
      <queryTableField id="7" name="THEO" tableColumnId="7"/>
      <queryTableField id="8" name="CALC" tableColumnId="8"/>
      <queryTableField id="9" name="MAGN" tableColumnId="9"/>
      <queryTableField id="10" name="POTA" tableColumnId="10"/>
      <queryTableField id="11" name="ZINC" tableColumnId="11"/>
      <queryTableField id="12" name="VC" tableColumnId="12"/>
      <queryTableField id="13" name="VB1" tableColumnId="13"/>
      <queryTableField id="14" name="VB6" tableColumnId="14"/>
      <queryTableField id="15" name="VARA" tableColumnId="15"/>
      <queryTableField id="16" name="ACAR" tableColumnId="16"/>
      <queryTableField id="17" name="CRYP" tableColumnId="17"/>
      <queryTableField id="18" name="LYCO" tableColumnId="18"/>
      <queryTableField id="19" name="ATOC" tableColumnId="19"/>
      <queryTableField id="20" name="VK" tableColumnId="20"/>
      <queryTableField id="21" name="CHOLE" tableColumnId="21"/>
      <queryTableField id="22" name="VITD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2AED24B8-9410-4143-B6BC-AB0C5EDF6171}" autoFormatId="16" applyNumberFormats="0" applyBorderFormats="0" applyFontFormats="0" applyPatternFormats="0" applyAlignmentFormats="0" applyWidthHeightFormats="0">
  <queryTableRefresh nextId="23">
    <queryTableFields count="22">
      <queryTableField id="1" name="PROT" tableColumnId="1"/>
      <queryTableField id="2" name="TFAT" tableColumnId="2"/>
      <queryTableField id="3" name="CARB" tableColumnId="3"/>
      <queryTableField id="4" name="MOIS" tableColumnId="4"/>
      <queryTableField id="5" name="ALC" tableColumnId="5"/>
      <queryTableField id="6" name="CAFF" tableColumnId="6"/>
      <queryTableField id="7" name="THEO" tableColumnId="7"/>
      <queryTableField id="8" name="CALC" tableColumnId="8"/>
      <queryTableField id="9" name="MAGN" tableColumnId="9"/>
      <queryTableField id="10" name="POTA" tableColumnId="10"/>
      <queryTableField id="11" name="ZINC" tableColumnId="11"/>
      <queryTableField id="12" name="VC" tableColumnId="12"/>
      <queryTableField id="13" name="VB1" tableColumnId="13"/>
      <queryTableField id="14" name="VB6" tableColumnId="14"/>
      <queryTableField id="15" name="VARA" tableColumnId="15"/>
      <queryTableField id="16" name="ACAR" tableColumnId="16"/>
      <queryTableField id="17" name="CRYP" tableColumnId="17"/>
      <queryTableField id="18" name="LYCO" tableColumnId="18"/>
      <queryTableField id="19" name="ATOC" tableColumnId="19"/>
      <queryTableField id="20" name="VK" tableColumnId="20"/>
      <queryTableField id="21" name="CHOLE" tableColumnId="21"/>
      <queryTableField id="22" name="VITD" tableColumnId="2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79080167-F5CF-4724-BC97-A9EECD8CF21C}" autoFormatId="16" applyNumberFormats="0" applyBorderFormats="0" applyFontFormats="0" applyPatternFormats="0" applyAlignmentFormats="0" applyWidthHeightFormats="0">
  <queryTableRefresh nextId="23">
    <queryTableFields count="22">
      <queryTableField id="1" name="PROT" tableColumnId="1"/>
      <queryTableField id="2" name="TFAT" tableColumnId="2"/>
      <queryTableField id="3" name="CARB" tableColumnId="3"/>
      <queryTableField id="4" name="MOIS" tableColumnId="4"/>
      <queryTableField id="5" name="ALC" tableColumnId="5"/>
      <queryTableField id="6" name="CAFF" tableColumnId="6"/>
      <queryTableField id="7" name="THEO" tableColumnId="7"/>
      <queryTableField id="8" name="CALC" tableColumnId="8"/>
      <queryTableField id="9" name="MAGN" tableColumnId="9"/>
      <queryTableField id="10" name="POTA" tableColumnId="10"/>
      <queryTableField id="11" name="ZINC" tableColumnId="11"/>
      <queryTableField id="12" name="VC" tableColumnId="12"/>
      <queryTableField id="13" name="VB1" tableColumnId="13"/>
      <queryTableField id="14" name="VB6" tableColumnId="14"/>
      <queryTableField id="15" name="VARA" tableColumnId="15"/>
      <queryTableField id="16" name="ACAR" tableColumnId="16"/>
      <queryTableField id="17" name="CRYP" tableColumnId="17"/>
      <queryTableField id="18" name="LYCO" tableColumnId="18"/>
      <queryTableField id="19" name="ATOC" tableColumnId="19"/>
      <queryTableField id="20" name="VK" tableColumnId="20"/>
      <queryTableField id="21" name="CHOLE" tableColumnId="21"/>
      <queryTableField id="22" name="VIT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8DEB4-DC71-4CBB-B96E-BFC7D7544F0F}" name="FI_OTU22_clase" displayName="FI_OTU22_clase" ref="A1:V11" tableType="queryTable" totalsRowShown="0" headerRowDxfId="97" dataDxfId="96">
  <autoFilter ref="A1:V11" xr:uid="{172A6924-A744-4F37-98F9-25083E483371}"/>
  <tableColumns count="22">
    <tableColumn id="1" xr3:uid="{514EA1BB-DF91-43F8-A697-23B0835A419F}" uniqueName="1" name="PROT" queryTableFieldId="1" dataDxfId="119"/>
    <tableColumn id="2" xr3:uid="{9E4EC81F-D679-469A-B8A8-321CE3464547}" uniqueName="2" name="TFAT" queryTableFieldId="2" dataDxfId="118"/>
    <tableColumn id="3" xr3:uid="{41C88C38-E182-4D08-88A9-46916DAF8527}" uniqueName="3" name="CARB" queryTableFieldId="3" dataDxfId="117"/>
    <tableColumn id="4" xr3:uid="{8F1CF3DE-E11F-45A9-A804-B23F22E45474}" uniqueName="4" name="MOIS" queryTableFieldId="4" dataDxfId="116"/>
    <tableColumn id="5" xr3:uid="{50AB15E6-00B5-4CFA-99BA-D48D83C29A4B}" uniqueName="5" name="ALC" queryTableFieldId="5" dataDxfId="115"/>
    <tableColumn id="6" xr3:uid="{A1FBCC98-FE42-4D34-B224-EE64F69807E2}" uniqueName="6" name="CAFF" queryTableFieldId="6" dataDxfId="114"/>
    <tableColumn id="7" xr3:uid="{648FBBF4-8830-4DC7-89D7-3562EE37970E}" uniqueName="7" name="THEO" queryTableFieldId="7" dataDxfId="113"/>
    <tableColumn id="8" xr3:uid="{82422B44-8814-47E1-A9E7-4827CB806529}" uniqueName="8" name="CALC" queryTableFieldId="8" dataDxfId="112"/>
    <tableColumn id="9" xr3:uid="{80B000EE-C974-4AE6-A730-3EE393D7EA1A}" uniqueName="9" name="MAGN" queryTableFieldId="9" dataDxfId="111"/>
    <tableColumn id="10" xr3:uid="{20C9C510-C7D6-43E1-9797-E480951B44D0}" uniqueName="10" name="POTA" queryTableFieldId="10" dataDxfId="110"/>
    <tableColumn id="11" xr3:uid="{A4CC8F6A-2472-4861-8DB4-D83003480058}" uniqueName="11" name="ZINC" queryTableFieldId="11" dataDxfId="109"/>
    <tableColumn id="12" xr3:uid="{F5C812B3-6410-4EA7-ADCA-FEE1683F1293}" uniqueName="12" name="VC" queryTableFieldId="12" dataDxfId="108"/>
    <tableColumn id="13" xr3:uid="{74B0FACB-DE24-4178-BE4B-64C377E8A1BA}" uniqueName="13" name="VB1" queryTableFieldId="13" dataDxfId="107"/>
    <tableColumn id="14" xr3:uid="{7FB0512E-E804-489B-AA5B-E87F1FADC847}" uniqueName="14" name="VB6" queryTableFieldId="14" dataDxfId="106"/>
    <tableColumn id="15" xr3:uid="{622334DD-AD87-4573-A1F6-509D6A8ABACB}" uniqueName="15" name="VARA" queryTableFieldId="15" dataDxfId="105"/>
    <tableColumn id="16" xr3:uid="{3FFC8E18-E949-4198-B0D3-650B6D9E1F7E}" uniqueName="16" name="ACAR" queryTableFieldId="16" dataDxfId="104"/>
    <tableColumn id="17" xr3:uid="{34C8EC04-3561-4E8F-9E94-6D6800892699}" uniqueName="17" name="CRYP" queryTableFieldId="17" dataDxfId="103"/>
    <tableColumn id="18" xr3:uid="{082A4E5B-AAA3-4DDF-B0E6-BCB3A61AB7B4}" uniqueName="18" name="LYCO" queryTableFieldId="18" dataDxfId="102"/>
    <tableColumn id="19" xr3:uid="{7B79A23C-5039-4C6F-8DD8-9655D7EA8B36}" uniqueName="19" name="ATOC" queryTableFieldId="19" dataDxfId="101"/>
    <tableColumn id="20" xr3:uid="{8AD52D5D-91F2-403B-9A96-70DD57877CB2}" uniqueName="20" name="VK" queryTableFieldId="20" dataDxfId="100"/>
    <tableColumn id="21" xr3:uid="{10CD4F9A-530C-4332-9F05-91F0B1BEFFAC}" uniqueName="21" name="CHOLE" queryTableFieldId="21" dataDxfId="99"/>
    <tableColumn id="22" xr3:uid="{84B2B958-8FA7-43C2-8491-A0B0C73BF3C8}" uniqueName="22" name="VITD" queryTableFieldId="22" dataDxfId="9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7118A-E1B9-4807-B0B7-E39233798C5A}" name="FI_OTU22_especie" displayName="FI_OTU22_especie" ref="A1:V11" tableType="queryTable" totalsRowShown="0" headerRowDxfId="95" dataDxfId="94">
  <autoFilter ref="A1:V11" xr:uid="{0B4AF1E0-F37C-4C1E-87F2-90A1AB9B0C03}"/>
  <tableColumns count="22">
    <tableColumn id="1" xr3:uid="{C9969241-2048-41CA-93F0-EB25BAC924DA}" uniqueName="1" name="PROT" queryTableFieldId="1" dataDxfId="93"/>
    <tableColumn id="2" xr3:uid="{D3D3F2DD-166F-40BA-A7E0-2CE512365D9A}" uniqueName="2" name="TFAT" queryTableFieldId="2" dataDxfId="92"/>
    <tableColumn id="3" xr3:uid="{CDBFF7E9-06F5-4B0E-A983-4FADC075C895}" uniqueName="3" name="CARB" queryTableFieldId="3" dataDxfId="91"/>
    <tableColumn id="4" xr3:uid="{E664A8C8-8BB7-428A-BA50-F7139C79D408}" uniqueName="4" name="MOIS" queryTableFieldId="4" dataDxfId="90"/>
    <tableColumn id="5" xr3:uid="{2EBFB388-EFCE-46DE-A627-8588F17C4477}" uniqueName="5" name="ALC" queryTableFieldId="5" dataDxfId="89"/>
    <tableColumn id="6" xr3:uid="{6185A6BB-3EA6-4CC9-B6D2-177D9222330E}" uniqueName="6" name="CAFF" queryTableFieldId="6" dataDxfId="88"/>
    <tableColumn id="7" xr3:uid="{83454D04-E409-430A-BB0C-E8116C17B1D1}" uniqueName="7" name="THEO" queryTableFieldId="7" dataDxfId="87"/>
    <tableColumn id="8" xr3:uid="{F854FFCE-9722-4580-8DC0-8D4EF003AFB5}" uniqueName="8" name="CALC" queryTableFieldId="8" dataDxfId="86"/>
    <tableColumn id="9" xr3:uid="{A421C913-1574-4395-9289-51005CF68FDD}" uniqueName="9" name="MAGN" queryTableFieldId="9" dataDxfId="85"/>
    <tableColumn id="10" xr3:uid="{B6BDFB05-FDF7-462B-A2E2-F90DFA2B129B}" uniqueName="10" name="POTA" queryTableFieldId="10" dataDxfId="84"/>
    <tableColumn id="11" xr3:uid="{9230E84A-4AF2-41A6-BEB9-541F55DBCCA0}" uniqueName="11" name="ZINC" queryTableFieldId="11" dataDxfId="83"/>
    <tableColumn id="12" xr3:uid="{E451AA8E-C567-4932-BF49-1B7F0B8131AB}" uniqueName="12" name="VC" queryTableFieldId="12" dataDxfId="82"/>
    <tableColumn id="13" xr3:uid="{1A0DB148-EAD1-4CF0-A784-685DC31334D4}" uniqueName="13" name="VB1" queryTableFieldId="13" dataDxfId="81"/>
    <tableColumn id="14" xr3:uid="{B5B64ABC-9A3E-4DC4-8A11-2DC2E81864FD}" uniqueName="14" name="VB6" queryTableFieldId="14" dataDxfId="80"/>
    <tableColumn id="15" xr3:uid="{2A7C7757-9489-479D-A884-0068ADEB4FE0}" uniqueName="15" name="VARA" queryTableFieldId="15" dataDxfId="79"/>
    <tableColumn id="16" xr3:uid="{ADDB9877-980F-44BF-884A-219CC75B2159}" uniqueName="16" name="ACAR" queryTableFieldId="16" dataDxfId="78"/>
    <tableColumn id="17" xr3:uid="{500CB6EE-DEBF-4958-98FC-65B13098D585}" uniqueName="17" name="CRYP" queryTableFieldId="17" dataDxfId="77"/>
    <tableColumn id="18" xr3:uid="{AAD14CF5-31E5-44DD-A788-12EA2BBCD6E9}" uniqueName="18" name="LYCO" queryTableFieldId="18" dataDxfId="76"/>
    <tableColumn id="19" xr3:uid="{F95D51CE-2D79-476A-B18A-8835B687A0B6}" uniqueName="19" name="ATOC" queryTableFieldId="19" dataDxfId="75"/>
    <tableColumn id="20" xr3:uid="{279D73C3-8A6B-4238-AFE8-1CABAEFABCD3}" uniqueName="20" name="VK" queryTableFieldId="20" dataDxfId="74"/>
    <tableColumn id="21" xr3:uid="{CA3F1522-6B4C-4D53-A530-8669D3341515}" uniqueName="21" name="CHOLE" queryTableFieldId="21" dataDxfId="73"/>
    <tableColumn id="22" xr3:uid="{7DCB200F-B10F-4CED-AE58-F0581149930B}" uniqueName="22" name="VITD" queryTableFieldId="22" dataDxfId="7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2833B6-1381-472B-A39F-79657B69E65B}" name="FI_OTU22_familia" displayName="FI_OTU22_familia" ref="A1:V11" tableType="queryTable" totalsRowShown="0" headerRowDxfId="49" dataDxfId="48">
  <autoFilter ref="A1:V11" xr:uid="{11193146-69C3-4B8C-89CB-94DEF3A28E6C}"/>
  <tableColumns count="22">
    <tableColumn id="1" xr3:uid="{92ADD9C2-792A-40B2-A53B-1F0E88592685}" uniqueName="1" name="PROT" queryTableFieldId="1" dataDxfId="71"/>
    <tableColumn id="2" xr3:uid="{28EEC1D1-4433-473B-856F-427641B28E0E}" uniqueName="2" name="TFAT" queryTableFieldId="2" dataDxfId="70"/>
    <tableColumn id="3" xr3:uid="{BB3290CD-274F-4485-A4F1-CF7E3FC63E16}" uniqueName="3" name="CARB" queryTableFieldId="3" dataDxfId="69"/>
    <tableColumn id="4" xr3:uid="{0F5E7089-DEB0-40B7-9F42-973DD71E97C0}" uniqueName="4" name="MOIS" queryTableFieldId="4" dataDxfId="68"/>
    <tableColumn id="5" xr3:uid="{BD42887E-604D-4CF0-8DE7-0434E906C676}" uniqueName="5" name="ALC" queryTableFieldId="5" dataDxfId="67"/>
    <tableColumn id="6" xr3:uid="{49BDAECA-2EBC-4354-AFE6-161BF5BF576D}" uniqueName="6" name="CAFF" queryTableFieldId="6" dataDxfId="66"/>
    <tableColumn id="7" xr3:uid="{58164252-B014-4487-9D46-C1E69EAEFD4C}" uniqueName="7" name="THEO" queryTableFieldId="7" dataDxfId="65"/>
    <tableColumn id="8" xr3:uid="{F750A09B-6608-4D39-B855-EC35189BFAB3}" uniqueName="8" name="CALC" queryTableFieldId="8" dataDxfId="64"/>
    <tableColumn id="9" xr3:uid="{1E8E5EFD-569F-40E9-A6F3-EA6A6EF3C215}" uniqueName="9" name="MAGN" queryTableFieldId="9" dataDxfId="63"/>
    <tableColumn id="10" xr3:uid="{F03B469F-1EF6-44DD-A635-652226E33791}" uniqueName="10" name="POTA" queryTableFieldId="10" dataDxfId="62"/>
    <tableColumn id="11" xr3:uid="{1082208B-5346-4F25-A902-19AFD17D5FB1}" uniqueName="11" name="ZINC" queryTableFieldId="11" dataDxfId="61"/>
    <tableColumn id="12" xr3:uid="{776DC01F-3C53-4454-B8B1-ACFB8F83E644}" uniqueName="12" name="VC" queryTableFieldId="12" dataDxfId="60"/>
    <tableColumn id="13" xr3:uid="{8BDD8729-9F51-4A33-AB0C-8CC99CCF2C77}" uniqueName="13" name="VB1" queryTableFieldId="13" dataDxfId="59"/>
    <tableColumn id="14" xr3:uid="{789B801A-66DD-4F83-905C-1AE066E5DD26}" uniqueName="14" name="VB6" queryTableFieldId="14" dataDxfId="58"/>
    <tableColumn id="15" xr3:uid="{87077C22-1BC1-4CA8-A862-2132ECBBCC08}" uniqueName="15" name="VARA" queryTableFieldId="15" dataDxfId="57"/>
    <tableColumn id="16" xr3:uid="{590F3AB1-E334-43E0-8F46-E97789FE7FEC}" uniqueName="16" name="ACAR" queryTableFieldId="16" dataDxfId="56"/>
    <tableColumn id="17" xr3:uid="{5EC7B1AA-2404-463F-8B48-F2D9002FB6B6}" uniqueName="17" name="CRYP" queryTableFieldId="17" dataDxfId="55"/>
    <tableColumn id="18" xr3:uid="{E3FAA68A-934A-4D7F-B962-EB3625EA3694}" uniqueName="18" name="LYCO" queryTableFieldId="18" dataDxfId="54"/>
    <tableColumn id="19" xr3:uid="{7103A9AE-DB93-443F-81B2-C349DE5AD900}" uniqueName="19" name="ATOC" queryTableFieldId="19" dataDxfId="53"/>
    <tableColumn id="20" xr3:uid="{E314373C-E0E9-4BE0-A002-B6356070A96C}" uniqueName="20" name="VK" queryTableFieldId="20" dataDxfId="52"/>
    <tableColumn id="21" xr3:uid="{A2F2E3C8-70DC-4C1D-BE34-11F11FC93E28}" uniqueName="21" name="CHOLE" queryTableFieldId="21" dataDxfId="51"/>
    <tableColumn id="22" xr3:uid="{4D508EB4-B554-4748-82DA-A471DBA1087B}" uniqueName="22" name="VITD" queryTableFieldId="22" dataDxfId="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E53F37-4DDE-4DF5-919C-12CAE29FF9D8}" name="FI_OTU22_filo" displayName="FI_OTU22_filo" ref="A1:V11" tableType="queryTable" totalsRowShown="0" headerRowDxfId="25" dataDxfId="24">
  <autoFilter ref="A1:V11" xr:uid="{05031C34-05D3-4309-B71E-68568724F8C4}"/>
  <tableColumns count="22">
    <tableColumn id="1" xr3:uid="{07AA29C1-F425-4104-901E-AC0A2A46298F}" uniqueName="1" name="PROT" queryTableFieldId="1" dataDxfId="47"/>
    <tableColumn id="2" xr3:uid="{2FC787D1-5805-4273-8BD4-5515926FCF22}" uniqueName="2" name="TFAT" queryTableFieldId="2" dataDxfId="46"/>
    <tableColumn id="3" xr3:uid="{D73C72BB-E754-431B-824B-83ACA8F958B6}" uniqueName="3" name="CARB" queryTableFieldId="3" dataDxfId="45"/>
    <tableColumn id="4" xr3:uid="{6F857119-F97A-4169-B9F4-3079EDF72F1F}" uniqueName="4" name="MOIS" queryTableFieldId="4" dataDxfId="44"/>
    <tableColumn id="5" xr3:uid="{7AE4C570-A623-406E-B604-5323BF8AED95}" uniqueName="5" name="ALC" queryTableFieldId="5" dataDxfId="43"/>
    <tableColumn id="6" xr3:uid="{DA567562-8612-45BF-AC1C-41E36408F644}" uniqueName="6" name="CAFF" queryTableFieldId="6" dataDxfId="42"/>
    <tableColumn id="7" xr3:uid="{937949F9-5F26-4D43-8FA8-8530448942EA}" uniqueName="7" name="THEO" queryTableFieldId="7" dataDxfId="41"/>
    <tableColumn id="8" xr3:uid="{FABB513D-5017-4ADC-8983-742559E09A78}" uniqueName="8" name="CALC" queryTableFieldId="8" dataDxfId="40"/>
    <tableColumn id="9" xr3:uid="{7303C2DD-AB17-4E90-A7AB-89A939BCB7D8}" uniqueName="9" name="MAGN" queryTableFieldId="9" dataDxfId="39"/>
    <tableColumn id="10" xr3:uid="{14219C4C-FB49-4838-A43F-A5F3E7F5B67D}" uniqueName="10" name="POTA" queryTableFieldId="10" dataDxfId="38"/>
    <tableColumn id="11" xr3:uid="{D9FEDFE6-0FC4-4957-AA51-23DD73ECDE51}" uniqueName="11" name="ZINC" queryTableFieldId="11" dataDxfId="37"/>
    <tableColumn id="12" xr3:uid="{9A1B368A-7253-4373-AE96-8E3736946075}" uniqueName="12" name="VC" queryTableFieldId="12" dataDxfId="36"/>
    <tableColumn id="13" xr3:uid="{9297ECB4-3385-4F5F-B797-A7F80FA7A595}" uniqueName="13" name="VB1" queryTableFieldId="13" dataDxfId="35"/>
    <tableColumn id="14" xr3:uid="{A5E1E1D4-0A1D-44AB-BFF0-807614525049}" uniqueName="14" name="VB6" queryTableFieldId="14" dataDxfId="34"/>
    <tableColumn id="15" xr3:uid="{2EBD4800-915E-4808-AFC2-E825775561BF}" uniqueName="15" name="VARA" queryTableFieldId="15" dataDxfId="33"/>
    <tableColumn id="16" xr3:uid="{EE59BFE6-54B2-425C-8043-E6FF100D9A94}" uniqueName="16" name="ACAR" queryTableFieldId="16" dataDxfId="32"/>
    <tableColumn id="17" xr3:uid="{FB2D2D93-A167-4659-ADE7-4B6362C80582}" uniqueName="17" name="CRYP" queryTableFieldId="17" dataDxfId="31"/>
    <tableColumn id="18" xr3:uid="{388FBC3F-1DE0-4F29-9E1C-3E861E6D5E2A}" uniqueName="18" name="LYCO" queryTableFieldId="18" dataDxfId="30"/>
    <tableColumn id="19" xr3:uid="{1516A086-148A-474C-A050-F04FDD7D843B}" uniqueName="19" name="ATOC" queryTableFieldId="19" dataDxfId="29"/>
    <tableColumn id="20" xr3:uid="{88538B33-70C3-43B9-B886-15E664B7D039}" uniqueName="20" name="VK" queryTableFieldId="20" dataDxfId="28"/>
    <tableColumn id="21" xr3:uid="{72DAAD8A-EBF8-4BFD-AAF1-9414053D6496}" uniqueName="21" name="CHOLE" queryTableFieldId="21" dataDxfId="27"/>
    <tableColumn id="22" xr3:uid="{724FA8F2-6423-45C2-B5DF-6C2C557A005B}" uniqueName="22" name="VITD" queryTableFieldId="22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7B713F-90C1-4D9B-B25D-D5676B5006D5}" name="FI_OTU22_genus" displayName="FI_OTU22_genus" ref="A1:V11" tableType="queryTable" totalsRowShown="0" headerRowDxfId="1" dataDxfId="0">
  <autoFilter ref="A1:V11" xr:uid="{32AED0EC-77CE-4BCB-8435-4C08D56FC5C1}"/>
  <tableColumns count="22">
    <tableColumn id="1" xr3:uid="{3D2D2805-0561-4256-8263-7C94AAF9E92B}" uniqueName="1" name="PROT" queryTableFieldId="1" dataDxfId="23"/>
    <tableColumn id="2" xr3:uid="{D4A1D0AB-9E88-4369-A902-5F7C30702F29}" uniqueName="2" name="TFAT" queryTableFieldId="2" dataDxfId="22"/>
    <tableColumn id="3" xr3:uid="{D806938A-3D4A-4469-BFAB-2B86774CC487}" uniqueName="3" name="CARB" queryTableFieldId="3" dataDxfId="21"/>
    <tableColumn id="4" xr3:uid="{B14A284F-B54F-4B5C-A432-776745855B92}" uniqueName="4" name="MOIS" queryTableFieldId="4" dataDxfId="20"/>
    <tableColumn id="5" xr3:uid="{28CD49BF-CEED-4F4A-8534-4F0B66AB9A4E}" uniqueName="5" name="ALC" queryTableFieldId="5" dataDxfId="19"/>
    <tableColumn id="6" xr3:uid="{B1D90E33-5400-4572-B69D-47147AB40AE1}" uniqueName="6" name="CAFF" queryTableFieldId="6" dataDxfId="18"/>
    <tableColumn id="7" xr3:uid="{FD8EAE69-E347-46DE-9F09-84224FFC5C71}" uniqueName="7" name="THEO" queryTableFieldId="7" dataDxfId="17"/>
    <tableColumn id="8" xr3:uid="{18F68049-9FDC-4E1A-903D-B25D76A3FD91}" uniqueName="8" name="CALC" queryTableFieldId="8" dataDxfId="16"/>
    <tableColumn id="9" xr3:uid="{2852FA97-D239-460E-803E-E62D6DE2DE9B}" uniqueName="9" name="MAGN" queryTableFieldId="9" dataDxfId="15"/>
    <tableColumn id="10" xr3:uid="{C042F7FA-11FC-4766-A454-B11FF43D6539}" uniqueName="10" name="POTA" queryTableFieldId="10" dataDxfId="14"/>
    <tableColumn id="11" xr3:uid="{6EC0ECBD-BB44-4E1B-996A-D3592EAA1D17}" uniqueName="11" name="ZINC" queryTableFieldId="11" dataDxfId="13"/>
    <tableColumn id="12" xr3:uid="{78366337-57CD-424B-9B60-8CD960340068}" uniqueName="12" name="VC" queryTableFieldId="12" dataDxfId="12"/>
    <tableColumn id="13" xr3:uid="{B32F2F6B-5EA5-4D4F-B406-F5A21E47F0C5}" uniqueName="13" name="VB1" queryTableFieldId="13" dataDxfId="11"/>
    <tableColumn id="14" xr3:uid="{43E6FF52-01E2-4EB8-9F3D-DDA3CAAACC67}" uniqueName="14" name="VB6" queryTableFieldId="14" dataDxfId="10"/>
    <tableColumn id="15" xr3:uid="{4C0D975E-AEED-46F5-B8EA-234487E32414}" uniqueName="15" name="VARA" queryTableFieldId="15" dataDxfId="9"/>
    <tableColumn id="16" xr3:uid="{03495D9E-CD82-458C-B2A4-ED01BCD67BE6}" uniqueName="16" name="ACAR" queryTableFieldId="16" dataDxfId="8"/>
    <tableColumn id="17" xr3:uid="{263B6154-FB88-4370-B014-A73B608B0DEB}" uniqueName="17" name="CRYP" queryTableFieldId="17" dataDxfId="7"/>
    <tableColumn id="18" xr3:uid="{FF48F8F3-BD9D-4FB0-8157-79A571C76604}" uniqueName="18" name="LYCO" queryTableFieldId="18" dataDxfId="6"/>
    <tableColumn id="19" xr3:uid="{83A07342-CA63-4F0B-863B-82976336DDFD}" uniqueName="19" name="ATOC" queryTableFieldId="19" dataDxfId="5"/>
    <tableColumn id="20" xr3:uid="{183EC2DE-30B8-414F-9104-DBA246BAA453}" uniqueName="20" name="VK" queryTableFieldId="20" dataDxfId="4"/>
    <tableColumn id="21" xr3:uid="{041FF36B-24BD-430B-94C7-9EB3EAC19764}" uniqueName="21" name="CHOLE" queryTableFieldId="21" dataDxfId="3"/>
    <tableColumn id="22" xr3:uid="{619CA1AD-D1EB-4C88-8D64-98B866D91981}" uniqueName="22" name="VITD" queryTableFieldId="2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360EE5-8305-4703-92C9-641F69A3F3FB}" name="FI_OTU22_orden" displayName="FI_OTU22_orden" ref="A1:V11" tableType="queryTable" totalsRowShown="0">
  <autoFilter ref="A1:V11" xr:uid="{B1153742-1370-4B4A-B203-2C51F7F0DF33}"/>
  <tableColumns count="22">
    <tableColumn id="1" xr3:uid="{79BAB45E-9820-4378-A46F-032E1F857623}" uniqueName="1" name="PROT" queryTableFieldId="1" dataDxfId="141"/>
    <tableColumn id="2" xr3:uid="{50D24D2A-A636-4AD1-ADCB-8897FD0D1592}" uniqueName="2" name="TFAT" queryTableFieldId="2" dataDxfId="140"/>
    <tableColumn id="3" xr3:uid="{382D887E-0C0E-41B6-AB1D-1D813DE21C73}" uniqueName="3" name="CARB" queryTableFieldId="3" dataDxfId="139"/>
    <tableColumn id="4" xr3:uid="{6FDAB60C-25BE-4EF5-9753-867962021BC6}" uniqueName="4" name="MOIS" queryTableFieldId="4" dataDxfId="138"/>
    <tableColumn id="5" xr3:uid="{345B9A15-3B1C-4B89-B731-C5282A211790}" uniqueName="5" name="ALC" queryTableFieldId="5" dataDxfId="137"/>
    <tableColumn id="6" xr3:uid="{BCE73C6F-E8CF-47F8-99AE-72B8CE29FC15}" uniqueName="6" name="CAFF" queryTableFieldId="6" dataDxfId="136"/>
    <tableColumn id="7" xr3:uid="{159A6ECA-4D10-4925-9702-F3ACFEC4D34D}" uniqueName="7" name="THEO" queryTableFieldId="7" dataDxfId="135"/>
    <tableColumn id="8" xr3:uid="{17AA67C9-F61B-4815-A1B3-3BCFD24748D1}" uniqueName="8" name="CALC" queryTableFieldId="8" dataDxfId="134"/>
    <tableColumn id="9" xr3:uid="{CF6E3CA5-B028-4496-8E2F-D7FC102A2083}" uniqueName="9" name="MAGN" queryTableFieldId="9" dataDxfId="133"/>
    <tableColumn id="10" xr3:uid="{EC218A46-3E28-4926-88A9-B217CCCC0BFD}" uniqueName="10" name="POTA" queryTableFieldId="10" dataDxfId="132"/>
    <tableColumn id="11" xr3:uid="{8804B62F-2F4D-4D88-AFE8-04DB467F4EFA}" uniqueName="11" name="ZINC" queryTableFieldId="11" dataDxfId="131"/>
    <tableColumn id="12" xr3:uid="{197510C0-BC99-4AD8-820A-089EA91827E4}" uniqueName="12" name="VC" queryTableFieldId="12" dataDxfId="130"/>
    <tableColumn id="13" xr3:uid="{3D650518-A4F4-4BD0-80E6-3E145D4BF21B}" uniqueName="13" name="VB1" queryTableFieldId="13" dataDxfId="129"/>
    <tableColumn id="14" xr3:uid="{E45C7013-933B-4669-BBF2-09AFA202F083}" uniqueName="14" name="VB6" queryTableFieldId="14" dataDxfId="128"/>
    <tableColumn id="15" xr3:uid="{ABB90132-A0E5-4B5A-8978-E47BD51D8445}" uniqueName="15" name="VARA" queryTableFieldId="15" dataDxfId="127"/>
    <tableColumn id="16" xr3:uid="{98CD5931-4574-4FA0-89E2-AC0C3C215D32}" uniqueName="16" name="ACAR" queryTableFieldId="16" dataDxfId="126"/>
    <tableColumn id="17" xr3:uid="{EFF6A639-36D0-4E73-9715-04502E9D3B70}" uniqueName="17" name="CRYP" queryTableFieldId="17" dataDxfId="125"/>
    <tableColumn id="18" xr3:uid="{2439E9F8-8B3F-43D7-BE8C-6076BC864D4E}" uniqueName="18" name="LYCO" queryTableFieldId="18" dataDxfId="124"/>
    <tableColumn id="19" xr3:uid="{CC7A96D4-D875-48C8-975F-B3C2B21982FC}" uniqueName="19" name="ATOC" queryTableFieldId="19" dataDxfId="123"/>
    <tableColumn id="20" xr3:uid="{37B5A611-EA9E-423D-95EE-EC9EB30CBEE9}" uniqueName="20" name="VK" queryTableFieldId="20" dataDxfId="122"/>
    <tableColumn id="21" xr3:uid="{767F7642-F693-4A5D-A62E-9DD5F1B0BB3C}" uniqueName="21" name="CHOLE" queryTableFieldId="21" dataDxfId="121"/>
    <tableColumn id="22" xr3:uid="{5B646055-7030-481A-8E12-FC7345827B38}" uniqueName="22" name="VITD" queryTableFieldId="22" dataDxfId="1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29AA-132E-492B-9851-F50E8A3A5B46}">
  <dimension ref="A1:V16"/>
  <sheetViews>
    <sheetView workbookViewId="0">
      <selection activeCell="A16" sqref="A16:V16"/>
    </sheetView>
  </sheetViews>
  <sheetFormatPr baseColWidth="10" defaultRowHeight="14.5" x14ac:dyDescent="0.35"/>
  <cols>
    <col min="1" max="1" width="22.1796875" style="3" bestFit="1" customWidth="1"/>
    <col min="2" max="18" width="22.81640625" style="3" bestFit="1" customWidth="1"/>
    <col min="19" max="19" width="21.1796875" style="3" bestFit="1" customWidth="1"/>
    <col min="20" max="22" width="22.54296875" style="3" bestFit="1" customWidth="1"/>
  </cols>
  <sheetData>
    <row r="1" spans="1:2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5">
      <c r="A2" s="3">
        <v>1.2889504432678199E-6</v>
      </c>
      <c r="B2" s="3">
        <v>3.7997961044311502E-7</v>
      </c>
      <c r="C2" s="3">
        <v>-3.7997961044311502E-7</v>
      </c>
      <c r="D2" s="3">
        <v>-1.2665987014770499E-6</v>
      </c>
      <c r="E2" s="3">
        <v>-3.1322240829467699E-5</v>
      </c>
      <c r="F2" s="3">
        <v>-3.4570693969726502E-5</v>
      </c>
      <c r="G2" s="3">
        <v>-3.8437545299530002E-5</v>
      </c>
      <c r="H2" s="3">
        <v>-6.4387917518615696E-5</v>
      </c>
      <c r="I2" s="3">
        <v>-3.5636126995086602E-5</v>
      </c>
      <c r="J2" s="3">
        <v>-3.3646821975708001E-5</v>
      </c>
      <c r="K2" s="3">
        <v>-4.5455992221832201E-5</v>
      </c>
      <c r="L2" s="3">
        <v>-3.8750469684600803E-5</v>
      </c>
      <c r="M2" s="3">
        <v>-4.34815883636474E-5</v>
      </c>
      <c r="N2" s="3">
        <v>-4.3489038944244297E-5</v>
      </c>
      <c r="O2" s="3">
        <v>-4.42191958427429E-5</v>
      </c>
      <c r="P2" s="3">
        <v>-2.6680529117584201E-5</v>
      </c>
      <c r="Q2" s="3">
        <v>-3.04803252220153E-5</v>
      </c>
      <c r="R2" s="3">
        <v>5.9574842453002903E-5</v>
      </c>
      <c r="S2" s="3">
        <v>9.2685222625732395E-5</v>
      </c>
      <c r="T2" s="3">
        <v>1.11036002635955E-4</v>
      </c>
      <c r="U2" s="3">
        <v>1.00716948509216E-4</v>
      </c>
      <c r="V2" s="3">
        <v>1.15305185317993E-4</v>
      </c>
    </row>
    <row r="3" spans="1:22" x14ac:dyDescent="0.35">
      <c r="A3" s="3">
        <v>1.19209289550781E-6</v>
      </c>
      <c r="B3" s="3">
        <v>8.4191560745239205E-7</v>
      </c>
      <c r="C3" s="3">
        <v>-1.6614794731140101E-6</v>
      </c>
      <c r="D3" s="3">
        <v>-3.2015144824981601E-5</v>
      </c>
      <c r="E3" s="3">
        <v>-3.2059848308563199E-5</v>
      </c>
      <c r="F3" s="3">
        <v>-3.60831618309021E-5</v>
      </c>
      <c r="G3" s="3">
        <v>-3.9450824260711602E-5</v>
      </c>
      <c r="H3" s="3">
        <v>-6.3858926296234104E-5</v>
      </c>
      <c r="I3" s="3">
        <v>-3.7617981433868401E-5</v>
      </c>
      <c r="J3" s="3">
        <v>-2.0205974578857402E-5</v>
      </c>
      <c r="K3" s="3">
        <v>-4.8726797103881802E-5</v>
      </c>
      <c r="L3" s="3">
        <v>-4.7184526920318597E-5</v>
      </c>
      <c r="M3" s="3">
        <v>-4.34815883636474E-5</v>
      </c>
      <c r="N3" s="3">
        <v>-4.33921813964843E-5</v>
      </c>
      <c r="O3" s="3">
        <v>-3.88100743293762E-5</v>
      </c>
      <c r="P3" s="3">
        <v>-3.7625432014465298E-6</v>
      </c>
      <c r="Q3" s="3">
        <v>-3.4026801586151103E-5</v>
      </c>
      <c r="R3" s="3">
        <v>3.2164156436920098E-5</v>
      </c>
      <c r="S3" s="3">
        <v>9.3229115009307794E-5</v>
      </c>
      <c r="T3" s="3">
        <v>1.18128955364227E-4</v>
      </c>
      <c r="U3" s="3">
        <v>9.8332762718200602E-5</v>
      </c>
      <c r="V3" s="3">
        <v>1.15282833576202E-4</v>
      </c>
    </row>
    <row r="4" spans="1:22" x14ac:dyDescent="0.35">
      <c r="A4" s="3">
        <v>1.4230608940124499E-6</v>
      </c>
      <c r="B4" s="3">
        <v>-3.7997961044311502E-7</v>
      </c>
      <c r="C4" s="3">
        <v>3.1590461730957002E-6</v>
      </c>
      <c r="D4" s="3">
        <v>-4.6603381633758497E-5</v>
      </c>
      <c r="E4" s="3">
        <v>-3.1501054763793898E-5</v>
      </c>
      <c r="F4" s="3">
        <v>-2.7701258659362701E-5</v>
      </c>
      <c r="G4" s="3">
        <v>-3.6165118217468201E-5</v>
      </c>
      <c r="H4" s="3">
        <v>-4.4405460357666002E-5</v>
      </c>
      <c r="I4" s="3">
        <v>-3.19480895996093E-5</v>
      </c>
      <c r="J4" s="3">
        <v>-3.3617019653320299E-5</v>
      </c>
      <c r="K4" s="3">
        <v>-4.6350061893463101E-5</v>
      </c>
      <c r="L4" s="3">
        <v>-4.4800341129302897E-5</v>
      </c>
      <c r="M4" s="3">
        <v>-4.3489038944244297E-5</v>
      </c>
      <c r="N4" s="3">
        <v>-4.3399631977081299E-5</v>
      </c>
      <c r="O4" s="3">
        <v>-3.5069882869720398E-5</v>
      </c>
      <c r="P4" s="3">
        <v>-4.4077634811401299E-5</v>
      </c>
      <c r="Q4" s="3">
        <v>-4.0568411350250197E-5</v>
      </c>
      <c r="R4" s="3">
        <v>-4.7668814659118598E-5</v>
      </c>
      <c r="S4" s="3">
        <v>9.2774629592895494E-5</v>
      </c>
      <c r="T4" s="3">
        <v>1.12600624561309E-4</v>
      </c>
      <c r="U4" s="3">
        <v>1.00910663604736E-4</v>
      </c>
      <c r="V4" s="3">
        <v>1.15320086479187E-4</v>
      </c>
    </row>
    <row r="5" spans="1:22" x14ac:dyDescent="0.35">
      <c r="A5" s="3">
        <v>-7.4505805969238199E-9</v>
      </c>
      <c r="B5" s="3">
        <v>8.4191560745239205E-7</v>
      </c>
      <c r="C5" s="3">
        <v>4.2617321014404297E-6</v>
      </c>
      <c r="D5" s="3">
        <v>-3.2916665077209398E-5</v>
      </c>
      <c r="E5" s="3">
        <v>-3.19331884384155E-5</v>
      </c>
      <c r="F5" s="3">
        <v>-2.27615237236022E-5</v>
      </c>
      <c r="G5" s="3">
        <v>-4.1909515857696499E-5</v>
      </c>
      <c r="H5" s="3">
        <v>-6.4782798290252604E-5</v>
      </c>
      <c r="I5" s="3">
        <v>-3.0100345611572201E-5</v>
      </c>
      <c r="J5" s="3">
        <v>-1.9669532775878899E-5</v>
      </c>
      <c r="K5" s="3">
        <v>-4.5314431190490702E-5</v>
      </c>
      <c r="L5" s="3">
        <v>-4.4412910938262899E-5</v>
      </c>
      <c r="M5" s="3">
        <v>-4.3548643589019701E-5</v>
      </c>
      <c r="N5" s="3">
        <v>-4.3459236621856601E-5</v>
      </c>
      <c r="O5" s="3">
        <v>-3.52412462234497E-5</v>
      </c>
      <c r="P5" s="3">
        <v>-3.01301479339599E-5</v>
      </c>
      <c r="Q5" s="3">
        <v>-3.8318336009979201E-5</v>
      </c>
      <c r="R5" s="3">
        <v>9.3497335910797106E-5</v>
      </c>
      <c r="S5" s="3">
        <v>9.3705952167510905E-5</v>
      </c>
      <c r="T5" s="3">
        <v>1.04784965515136E-4</v>
      </c>
      <c r="U5" s="3">
        <v>1.0702759027481E-4</v>
      </c>
      <c r="V5" s="3">
        <v>1.14917755126953E-4</v>
      </c>
    </row>
    <row r="6" spans="1:22" x14ac:dyDescent="0.35">
      <c r="A6" s="3">
        <v>0</v>
      </c>
      <c r="B6" s="3">
        <v>1.6167759895324701E-6</v>
      </c>
      <c r="C6" s="3">
        <v>-4.3660402297973599E-6</v>
      </c>
      <c r="D6" s="3">
        <v>-6.6682696342468194E-5</v>
      </c>
      <c r="E6" s="3">
        <v>-3.2015144824981601E-5</v>
      </c>
      <c r="F6" s="3">
        <v>-2.9295682907104401E-5</v>
      </c>
      <c r="G6" s="3">
        <v>-3.8400292396545403E-5</v>
      </c>
      <c r="H6" s="3">
        <v>-5.2779912948608398E-5</v>
      </c>
      <c r="I6" s="3">
        <v>-2.9034912586212101E-5</v>
      </c>
      <c r="J6" s="3">
        <v>-3.2104551792144701E-5</v>
      </c>
      <c r="K6" s="3">
        <v>-4.5366585254669101E-5</v>
      </c>
      <c r="L6" s="3">
        <v>-4.8108398914337097E-5</v>
      </c>
      <c r="M6" s="3">
        <v>-4.34815883636474E-5</v>
      </c>
      <c r="N6" s="3">
        <v>-4.3503940105438199E-5</v>
      </c>
      <c r="O6" s="3">
        <v>-2.7395784854888899E-5</v>
      </c>
      <c r="P6" s="3">
        <v>-1.7233192920684801E-5</v>
      </c>
      <c r="Q6" s="3">
        <v>-4.3518841266631999E-5</v>
      </c>
      <c r="R6" s="3">
        <v>-1.88350677490234E-5</v>
      </c>
      <c r="S6" s="3">
        <v>9.3527138233184801E-5</v>
      </c>
      <c r="T6" s="3">
        <v>1.16921961307525E-4</v>
      </c>
      <c r="U6" s="3">
        <v>1.0549277067184399E-4</v>
      </c>
      <c r="V6" s="3">
        <v>1.14798545837402E-4</v>
      </c>
    </row>
    <row r="7" spans="1:22" x14ac:dyDescent="0.35">
      <c r="A7" s="3">
        <v>5.2824616432189899E-6</v>
      </c>
      <c r="B7" s="3">
        <v>6.4074993133544901E-7</v>
      </c>
      <c r="C7" s="3">
        <v>-3.2931566238403299E-6</v>
      </c>
      <c r="D7" s="3">
        <v>-5.5164098739624003E-5</v>
      </c>
      <c r="E7" s="3">
        <v>-3.3311545848846402E-5</v>
      </c>
      <c r="F7" s="3">
        <v>-3.22982668876647E-5</v>
      </c>
      <c r="G7" s="3">
        <v>-3.9696693420410102E-5</v>
      </c>
      <c r="H7" s="3">
        <v>-6.5609812736511203E-5</v>
      </c>
      <c r="I7" s="3">
        <v>-4.3034553527831997E-5</v>
      </c>
      <c r="J7" s="3">
        <v>-3.6053359508514398E-5</v>
      </c>
      <c r="K7" s="3">
        <v>-4.5366585254669101E-5</v>
      </c>
      <c r="L7" s="3">
        <v>-4.7378242015838603E-5</v>
      </c>
      <c r="M7" s="3">
        <v>-4.3436884880065898E-5</v>
      </c>
      <c r="N7" s="3">
        <v>-4.3675303459167399E-5</v>
      </c>
      <c r="O7" s="3">
        <v>-3.9950013160705499E-5</v>
      </c>
      <c r="P7" s="3">
        <v>-3.5293400287628099E-5</v>
      </c>
      <c r="Q7" s="3">
        <v>-3.9733946323394701E-5</v>
      </c>
      <c r="R7" s="3">
        <v>1.0719150304794299E-4</v>
      </c>
      <c r="S7" s="3">
        <v>9.3474984169006293E-5</v>
      </c>
      <c r="T7" s="3">
        <v>1.13904476165771E-4</v>
      </c>
      <c r="U7" s="3">
        <v>1.1032819747924801E-4</v>
      </c>
      <c r="V7" s="3">
        <v>1.15349888801574E-4</v>
      </c>
    </row>
    <row r="8" spans="1:22" x14ac:dyDescent="0.35">
      <c r="A8" s="3">
        <v>3.9190053939819302E-6</v>
      </c>
      <c r="B8" s="3">
        <v>6.0349702835082997E-7</v>
      </c>
      <c r="C8" s="3">
        <v>7.1749091148376397E-6</v>
      </c>
      <c r="D8" s="3">
        <v>-3.00183892250061E-5</v>
      </c>
      <c r="E8" s="3">
        <v>-3.3132731914520203E-5</v>
      </c>
      <c r="F8" s="3">
        <v>-4.2445957660675001E-5</v>
      </c>
      <c r="G8" s="3">
        <v>-3.4905970096588101E-5</v>
      </c>
      <c r="H8" s="3">
        <v>-5.3785741329193102E-5</v>
      </c>
      <c r="I8" s="3">
        <v>-3.9972364902496297E-5</v>
      </c>
      <c r="J8" s="3">
        <v>-7.4274837970733602E-5</v>
      </c>
      <c r="K8" s="3">
        <v>-4.6491622924804599E-5</v>
      </c>
      <c r="L8" s="3">
        <v>-4.5023858547210598E-5</v>
      </c>
      <c r="M8" s="3">
        <v>-4.3518841266631999E-5</v>
      </c>
      <c r="N8" s="3">
        <v>-4.3511390686035102E-5</v>
      </c>
      <c r="O8" s="3">
        <v>-4.8078596591949402E-5</v>
      </c>
      <c r="P8" s="3">
        <v>-3.2484531402587803E-5</v>
      </c>
      <c r="Q8" s="3">
        <v>-3.1679868698120097E-5</v>
      </c>
      <c r="R8" s="3">
        <v>3.5114586353302002E-5</v>
      </c>
      <c r="S8" s="3">
        <v>9.3340873718261705E-5</v>
      </c>
      <c r="T8" s="3">
        <v>1.2423843145370399E-4</v>
      </c>
      <c r="U8" s="3">
        <v>1.17003917694091E-4</v>
      </c>
      <c r="V8" s="3">
        <v>1.1520832777023301E-4</v>
      </c>
    </row>
    <row r="9" spans="1:22" x14ac:dyDescent="0.35">
      <c r="A9" s="3">
        <v>7.8156590461730906E-6</v>
      </c>
      <c r="B9" s="3">
        <v>-2.0042061805725E-6</v>
      </c>
      <c r="C9" s="3">
        <v>4.7385692596435496E-6</v>
      </c>
      <c r="D9" s="3">
        <v>-1.3887882232666E-5</v>
      </c>
      <c r="E9" s="3">
        <v>-2.9094517230987501E-5</v>
      </c>
      <c r="F9" s="3">
        <v>-4.0762126445770203E-5</v>
      </c>
      <c r="G9" s="3">
        <v>-3.79011034965515E-5</v>
      </c>
      <c r="H9" s="3">
        <v>-4.7385692596435499E-5</v>
      </c>
      <c r="I9" s="3">
        <v>-2.8200447559356601E-5</v>
      </c>
      <c r="J9" s="3">
        <v>-6.0088932514190599E-5</v>
      </c>
      <c r="K9" s="3">
        <v>-4.4107437133789002E-5</v>
      </c>
      <c r="L9" s="3">
        <v>-4.1432678699493401E-5</v>
      </c>
      <c r="M9" s="3">
        <v>-4.3459236621856601E-5</v>
      </c>
      <c r="N9" s="3">
        <v>-4.3570995330810499E-5</v>
      </c>
      <c r="O9" s="3">
        <v>-4.4077634811401299E-5</v>
      </c>
      <c r="P9" s="3">
        <v>-2.1658837795257501E-5</v>
      </c>
      <c r="Q9" s="3">
        <v>-4.2453408241271898E-5</v>
      </c>
      <c r="R9" s="3">
        <v>-1.17272138595581E-5</v>
      </c>
      <c r="S9" s="3">
        <v>9.38251614570617E-5</v>
      </c>
      <c r="T9" s="3">
        <v>9.2871487140655504E-5</v>
      </c>
      <c r="U9" s="3">
        <v>1.22033059597015E-4</v>
      </c>
      <c r="V9" s="3">
        <v>1.15111470222473E-4</v>
      </c>
    </row>
    <row r="10" spans="1:22" x14ac:dyDescent="0.35">
      <c r="A10" s="3">
        <v>3.3602118492126401E-6</v>
      </c>
      <c r="B10" s="3">
        <v>2.3543834686279199E-6</v>
      </c>
      <c r="C10" s="3">
        <v>8.6426734924316396E-7</v>
      </c>
      <c r="D10" s="3">
        <v>-3.2119452953338603E-5</v>
      </c>
      <c r="E10" s="3">
        <v>-3.1515955924987698E-5</v>
      </c>
      <c r="F10" s="3">
        <v>-3.6522746086120599E-5</v>
      </c>
      <c r="G10" s="3">
        <v>-3.6805868148803697E-5</v>
      </c>
      <c r="H10" s="3">
        <v>-2.49072909355163E-5</v>
      </c>
      <c r="I10" s="3">
        <v>-3.0249357223510702E-5</v>
      </c>
      <c r="J10" s="3">
        <v>-1.29714608192443E-5</v>
      </c>
      <c r="K10" s="3">
        <v>-4.5426189899444499E-5</v>
      </c>
      <c r="L10" s="3">
        <v>-4.3436884880065898E-5</v>
      </c>
      <c r="M10" s="3">
        <v>-4.3503940105438199E-5</v>
      </c>
      <c r="N10" s="3">
        <v>-4.34666872024536E-5</v>
      </c>
      <c r="O10" s="3">
        <v>-6.2175095081329305E-5</v>
      </c>
      <c r="P10" s="3">
        <v>-4.4345855712890598E-5</v>
      </c>
      <c r="Q10" s="3">
        <v>-2.7418136596679599E-5</v>
      </c>
      <c r="R10" s="3">
        <v>1.2544542551040601E-4</v>
      </c>
      <c r="S10" s="3">
        <v>9.2923641204833903E-5</v>
      </c>
      <c r="T10" s="3">
        <v>1.20356678962707E-4</v>
      </c>
      <c r="U10" s="3">
        <v>1.01834535598754E-4</v>
      </c>
      <c r="V10" s="3">
        <v>1.15104019641876E-4</v>
      </c>
    </row>
    <row r="11" spans="1:22" x14ac:dyDescent="0.35">
      <c r="A11" s="3">
        <v>1.34110450744628E-6</v>
      </c>
      <c r="B11" s="3">
        <v>1.13248825073242E-6</v>
      </c>
      <c r="C11" s="3">
        <v>1.24424695968627E-6</v>
      </c>
      <c r="D11" s="3">
        <v>-3.24398279190063E-5</v>
      </c>
      <c r="E11" s="3">
        <v>-3.22684645652771E-5</v>
      </c>
      <c r="F11" s="3">
        <v>-3.9272010326385498E-5</v>
      </c>
      <c r="G11" s="3">
        <v>-4.1216611862182597E-5</v>
      </c>
      <c r="H11" s="3">
        <v>-4.8890709877014099E-5</v>
      </c>
      <c r="I11" s="3">
        <v>-5.3040683269500699E-5</v>
      </c>
      <c r="J11" s="3">
        <v>-4.3690204620361301E-5</v>
      </c>
      <c r="K11" s="3">
        <v>-4.5113265514373698E-5</v>
      </c>
      <c r="L11" s="3">
        <v>-4.34666872024536E-5</v>
      </c>
      <c r="M11" s="3">
        <v>-4.3511390686035102E-5</v>
      </c>
      <c r="N11" s="3">
        <v>-4.3436884880065898E-5</v>
      </c>
      <c r="O11" s="3">
        <v>-3.4265220165252597E-5</v>
      </c>
      <c r="P11" s="3">
        <v>-3.1396746635436998E-5</v>
      </c>
      <c r="Q11" s="3">
        <v>-4.7057867050170898E-5</v>
      </c>
      <c r="R11" s="3">
        <v>9.3035399913787801E-5</v>
      </c>
      <c r="S11" s="3">
        <v>9.3229115009307794E-5</v>
      </c>
      <c r="T11" s="3">
        <v>1.05686485767364E-4</v>
      </c>
      <c r="U11" s="3">
        <v>1.14999711513519E-4</v>
      </c>
      <c r="V11" s="3">
        <v>1.14619731903076E-4</v>
      </c>
    </row>
    <row r="13" spans="1:22" x14ac:dyDescent="0.35">
      <c r="A13" s="4" t="s">
        <v>23</v>
      </c>
    </row>
    <row r="14" spans="1:22" x14ac:dyDescent="0.35">
      <c r="A14" s="3">
        <f>AVERAGE(FI_OTU22_clase[PROT])</f>
        <v>2.5615096092224084E-6</v>
      </c>
      <c r="B14" s="3">
        <f>AVERAGE(FI_OTU22_clase[TFAT])</f>
        <v>6.0275197029113731E-7</v>
      </c>
      <c r="C14" s="3">
        <f>AVERAGE(FI_OTU22_clase[CARB])</f>
        <v>1.174211502075194E-6</v>
      </c>
      <c r="D14" s="3">
        <f>AVERAGE(FI_OTU22_clase[MOIS])</f>
        <v>-3.4311413764953578E-5</v>
      </c>
      <c r="E14" s="3">
        <f>AVERAGE(FI_OTU22_clase[ALC])</f>
        <v>-3.1815469264984082E-5</v>
      </c>
      <c r="F14" s="3">
        <f>AVERAGE(FI_OTU22_clase[CAFF])</f>
        <v>-3.4171342849731388E-5</v>
      </c>
      <c r="G14" s="3">
        <f>AVERAGE(FI_OTU22_clase[THEO])</f>
        <v>-3.8488954305648774E-5</v>
      </c>
      <c r="H14" s="3">
        <f>AVERAGE(FI_OTU22_clase[CALC])</f>
        <v>-5.3079426288604701E-5</v>
      </c>
      <c r="I14" s="3">
        <f>AVERAGE(FI_OTU22_clase[MAGN])</f>
        <v>-3.5883486270904485E-5</v>
      </c>
      <c r="J14" s="3">
        <f>AVERAGE(FI_OTU22_clase[POTA])</f>
        <v>-3.6632269620895351E-5</v>
      </c>
      <c r="K14" s="3">
        <f>AVERAGE(FI_OTU22_clase[ZINC])</f>
        <v>-4.5771896839141782E-5</v>
      </c>
      <c r="L14" s="3">
        <f>AVERAGE(FI_OTU22_clase[VC])</f>
        <v>-4.4399499893188441E-5</v>
      </c>
      <c r="M14" s="3">
        <f>AVERAGE(FI_OTU22_clase[VB1])</f>
        <v>-4.3491274118423396E-5</v>
      </c>
      <c r="N14" s="3">
        <f>AVERAGE(FI_OTU22_clase[VB6])</f>
        <v>-4.3490529060363728E-5</v>
      </c>
      <c r="O14" s="3">
        <f>AVERAGE(FI_OTU22_clase[VARA])</f>
        <v>-4.0928274393081619E-5</v>
      </c>
      <c r="P14" s="3">
        <f>AVERAGE(FI_OTU22_clase[ACAR])</f>
        <v>-2.8706341981887774E-5</v>
      </c>
      <c r="Q14" s="3">
        <f>AVERAGE(FI_OTU22_clase[CRYP])</f>
        <v>-3.7525594234466501E-5</v>
      </c>
      <c r="R14" s="3">
        <f>AVERAGE(FI_OTU22_clase[LYCO])</f>
        <v>4.6779215335845882E-5</v>
      </c>
      <c r="S14" s="3">
        <f>AVERAGE(FI_OTU22_clase[ATOC])</f>
        <v>9.3271583318710278E-5</v>
      </c>
      <c r="T14" s="3">
        <f>AVERAGE(FI_OTU22_clase[VK])</f>
        <v>1.1205300688743537E-4</v>
      </c>
      <c r="U14" s="3">
        <f>AVERAGE(FI_OTU22_clase[CHOLE])</f>
        <v>1.0786801576614339E-4</v>
      </c>
      <c r="V14" s="3">
        <f>AVERAGE(FI_OTU22_clase[VITD])</f>
        <v>1.1510178446769691E-4</v>
      </c>
    </row>
    <row r="15" spans="1:22" x14ac:dyDescent="0.35">
      <c r="A15" s="4" t="s">
        <v>24</v>
      </c>
    </row>
    <row r="16" spans="1:22" x14ac:dyDescent="0.35">
      <c r="A16" s="3">
        <f>STDEV(FI_OTU22_clase[PROT])</f>
        <v>2.515097465356854E-6</v>
      </c>
      <c r="B16" s="3">
        <f>STDEV(FI_OTU22_clase[TFAT])</f>
        <v>1.1692609593553893E-6</v>
      </c>
      <c r="C16" s="3">
        <f>STDEV(FI_OTU22_clase[CARB])</f>
        <v>3.7027731510870657E-6</v>
      </c>
      <c r="D16" s="3">
        <f>STDEV(FI_OTU22_clase[MOIS])</f>
        <v>1.8787889372646504E-5</v>
      </c>
      <c r="E16" s="3">
        <f>STDEV(FI_OTU22_clase[ALC])</f>
        <v>1.1608186290062957E-6</v>
      </c>
      <c r="F16" s="3">
        <f>STDEV(FI_OTU22_clase[CAFF])</f>
        <v>6.2056833544193636E-6</v>
      </c>
      <c r="G16" s="3">
        <f>STDEV(FI_OTU22_clase[THEO])</f>
        <v>2.1845677444063188E-6</v>
      </c>
      <c r="H16" s="3">
        <f>STDEV(FI_OTU22_clase[CALC])</f>
        <v>1.2725820331959568E-5</v>
      </c>
      <c r="I16" s="3">
        <f>STDEV(FI_OTU22_clase[MAGN])</f>
        <v>7.8308739304673639E-6</v>
      </c>
      <c r="J16" s="3">
        <f>STDEV(FI_OTU22_clase[POTA])</f>
        <v>1.8777125301850035E-5</v>
      </c>
      <c r="K16" s="3">
        <f>STDEV(FI_OTU22_clase[ZINC])</f>
        <v>1.2267878641121201E-6</v>
      </c>
      <c r="L16" s="3">
        <f>STDEV(FI_OTU22_clase[VC])</f>
        <v>2.8566924712584823E-6</v>
      </c>
      <c r="M16" s="3">
        <f>STDEV(FI_OTU22_clase[VB1])</f>
        <v>3.142422157105371E-8</v>
      </c>
      <c r="N16" s="3">
        <f>STDEV(FI_OTU22_clase[VB6])</f>
        <v>8.4059221749716015E-8</v>
      </c>
      <c r="O16" s="3">
        <f>STDEV(FI_OTU22_clase[VARA])</f>
        <v>9.5622783423815048E-6</v>
      </c>
      <c r="P16" s="3">
        <f>STDEV(FI_OTU22_clase[ACAR])</f>
        <v>1.2271910410025642E-5</v>
      </c>
      <c r="Q16" s="3">
        <f>STDEV(FI_OTU22_clase[CRYP])</f>
        <v>6.3599541645651652E-6</v>
      </c>
      <c r="R16" s="3">
        <f>STDEV(FI_OTU22_clase[LYCO])</f>
        <v>5.8993684118358774E-5</v>
      </c>
      <c r="S16" s="3">
        <f>STDEV(FI_OTU22_clase[ATOC])</f>
        <v>3.8326943363625433E-7</v>
      </c>
      <c r="T16" s="3">
        <f>STDEV(FI_OTU22_clase[VK])</f>
        <v>9.0927886349700845E-6</v>
      </c>
      <c r="U16" s="3">
        <f>STDEV(FI_OTU22_clase[CHOLE])</f>
        <v>7.9877774614039698E-6</v>
      </c>
      <c r="V16" s="3">
        <f>STDEV(FI_OTU22_clase[VITD])</f>
        <v>2.478816114556692E-7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C185-7413-46D9-9999-6C02AEBD4B43}">
  <dimension ref="A1:V16"/>
  <sheetViews>
    <sheetView workbookViewId="0">
      <selection activeCell="A16" sqref="A16:V16"/>
    </sheetView>
  </sheetViews>
  <sheetFormatPr baseColWidth="10" defaultRowHeight="14.5" x14ac:dyDescent="0.35"/>
  <cols>
    <col min="1" max="3" width="22.81640625" style="3" bestFit="1" customWidth="1"/>
    <col min="4" max="4" width="23.1796875" style="3" bestFit="1" customWidth="1"/>
    <col min="5" max="7" width="21.54296875" style="3" bestFit="1" customWidth="1"/>
    <col min="8" max="9" width="22.54296875" style="3" bestFit="1" customWidth="1"/>
    <col min="10" max="22" width="21.54296875" style="3" bestFit="1" customWidth="1"/>
  </cols>
  <sheetData>
    <row r="1" spans="1:2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5">
      <c r="A2" s="3">
        <v>-2.0563602447509701E-5</v>
      </c>
      <c r="B2" s="3">
        <v>-2.9236078262329102E-5</v>
      </c>
      <c r="C2" s="3">
        <v>-4.6908855438232402E-5</v>
      </c>
      <c r="D2" s="3">
        <v>1.2651085853576601E-4</v>
      </c>
      <c r="E2" s="3">
        <v>6.3994526863098101E-4</v>
      </c>
      <c r="F2" s="3">
        <v>6.6810846328735297E-4</v>
      </c>
      <c r="G2" s="3">
        <v>5.85943460464477E-4</v>
      </c>
      <c r="H2" s="3">
        <v>6.0066580772399902E-4</v>
      </c>
      <c r="I2" s="3">
        <v>4.7835707664489697E-4</v>
      </c>
      <c r="J2" s="3">
        <v>9.4118714332580501E-4</v>
      </c>
      <c r="K2" s="3">
        <v>8.4975361824035601E-4</v>
      </c>
      <c r="L2" s="3">
        <v>8.7699294090270996E-4</v>
      </c>
      <c r="M2" s="3">
        <v>8.3076953887939399E-4</v>
      </c>
      <c r="N2" s="3">
        <v>8.3088874816894499E-4</v>
      </c>
      <c r="O2" s="3">
        <v>8.5246562957763596E-4</v>
      </c>
      <c r="P2" s="3">
        <v>1.05202198028564E-3</v>
      </c>
      <c r="Q2" s="3">
        <v>1.1124908924102701E-3</v>
      </c>
      <c r="R2" s="3">
        <v>1.2188851833343499E-3</v>
      </c>
      <c r="S2" s="3">
        <v>1.0283887386322E-3</v>
      </c>
      <c r="T2" s="3">
        <v>1.0447204113006501E-3</v>
      </c>
      <c r="U2" s="3">
        <v>1.1026859283447201E-3</v>
      </c>
      <c r="V2" s="3">
        <v>1.0978579521179199E-3</v>
      </c>
    </row>
    <row r="3" spans="1:22" x14ac:dyDescent="0.35">
      <c r="A3" s="3">
        <v>8.7618827819824202E-6</v>
      </c>
      <c r="B3" s="3">
        <v>-4.9471855163574198E-5</v>
      </c>
      <c r="C3" s="3">
        <v>-4.8071146011352498E-5</v>
      </c>
      <c r="D3" s="3">
        <v>4.2408704757690403E-5</v>
      </c>
      <c r="E3" s="3">
        <v>6.3759088516235297E-4</v>
      </c>
      <c r="F3" s="3">
        <v>6.3490867614745996E-4</v>
      </c>
      <c r="G3" s="3">
        <v>5.8797001838683995E-4</v>
      </c>
      <c r="H3" s="3">
        <v>5.5241584777831999E-4</v>
      </c>
      <c r="I3" s="3">
        <v>5.8317184448242101E-4</v>
      </c>
      <c r="J3" s="3">
        <v>9.5713138580322201E-4</v>
      </c>
      <c r="K3" s="3">
        <v>8.46743583679199E-4</v>
      </c>
      <c r="L3" s="3">
        <v>8.4984302520751899E-4</v>
      </c>
      <c r="M3" s="3">
        <v>8.3070993423461903E-4</v>
      </c>
      <c r="N3" s="3">
        <v>8.3100795745849599E-4</v>
      </c>
      <c r="O3" s="3">
        <v>8.0680847167968696E-4</v>
      </c>
      <c r="P3" s="3">
        <v>9.38296318054199E-4</v>
      </c>
      <c r="Q3" s="3">
        <v>1.1302232742309501E-3</v>
      </c>
      <c r="R3" s="3">
        <v>8.3109736442565896E-4</v>
      </c>
      <c r="S3" s="3">
        <v>1.0577440261840801E-3</v>
      </c>
      <c r="T3" s="3">
        <v>1.00782513618469E-3</v>
      </c>
      <c r="U3" s="3">
        <v>1.09952688217163E-3</v>
      </c>
      <c r="V3" s="3">
        <v>1.09884142875671E-3</v>
      </c>
    </row>
    <row r="4" spans="1:22" x14ac:dyDescent="0.35">
      <c r="A4" s="3">
        <v>3.4153461456298801E-5</v>
      </c>
      <c r="B4" s="3">
        <v>1.5705823898315399E-5</v>
      </c>
      <c r="C4" s="3">
        <v>-2.8759241104125899E-5</v>
      </c>
      <c r="D4" s="3">
        <v>-2.3818016052245999E-4</v>
      </c>
      <c r="E4" s="3">
        <v>6.4668059349060004E-4</v>
      </c>
      <c r="F4" s="3">
        <v>7.0101022720336903E-4</v>
      </c>
      <c r="G4" s="3">
        <v>6.7442655563354395E-4</v>
      </c>
      <c r="H4" s="3">
        <v>4.4897198677062902E-4</v>
      </c>
      <c r="I4" s="3">
        <v>5.8183073997497504E-4</v>
      </c>
      <c r="J4" s="3">
        <v>5.1128864288330002E-4</v>
      </c>
      <c r="K4" s="3">
        <v>8.5404515266418403E-4</v>
      </c>
      <c r="L4" s="3">
        <v>8.4784626960754297E-4</v>
      </c>
      <c r="M4" s="3">
        <v>8.3035230636596604E-4</v>
      </c>
      <c r="N4" s="3">
        <v>8.3103775978088303E-4</v>
      </c>
      <c r="O4" s="3">
        <v>9.1180205345153798E-4</v>
      </c>
      <c r="P4" s="3">
        <v>1.0526776313781699E-3</v>
      </c>
      <c r="Q4" s="3">
        <v>1.1307001113891599E-3</v>
      </c>
      <c r="R4" s="3">
        <v>1.11275911331176E-3</v>
      </c>
      <c r="S4" s="3">
        <v>1.0479986667633E-3</v>
      </c>
      <c r="T4" s="3">
        <v>1.05980038642883E-3</v>
      </c>
      <c r="U4" s="3">
        <v>1.11284852027893E-3</v>
      </c>
      <c r="V4" s="3">
        <v>1.09869241714477E-3</v>
      </c>
    </row>
    <row r="5" spans="1:22" x14ac:dyDescent="0.35">
      <c r="A5" s="3">
        <v>2.0295381546020501E-5</v>
      </c>
      <c r="B5" s="3">
        <v>-2.5629997253417901E-5</v>
      </c>
      <c r="C5" s="3">
        <v>-6.2882900238037101E-6</v>
      </c>
      <c r="D5" s="3">
        <v>4.9692392349243099E-4</v>
      </c>
      <c r="E5" s="3">
        <v>6.33686780929565E-4</v>
      </c>
      <c r="F5" s="3">
        <v>6.8983435630798296E-4</v>
      </c>
      <c r="G5" s="3">
        <v>6.4361095428466797E-4</v>
      </c>
      <c r="H5" s="3">
        <v>2.7999281883239697E-4</v>
      </c>
      <c r="I5" s="3">
        <v>5.3614377975463802E-4</v>
      </c>
      <c r="J5" s="3">
        <v>7.18891620635986E-4</v>
      </c>
      <c r="K5" s="3">
        <v>8.5607171058654698E-4</v>
      </c>
      <c r="L5" s="3">
        <v>8.24302434921264E-4</v>
      </c>
      <c r="M5" s="3">
        <v>8.3059072494506803E-4</v>
      </c>
      <c r="N5" s="3">
        <v>8.3032250404357899E-4</v>
      </c>
      <c r="O5" s="3">
        <v>7.95751810073852E-4</v>
      </c>
      <c r="P5" s="3">
        <v>1.07350945472717E-3</v>
      </c>
      <c r="Q5" s="3">
        <v>1.13102793693542E-3</v>
      </c>
      <c r="R5" s="3">
        <v>9.2506408691406196E-4</v>
      </c>
      <c r="S5" s="3">
        <v>1.0251998901367101E-3</v>
      </c>
      <c r="T5" s="3">
        <v>1.0265409946441601E-3</v>
      </c>
      <c r="U5" s="3">
        <v>1.13296508789062E-3</v>
      </c>
      <c r="V5" s="3">
        <v>1.0991990566253599E-3</v>
      </c>
    </row>
    <row r="6" spans="1:22" x14ac:dyDescent="0.35">
      <c r="A6" s="3">
        <v>4.76837158203125E-6</v>
      </c>
      <c r="B6" s="3">
        <v>-1.7076730728149401E-5</v>
      </c>
      <c r="C6" s="3">
        <v>-2.9534101486206E-5</v>
      </c>
      <c r="D6" s="3">
        <v>2.6085972785949702E-4</v>
      </c>
      <c r="E6" s="3">
        <v>6.43283128738403E-4</v>
      </c>
      <c r="F6" s="3">
        <v>6.5910816192626899E-4</v>
      </c>
      <c r="G6" s="3">
        <v>6.0135126113891602E-4</v>
      </c>
      <c r="H6" s="3">
        <v>2.9042363166809001E-4</v>
      </c>
      <c r="I6" s="3">
        <v>5.9005618095397895E-4</v>
      </c>
      <c r="J6" s="3">
        <v>5.6508183479308995E-4</v>
      </c>
      <c r="K6" s="3">
        <v>8.5774064064025803E-4</v>
      </c>
      <c r="L6" s="3">
        <v>8.3318352699279698E-4</v>
      </c>
      <c r="M6" s="3">
        <v>8.3088874816894499E-4</v>
      </c>
      <c r="N6" s="3">
        <v>8.3121657371520996E-4</v>
      </c>
      <c r="O6" s="3">
        <v>7.7524781227111795E-4</v>
      </c>
      <c r="P6" s="3">
        <v>1.0797381401062001E-3</v>
      </c>
      <c r="Q6" s="3">
        <v>1.19519233703613E-3</v>
      </c>
      <c r="R6" s="3">
        <v>1.0619461536407399E-3</v>
      </c>
      <c r="S6" s="3">
        <v>1.0492801666259701E-3</v>
      </c>
      <c r="T6" s="3">
        <v>1.0728836059570299E-3</v>
      </c>
      <c r="U6" s="3">
        <v>1.1525750160217201E-3</v>
      </c>
      <c r="V6" s="3">
        <v>1.1093616485595701E-3</v>
      </c>
    </row>
    <row r="7" spans="1:22" x14ac:dyDescent="0.35">
      <c r="A7" s="3">
        <v>-2.5510787963867099E-5</v>
      </c>
      <c r="B7" s="3">
        <v>-5.9694051742553697E-5</v>
      </c>
      <c r="C7" s="3">
        <v>-7.3909759521484299E-6</v>
      </c>
      <c r="D7" s="3">
        <v>2.5925040245056098E-4</v>
      </c>
      <c r="E7" s="3">
        <v>6.40869140625E-4</v>
      </c>
      <c r="F7" s="3">
        <v>6.1741471290588303E-4</v>
      </c>
      <c r="G7" s="3">
        <v>5.8141350746154698E-4</v>
      </c>
      <c r="H7" s="3">
        <v>5.2204728126525803E-4</v>
      </c>
      <c r="I7" s="3">
        <v>5.5286288261413498E-4</v>
      </c>
      <c r="J7" s="3">
        <v>6.5276026725769E-4</v>
      </c>
      <c r="K7" s="3">
        <v>8.5502862930297797E-4</v>
      </c>
      <c r="L7" s="3">
        <v>8.6817145347595204E-4</v>
      </c>
      <c r="M7" s="3">
        <v>8.3065032958984299E-4</v>
      </c>
      <c r="N7" s="3">
        <v>8.3124637603759701E-4</v>
      </c>
      <c r="O7" s="3">
        <v>7.6687335968017502E-4</v>
      </c>
      <c r="P7" s="3">
        <v>1.13791227340698E-3</v>
      </c>
      <c r="Q7" s="3">
        <v>1.1851191520690901E-3</v>
      </c>
      <c r="R7" s="3">
        <v>9.3051791191100998E-4</v>
      </c>
      <c r="S7" s="3">
        <v>1.0485351085662801E-3</v>
      </c>
      <c r="T7" s="3">
        <v>1.03798508644104E-3</v>
      </c>
      <c r="U7" s="3">
        <v>1.14673376083374E-3</v>
      </c>
      <c r="V7" s="3">
        <v>1.09398365020751E-3</v>
      </c>
    </row>
    <row r="8" spans="1:22" x14ac:dyDescent="0.35">
      <c r="A8" s="3">
        <v>4.4852495193481398E-5</v>
      </c>
      <c r="B8" s="3">
        <v>-3.1888484954833903E-5</v>
      </c>
      <c r="C8" s="3">
        <v>-5.3972005844116197E-5</v>
      </c>
      <c r="D8" s="3">
        <v>2.9596686363220199E-4</v>
      </c>
      <c r="E8" s="3">
        <v>6.2972307205200195E-4</v>
      </c>
      <c r="F8" s="3">
        <v>5.8263540267944303E-4</v>
      </c>
      <c r="G8" s="3">
        <v>5.8084726333618099E-4</v>
      </c>
      <c r="H8" s="3">
        <v>5.0219893455505295E-4</v>
      </c>
      <c r="I8" s="3">
        <v>5.4961442947387695E-4</v>
      </c>
      <c r="J8" s="3">
        <v>6.7597627639770497E-4</v>
      </c>
      <c r="K8" s="3">
        <v>8.4784626960754297E-4</v>
      </c>
      <c r="L8" s="3">
        <v>8.6680054664611795E-4</v>
      </c>
      <c r="M8" s="3">
        <v>8.3079934120178201E-4</v>
      </c>
      <c r="N8" s="3">
        <v>8.3079934120178201E-4</v>
      </c>
      <c r="O8" s="3">
        <v>7.5134634971618598E-4</v>
      </c>
      <c r="P8" s="3">
        <v>1.10477209091186E-3</v>
      </c>
      <c r="Q8" s="3">
        <v>1.1333823204040499E-3</v>
      </c>
      <c r="R8" s="3">
        <v>1.07303261756896E-3</v>
      </c>
      <c r="S8" s="3">
        <v>1.0570585727691601E-3</v>
      </c>
      <c r="T8" s="3">
        <v>1.03992223739624E-3</v>
      </c>
      <c r="U8" s="3">
        <v>1.1042952537536599E-3</v>
      </c>
      <c r="V8" s="3">
        <v>1.1070966720581E-3</v>
      </c>
    </row>
    <row r="9" spans="1:22" x14ac:dyDescent="0.35">
      <c r="A9" s="3">
        <v>-2.23517417907714E-6</v>
      </c>
      <c r="B9" s="3">
        <v>-1.8447637557983398E-5</v>
      </c>
      <c r="C9" s="3">
        <v>-5.7816505432128899E-5</v>
      </c>
      <c r="D9" s="3">
        <v>8.3595514297485297E-5</v>
      </c>
      <c r="E9" s="3">
        <v>6.3994526863098101E-4</v>
      </c>
      <c r="F9" s="3">
        <v>6.1202049255370996E-4</v>
      </c>
      <c r="G9" s="3">
        <v>6.1523914337158203E-4</v>
      </c>
      <c r="H9" s="3">
        <v>4.5278668403625402E-4</v>
      </c>
      <c r="I9" s="3">
        <v>6.1267614364624002E-4</v>
      </c>
      <c r="J9" s="3">
        <v>7.1844458580017003E-4</v>
      </c>
      <c r="K9" s="3">
        <v>8.3184242248535102E-4</v>
      </c>
      <c r="L9" s="3">
        <v>8.24421644210815E-4</v>
      </c>
      <c r="M9" s="3">
        <v>8.3053112030029297E-4</v>
      </c>
      <c r="N9" s="3">
        <v>8.3088874816894499E-4</v>
      </c>
      <c r="O9" s="3">
        <v>8.0958008766174295E-4</v>
      </c>
      <c r="P9" s="3">
        <v>1.10992789268493E-3</v>
      </c>
      <c r="Q9" s="3">
        <v>1.15883350372314E-3</v>
      </c>
      <c r="R9" s="3">
        <v>8.7982416152954102E-4</v>
      </c>
      <c r="S9" s="3">
        <v>1.0523498058319001E-3</v>
      </c>
      <c r="T9" s="3">
        <v>9.7438693046569803E-4</v>
      </c>
      <c r="U9" s="3">
        <v>1.0852813720703099E-3</v>
      </c>
      <c r="V9" s="3">
        <v>1.0937750339508E-3</v>
      </c>
    </row>
    <row r="10" spans="1:22" x14ac:dyDescent="0.35">
      <c r="A10" s="3">
        <v>1.42157077789306E-5</v>
      </c>
      <c r="B10" s="3">
        <v>-2.76267528533935E-5</v>
      </c>
      <c r="C10" s="3">
        <v>-3.6865472793579102E-5</v>
      </c>
      <c r="D10" s="3">
        <v>2.06202268600463E-4</v>
      </c>
      <c r="E10" s="3">
        <v>6.4155459403991699E-4</v>
      </c>
      <c r="F10" s="3">
        <v>6.4912438392639095E-4</v>
      </c>
      <c r="G10" s="3">
        <v>6.2993168830871495E-4</v>
      </c>
      <c r="H10" s="3">
        <v>3.4612417221069298E-4</v>
      </c>
      <c r="I10" s="3">
        <v>6.17861747741699E-4</v>
      </c>
      <c r="J10" s="3">
        <v>6.6241621971130295E-4</v>
      </c>
      <c r="K10" s="3">
        <v>8.4748864173889095E-4</v>
      </c>
      <c r="L10" s="3">
        <v>8.4608793258666895E-4</v>
      </c>
      <c r="M10" s="3">
        <v>8.3068013191223101E-4</v>
      </c>
      <c r="N10" s="3">
        <v>8.3076953887939399E-4</v>
      </c>
      <c r="O10" s="3">
        <v>8.8801980018615701E-4</v>
      </c>
      <c r="P10" s="3">
        <v>1.1797547340392999E-3</v>
      </c>
      <c r="Q10" s="3">
        <v>1.18577480316162E-3</v>
      </c>
      <c r="R10" s="3">
        <v>1.17859244346618E-3</v>
      </c>
      <c r="S10" s="3">
        <v>1.0591447353363E-3</v>
      </c>
      <c r="T10" s="3">
        <v>1.0516047477722101E-3</v>
      </c>
      <c r="U10" s="3">
        <v>1.1393427848815901E-3</v>
      </c>
      <c r="V10" s="3">
        <v>1.1016428470611501E-3</v>
      </c>
    </row>
    <row r="11" spans="1:22" x14ac:dyDescent="0.35">
      <c r="A11" s="3">
        <v>-2.3841857910156199E-6</v>
      </c>
      <c r="B11" s="3">
        <v>-3.0308961868286099E-5</v>
      </c>
      <c r="C11" s="3">
        <v>-6.2108039855957004E-5</v>
      </c>
      <c r="D11" s="3">
        <v>6.5097212791442795E-4</v>
      </c>
      <c r="E11" s="3">
        <v>6.4301490783691395E-4</v>
      </c>
      <c r="F11" s="3">
        <v>5.9539079666137695E-4</v>
      </c>
      <c r="G11" s="3">
        <v>5.7440996170043902E-4</v>
      </c>
      <c r="H11" s="3">
        <v>6.3025951385498004E-4</v>
      </c>
      <c r="I11" s="3">
        <v>6.1163306236267003E-4</v>
      </c>
      <c r="J11" s="3">
        <v>8.6861848831176704E-4</v>
      </c>
      <c r="K11" s="3">
        <v>8.5288286209106402E-4</v>
      </c>
      <c r="L11" s="3">
        <v>8.3088874816894499E-4</v>
      </c>
      <c r="M11" s="3">
        <v>8.3079934120178201E-4</v>
      </c>
      <c r="N11" s="3">
        <v>8.3100795745849599E-4</v>
      </c>
      <c r="O11" s="3">
        <v>8.6557865142822201E-4</v>
      </c>
      <c r="P11" s="3">
        <v>1.13362073898315E-3</v>
      </c>
      <c r="Q11" s="3">
        <v>1.1634230613708401E-3</v>
      </c>
      <c r="R11" s="3">
        <v>1.05226039886474E-3</v>
      </c>
      <c r="S11" s="3">
        <v>1.0499954223632799E-3</v>
      </c>
      <c r="T11" s="3">
        <v>1.05795264244079E-3</v>
      </c>
      <c r="U11" s="3">
        <v>1.10512971878051E-3</v>
      </c>
      <c r="V11" s="3">
        <v>1.0941028594970701E-3</v>
      </c>
    </row>
    <row r="13" spans="1:22" x14ac:dyDescent="0.35">
      <c r="A13" s="4" t="s">
        <v>23</v>
      </c>
    </row>
    <row r="14" spans="1:22" x14ac:dyDescent="0.35">
      <c r="A14" s="3">
        <f>AVERAGE(FI_OTU22_especie[PROT])</f>
        <v>7.6353549957275404E-6</v>
      </c>
      <c r="B14" s="3">
        <f>AVERAGE(FI_OTU22_especie[TFAT])</f>
        <v>-2.7367472648620577E-5</v>
      </c>
      <c r="C14" s="3">
        <f>AVERAGE(FI_OTU22_especie[CARB])</f>
        <v>-3.7771463394165015E-5</v>
      </c>
      <c r="D14" s="3">
        <f>AVERAGE(FI_OTU22_especie[MOIS])</f>
        <v>2.1845102310180637E-4</v>
      </c>
      <c r="E14" s="3">
        <f>AVERAGE(FI_OTU22_especie[ALC])</f>
        <v>6.396293640136717E-4</v>
      </c>
      <c r="F14" s="3">
        <f>AVERAGE(FI_OTU22_especie[CAFF])</f>
        <v>6.4095556735992382E-4</v>
      </c>
      <c r="G14" s="3">
        <f>AVERAGE(FI_OTU22_especie[THEO])</f>
        <v>6.0751438140869084E-4</v>
      </c>
      <c r="H14" s="3">
        <f>AVERAGE(FI_OTU22_especie[CALC])</f>
        <v>4.6258866786956737E-4</v>
      </c>
      <c r="I14" s="3">
        <f>AVERAGE(FI_OTU22_especie[MAGN])</f>
        <v>5.7142078876495309E-4</v>
      </c>
      <c r="J14" s="3">
        <f>AVERAGE(FI_OTU22_especie[POTA])</f>
        <v>7.2717964649200381E-4</v>
      </c>
      <c r="K14" s="3">
        <f>AVERAGE(FI_OTU22_especie[ZINC])</f>
        <v>8.4994435310363698E-4</v>
      </c>
      <c r="L14" s="3">
        <f>AVERAGE(FI_OTU22_especie[VC])</f>
        <v>8.4685385227203317E-4</v>
      </c>
      <c r="M14" s="3">
        <f>AVERAGE(FI_OTU22_especie[VB1])</f>
        <v>8.3067715167999229E-4</v>
      </c>
      <c r="N14" s="3">
        <f>AVERAGE(FI_OTU22_especie[VB6])</f>
        <v>8.3091855049133268E-4</v>
      </c>
      <c r="O14" s="3">
        <f>AVERAGE(FI_OTU22_especie[VARA])</f>
        <v>8.2234740257263145E-4</v>
      </c>
      <c r="P14" s="3">
        <f>AVERAGE(FI_OTU22_especie[ACAR])</f>
        <v>1.0862231254577599E-3</v>
      </c>
      <c r="Q14" s="3">
        <f>AVERAGE(FI_OTU22_especie[CRYP])</f>
        <v>1.1526167392730668E-3</v>
      </c>
      <c r="R14" s="3">
        <f>AVERAGE(FI_OTU22_especie[LYCO])</f>
        <v>1.0263979434966999E-3</v>
      </c>
      <c r="S14" s="3">
        <f>AVERAGE(FI_OTU22_especie[ATOC])</f>
        <v>1.0475695133209178E-3</v>
      </c>
      <c r="T14" s="3">
        <f>AVERAGE(FI_OTU22_especie[VK])</f>
        <v>1.0373622179031339E-3</v>
      </c>
      <c r="U14" s="3">
        <f>AVERAGE(FI_OTU22_especie[CHOLE])</f>
        <v>1.1181384325027429E-3</v>
      </c>
      <c r="V14" s="3">
        <f>AVERAGE(FI_OTU22_especie[VITD])</f>
        <v>1.099455356597896E-3</v>
      </c>
    </row>
    <row r="15" spans="1:22" x14ac:dyDescent="0.35">
      <c r="A15" s="4" t="s">
        <v>24</v>
      </c>
    </row>
    <row r="16" spans="1:22" x14ac:dyDescent="0.35">
      <c r="A16" s="3">
        <f>STDEV(FI_OTU22_especie[PROT])</f>
        <v>2.209338263487225E-5</v>
      </c>
      <c r="B16" s="3">
        <f>STDEV(FI_OTU22_especie[TFAT])</f>
        <v>2.002790494961506E-5</v>
      </c>
      <c r="C16" s="3">
        <f>STDEV(FI_OTU22_especie[CARB])</f>
        <v>1.9748881708699116E-5</v>
      </c>
      <c r="D16" s="3">
        <f>STDEV(FI_OTU22_especie[MOIS])</f>
        <v>2.4503637491788994E-4</v>
      </c>
      <c r="E16" s="3">
        <f>STDEV(FI_OTU22_especie[ALC])</f>
        <v>4.9168553534657474E-6</v>
      </c>
      <c r="F16" s="3">
        <f>STDEV(FI_OTU22_especie[CAFF])</f>
        <v>3.9489224130339601E-5</v>
      </c>
      <c r="G16" s="3">
        <f>STDEV(FI_OTU22_especie[THEO])</f>
        <v>3.285654585215033E-5</v>
      </c>
      <c r="H16" s="3">
        <f>STDEV(FI_OTU22_especie[CALC])</f>
        <v>1.2345919107326875E-4</v>
      </c>
      <c r="I16" s="3">
        <f>STDEV(FI_OTU22_especie[MAGN])</f>
        <v>4.319820112790173E-5</v>
      </c>
      <c r="J16" s="3">
        <f>STDEV(FI_OTU22_especie[POTA])</f>
        <v>1.5057884841367008E-4</v>
      </c>
      <c r="K16" s="3">
        <f>STDEV(FI_OTU22_especie[ZINC])</f>
        <v>7.4387987017204067E-6</v>
      </c>
      <c r="L16" s="3">
        <f>STDEV(FI_OTU22_especie[VC])</f>
        <v>1.8928857470638346E-5</v>
      </c>
      <c r="M16" s="3">
        <f>STDEV(FI_OTU22_especie[VB1])</f>
        <v>1.5609514613572406E-7</v>
      </c>
      <c r="N16" s="3">
        <f>STDEV(FI_OTU22_especie[VB6])</f>
        <v>2.624560358846204E-7</v>
      </c>
      <c r="O16" s="3">
        <f>STDEV(FI_OTU22_especie[VARA])</f>
        <v>5.4303391995071899E-5</v>
      </c>
      <c r="P16" s="3">
        <f>STDEV(FI_OTU22_especie[ACAR])</f>
        <v>6.5788799289320915E-5</v>
      </c>
      <c r="Q16" s="3">
        <f>STDEV(FI_OTU22_especie[CRYP])</f>
        <v>2.8967220971383568E-5</v>
      </c>
      <c r="R16" s="3">
        <f>STDEV(FI_OTU22_especie[LYCO])</f>
        <v>1.2947235240409912E-4</v>
      </c>
      <c r="S16" s="3">
        <f>STDEV(FI_OTU22_especie[ATOC])</f>
        <v>1.1683939583607681E-5</v>
      </c>
      <c r="T16" s="3">
        <f>STDEV(FI_OTU22_especie[VK])</f>
        <v>2.8691007549717562E-5</v>
      </c>
      <c r="U16" s="3">
        <f>STDEV(FI_OTU22_especie[CHOLE])</f>
        <v>2.2916817864416947E-5</v>
      </c>
      <c r="V16" s="3">
        <f>STDEV(FI_OTU22_especie[VITD])</f>
        <v>5.3306313268281125E-6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9ECC-C472-42C6-8CE6-43C13D6BD690}">
  <dimension ref="A1:V16"/>
  <sheetViews>
    <sheetView workbookViewId="0">
      <selection activeCell="A16" sqref="A16:V16"/>
    </sheetView>
  </sheetViews>
  <sheetFormatPr baseColWidth="10" defaultRowHeight="14.5" x14ac:dyDescent="0.35"/>
  <cols>
    <col min="1" max="1" width="22.81640625" style="3" bestFit="1" customWidth="1"/>
    <col min="2" max="2" width="22.1796875" style="3" bestFit="1" customWidth="1"/>
    <col min="3" max="3" width="21.1796875" style="3" bestFit="1" customWidth="1"/>
    <col min="4" max="10" width="22.81640625" style="3" bestFit="1" customWidth="1"/>
    <col min="11" max="14" width="21.81640625" style="3" bestFit="1" customWidth="1"/>
    <col min="15" max="18" width="22.81640625" style="3" bestFit="1" customWidth="1"/>
    <col min="19" max="19" width="22.1796875" style="3" bestFit="1" customWidth="1"/>
    <col min="20" max="20" width="21.1796875" style="3" bestFit="1" customWidth="1"/>
    <col min="21" max="22" width="22.1796875" style="3" bestFit="1" customWidth="1"/>
  </cols>
  <sheetData>
    <row r="1" spans="1:2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5">
      <c r="A2" s="3">
        <v>-1.4305114746093699E-6</v>
      </c>
      <c r="B2" s="3">
        <v>5.2452087402343699E-6</v>
      </c>
      <c r="C2" s="3">
        <v>9.9539756774902293E-6</v>
      </c>
      <c r="D2" s="3">
        <v>-4.8249959945678697E-5</v>
      </c>
      <c r="E2" s="3">
        <v>-5.91278076171875E-5</v>
      </c>
      <c r="F2" s="3">
        <v>-4.6908855438232402E-5</v>
      </c>
      <c r="G2" s="3">
        <v>-4.3272972106933499E-5</v>
      </c>
      <c r="H2" s="3">
        <v>-2.6375055313110301E-5</v>
      </c>
      <c r="I2" s="3">
        <v>-4.8071146011352498E-5</v>
      </c>
      <c r="J2" s="3">
        <v>-5.0127506256103502E-5</v>
      </c>
      <c r="K2" s="3">
        <v>-8.7410211563110297E-5</v>
      </c>
      <c r="L2" s="3">
        <v>-8.9377164840698202E-5</v>
      </c>
      <c r="M2" s="3">
        <v>-9.2208385467529297E-5</v>
      </c>
      <c r="N2" s="3">
        <v>-9.2208385467529297E-5</v>
      </c>
      <c r="O2" s="3">
        <v>-1.09076499938964E-5</v>
      </c>
      <c r="P2" s="3">
        <v>-1.47223472595214E-5</v>
      </c>
      <c r="Q2" s="3">
        <v>-9.2685222625732405E-6</v>
      </c>
      <c r="R2" s="3">
        <v>1.93357467651367E-4</v>
      </c>
      <c r="S2" s="3">
        <v>5.4717063903808499E-5</v>
      </c>
      <c r="T2" s="3">
        <v>5.9753656387329102E-5</v>
      </c>
      <c r="U2" s="3">
        <v>6.8128108978271403E-5</v>
      </c>
      <c r="V2" s="3">
        <v>5.7071447372436503E-5</v>
      </c>
    </row>
    <row r="3" spans="1:22" x14ac:dyDescent="0.35">
      <c r="A3" s="3">
        <v>-7.1525573730468699E-6</v>
      </c>
      <c r="B3" s="3">
        <v>5.1558017730712797E-6</v>
      </c>
      <c r="C3" s="3">
        <v>4.6491622924804603E-6</v>
      </c>
      <c r="D3" s="3">
        <v>-1.2129545211791901E-5</v>
      </c>
      <c r="E3" s="3">
        <v>-5.6445598602294902E-5</v>
      </c>
      <c r="F3" s="3">
        <v>-4.6014785766601502E-5</v>
      </c>
      <c r="G3" s="3">
        <v>-3.0577182769775303E-5</v>
      </c>
      <c r="H3" s="3">
        <v>-5.2124261856079102E-5</v>
      </c>
      <c r="I3" s="3">
        <v>-5.1945447921752903E-5</v>
      </c>
      <c r="J3" s="3">
        <v>-3.5911798477172797E-5</v>
      </c>
      <c r="K3" s="3">
        <v>-8.7350606918334907E-5</v>
      </c>
      <c r="L3" s="3">
        <v>-9.8466873168945299E-5</v>
      </c>
      <c r="M3" s="3">
        <v>-9.2208385467529297E-5</v>
      </c>
      <c r="N3" s="3">
        <v>-9.2297792434692301E-5</v>
      </c>
      <c r="O3" s="3">
        <v>-2.89678573608398E-5</v>
      </c>
      <c r="P3" s="3">
        <v>-4.1723251342773397E-5</v>
      </c>
      <c r="Q3" s="3">
        <v>-1.7881393432617101E-6</v>
      </c>
      <c r="R3" s="3">
        <v>8.4638595581054606E-5</v>
      </c>
      <c r="S3" s="3">
        <v>5.4389238357543898E-5</v>
      </c>
      <c r="T3" s="3">
        <v>6.4522027969360297E-5</v>
      </c>
      <c r="U3" s="3">
        <v>6.4313411712646403E-5</v>
      </c>
      <c r="V3" s="3">
        <v>5.82337379455566E-5</v>
      </c>
    </row>
    <row r="4" spans="1:22" x14ac:dyDescent="0.35">
      <c r="A4" s="3">
        <v>-5.9604644775390604E-7</v>
      </c>
      <c r="B4" s="3">
        <v>2.11596488952636E-6</v>
      </c>
      <c r="C4" s="3">
        <v>4.7981739044189402E-6</v>
      </c>
      <c r="D4" s="3">
        <v>-5.8293342590331997E-5</v>
      </c>
      <c r="E4" s="3">
        <v>-5.7220458984375E-5</v>
      </c>
      <c r="F4" s="3">
        <v>-4.5329332351684503E-5</v>
      </c>
      <c r="G4" s="3">
        <v>-3.3885240554809503E-5</v>
      </c>
      <c r="H4" s="3">
        <v>-6.0081481933593703E-5</v>
      </c>
      <c r="I4" s="3">
        <v>-5.5849552154541002E-5</v>
      </c>
      <c r="J4" s="3">
        <v>-5.14984130859375E-5</v>
      </c>
      <c r="K4" s="3">
        <v>-8.7171792984008694E-5</v>
      </c>
      <c r="L4" s="3">
        <v>-8.9734792709350505E-5</v>
      </c>
      <c r="M4" s="3">
        <v>-9.2267990112304606E-5</v>
      </c>
      <c r="N4" s="3">
        <v>-9.2208385467529297E-5</v>
      </c>
      <c r="O4" s="3">
        <v>-8.7320804595947198E-6</v>
      </c>
      <c r="P4" s="3">
        <v>-2.71201133728027E-6</v>
      </c>
      <c r="Q4" s="3">
        <v>-3.4272670745849601E-6</v>
      </c>
      <c r="R4" s="3">
        <v>1.40488147735595E-4</v>
      </c>
      <c r="S4" s="3">
        <v>5.5164098739624003E-5</v>
      </c>
      <c r="T4" s="3">
        <v>5.14984130859375E-5</v>
      </c>
      <c r="U4" s="3">
        <v>6.8336725234985297E-5</v>
      </c>
      <c r="V4" s="3">
        <v>5.7220458984375E-5</v>
      </c>
    </row>
    <row r="5" spans="1:22" x14ac:dyDescent="0.35">
      <c r="A5" s="3">
        <v>-2.6524066925048798E-6</v>
      </c>
      <c r="B5" s="3">
        <v>1.9669532775878902E-6</v>
      </c>
      <c r="C5" s="3">
        <v>3.1292438507080002E-6</v>
      </c>
      <c r="D5" s="3">
        <v>-2.2977590560913001E-5</v>
      </c>
      <c r="E5" s="3">
        <v>-5.6207180023193298E-5</v>
      </c>
      <c r="F5" s="3">
        <v>-5.00082969665527E-5</v>
      </c>
      <c r="G5" s="3">
        <v>-4.8518180847167901E-5</v>
      </c>
      <c r="H5" s="3">
        <v>-3.0755996704101502E-5</v>
      </c>
      <c r="I5" s="3">
        <v>-4.3004751205444302E-5</v>
      </c>
      <c r="J5" s="3">
        <v>-4.9650669097900303E-5</v>
      </c>
      <c r="K5" s="3">
        <v>-8.8632106781005805E-5</v>
      </c>
      <c r="L5" s="3">
        <v>-8.4698200225829997E-5</v>
      </c>
      <c r="M5" s="3">
        <v>-9.2297792434692301E-5</v>
      </c>
      <c r="N5" s="3">
        <v>-9.2238187789916897E-5</v>
      </c>
      <c r="O5" s="3">
        <v>-2.3245811462402301E-6</v>
      </c>
      <c r="P5" s="3">
        <v>-4.43756580352783E-5</v>
      </c>
      <c r="Q5" s="3">
        <v>-8.9406967163085895E-7</v>
      </c>
      <c r="R5" s="3">
        <v>8.6188316345214803E-5</v>
      </c>
      <c r="S5" s="3">
        <v>5.5164098739624003E-5</v>
      </c>
      <c r="T5" s="3">
        <v>4.9084424972534098E-5</v>
      </c>
      <c r="U5" s="3">
        <v>5.0932168960571201E-5</v>
      </c>
      <c r="V5" s="3">
        <v>5.7607889175414998E-5</v>
      </c>
    </row>
    <row r="6" spans="1:22" x14ac:dyDescent="0.35">
      <c r="A6" s="3">
        <v>-2.23517417907714E-6</v>
      </c>
      <c r="B6" s="3">
        <v>4.9471855163574202E-6</v>
      </c>
      <c r="C6" s="3">
        <v>4.5895576477050697E-6</v>
      </c>
      <c r="D6" s="3">
        <v>-2.3066997528076101E-5</v>
      </c>
      <c r="E6" s="3">
        <v>-5.5015087127685499E-5</v>
      </c>
      <c r="F6" s="3">
        <v>-4.4822692871093703E-5</v>
      </c>
      <c r="G6" s="3">
        <v>-3.7550926208495999E-5</v>
      </c>
      <c r="H6" s="3">
        <v>-5.57303428649902E-5</v>
      </c>
      <c r="I6" s="3">
        <v>-4.38988208770751E-5</v>
      </c>
      <c r="J6" s="3">
        <v>-4.0978193283081E-5</v>
      </c>
      <c r="K6" s="3">
        <v>-8.7916851043701104E-5</v>
      </c>
      <c r="L6" s="3">
        <v>-8.7678432464599596E-5</v>
      </c>
      <c r="M6" s="3">
        <v>-9.2238187789916897E-5</v>
      </c>
      <c r="N6" s="3">
        <v>-9.2327594757079997E-5</v>
      </c>
      <c r="O6" s="3">
        <v>-8.3893537521362305E-5</v>
      </c>
      <c r="P6" s="3">
        <v>-4.8011541366577101E-5</v>
      </c>
      <c r="Q6" s="3">
        <v>-7.7486038208007802E-7</v>
      </c>
      <c r="R6" s="3">
        <v>8.3804130554199205E-5</v>
      </c>
      <c r="S6" s="3">
        <v>5.4538249969482402E-5</v>
      </c>
      <c r="T6" s="3">
        <v>4.4584274291992099E-5</v>
      </c>
      <c r="U6" s="3">
        <v>5.1677227020263597E-5</v>
      </c>
      <c r="V6" s="3">
        <v>5.6296586990356398E-5</v>
      </c>
    </row>
    <row r="7" spans="1:22" x14ac:dyDescent="0.35">
      <c r="A7" s="3">
        <v>-2.5331974029540999E-6</v>
      </c>
      <c r="B7" s="3">
        <v>3.4868717193603499E-6</v>
      </c>
      <c r="C7" s="3">
        <v>6.6459178924560496E-6</v>
      </c>
      <c r="D7" s="3">
        <v>-2.366304397583E-5</v>
      </c>
      <c r="E7" s="3">
        <v>-5.7131052017211901E-5</v>
      </c>
      <c r="F7" s="3">
        <v>-4.5955181121826097E-5</v>
      </c>
      <c r="G7" s="3">
        <v>-4.14848327636718E-5</v>
      </c>
      <c r="H7" s="3">
        <v>-4.8041343688964803E-5</v>
      </c>
      <c r="I7" s="3">
        <v>-4.5061111450195299E-5</v>
      </c>
      <c r="J7" s="3">
        <v>-4.0262937545776299E-5</v>
      </c>
      <c r="K7" s="3">
        <v>-8.7648630142211901E-5</v>
      </c>
      <c r="L7" s="3">
        <v>-8.9377164840698202E-5</v>
      </c>
      <c r="M7" s="3">
        <v>-9.2238187789916897E-5</v>
      </c>
      <c r="N7" s="3">
        <v>-9.2327594757079997E-5</v>
      </c>
      <c r="O7" s="3">
        <v>2.2947788238525302E-6</v>
      </c>
      <c r="P7" s="3">
        <v>-3.8206577301025303E-5</v>
      </c>
      <c r="Q7" s="3">
        <v>4.5597553253173803E-6</v>
      </c>
      <c r="R7" s="3">
        <v>1.2353062629699699E-4</v>
      </c>
      <c r="S7" s="3">
        <v>5.4776668548583903E-5</v>
      </c>
      <c r="T7" s="3">
        <v>5.8174133300781203E-5</v>
      </c>
      <c r="U7" s="3">
        <v>6.7234039306640598E-5</v>
      </c>
      <c r="V7" s="3">
        <v>5.7667493820190403E-5</v>
      </c>
    </row>
    <row r="8" spans="1:22" x14ac:dyDescent="0.35">
      <c r="A8" s="3">
        <v>-9.834766387939451E-7</v>
      </c>
      <c r="B8" s="3">
        <v>4.4107437133789003E-6</v>
      </c>
      <c r="C8" s="3">
        <v>9.0897083282470703E-6</v>
      </c>
      <c r="D8" s="3">
        <v>-4.0829181671142497E-5</v>
      </c>
      <c r="E8" s="3">
        <v>-5.63263893127441E-5</v>
      </c>
      <c r="F8" s="3">
        <v>-3.9964914321899401E-5</v>
      </c>
      <c r="G8" s="3">
        <v>-4.0531158447265598E-5</v>
      </c>
      <c r="H8" s="3">
        <v>-5.5074691772460897E-5</v>
      </c>
      <c r="I8" s="3">
        <v>-3.2246112823486301E-5</v>
      </c>
      <c r="J8" s="3">
        <v>-2.9087066650390601E-5</v>
      </c>
      <c r="K8" s="3">
        <v>-8.7410211563110297E-5</v>
      </c>
      <c r="L8" s="3">
        <v>-8.6933374404907199E-5</v>
      </c>
      <c r="M8" s="3">
        <v>-9.2178583145141602E-5</v>
      </c>
      <c r="N8" s="3">
        <v>-9.2357397079467706E-5</v>
      </c>
      <c r="O8" s="3">
        <v>-3.01301479339599E-5</v>
      </c>
      <c r="P8" s="3">
        <v>1.3679265975952099E-5</v>
      </c>
      <c r="Q8" s="3">
        <v>-1.5974044799804599E-5</v>
      </c>
      <c r="R8" s="3">
        <v>7.1525573730468696E-5</v>
      </c>
      <c r="S8" s="3">
        <v>5.4806470870971598E-5</v>
      </c>
      <c r="T8" s="3">
        <v>5.2839517593383701E-5</v>
      </c>
      <c r="U8" s="3">
        <v>6.3508749008178697E-5</v>
      </c>
      <c r="V8" s="3">
        <v>5.7011842727661099E-5</v>
      </c>
    </row>
    <row r="9" spans="1:22" x14ac:dyDescent="0.35">
      <c r="A9" s="3">
        <v>-2.11596488952636E-6</v>
      </c>
      <c r="B9" s="3">
        <v>5.2452087402343699E-6</v>
      </c>
      <c r="C9" s="3">
        <v>9.5069408416747996E-6</v>
      </c>
      <c r="D9" s="3">
        <v>1.24573707580566E-5</v>
      </c>
      <c r="E9" s="3">
        <v>-5.6594610214233398E-5</v>
      </c>
      <c r="F9" s="3">
        <v>-4.4196844100952101E-5</v>
      </c>
      <c r="G9" s="3">
        <v>-3.9339065551757799E-5</v>
      </c>
      <c r="H9" s="3">
        <v>-2.7298927307128899E-5</v>
      </c>
      <c r="I9" s="3">
        <v>-4.7832727432250902E-5</v>
      </c>
      <c r="J9" s="3">
        <v>-3.6209821701049798E-5</v>
      </c>
      <c r="K9" s="3">
        <v>-8.68439674377441E-5</v>
      </c>
      <c r="L9" s="3">
        <v>-8.9704990386962796E-5</v>
      </c>
      <c r="M9" s="3">
        <v>-9.2267990112304606E-5</v>
      </c>
      <c r="N9" s="3">
        <v>-9.2297792434692301E-5</v>
      </c>
      <c r="O9" s="3">
        <v>-1.9848346710205E-5</v>
      </c>
      <c r="P9" s="3">
        <v>-5.0663948059081997E-6</v>
      </c>
      <c r="Q9" s="3">
        <v>2.4735927581787101E-6</v>
      </c>
      <c r="R9" s="3">
        <v>-1.03116035461425E-5</v>
      </c>
      <c r="S9" s="3">
        <v>5.4866075515747003E-5</v>
      </c>
      <c r="T9" s="3">
        <v>6.3180923461913995E-5</v>
      </c>
      <c r="U9" s="3">
        <v>4.33921813964843E-5</v>
      </c>
      <c r="V9" s="3">
        <v>5.7697296142578098E-5</v>
      </c>
    </row>
    <row r="10" spans="1:22" x14ac:dyDescent="0.35">
      <c r="A10" s="3">
        <v>-2.3841857910156199E-6</v>
      </c>
      <c r="B10" s="3">
        <v>1.9371509552001898E-6</v>
      </c>
      <c r="C10" s="3">
        <v>2.4735927581787101E-6</v>
      </c>
      <c r="D10" s="3">
        <v>-1.2636184692382801E-5</v>
      </c>
      <c r="E10" s="3">
        <v>-5.6266784667968703E-5</v>
      </c>
      <c r="F10" s="3">
        <v>-4.4822692871093703E-5</v>
      </c>
      <c r="G10" s="3">
        <v>-3.0994415283203098E-5</v>
      </c>
      <c r="H10" s="3">
        <v>-4.58955764770507E-5</v>
      </c>
      <c r="I10" s="3">
        <v>-4.8577785491943298E-5</v>
      </c>
      <c r="J10" s="3">
        <v>-3.3497810363769497E-5</v>
      </c>
      <c r="K10" s="3">
        <v>-8.5234642028808594E-5</v>
      </c>
      <c r="L10" s="3">
        <v>-8.5264444351196194E-5</v>
      </c>
      <c r="M10" s="3">
        <v>-9.2297792434692301E-5</v>
      </c>
      <c r="N10" s="3">
        <v>-9.2506408691406196E-5</v>
      </c>
      <c r="O10" s="3">
        <v>-4.2408704757690403E-5</v>
      </c>
      <c r="P10" s="3">
        <v>-1.0877847671508699E-5</v>
      </c>
      <c r="Q10" s="3">
        <v>-1.11758708953857E-5</v>
      </c>
      <c r="R10" s="3">
        <v>5.9753656387329102E-5</v>
      </c>
      <c r="S10" s="3">
        <v>5.48362731933593E-5</v>
      </c>
      <c r="T10" s="3">
        <v>4.1663646697997999E-5</v>
      </c>
      <c r="U10" s="3">
        <v>5.1885843276977498E-5</v>
      </c>
      <c r="V10" s="3">
        <v>5.7399272918701097E-5</v>
      </c>
    </row>
    <row r="11" spans="1:22" x14ac:dyDescent="0.35">
      <c r="A11" s="3">
        <v>-5.0663948059081999E-7</v>
      </c>
      <c r="B11" s="3">
        <v>4.76837158203125E-6</v>
      </c>
      <c r="C11" s="3">
        <v>5.2750110626220703E-6</v>
      </c>
      <c r="D11" s="3">
        <v>-5.6922435760497999E-5</v>
      </c>
      <c r="E11" s="3">
        <v>-5.5789947509765598E-5</v>
      </c>
      <c r="F11" s="3">
        <v>-3.4958124160766602E-5</v>
      </c>
      <c r="G11" s="3">
        <v>-3.4958124160766602E-5</v>
      </c>
      <c r="H11" s="3">
        <v>-4.8488378524780199E-5</v>
      </c>
      <c r="I11" s="3">
        <v>-4.3272972106933499E-5</v>
      </c>
      <c r="J11" s="3">
        <v>-8.8304281234741197E-5</v>
      </c>
      <c r="K11" s="3">
        <v>-8.6665153503417901E-5</v>
      </c>
      <c r="L11" s="3">
        <v>-9.2297792434692301E-5</v>
      </c>
      <c r="M11" s="3">
        <v>-9.2267990112304606E-5</v>
      </c>
      <c r="N11" s="3">
        <v>-9.2238187789916897E-5</v>
      </c>
      <c r="O11" s="3">
        <v>-1.51097774505615E-5</v>
      </c>
      <c r="P11" s="3">
        <v>-8.6426734924316396E-7</v>
      </c>
      <c r="Q11" s="3">
        <v>-8.9406967163085895E-7</v>
      </c>
      <c r="R11" s="3">
        <v>5.4627656936645501E-5</v>
      </c>
      <c r="S11" s="3">
        <v>5.4746866226196201E-5</v>
      </c>
      <c r="T11" s="3">
        <v>6.06477260589599E-5</v>
      </c>
      <c r="U11" s="3">
        <v>5.7011842727661099E-5</v>
      </c>
      <c r="V11" s="3">
        <v>5.7846307754516602E-5</v>
      </c>
    </row>
    <row r="13" spans="1:22" x14ac:dyDescent="0.35">
      <c r="A13" s="4" t="s">
        <v>23</v>
      </c>
    </row>
    <row r="14" spans="1:22" x14ac:dyDescent="0.35">
      <c r="A14" s="3">
        <f>AVERAGE(FI_OTU22_familia[PROT])</f>
        <v>-2.2590160369873012E-6</v>
      </c>
      <c r="B14" s="3">
        <f>AVERAGE(FI_OTU22_familia[TFAT])</f>
        <v>3.9279460906982383E-6</v>
      </c>
      <c r="C14" s="3">
        <f>AVERAGE(FI_OTU22_familia[CARB])</f>
        <v>6.01112842559814E-6</v>
      </c>
      <c r="D14" s="3">
        <f>AVERAGE(FI_OTU22_familia[MOIS])</f>
        <v>-2.8631091117858837E-5</v>
      </c>
      <c r="E14" s="3">
        <f>AVERAGE(FI_OTU22_familia[ALC])</f>
        <v>-5.6612491607665993E-5</v>
      </c>
      <c r="F14" s="3">
        <f>AVERAGE(FI_OTU22_familia[CAFF])</f>
        <v>-4.4298171997070268E-5</v>
      </c>
      <c r="G14" s="3">
        <f>AVERAGE(FI_OTU22_familia[THEO])</f>
        <v>-3.811120986938471E-5</v>
      </c>
      <c r="H14" s="3">
        <f>AVERAGE(FI_OTU22_familia[CALC])</f>
        <v>-4.4986605644226034E-5</v>
      </c>
      <c r="I14" s="3">
        <f>AVERAGE(FI_OTU22_familia[MAGN])</f>
        <v>-4.5976042747497513E-5</v>
      </c>
      <c r="J14" s="3">
        <f>AVERAGE(FI_OTU22_familia[POTA])</f>
        <v>-4.5552849769592251E-5</v>
      </c>
      <c r="K14" s="3">
        <f>AVERAGE(FI_OTU22_familia[ZINC])</f>
        <v>-8.7228417396545359E-5</v>
      </c>
      <c r="L14" s="3">
        <f>AVERAGE(FI_OTU22_familia[VC])</f>
        <v>-8.9353322982788026E-5</v>
      </c>
      <c r="M14" s="3">
        <f>AVERAGE(FI_OTU22_familia[VB1])</f>
        <v>-9.2247128486633225E-5</v>
      </c>
      <c r="N14" s="3">
        <f>AVERAGE(FI_OTU22_familia[VB6])</f>
        <v>-9.2300772666931082E-5</v>
      </c>
      <c r="O14" s="3">
        <f>AVERAGE(FI_OTU22_familia[VARA])</f>
        <v>-2.4002790451049774E-5</v>
      </c>
      <c r="P14" s="3">
        <f>AVERAGE(FI_OTU22_familia[ACAR])</f>
        <v>-1.9288063049316377E-5</v>
      </c>
      <c r="Q14" s="3">
        <f>AVERAGE(FI_OTU22_familia[CRYP])</f>
        <v>-3.716349601745592E-6</v>
      </c>
      <c r="R14" s="3">
        <f>AVERAGE(FI_OTU22_familia[LYCO])</f>
        <v>8.8760256767272846E-5</v>
      </c>
      <c r="S14" s="3">
        <f>AVERAGE(FI_OTU22_familia[ATOC])</f>
        <v>5.4800510406494078E-5</v>
      </c>
      <c r="T14" s="3">
        <f>AVERAGE(FI_OTU22_familia[VK])</f>
        <v>5.4594874382018991E-5</v>
      </c>
      <c r="U14" s="3">
        <f>AVERAGE(FI_OTU22_familia[CHOLE])</f>
        <v>5.8642029762268014E-5</v>
      </c>
      <c r="V14" s="3">
        <f>AVERAGE(FI_OTU22_familia[VITD])</f>
        <v>5.7405233383178665E-5</v>
      </c>
    </row>
    <row r="15" spans="1:22" x14ac:dyDescent="0.35">
      <c r="A15" s="4" t="s">
        <v>24</v>
      </c>
    </row>
    <row r="16" spans="1:22" x14ac:dyDescent="0.35">
      <c r="A16" s="3">
        <f>STDEV(FI_OTU22_familia[PROT])</f>
        <v>1.896285550041485E-6</v>
      </c>
      <c r="B16" s="3">
        <f>STDEV(FI_OTU22_familia[TFAT])</f>
        <v>1.4237208476879902E-6</v>
      </c>
      <c r="C16" s="3">
        <f>STDEV(FI_OTU22_familia[CARB])</f>
        <v>2.6740672465672477E-6</v>
      </c>
      <c r="D16" s="3">
        <f>STDEV(FI_OTU22_familia[MOIS])</f>
        <v>2.2405220666277087E-5</v>
      </c>
      <c r="E16" s="3">
        <f>STDEV(FI_OTU22_familia[ALC])</f>
        <v>1.0846116578037233E-6</v>
      </c>
      <c r="F16" s="3">
        <f>STDEV(FI_OTU22_familia[CAFF])</f>
        <v>4.119749941821358E-6</v>
      </c>
      <c r="G16" s="3">
        <f>STDEV(FI_OTU22_familia[THEO])</f>
        <v>5.6688129258290894E-6</v>
      </c>
      <c r="H16" s="3">
        <f>STDEV(FI_OTU22_familia[CALC])</f>
        <v>1.238355928409538E-5</v>
      </c>
      <c r="I16" s="3">
        <f>STDEV(FI_OTU22_familia[MAGN])</f>
        <v>6.3027672685209569E-6</v>
      </c>
      <c r="J16" s="3">
        <f>STDEV(FI_OTU22_familia[POTA])</f>
        <v>1.6820466720659914E-5</v>
      </c>
      <c r="K16" s="3">
        <f>STDEV(FI_OTU22_familia[ZINC])</f>
        <v>8.9102354181677214E-7</v>
      </c>
      <c r="L16" s="3">
        <f>STDEV(FI_OTU22_familia[VC])</f>
        <v>3.9306138769403777E-6</v>
      </c>
      <c r="M16" s="3">
        <f>STDEV(FI_OTU22_familia[VB1])</f>
        <v>3.9860412771945316E-8</v>
      </c>
      <c r="N16" s="3">
        <f>STDEV(FI_OTU22_familia[VB6])</f>
        <v>8.9351760632859351E-8</v>
      </c>
      <c r="O16" s="3">
        <f>STDEV(FI_OTU22_familia[VARA])</f>
        <v>2.5056391830197359E-5</v>
      </c>
      <c r="P16" s="3">
        <f>STDEV(FI_OTU22_familia[ACAR])</f>
        <v>2.188493478906613E-5</v>
      </c>
      <c r="Q16" s="3">
        <f>STDEV(FI_OTU22_familia[CRYP])</f>
        <v>6.4283739112285067E-6</v>
      </c>
      <c r="R16" s="3">
        <f>STDEV(FI_OTU22_familia[LYCO])</f>
        <v>5.4764324380469777E-5</v>
      </c>
      <c r="S16" s="3">
        <f>STDEV(FI_OTU22_familia[ATOC])</f>
        <v>2.3998632501249525E-7</v>
      </c>
      <c r="T16" s="3">
        <f>STDEV(FI_OTU22_familia[VK])</f>
        <v>7.879600406142957E-6</v>
      </c>
      <c r="U16" s="3">
        <f>STDEV(FI_OTU22_familia[CHOLE])</f>
        <v>8.8346341699082462E-6</v>
      </c>
      <c r="V16" s="3">
        <f>STDEV(FI_OTU22_familia[VITD])</f>
        <v>5.3805825913725489E-7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25EB-DCF0-4139-8014-ADDBA93AD1D9}">
  <dimension ref="A1:V16"/>
  <sheetViews>
    <sheetView workbookViewId="0">
      <selection activeCell="A16" sqref="A16:V16"/>
    </sheetView>
  </sheetViews>
  <sheetFormatPr baseColWidth="10" defaultRowHeight="14.5" x14ac:dyDescent="0.35"/>
  <cols>
    <col min="1" max="17" width="22.81640625" style="3" bestFit="1" customWidth="1"/>
    <col min="18" max="22" width="22.1796875" style="3" bestFit="1" customWidth="1"/>
  </cols>
  <sheetData>
    <row r="1" spans="1:2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5">
      <c r="A2" s="3">
        <v>7.4505805969238202E-8</v>
      </c>
      <c r="B2" s="3">
        <v>-6.8545341491699198E-7</v>
      </c>
      <c r="C2" s="3">
        <v>-3.4496188163757299E-6</v>
      </c>
      <c r="D2" s="3">
        <v>-1.42529606819152E-5</v>
      </c>
      <c r="E2" s="3">
        <v>-5.88595867156982E-7</v>
      </c>
      <c r="F2" s="3">
        <v>-6.1690807342529297E-6</v>
      </c>
      <c r="G2" s="3">
        <v>-1.6093254089355401E-6</v>
      </c>
      <c r="H2" s="3">
        <v>-1.52438879013061E-5</v>
      </c>
      <c r="I2" s="3">
        <v>-2.35587358474731E-5</v>
      </c>
      <c r="J2" s="3">
        <v>-1.7002224922180101E-5</v>
      </c>
      <c r="K2" s="3">
        <v>-1.9475817680358799E-5</v>
      </c>
      <c r="L2" s="3">
        <v>-1.7106533050537099E-5</v>
      </c>
      <c r="M2" s="3">
        <v>-1.6912817955016998E-5</v>
      </c>
      <c r="N2" s="3">
        <v>-1.6801059246063199E-5</v>
      </c>
      <c r="O2" s="3">
        <v>-1.21742486953735E-5</v>
      </c>
      <c r="P2" s="3">
        <v>-2.3961067199707001E-5</v>
      </c>
      <c r="Q2" s="3">
        <v>-2.2925436496734599E-5</v>
      </c>
      <c r="R2" s="3">
        <v>4.3660402297973599E-5</v>
      </c>
      <c r="S2" s="3">
        <v>4.4956803321838298E-5</v>
      </c>
      <c r="T2" s="3">
        <v>4.3325126171112E-5</v>
      </c>
      <c r="U2" s="3">
        <v>4.6417117118835402E-5</v>
      </c>
      <c r="V2" s="3">
        <v>4.5910477638244602E-5</v>
      </c>
    </row>
    <row r="3" spans="1:22" x14ac:dyDescent="0.35">
      <c r="A3" s="3">
        <v>-1.8775463104248E-6</v>
      </c>
      <c r="B3" s="3">
        <v>-2.5182962417602501E-6</v>
      </c>
      <c r="C3" s="3">
        <v>-2.5853514671325599E-6</v>
      </c>
      <c r="D3" s="3">
        <v>3.86685132980346E-6</v>
      </c>
      <c r="E3" s="3">
        <v>-6.8545341491699198E-7</v>
      </c>
      <c r="F3" s="3">
        <v>2.0638108253479E-6</v>
      </c>
      <c r="G3" s="3">
        <v>3.97861003875732E-6</v>
      </c>
      <c r="H3" s="3">
        <v>-2.0362436771392799E-5</v>
      </c>
      <c r="I3" s="3">
        <v>-2.0384788513183499E-5</v>
      </c>
      <c r="J3" s="3">
        <v>-1.91852450370788E-5</v>
      </c>
      <c r="K3" s="3">
        <v>-1.94907188415527E-5</v>
      </c>
      <c r="L3" s="3">
        <v>-1.41486525535583E-5</v>
      </c>
      <c r="M3" s="3">
        <v>-1.69351696968078E-5</v>
      </c>
      <c r="N3" s="3">
        <v>-1.67787075042724E-5</v>
      </c>
      <c r="O3" s="3">
        <v>-1.6078352928161601E-5</v>
      </c>
      <c r="P3" s="3">
        <v>-3.0472874641418399E-5</v>
      </c>
      <c r="Q3" s="3">
        <v>-1.45137310028076E-5</v>
      </c>
      <c r="R3" s="3">
        <v>1.7799437046051002E-5</v>
      </c>
      <c r="S3" s="3">
        <v>4.5053660869598301E-5</v>
      </c>
      <c r="T3" s="3">
        <v>4.35858964920043E-5</v>
      </c>
      <c r="U3" s="3">
        <v>4.3615698814392002E-5</v>
      </c>
      <c r="V3" s="3">
        <v>4.61414456367492E-5</v>
      </c>
    </row>
    <row r="4" spans="1:22" x14ac:dyDescent="0.35">
      <c r="A4" s="3">
        <v>-1.5720725059509199E-6</v>
      </c>
      <c r="B4" s="3">
        <v>-2.6151537895202599E-6</v>
      </c>
      <c r="C4" s="3">
        <v>-5.2303075790405197E-6</v>
      </c>
      <c r="D4" s="3">
        <v>-6.9066882133483802E-6</v>
      </c>
      <c r="E4" s="3">
        <v>-1.08778476715087E-6</v>
      </c>
      <c r="F4" s="3">
        <v>5.2154064178466797E-7</v>
      </c>
      <c r="G4" s="3">
        <v>9.0152025222778299E-7</v>
      </c>
      <c r="H4" s="3">
        <v>-1.5489757061004601E-5</v>
      </c>
      <c r="I4" s="3">
        <v>-1.46478414535522E-5</v>
      </c>
      <c r="J4" s="3">
        <v>-1.2539327144622799E-5</v>
      </c>
      <c r="K4" s="3">
        <v>-1.9252300262451101E-5</v>
      </c>
      <c r="L4" s="3">
        <v>-1.6525387763977E-5</v>
      </c>
      <c r="M4" s="3">
        <v>-1.69351696968078E-5</v>
      </c>
      <c r="N4" s="3">
        <v>-1.6808509826660099E-5</v>
      </c>
      <c r="O4" s="3">
        <v>-2.0429491996765099E-5</v>
      </c>
      <c r="P4" s="3">
        <v>-2.55554914474487E-5</v>
      </c>
      <c r="Q4" s="3">
        <v>-1.6584992408752401E-5</v>
      </c>
      <c r="R4" s="3">
        <v>1.7702579498290999E-5</v>
      </c>
      <c r="S4" s="3">
        <v>4.4755637645721402E-5</v>
      </c>
      <c r="T4" s="3">
        <v>4.9389898777008002E-5</v>
      </c>
      <c r="U4" s="3">
        <v>4.1291117668151801E-5</v>
      </c>
      <c r="V4" s="3">
        <v>4.6044588088989197E-5</v>
      </c>
    </row>
    <row r="5" spans="1:22" x14ac:dyDescent="0.35">
      <c r="A5" s="3">
        <v>-1.5720725059509199E-6</v>
      </c>
      <c r="B5" s="3">
        <v>-2.3245811462402301E-6</v>
      </c>
      <c r="C5" s="3">
        <v>-4.0680170059204102E-6</v>
      </c>
      <c r="D5" s="3">
        <v>1.23381614685058E-5</v>
      </c>
      <c r="E5" s="3">
        <v>-6.2584877014160103E-7</v>
      </c>
      <c r="F5" s="3">
        <v>-2.0489096641540502E-6</v>
      </c>
      <c r="G5" s="3">
        <v>4.2095780372619603E-6</v>
      </c>
      <c r="H5" s="3">
        <v>-6.0796737670898404E-6</v>
      </c>
      <c r="I5" s="3">
        <v>-7.3835253715515103E-6</v>
      </c>
      <c r="J5" s="3">
        <v>-2.8803944587707499E-5</v>
      </c>
      <c r="K5" s="3">
        <v>-1.91852450370788E-5</v>
      </c>
      <c r="L5" s="3">
        <v>-1.9557774066925001E-5</v>
      </c>
      <c r="M5" s="3">
        <v>-1.6868114471435499E-5</v>
      </c>
      <c r="N5" s="3">
        <v>-1.6823410987854001E-5</v>
      </c>
      <c r="O5" s="3">
        <v>-2.7574598789215E-5</v>
      </c>
      <c r="P5" s="3">
        <v>-1.9721686840057299E-5</v>
      </c>
      <c r="Q5" s="3">
        <v>-2.10106372833251E-5</v>
      </c>
      <c r="R5" s="3">
        <v>8.3461403846740696E-5</v>
      </c>
      <c r="S5" s="3">
        <v>4.4673681259155199E-5</v>
      </c>
      <c r="T5" s="3">
        <v>4.8689544200897203E-5</v>
      </c>
      <c r="U5" s="3">
        <v>5.1409006118774401E-5</v>
      </c>
      <c r="V5" s="3">
        <v>4.6215951442718499E-5</v>
      </c>
    </row>
    <row r="6" spans="1:22" x14ac:dyDescent="0.35">
      <c r="A6" s="3">
        <v>-1.5124678611755299E-6</v>
      </c>
      <c r="B6" s="3">
        <v>-2.2649765014648399E-6</v>
      </c>
      <c r="C6" s="3">
        <v>-3.5837292671203601E-6</v>
      </c>
      <c r="D6" s="3">
        <v>1.4826655387878401E-6</v>
      </c>
      <c r="E6" s="3">
        <v>-3.9488077163696199E-7</v>
      </c>
      <c r="F6" s="3">
        <v>-3.0919909477233802E-6</v>
      </c>
      <c r="G6" s="3">
        <v>1.07288360595703E-6</v>
      </c>
      <c r="H6" s="3">
        <v>-1.29342079162597E-5</v>
      </c>
      <c r="I6" s="3">
        <v>-1.7412006855010902E-5</v>
      </c>
      <c r="J6" s="3">
        <v>-1.5981495380401601E-5</v>
      </c>
      <c r="K6" s="3">
        <v>-1.9297003746032701E-5</v>
      </c>
      <c r="L6" s="3">
        <v>-1.9319355487823402E-5</v>
      </c>
      <c r="M6" s="3">
        <v>-1.6920268535614E-5</v>
      </c>
      <c r="N6" s="3">
        <v>-1.6890466213226301E-5</v>
      </c>
      <c r="O6" s="3">
        <v>-8.56071710586547E-6</v>
      </c>
      <c r="P6" s="3">
        <v>-3.0070543289184499E-5</v>
      </c>
      <c r="Q6" s="3">
        <v>-1.9811093807220401E-5</v>
      </c>
      <c r="R6" s="3">
        <v>1.88425183296203E-5</v>
      </c>
      <c r="S6" s="3">
        <v>4.5016407966613702E-5</v>
      </c>
      <c r="T6" s="3">
        <v>4.4293701648712097E-5</v>
      </c>
      <c r="U6" s="3">
        <v>4.2542815208434998E-5</v>
      </c>
      <c r="V6" s="3">
        <v>4.6074390411376899E-5</v>
      </c>
    </row>
    <row r="7" spans="1:22" x14ac:dyDescent="0.35">
      <c r="A7" s="3">
        <v>-1.27404928207397E-6</v>
      </c>
      <c r="B7" s="3">
        <v>-2.1010637283325098E-6</v>
      </c>
      <c r="C7" s="3">
        <v>-1.4975666999816799E-6</v>
      </c>
      <c r="D7" s="3">
        <v>8.6724758148193292E-6</v>
      </c>
      <c r="E7" s="3">
        <v>-5.7369470596313402E-7</v>
      </c>
      <c r="F7" s="3">
        <v>3.1590461730957002E-6</v>
      </c>
      <c r="G7" s="3">
        <v>-2.4959444999694799E-6</v>
      </c>
      <c r="H7" s="3">
        <v>5.4091215133666899E-6</v>
      </c>
      <c r="I7" s="3">
        <v>-1.28224492073059E-5</v>
      </c>
      <c r="J7" s="3">
        <v>-2.22399830818176E-5</v>
      </c>
      <c r="K7" s="3">
        <v>-1.8998980522155701E-5</v>
      </c>
      <c r="L7" s="3">
        <v>-2.0056962966918901E-5</v>
      </c>
      <c r="M7" s="3">
        <v>-1.70245766639709E-5</v>
      </c>
      <c r="N7" s="3">
        <v>-1.6853213310241699E-5</v>
      </c>
      <c r="O7" s="3">
        <v>-4.0903687477111799E-6</v>
      </c>
      <c r="P7" s="3">
        <v>-2.4713575839996301E-5</v>
      </c>
      <c r="Q7" s="3">
        <v>-2.3320317268371501E-5</v>
      </c>
      <c r="R7" s="3">
        <v>5.2228569984436001E-6</v>
      </c>
      <c r="S7" s="3">
        <v>4.5187771320342997E-5</v>
      </c>
      <c r="T7" s="3">
        <v>4.4539570808410597E-5</v>
      </c>
      <c r="U7" s="3">
        <v>4.6916306018829298E-5</v>
      </c>
      <c r="V7" s="3">
        <v>4.5917928218841499E-5</v>
      </c>
    </row>
    <row r="8" spans="1:22" x14ac:dyDescent="0.35">
      <c r="A8" s="3">
        <v>-6.70552253723144E-7</v>
      </c>
      <c r="B8" s="3">
        <v>-3.3080577850341699E-6</v>
      </c>
      <c r="C8" s="3">
        <v>-4.93228435516357E-6</v>
      </c>
      <c r="D8" s="3">
        <v>-3.3453106880187899E-6</v>
      </c>
      <c r="E8" s="3">
        <v>-2.08616256713867E-7</v>
      </c>
      <c r="F8" s="3">
        <v>-9.1418623924255303E-6</v>
      </c>
      <c r="G8" s="3">
        <v>4.4852495193481403E-6</v>
      </c>
      <c r="H8" s="3">
        <v>-7.6144933700561498E-6</v>
      </c>
      <c r="I8" s="3">
        <v>-1.3805925846099799E-5</v>
      </c>
      <c r="J8" s="3">
        <v>-4.2915344238281199E-6</v>
      </c>
      <c r="K8" s="3">
        <v>-1.94311141967773E-5</v>
      </c>
      <c r="L8" s="3">
        <v>-1.8581748008728E-5</v>
      </c>
      <c r="M8" s="3">
        <v>-1.6890466213226301E-5</v>
      </c>
      <c r="N8" s="3">
        <v>-1.6748905181884701E-5</v>
      </c>
      <c r="O8" s="3">
        <v>-2.0541250705718899E-5</v>
      </c>
      <c r="P8" s="3">
        <v>-3.3773481845855699E-5</v>
      </c>
      <c r="Q8" s="3">
        <v>-1.8104910850524899E-5</v>
      </c>
      <c r="R8" s="3">
        <v>5.9030950069427402E-5</v>
      </c>
      <c r="S8" s="3">
        <v>4.5262277126312202E-5</v>
      </c>
      <c r="T8" s="3">
        <v>4.4204294681548998E-5</v>
      </c>
      <c r="U8" s="3">
        <v>4.4837594032287598E-5</v>
      </c>
      <c r="V8" s="3">
        <v>4.6059489250183099E-5</v>
      </c>
    </row>
    <row r="9" spans="1:22" x14ac:dyDescent="0.35">
      <c r="A9" s="3">
        <v>-1.8775463104248E-6</v>
      </c>
      <c r="B9" s="3">
        <v>-8.3446502685546801E-7</v>
      </c>
      <c r="C9" s="3">
        <v>-3.5092234611511201E-6</v>
      </c>
      <c r="D9" s="3">
        <v>3.8370490074157698E-6</v>
      </c>
      <c r="E9" s="3">
        <v>-2.6077032089233398E-7</v>
      </c>
      <c r="F9" s="3">
        <v>-1.1511147022247299E-5</v>
      </c>
      <c r="G9" s="3">
        <v>4.6715140342712402E-6</v>
      </c>
      <c r="H9" s="3">
        <v>-1.18166208267211E-5</v>
      </c>
      <c r="I9" s="3">
        <v>-6.8172812461853002E-6</v>
      </c>
      <c r="J9" s="3">
        <v>-9.3802809715270996E-6</v>
      </c>
      <c r="K9" s="3">
        <v>-1.9572675228118802E-5</v>
      </c>
      <c r="L9" s="3">
        <v>-1.6525387763977E-5</v>
      </c>
      <c r="M9" s="3">
        <v>-1.6897916793823202E-5</v>
      </c>
      <c r="N9" s="3">
        <v>-1.6808509826660099E-5</v>
      </c>
      <c r="O9" s="3">
        <v>-1.22338533401489E-5</v>
      </c>
      <c r="P9" s="3">
        <v>-3.0741095542907701E-5</v>
      </c>
      <c r="Q9" s="3">
        <v>-2.0012259483337399E-5</v>
      </c>
      <c r="R9" s="3">
        <v>3.7327408790588298E-5</v>
      </c>
      <c r="S9" s="3">
        <v>4.5292079448699897E-5</v>
      </c>
      <c r="T9" s="3">
        <v>3.9748847484588603E-5</v>
      </c>
      <c r="U9" s="3">
        <v>4.2073428630828803E-5</v>
      </c>
      <c r="V9" s="3">
        <v>4.6133995056152303E-5</v>
      </c>
    </row>
    <row r="10" spans="1:22" x14ac:dyDescent="0.35">
      <c r="A10" s="3">
        <v>1.77323818206787E-6</v>
      </c>
      <c r="B10" s="3">
        <v>-1.3411045074462801E-7</v>
      </c>
      <c r="C10" s="3">
        <v>-5.0812959671020499E-6</v>
      </c>
      <c r="D10" s="3">
        <v>7.1749091148376397E-6</v>
      </c>
      <c r="E10" s="3">
        <v>-1.89244747161865E-6</v>
      </c>
      <c r="F10" s="3">
        <v>6.5341591835021896E-6</v>
      </c>
      <c r="G10" s="3">
        <v>2.98023223876953E-6</v>
      </c>
      <c r="H10" s="3">
        <v>-1.2665987014770499E-6</v>
      </c>
      <c r="I10" s="3">
        <v>-1.6212463378906199E-5</v>
      </c>
      <c r="J10" s="3">
        <v>7.48038291931152E-6</v>
      </c>
      <c r="K10" s="3">
        <v>-1.8961727619171099E-5</v>
      </c>
      <c r="L10" s="3">
        <v>-1.2882053852081201E-5</v>
      </c>
      <c r="M10" s="3">
        <v>-1.6808509826660099E-5</v>
      </c>
      <c r="N10" s="3">
        <v>-1.67861580848693E-5</v>
      </c>
      <c r="O10" s="3">
        <v>-2.0228326320648098E-5</v>
      </c>
      <c r="P10" s="3">
        <v>-2.9712915420532199E-5</v>
      </c>
      <c r="Q10" s="3">
        <v>-1.6599893569946201E-5</v>
      </c>
      <c r="R10" s="3">
        <v>5.7123601436614902E-5</v>
      </c>
      <c r="S10" s="3">
        <v>4.4912099838256802E-5</v>
      </c>
      <c r="T10" s="3">
        <v>4.2431056499481201E-5</v>
      </c>
      <c r="U10" s="3">
        <v>4.36380505561828E-5</v>
      </c>
      <c r="V10" s="3">
        <v>4.6327710151672302E-5</v>
      </c>
    </row>
    <row r="11" spans="1:22" x14ac:dyDescent="0.35">
      <c r="A11" s="3">
        <v>-4.93228435516357E-6</v>
      </c>
      <c r="B11" s="3">
        <v>-1.8477439880371001E-6</v>
      </c>
      <c r="C11" s="3">
        <v>-5.4240226745605401E-6</v>
      </c>
      <c r="D11" s="3">
        <v>-7.8976154327392504E-7</v>
      </c>
      <c r="E11" s="3">
        <v>-9.834766387939451E-7</v>
      </c>
      <c r="F11" s="3">
        <v>3.1292438507079999E-7</v>
      </c>
      <c r="G11" s="3">
        <v>-6.1839818954467699E-7</v>
      </c>
      <c r="H11" s="3">
        <v>-1.5564262866973799E-5</v>
      </c>
      <c r="I11" s="3">
        <v>-2.1316111087799001E-5</v>
      </c>
      <c r="J11" s="3">
        <v>-1.9252300262451101E-5</v>
      </c>
      <c r="K11" s="3">
        <v>-1.9550323486328101E-5</v>
      </c>
      <c r="L11" s="3">
        <v>-1.68830156326293E-5</v>
      </c>
      <c r="M11" s="3">
        <v>-1.6897916793823202E-5</v>
      </c>
      <c r="N11" s="3">
        <v>-1.6853213310241699E-5</v>
      </c>
      <c r="O11" s="3">
        <v>-2.4490058422088599E-5</v>
      </c>
      <c r="P11" s="3">
        <v>-1.9110739231109599E-5</v>
      </c>
      <c r="Q11" s="3">
        <v>-1.2293457984924299E-5</v>
      </c>
      <c r="R11" s="3">
        <v>4.5016407966613702E-5</v>
      </c>
      <c r="S11" s="3">
        <v>4.5269727706909098E-5</v>
      </c>
      <c r="T11" s="3">
        <v>4.1849911212921102E-5</v>
      </c>
      <c r="U11" s="3">
        <v>4.6335160732269199E-5</v>
      </c>
      <c r="V11" s="3">
        <v>4.6089291572570801E-5</v>
      </c>
    </row>
    <row r="13" spans="1:22" x14ac:dyDescent="0.35">
      <c r="A13" s="4" t="s">
        <v>23</v>
      </c>
    </row>
    <row r="14" spans="1:22" x14ac:dyDescent="0.35">
      <c r="A14" s="3">
        <f>AVERAGE(FI_OTU22_filo[PROT])</f>
        <v>-1.3440847396850546E-6</v>
      </c>
      <c r="B14" s="3">
        <f>AVERAGE(FI_OTU22_filo[TFAT])</f>
        <v>-1.8633902072906447E-6</v>
      </c>
      <c r="C14" s="3">
        <f>AVERAGE(FI_OTU22_filo[CARB])</f>
        <v>-3.9361417293548538E-6</v>
      </c>
      <c r="D14" s="3">
        <f>AVERAGE(FI_OTU22_filo[MOIS])</f>
        <v>1.2077391147613542E-6</v>
      </c>
      <c r="E14" s="3">
        <f>AVERAGE(FI_OTU22_filo[ALC])</f>
        <v>-7.3015689849853378E-7</v>
      </c>
      <c r="F14" s="3">
        <f>AVERAGE(FI_OTU22_filo[CAFF])</f>
        <v>-1.9371509552001932E-6</v>
      </c>
      <c r="G14" s="3">
        <f>AVERAGE(FI_OTU22_filo[THEO])</f>
        <v>1.7575919628143307E-6</v>
      </c>
      <c r="H14" s="3">
        <f>AVERAGE(FI_OTU22_filo[CALC])</f>
        <v>-1.0096281766891445E-5</v>
      </c>
      <c r="I14" s="3">
        <f>AVERAGE(FI_OTU22_filo[MAGN])</f>
        <v>-1.5436112880706741E-5</v>
      </c>
      <c r="J14" s="3">
        <f>AVERAGE(FI_OTU22_filo[POTA])</f>
        <v>-1.4119595289230317E-5</v>
      </c>
      <c r="K14" s="3">
        <f>AVERAGE(FI_OTU22_filo[ZINC])</f>
        <v>-1.9321590662002507E-5</v>
      </c>
      <c r="L14" s="3">
        <f>AVERAGE(FI_OTU22_filo[VC])</f>
        <v>-1.7158687114715515E-5</v>
      </c>
      <c r="M14" s="3">
        <f>AVERAGE(FI_OTU22_filo[VB1])</f>
        <v>-1.690909266471858E-5</v>
      </c>
      <c r="N14" s="3">
        <f>AVERAGE(FI_OTU22_filo[VB6])</f>
        <v>-1.6815215349197351E-5</v>
      </c>
      <c r="O14" s="3">
        <f>AVERAGE(FI_OTU22_filo[VARA])</f>
        <v>-1.6640126705169631E-5</v>
      </c>
      <c r="P14" s="3">
        <f>AVERAGE(FI_OTU22_filo[ACAR])</f>
        <v>-2.6783347129821745E-5</v>
      </c>
      <c r="Q14" s="3">
        <f>AVERAGE(FI_OTU22_filo[CRYP])</f>
        <v>-1.8517673015594439E-5</v>
      </c>
      <c r="R14" s="3">
        <f>AVERAGE(FI_OTU22_filo[LYCO])</f>
        <v>3.8518756628036449E-5</v>
      </c>
      <c r="S14" s="3">
        <f>AVERAGE(FI_OTU22_filo[ATOC])</f>
        <v>4.5038014650344792E-5</v>
      </c>
      <c r="T14" s="3">
        <f>AVERAGE(FI_OTU22_filo[VK])</f>
        <v>4.4205784797668415E-5</v>
      </c>
      <c r="U14" s="3">
        <f>AVERAGE(FI_OTU22_filo[CHOLE])</f>
        <v>4.4907629489898625E-5</v>
      </c>
      <c r="V14" s="3">
        <f>AVERAGE(FI_OTU22_filo[VITD])</f>
        <v>4.6091526746749839E-5</v>
      </c>
    </row>
    <row r="15" spans="1:22" x14ac:dyDescent="0.35">
      <c r="A15" s="4" t="s">
        <v>24</v>
      </c>
    </row>
    <row r="16" spans="1:22" x14ac:dyDescent="0.35">
      <c r="A16" s="3">
        <f>STDEV(FI_OTU22_filo[PROT])</f>
        <v>1.6919844037843003E-6</v>
      </c>
      <c r="B16" s="3">
        <f>STDEV(FI_OTU22_filo[TFAT])</f>
        <v>9.971318612519957E-7</v>
      </c>
      <c r="C16" s="3">
        <f>STDEV(FI_OTU22_filo[CARB])</f>
        <v>1.2703527595762251E-6</v>
      </c>
      <c r="D16" s="3">
        <f>STDEV(FI_OTU22_filo[MOIS])</f>
        <v>7.8801641752337571E-6</v>
      </c>
      <c r="E16" s="3">
        <f>STDEV(FI_OTU22_filo[ALC])</f>
        <v>4.9498877333065462E-7</v>
      </c>
      <c r="F16" s="3">
        <f>STDEV(FI_OTU22_filo[CAFF])</f>
        <v>5.6536582244461626E-6</v>
      </c>
      <c r="G16" s="3">
        <f>STDEV(FI_OTU22_filo[THEO])</f>
        <v>2.6801074267798459E-6</v>
      </c>
      <c r="H16" s="3">
        <f>STDEV(FI_OTU22_filo[CALC])</f>
        <v>7.7643545861159935E-6</v>
      </c>
      <c r="I16" s="3">
        <f>STDEV(FI_OTU22_filo[MAGN])</f>
        <v>5.5656305835209949E-6</v>
      </c>
      <c r="J16" s="3">
        <f>STDEV(FI_OTU22_filo[POTA])</f>
        <v>1.0184196319550617E-5</v>
      </c>
      <c r="K16" s="3">
        <f>STDEV(FI_OTU22_filo[ZINC])</f>
        <v>2.204345205157211E-7</v>
      </c>
      <c r="L16" s="3">
        <f>STDEV(FI_OTU22_filo[VC])</f>
        <v>2.3352364219237246E-6</v>
      </c>
      <c r="M16" s="3">
        <f>STDEV(FI_OTU22_filo[VB1])</f>
        <v>5.5003252104793851E-8</v>
      </c>
      <c r="N16" s="3">
        <f>STDEV(FI_OTU22_filo[VB6])</f>
        <v>4.1475642220485692E-8</v>
      </c>
      <c r="O16" s="3">
        <f>STDEV(FI_OTU22_filo[VARA])</f>
        <v>7.3491158000636996E-6</v>
      </c>
      <c r="P16" s="3">
        <f>STDEV(FI_OTU22_filo[ACAR])</f>
        <v>4.9443480960784075E-6</v>
      </c>
      <c r="Q16" s="3">
        <f>STDEV(FI_OTU22_filo[CRYP])</f>
        <v>3.5741553305682452E-6</v>
      </c>
      <c r="R16" s="3">
        <f>STDEV(FI_OTU22_filo[LYCO])</f>
        <v>2.4072072088933472E-5</v>
      </c>
      <c r="S16" s="3">
        <f>STDEV(FI_OTU22_filo[ATOC])</f>
        <v>2.1771480991249209E-7</v>
      </c>
      <c r="T16" s="3">
        <f>STDEV(FI_OTU22_filo[VK])</f>
        <v>2.9216090135286084E-6</v>
      </c>
      <c r="U16" s="3">
        <f>STDEV(FI_OTU22_filo[CHOLE])</f>
        <v>2.9927523039466184E-6</v>
      </c>
      <c r="V16" s="3">
        <f>STDEV(FI_OTU22_filo[VITD])</f>
        <v>1.2561098499586227E-7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670D-AFA4-4C72-A6A9-59120F91BD6F}">
  <dimension ref="A1:V16"/>
  <sheetViews>
    <sheetView workbookViewId="0">
      <selection activeCell="A16" sqref="A16:V16"/>
    </sheetView>
  </sheetViews>
  <sheetFormatPr baseColWidth="10" defaultRowHeight="14.5" x14ac:dyDescent="0.35"/>
  <cols>
    <col min="1" max="2" width="22.81640625" style="3" bestFit="1" customWidth="1"/>
    <col min="3" max="3" width="22.1796875" style="3" bestFit="1" customWidth="1"/>
    <col min="4" max="10" width="22.81640625" style="3" bestFit="1" customWidth="1"/>
    <col min="11" max="22" width="22.1796875" style="3" bestFit="1" customWidth="1"/>
  </cols>
  <sheetData>
    <row r="1" spans="1:2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5">
      <c r="A2" s="3">
        <v>-2.11596488952636E-6</v>
      </c>
      <c r="B2" s="3">
        <v>2.6226043701171799E-6</v>
      </c>
      <c r="C2" s="3">
        <v>8.0466270446777293E-6</v>
      </c>
      <c r="D2" s="3">
        <v>1.8626451492309499E-5</v>
      </c>
      <c r="E2" s="3">
        <v>-2.25007534027099E-5</v>
      </c>
      <c r="F2" s="3">
        <v>-2.3335218429565399E-5</v>
      </c>
      <c r="G2" s="3">
        <v>-1.8209218978881799E-5</v>
      </c>
      <c r="H2" s="3">
        <v>-9.0003013610839793E-6</v>
      </c>
      <c r="I2" s="3">
        <v>9.9539756774902293E-6</v>
      </c>
      <c r="J2" s="3">
        <v>-1.11758708953857E-5</v>
      </c>
      <c r="K2" s="3">
        <v>1.23083591461181E-5</v>
      </c>
      <c r="L2" s="3">
        <v>1.2397766113281199E-5</v>
      </c>
      <c r="M2" s="3">
        <v>7.3015689849853499E-6</v>
      </c>
      <c r="N2" s="3">
        <v>7.8678131103515608E-6</v>
      </c>
      <c r="O2" s="3">
        <v>6.9379806518554606E-5</v>
      </c>
      <c r="P2" s="3">
        <v>7.4714422225952094E-5</v>
      </c>
      <c r="Q2" s="3">
        <v>3.7848949432372999E-5</v>
      </c>
      <c r="R2" s="3">
        <v>9.4711780548095703E-5</v>
      </c>
      <c r="S2" s="3">
        <v>4.28855419158935E-5</v>
      </c>
      <c r="T2" s="3">
        <v>3.2156705856323202E-5</v>
      </c>
      <c r="U2" s="3">
        <v>6.3657760620117106E-5</v>
      </c>
      <c r="V2" s="3">
        <v>5.1856040954589803E-5</v>
      </c>
    </row>
    <row r="3" spans="1:22" x14ac:dyDescent="0.35">
      <c r="A3" s="3">
        <v>-5.9604644775390604E-7</v>
      </c>
      <c r="B3" s="3">
        <v>2.2649765014648399E-6</v>
      </c>
      <c r="C3" s="3">
        <v>8.3148479461669905E-6</v>
      </c>
      <c r="D3" s="3">
        <v>3.4272670745849601E-6</v>
      </c>
      <c r="E3" s="3">
        <v>-2.3722648620605401E-5</v>
      </c>
      <c r="F3" s="3">
        <v>-3.6388635635375902E-5</v>
      </c>
      <c r="G3" s="3">
        <v>-1.6212463378906199E-5</v>
      </c>
      <c r="H3" s="3">
        <v>-3.1262636184692301E-5</v>
      </c>
      <c r="I3" s="3">
        <v>-8.2552433013915999E-6</v>
      </c>
      <c r="J3" s="3">
        <v>-3.24249267578125E-5</v>
      </c>
      <c r="K3" s="3">
        <v>1.79409980773925E-5</v>
      </c>
      <c r="L3" s="3">
        <v>1.30832195281982E-5</v>
      </c>
      <c r="M3" s="3">
        <v>7.3015689849853499E-6</v>
      </c>
      <c r="N3" s="3">
        <v>6.8843364715576104E-6</v>
      </c>
      <c r="O3" s="3">
        <v>3.9041042327880798E-5</v>
      </c>
      <c r="P3" s="3">
        <v>6.0200691223144497E-5</v>
      </c>
      <c r="Q3" s="3">
        <v>4.9382448196411099E-5</v>
      </c>
      <c r="R3" s="3">
        <v>1.2218952178955E-6</v>
      </c>
      <c r="S3" s="3">
        <v>4.2676925659179599E-5</v>
      </c>
      <c r="T3" s="3">
        <v>3.3646821975708001E-5</v>
      </c>
      <c r="U3" s="3">
        <v>5.2481889724731398E-5</v>
      </c>
      <c r="V3" s="3">
        <v>5.1379203796386698E-5</v>
      </c>
    </row>
    <row r="4" spans="1:22" x14ac:dyDescent="0.35">
      <c r="A4" s="3">
        <v>3.06963920593261E-6</v>
      </c>
      <c r="B4" s="3">
        <v>5.2154064178466797E-6</v>
      </c>
      <c r="C4" s="3">
        <v>2.8908252716064398E-6</v>
      </c>
      <c r="D4" s="3">
        <v>-9.6559524536132796E-6</v>
      </c>
      <c r="E4" s="3">
        <v>-2.4735927581787099E-5</v>
      </c>
      <c r="F4" s="3">
        <v>-1.11758708953857E-5</v>
      </c>
      <c r="G4" s="3">
        <v>-1.9788742065429599E-5</v>
      </c>
      <c r="H4" s="3">
        <v>-1.9848346710205E-5</v>
      </c>
      <c r="I4" s="3">
        <v>-9.7751617431640608E-6</v>
      </c>
      <c r="J4" s="3">
        <v>1.57654285430908E-5</v>
      </c>
      <c r="K4" s="3">
        <v>1.99973583221435E-5</v>
      </c>
      <c r="L4" s="3">
        <v>6.0796737670898404E-6</v>
      </c>
      <c r="M4" s="3">
        <v>7.4207782745361303E-6</v>
      </c>
      <c r="N4" s="3">
        <v>6.91413879394531E-6</v>
      </c>
      <c r="O4" s="3">
        <v>2.5510787963867099E-5</v>
      </c>
      <c r="P4" s="3">
        <v>4.4107437133789002E-5</v>
      </c>
      <c r="Q4" s="3">
        <v>4.3690204620361301E-5</v>
      </c>
      <c r="R4" s="3">
        <v>5.7786703109741197E-5</v>
      </c>
      <c r="S4" s="3">
        <v>4.2945146560668898E-5</v>
      </c>
      <c r="T4" s="3">
        <v>3.7014484405517497E-5</v>
      </c>
      <c r="U4" s="3">
        <v>4.5984983444213799E-5</v>
      </c>
      <c r="V4" s="3">
        <v>5.1826238632202101E-5</v>
      </c>
    </row>
    <row r="5" spans="1:22" x14ac:dyDescent="0.35">
      <c r="A5" s="3">
        <v>3.4570693969726499E-6</v>
      </c>
      <c r="B5" s="3">
        <v>4.4405460357665999E-6</v>
      </c>
      <c r="C5" s="3">
        <v>3.0100345611572202E-6</v>
      </c>
      <c r="D5" s="3">
        <v>2.29179859161376E-5</v>
      </c>
      <c r="E5" s="3">
        <v>-2.4735927581787099E-5</v>
      </c>
      <c r="F5" s="3">
        <v>-2.4437904357910099E-5</v>
      </c>
      <c r="G5" s="3">
        <v>-1.7911195755004801E-5</v>
      </c>
      <c r="H5" s="3">
        <v>-2.6851892471313399E-5</v>
      </c>
      <c r="I5" s="3">
        <v>-6.04987144470214E-6</v>
      </c>
      <c r="J5" s="3">
        <v>-2.76267528533935E-5</v>
      </c>
      <c r="K5" s="3">
        <v>1.61230564117431E-5</v>
      </c>
      <c r="L5" s="3">
        <v>5.5134296417236303E-6</v>
      </c>
      <c r="M5" s="3">
        <v>7.2121620178222597E-6</v>
      </c>
      <c r="N5" s="3">
        <v>6.8843364715576104E-6</v>
      </c>
      <c r="O5" s="3">
        <v>2.3037195205688399E-5</v>
      </c>
      <c r="P5" s="3">
        <v>6.1213970184326104E-5</v>
      </c>
      <c r="Q5" s="3">
        <v>3.5613775253295898E-5</v>
      </c>
      <c r="R5" s="3">
        <v>9.4652175903320299E-5</v>
      </c>
      <c r="S5" s="3">
        <v>4.2676925659179599E-5</v>
      </c>
      <c r="T5" s="3">
        <v>2.6404857635497999E-5</v>
      </c>
      <c r="U5" s="3">
        <v>4.9412250518798801E-5</v>
      </c>
      <c r="V5" s="3">
        <v>5.1468610763549798E-5</v>
      </c>
    </row>
    <row r="6" spans="1:22" x14ac:dyDescent="0.35">
      <c r="A6" s="3">
        <v>-1.99675559997558E-6</v>
      </c>
      <c r="B6" s="3">
        <v>-2.02655792236328E-6</v>
      </c>
      <c r="C6" s="3">
        <v>3.7848949432373E-6</v>
      </c>
      <c r="D6" s="3">
        <v>-4.0829181671142502E-6</v>
      </c>
      <c r="E6" s="3">
        <v>-2.31564044952392E-5</v>
      </c>
      <c r="F6" s="3">
        <v>-1.7344951629638601E-5</v>
      </c>
      <c r="G6" s="3">
        <v>-1.6570091247558499E-5</v>
      </c>
      <c r="H6" s="3">
        <v>5.0663948059081997E-6</v>
      </c>
      <c r="I6" s="3">
        <v>-1.1235475540161101E-5</v>
      </c>
      <c r="J6" s="3">
        <v>-1.3023614883422801E-5</v>
      </c>
      <c r="K6" s="3">
        <v>1.5974044799804599E-5</v>
      </c>
      <c r="L6" s="3">
        <v>8.7320804595947198E-6</v>
      </c>
      <c r="M6" s="3">
        <v>7.0929527282714801E-6</v>
      </c>
      <c r="N6" s="3">
        <v>7.0929527282714801E-6</v>
      </c>
      <c r="O6" s="3">
        <v>4.9471855163574198E-5</v>
      </c>
      <c r="P6" s="3">
        <v>5.9783458709716797E-5</v>
      </c>
      <c r="Q6" s="3">
        <v>3.5375356674194302E-5</v>
      </c>
      <c r="R6" s="3">
        <v>3.7491321563720703E-5</v>
      </c>
      <c r="S6" s="3">
        <v>4.3123960494995097E-5</v>
      </c>
      <c r="T6" s="3">
        <v>2.8669834136962799E-5</v>
      </c>
      <c r="U6" s="3">
        <v>4.3630599975585897E-5</v>
      </c>
      <c r="V6" s="3">
        <v>5.1826238632202101E-5</v>
      </c>
    </row>
    <row r="7" spans="1:22" x14ac:dyDescent="0.35">
      <c r="A7" s="3">
        <v>3.4272670745849601E-6</v>
      </c>
      <c r="B7" s="3">
        <v>3.0398368835449202E-6</v>
      </c>
      <c r="C7" s="3">
        <v>2.5033950805663999E-6</v>
      </c>
      <c r="D7" s="3">
        <v>1.8954277038574198E-5</v>
      </c>
      <c r="E7" s="3">
        <v>-2.2679567337036099E-5</v>
      </c>
      <c r="F7" s="3">
        <v>-2.55703926086425E-5</v>
      </c>
      <c r="G7" s="3">
        <v>-2.7090311050414998E-5</v>
      </c>
      <c r="H7" s="3">
        <v>-2.9593706130981401E-5</v>
      </c>
      <c r="I7" s="3">
        <v>-1.3202428817749E-5</v>
      </c>
      <c r="J7" s="3">
        <v>-4.14252281188964E-6</v>
      </c>
      <c r="K7" s="3">
        <v>1.6987323760986301E-5</v>
      </c>
      <c r="L7" s="3">
        <v>1.31130218505859E-5</v>
      </c>
      <c r="M7" s="3">
        <v>7.1823596954345703E-6</v>
      </c>
      <c r="N7" s="3">
        <v>6.8247318267822198E-6</v>
      </c>
      <c r="O7" s="3">
        <v>3.5822391510009698E-5</v>
      </c>
      <c r="P7" s="3">
        <v>5.4955482482910102E-5</v>
      </c>
      <c r="Q7" s="3">
        <v>5.39124011993408E-5</v>
      </c>
      <c r="R7" s="3">
        <v>6.6280364990234294E-5</v>
      </c>
      <c r="S7" s="3">
        <v>4.2617321014404297E-5</v>
      </c>
      <c r="T7" s="3">
        <v>2.0384788513183499E-5</v>
      </c>
      <c r="U7" s="3">
        <v>4.38690185546875E-5</v>
      </c>
      <c r="V7" s="3">
        <v>5.2183866500854397E-5</v>
      </c>
    </row>
    <row r="8" spans="1:22" x14ac:dyDescent="0.35">
      <c r="A8" s="3">
        <v>-2.9802322387695299E-8</v>
      </c>
      <c r="B8" s="3">
        <v>4.76837158203125E-7</v>
      </c>
      <c r="C8" s="3">
        <v>7.4207782745361303E-6</v>
      </c>
      <c r="D8" s="3">
        <v>7.7486038208007802E-7</v>
      </c>
      <c r="E8" s="3">
        <v>-2.3514032363891602E-5</v>
      </c>
      <c r="F8" s="3">
        <v>-1.85370445251464E-5</v>
      </c>
      <c r="G8" s="3">
        <v>-2.7656555175781199E-5</v>
      </c>
      <c r="H8" s="3">
        <v>-3.47495079040527E-5</v>
      </c>
      <c r="I8" s="3">
        <v>-1.32322311401367E-5</v>
      </c>
      <c r="J8" s="3">
        <v>1.71661376953125E-5</v>
      </c>
      <c r="K8" s="3">
        <v>1.8149614334106401E-5</v>
      </c>
      <c r="L8" s="3">
        <v>3.9339065551757804E-6</v>
      </c>
      <c r="M8" s="3">
        <v>7.1823596954345703E-6</v>
      </c>
      <c r="N8" s="3">
        <v>7.00354576110839E-6</v>
      </c>
      <c r="O8" s="3">
        <v>6.4969062805175697E-6</v>
      </c>
      <c r="P8" s="3">
        <v>4.3839216232299798E-5</v>
      </c>
      <c r="Q8" s="3">
        <v>4.8339366912841797E-5</v>
      </c>
      <c r="R8" s="3">
        <v>2.4139881134033199E-6</v>
      </c>
      <c r="S8" s="3">
        <v>4.23789024353027E-5</v>
      </c>
      <c r="T8" s="3">
        <v>3.05473804473876E-5</v>
      </c>
      <c r="U8" s="3">
        <v>3.9219856262206997E-5</v>
      </c>
      <c r="V8" s="3">
        <v>5.0455331802368103E-5</v>
      </c>
    </row>
    <row r="9" spans="1:22" x14ac:dyDescent="0.35">
      <c r="A9" s="3">
        <v>3.814697265625E-6</v>
      </c>
      <c r="B9" s="3">
        <v>2.4437904357910101E-6</v>
      </c>
      <c r="C9" s="3">
        <v>4.4703483581542901E-6</v>
      </c>
      <c r="D9" s="3">
        <v>5.09619712829589E-6</v>
      </c>
      <c r="E9" s="3">
        <v>-2.3841857910156199E-5</v>
      </c>
      <c r="F9" s="3">
        <v>-2.09808349609375E-5</v>
      </c>
      <c r="G9" s="3">
        <v>-2.0712614059448202E-5</v>
      </c>
      <c r="H9" s="3">
        <v>-4.0292739868164002E-5</v>
      </c>
      <c r="I9" s="3">
        <v>4.5299530029296799E-6</v>
      </c>
      <c r="J9" s="3">
        <v>2.1308660507202101E-5</v>
      </c>
      <c r="K9" s="3">
        <v>1.8149614334106401E-5</v>
      </c>
      <c r="L9" s="3">
        <v>5.9008598327636702E-6</v>
      </c>
      <c r="M9" s="3">
        <v>7.2717666625976503E-6</v>
      </c>
      <c r="N9" s="3">
        <v>6.6161155700683501E-6</v>
      </c>
      <c r="O9" s="3">
        <v>4.9561262130737298E-5</v>
      </c>
      <c r="P9" s="3">
        <v>5.1826238632202101E-5</v>
      </c>
      <c r="Q9" s="3">
        <v>3.8892030715942301E-5</v>
      </c>
      <c r="R9" s="3">
        <v>1.0460615158081E-5</v>
      </c>
      <c r="S9" s="3">
        <v>4.2736530303954997E-5</v>
      </c>
      <c r="T9" s="3">
        <v>3.2097101211547797E-5</v>
      </c>
      <c r="U9" s="3">
        <v>4.2289495468139601E-5</v>
      </c>
      <c r="V9" s="3">
        <v>5.2541494369506802E-5</v>
      </c>
    </row>
    <row r="10" spans="1:22" x14ac:dyDescent="0.35">
      <c r="A10" s="3">
        <v>4.9769878387451104E-6</v>
      </c>
      <c r="B10" s="3">
        <v>4.2319297790527301E-6</v>
      </c>
      <c r="C10" s="3">
        <v>1.6093254089355401E-6</v>
      </c>
      <c r="D10" s="3">
        <v>3.90410423278808E-6</v>
      </c>
      <c r="E10" s="3">
        <v>-2.2530555725097599E-5</v>
      </c>
      <c r="F10" s="3">
        <v>-3.1232833862304599E-5</v>
      </c>
      <c r="G10" s="3">
        <v>-2.1904706954956E-5</v>
      </c>
      <c r="H10" s="3">
        <v>-3.7431716918945299E-5</v>
      </c>
      <c r="I10" s="3">
        <v>-2.6524066925048798E-6</v>
      </c>
      <c r="J10" s="3">
        <v>9.5367431640625E-7</v>
      </c>
      <c r="K10" s="3">
        <v>1.8388032913208001E-5</v>
      </c>
      <c r="L10" s="3">
        <v>6.3776969909667901E-6</v>
      </c>
      <c r="M10" s="3">
        <v>7.0929527282714801E-6</v>
      </c>
      <c r="N10" s="3">
        <v>6.7949295043945304E-6</v>
      </c>
      <c r="O10" s="3">
        <v>1.7106533050537099E-5</v>
      </c>
      <c r="P10" s="3">
        <v>5.7935714721679599E-5</v>
      </c>
      <c r="Q10" s="3">
        <v>5.1766633987426697E-5</v>
      </c>
      <c r="R10" s="3">
        <v>5.9515237808227498E-5</v>
      </c>
      <c r="S10" s="3">
        <v>4.2915344238281203E-5</v>
      </c>
      <c r="T10" s="3">
        <v>3.3646821975708001E-5</v>
      </c>
      <c r="U10" s="3">
        <v>3.19480895996093E-5</v>
      </c>
      <c r="V10" s="3">
        <v>5.2362680435180603E-5</v>
      </c>
    </row>
    <row r="11" spans="1:22" x14ac:dyDescent="0.35">
      <c r="A11" s="3">
        <v>4.47034835815429E-7</v>
      </c>
      <c r="B11" s="3">
        <v>2.1755695343017502E-6</v>
      </c>
      <c r="C11" s="3">
        <v>4.9471855163574202E-6</v>
      </c>
      <c r="D11" s="3">
        <v>-2.2470951080322201E-5</v>
      </c>
      <c r="E11" s="3">
        <v>-2.3066997528076101E-5</v>
      </c>
      <c r="F11" s="3">
        <v>-1.9609928131103499E-5</v>
      </c>
      <c r="G11" s="3">
        <v>-2.1785497665405199E-5</v>
      </c>
      <c r="H11" s="3">
        <v>-1.5914440155029199E-5</v>
      </c>
      <c r="I11" s="3">
        <v>-1.18017196655273E-5</v>
      </c>
      <c r="J11" s="3">
        <v>1.74343585968017E-5</v>
      </c>
      <c r="K11" s="3">
        <v>1.7255544662475501E-5</v>
      </c>
      <c r="L11" s="3">
        <v>7.2717666625976503E-6</v>
      </c>
      <c r="M11" s="3">
        <v>7.2121620178222597E-6</v>
      </c>
      <c r="N11" s="3">
        <v>6.7949295043945304E-6</v>
      </c>
      <c r="O11" s="3">
        <v>2.94744968414306E-5</v>
      </c>
      <c r="P11" s="3">
        <v>5.4955482482910102E-5</v>
      </c>
      <c r="Q11" s="3">
        <v>4.7236680984497003E-5</v>
      </c>
      <c r="R11" s="3">
        <v>4.24683094024658E-5</v>
      </c>
      <c r="S11" s="3">
        <v>4.3272972106933499E-5</v>
      </c>
      <c r="T11" s="3">
        <v>3.6567449569702101E-5</v>
      </c>
      <c r="U11" s="3">
        <v>5.1081180572509698E-5</v>
      </c>
      <c r="V11" s="3">
        <v>5.1081180572509698E-5</v>
      </c>
    </row>
    <row r="13" spans="1:22" x14ac:dyDescent="0.35">
      <c r="A13" s="4" t="s">
        <v>23</v>
      </c>
    </row>
    <row r="14" spans="1:22" x14ac:dyDescent="0.35">
      <c r="A14" s="3">
        <f>AVERAGE(FI_OTU22_genus[PROT])</f>
        <v>1.445412635803222E-6</v>
      </c>
      <c r="B14" s="3">
        <f>AVERAGE(FI_OTU22_genus[TFAT])</f>
        <v>2.4884939193725556E-6</v>
      </c>
      <c r="C14" s="3">
        <f>AVERAGE(FI_OTU22_genus[CARB])</f>
        <v>4.6998262405395462E-6</v>
      </c>
      <c r="D14" s="3">
        <f>AVERAGE(FI_OTU22_genus[MOIS])</f>
        <v>3.7491321563720579E-6</v>
      </c>
      <c r="E14" s="3">
        <f>AVERAGE(FI_OTU22_genus[ALC])</f>
        <v>-2.344846725463863E-5</v>
      </c>
      <c r="F14" s="3">
        <f>AVERAGE(FI_OTU22_genus[CAFF])</f>
        <v>-2.2861361503601021E-5</v>
      </c>
      <c r="G14" s="3">
        <f>AVERAGE(FI_OTU22_genus[THEO])</f>
        <v>-2.0784139633178649E-5</v>
      </c>
      <c r="H14" s="3">
        <f>AVERAGE(FI_OTU22_genus[CALC])</f>
        <v>-2.3987889289855909E-5</v>
      </c>
      <c r="I14" s="3">
        <f>AVERAGE(FI_OTU22_genus[MAGN])</f>
        <v>-6.1720609664916872E-6</v>
      </c>
      <c r="J14" s="3">
        <f>AVERAGE(FI_OTU22_genus[POTA])</f>
        <v>-1.576542854309079E-6</v>
      </c>
      <c r="K14" s="3">
        <f>AVERAGE(FI_OTU22_genus[ZINC])</f>
        <v>1.7127394676208443E-5</v>
      </c>
      <c r="L14" s="3">
        <f>AVERAGE(FI_OTU22_genus[VC])</f>
        <v>8.2403421401977404E-6</v>
      </c>
      <c r="M14" s="3">
        <f>AVERAGE(FI_OTU22_genus[VB1])</f>
        <v>7.2270631790161107E-6</v>
      </c>
      <c r="N14" s="3">
        <f>AVERAGE(FI_OTU22_genus[VB6])</f>
        <v>6.9677829742431602E-6</v>
      </c>
      <c r="O14" s="3">
        <f>AVERAGE(FI_OTU22_genus[VARA])</f>
        <v>3.4490227699279743E-5</v>
      </c>
      <c r="P14" s="3">
        <f>AVERAGE(FI_OTU22_genus[ACAR])</f>
        <v>5.6353211402893022E-5</v>
      </c>
      <c r="Q14" s="3">
        <f>AVERAGE(FI_OTU22_genus[CRYP])</f>
        <v>4.4205784797668422E-5</v>
      </c>
      <c r="R14" s="3">
        <f>AVERAGE(FI_OTU22_genus[LYCO])</f>
        <v>4.6700239181518534E-5</v>
      </c>
      <c r="S14" s="3">
        <f>AVERAGE(FI_OTU22_genus[ATOC])</f>
        <v>4.2822957038879336E-5</v>
      </c>
      <c r="T14" s="3">
        <f>AVERAGE(FI_OTU22_genus[VK])</f>
        <v>3.1113624572753845E-5</v>
      </c>
      <c r="U14" s="3">
        <f>AVERAGE(FI_OTU22_genus[CHOLE])</f>
        <v>4.6357512474060011E-5</v>
      </c>
      <c r="V14" s="3">
        <f>AVERAGE(FI_OTU22_genus[VITD])</f>
        <v>5.1698088645935006E-5</v>
      </c>
    </row>
    <row r="15" spans="1:22" x14ac:dyDescent="0.35">
      <c r="A15" s="4" t="s">
        <v>24</v>
      </c>
    </row>
    <row r="16" spans="1:22" x14ac:dyDescent="0.35">
      <c r="A16" s="3">
        <f>STDEV(FI_OTU22_genus[PROT])</f>
        <v>2.5942384795516777E-6</v>
      </c>
      <c r="B16" s="3">
        <f>STDEV(FI_OTU22_genus[TFAT])</f>
        <v>2.086741976278336E-6</v>
      </c>
      <c r="C16" s="3">
        <f>STDEV(FI_OTU22_genus[CARB])</f>
        <v>2.4296174635029075E-6</v>
      </c>
      <c r="D16" s="3">
        <f>STDEV(FI_OTU22_genus[MOIS])</f>
        <v>1.3981315216651882E-5</v>
      </c>
      <c r="E16" s="3">
        <f>STDEV(FI_OTU22_genus[ALC])</f>
        <v>8.2408795465105367E-7</v>
      </c>
      <c r="F16" s="3">
        <f>STDEV(FI_OTU22_genus[CAFF])</f>
        <v>7.1717575500508762E-6</v>
      </c>
      <c r="G16" s="3">
        <f>STDEV(FI_OTU22_genus[THEO])</f>
        <v>3.9971471085148745E-6</v>
      </c>
      <c r="H16" s="3">
        <f>STDEV(FI_OTU22_genus[CALC])</f>
        <v>1.4165852282098207E-5</v>
      </c>
      <c r="I16" s="3">
        <f>STDEV(FI_OTU22_genus[MAGN])</f>
        <v>7.8945152577734251E-6</v>
      </c>
      <c r="J16" s="3">
        <f>STDEV(FI_OTU22_genus[POTA])</f>
        <v>1.9446747778435855E-5</v>
      </c>
      <c r="K16" s="3">
        <f>STDEV(FI_OTU22_genus[ZINC])</f>
        <v>2.0595515599651257E-6</v>
      </c>
      <c r="L16" s="3">
        <f>STDEV(FI_OTU22_genus[VC])</f>
        <v>3.4197650916295466E-6</v>
      </c>
      <c r="M16" s="3">
        <f>STDEV(FI_OTU22_genus[VB1])</f>
        <v>1.0057517255999969E-7</v>
      </c>
      <c r="N16" s="3">
        <f>STDEV(FI_OTU22_genus[VB6])</f>
        <v>3.4118995424156881E-7</v>
      </c>
      <c r="O16" s="3">
        <f>STDEV(FI_OTU22_genus[VARA])</f>
        <v>1.830036810709428E-5</v>
      </c>
      <c r="P16" s="3">
        <f>STDEV(FI_OTU22_genus[ACAR])</f>
        <v>8.9492078509829632E-6</v>
      </c>
      <c r="Q16" s="3">
        <f>STDEV(FI_OTU22_genus[CRYP])</f>
        <v>6.8731827437251748E-6</v>
      </c>
      <c r="R16" s="3">
        <f>STDEV(FI_OTU22_genus[LYCO])</f>
        <v>3.4513422646098105E-5</v>
      </c>
      <c r="S16" s="3">
        <f>STDEV(FI_OTU22_genus[ATOC])</f>
        <v>2.6036080872768056E-7</v>
      </c>
      <c r="T16" s="3">
        <f>STDEV(FI_OTU22_genus[VK])</f>
        <v>4.9780287291838832E-6</v>
      </c>
      <c r="U16" s="3">
        <f>STDEV(FI_OTU22_genus[CHOLE])</f>
        <v>8.5462457334132024E-6</v>
      </c>
      <c r="V16" s="3">
        <f>STDEV(FI_OTU22_genus[VITD])</f>
        <v>6.2593549046841801E-7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AC0B-6954-4951-8355-0F14286D652B}">
  <dimension ref="A1:V15"/>
  <sheetViews>
    <sheetView tabSelected="1" workbookViewId="0">
      <selection activeCell="A15" sqref="A15"/>
    </sheetView>
  </sheetViews>
  <sheetFormatPr baseColWidth="10" defaultRowHeight="14.5" x14ac:dyDescent="0.35"/>
  <cols>
    <col min="1" max="1" width="7.7265625" bestFit="1" customWidth="1"/>
    <col min="2" max="2" width="7.36328125" bestFit="1" customWidth="1"/>
    <col min="3" max="3" width="7.7265625" bestFit="1" customWidth="1"/>
    <col min="4" max="4" width="7.90625" bestFit="1" customWidth="1"/>
    <col min="5" max="5" width="6.36328125" bestFit="1" customWidth="1"/>
    <col min="6" max="6" width="7.453125" bestFit="1" customWidth="1"/>
    <col min="7" max="7" width="7.7265625" bestFit="1" customWidth="1"/>
    <col min="8" max="8" width="7.453125" bestFit="1" customWidth="1"/>
    <col min="9" max="9" width="9" bestFit="1" customWidth="1"/>
    <col min="10" max="10" width="7.90625" bestFit="1" customWidth="1"/>
    <col min="11" max="11" width="7.1796875" bestFit="1" customWidth="1"/>
    <col min="12" max="12" width="5.54296875" bestFit="1" customWidth="1"/>
    <col min="13" max="14" width="6.54296875" bestFit="1" customWidth="1"/>
    <col min="15" max="15" width="8" bestFit="1" customWidth="1"/>
    <col min="16" max="16" width="7.90625" bestFit="1" customWidth="1"/>
    <col min="17" max="18" width="7.6328125" bestFit="1" customWidth="1"/>
    <col min="19" max="19" width="7.90625" bestFit="1" customWidth="1"/>
    <col min="20" max="20" width="5.54296875" bestFit="1" customWidth="1"/>
    <col min="21" max="21" width="8.7265625" bestFit="1" customWidth="1"/>
    <col min="22" max="22" width="7.17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3" spans="1:22" x14ac:dyDescent="0.35">
      <c r="A3" s="1" t="s">
        <v>22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</row>
    <row r="4" spans="1:22" x14ac:dyDescent="0.35">
      <c r="A4" s="1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</row>
    <row r="5" spans="1:22" x14ac:dyDescent="0.35">
      <c r="A5" s="1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  <c r="U5" s="1" t="s">
        <v>22</v>
      </c>
      <c r="V5" s="1" t="s">
        <v>22</v>
      </c>
    </row>
    <row r="6" spans="1:22" x14ac:dyDescent="0.35">
      <c r="A6" s="1" t="s">
        <v>22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</row>
    <row r="7" spans="1:22" x14ac:dyDescent="0.35">
      <c r="A7" s="1" t="s">
        <v>22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</row>
    <row r="8" spans="1:22" x14ac:dyDescent="0.35">
      <c r="A8" s="1" t="s">
        <v>22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 spans="1:22" x14ac:dyDescent="0.35">
      <c r="A9" s="1" t="s">
        <v>22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  <c r="V9" s="1" t="s">
        <v>22</v>
      </c>
    </row>
    <row r="10" spans="1:22" x14ac:dyDescent="0.35">
      <c r="A10" s="1" t="s">
        <v>22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22</v>
      </c>
    </row>
    <row r="11" spans="1:22" x14ac:dyDescent="0.35">
      <c r="A11" s="1" t="s">
        <v>22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3" spans="1:22" x14ac:dyDescent="0.35">
      <c r="A13" s="2" t="s">
        <v>23</v>
      </c>
    </row>
    <row r="15" spans="1:22" x14ac:dyDescent="0.35">
      <c r="A15" s="2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ED6F7-701B-428D-9717-11BE68C4F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FI_OTU22_clase</vt:lpstr>
      <vt:lpstr>FI_OTU22_especie</vt:lpstr>
      <vt:lpstr>FI_OTU22_familia</vt:lpstr>
      <vt:lpstr>FI_OTU22_filo</vt:lpstr>
      <vt:lpstr>FI_OTU22_genus</vt:lpstr>
      <vt:lpstr>FI_OTU22_orden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 Anhel Valdés</dc:creator>
  <cp:lastModifiedBy>Ana María Anhel Valdés</cp:lastModifiedBy>
  <dcterms:created xsi:type="dcterms:W3CDTF">2021-05-27T20:00:49Z</dcterms:created>
  <dcterms:modified xsi:type="dcterms:W3CDTF">2021-05-27T20:55:07Z</dcterms:modified>
</cp:coreProperties>
</file>