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ma\OneDrive\Documentos\2020-2021\practicas\transcurso\dietstudy_analyses-master\Results\"/>
    </mc:Choice>
  </mc:AlternateContent>
  <xr:revisionPtr revIDLastSave="0" documentId="13_ncr:1_{BD9379FB-1454-48FB-963A-C8ADBF06CF14}" xr6:coauthVersionLast="46" xr6:coauthVersionMax="46" xr10:uidLastSave="{00000000-0000-0000-0000-000000000000}"/>
  <bookViews>
    <workbookView xWindow="28680" yWindow="-120" windowWidth="29040" windowHeight="16440" activeTab="5" xr2:uid="{00796893-BEE3-4A1F-8AA6-C07CA158237B}"/>
  </bookViews>
  <sheets>
    <sheet name="FI_OTU44_class" sheetId="2" r:id="rId1"/>
    <sheet name="FI_OTU44_especie" sheetId="3" r:id="rId2"/>
    <sheet name="FI_OTU44_family" sheetId="4" r:id="rId3"/>
    <sheet name="FI_OTU44_genus" sheetId="6" r:id="rId4"/>
    <sheet name="FI_OTU44_filo" sheetId="5" r:id="rId5"/>
    <sheet name="FI_OTU44_orden" sheetId="7" r:id="rId6"/>
  </sheets>
  <definedNames>
    <definedName name="DatosExternos_1" localSheetId="0" hidden="1">FI_OTU44_class!$A$1:$AO$11</definedName>
    <definedName name="DatosExternos_1" localSheetId="1" hidden="1">FI_OTU44_especie!$A$1:$AO$11</definedName>
    <definedName name="DatosExternos_1" localSheetId="2" hidden="1">FI_OTU44_family!$A$1:$AO$11</definedName>
    <definedName name="DatosExternos_1" localSheetId="4" hidden="1">FI_OTU44_filo!$A$1:$AO$11</definedName>
    <definedName name="DatosExternos_1" localSheetId="5" hidden="1">FI_OTU44_orden!$A$1:$AO$11</definedName>
    <definedName name="DatosExternos_2" localSheetId="3" hidden="1">FI_OTU44_genus!$A$1:$AO$11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16" i="2"/>
  <c r="A14" i="2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16" i="3"/>
  <c r="A14" i="3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16" i="4"/>
  <c r="A1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26C407-BF38-4E3D-971C-4BD293A1775F}" keepAlive="1" name="Consulta - FI_OTU44_class" description="Conexión a la consulta 'FI_OTU44_class' en el libro." type="5" refreshedVersion="7" background="1" saveData="1">
    <dbPr connection="Provider=Microsoft.Mashup.OleDb.1;Data Source=$Workbook$;Location=FI_OTU44_class;Extended Properties=&quot;&quot;" command="SELECT * FROM [FI_OTU44_class]"/>
  </connection>
  <connection id="2" xr16:uid="{A98E30EE-D40F-49BD-8F90-C35883FD9BB5}" keepAlive="1" name="Consulta - FI_OTU44_especie" description="Conexión a la consulta 'FI_OTU44_especie' en el libro." type="5" refreshedVersion="7" background="1" saveData="1">
    <dbPr connection="Provider=Microsoft.Mashup.OleDb.1;Data Source=$Workbook$;Location=FI_OTU44_especie;Extended Properties=&quot;&quot;" command="SELECT * FROM [FI_OTU44_especie]"/>
  </connection>
  <connection id="3" xr16:uid="{6E8DCB01-6A70-40C0-A62B-CAE3A7449F1B}" keepAlive="1" name="Consulta - FI_OTU44_family" description="Conexión a la consulta 'FI_OTU44_family' en el libro." type="5" refreshedVersion="7" background="1" saveData="1">
    <dbPr connection="Provider=Microsoft.Mashup.OleDb.1;Data Source=$Workbook$;Location=FI_OTU44_family;Extended Properties=&quot;&quot;" command="SELECT * FROM [FI_OTU44_family]"/>
  </connection>
  <connection id="4" xr16:uid="{1EE71414-DB32-4302-9453-61BEBBF6B94C}" keepAlive="1" name="Consulta - FI_OTU44_filo" description="Conexión a la consulta 'FI_OTU44_filo' en el libro." type="5" refreshedVersion="7" background="1" saveData="1">
    <dbPr connection="Provider=Microsoft.Mashup.OleDb.1;Data Source=$Workbook$;Location=FI_OTU44_filo;Extended Properties=&quot;&quot;" command="SELECT * FROM [FI_OTU44_filo]"/>
  </connection>
  <connection id="5" xr16:uid="{26CE18B7-B9F4-4F80-A0F0-F7865CE53A61}" keepAlive="1" name="Consulta - FI_OTU44_genus" description="Conexión a la consulta 'FI_OTU44_genus' en el libro." type="5" refreshedVersion="7" background="1" saveData="1">
    <dbPr connection="Provider=Microsoft.Mashup.OleDb.1;Data Source=$Workbook$;Location=FI_OTU44_genus;Extended Properties=&quot;&quot;" command="SELECT * FROM [FI_OTU44_genus]"/>
  </connection>
  <connection id="6" xr16:uid="{946CAD6D-531C-4A83-9A6C-9D6FF642B0B1}" keepAlive="1" name="Consulta - FI_OTU44_orden" description="Conexión a la consulta 'FI_OTU44_orden' en el libro." type="5" refreshedVersion="7" background="1" saveData="1">
    <dbPr connection="Provider=Microsoft.Mashup.OleDb.1;Data Source=$Workbook$;Location=FI_OTU44_orden;Extended Properties=&quot;&quot;" command="SELECT * FROM [FI_OTU44_orden]"/>
  </connection>
</connections>
</file>

<file path=xl/sharedStrings.xml><?xml version="1.0" encoding="utf-8"?>
<sst xmlns="http://schemas.openxmlformats.org/spreadsheetml/2006/main" count="1488" uniqueCount="44">
  <si>
    <t>KCAL</t>
  </si>
  <si>
    <t>PROT</t>
  </si>
  <si>
    <t>TFAT</t>
  </si>
  <si>
    <t>CARB</t>
  </si>
  <si>
    <t>MOIS</t>
  </si>
  <si>
    <t>ALC</t>
  </si>
  <si>
    <t>CAFF</t>
  </si>
  <si>
    <t>THEO</t>
  </si>
  <si>
    <t>SUGR</t>
  </si>
  <si>
    <t>FIBE</t>
  </si>
  <si>
    <t>CALC</t>
  </si>
  <si>
    <t>IRON</t>
  </si>
  <si>
    <t>MAGN</t>
  </si>
  <si>
    <t>PHOS</t>
  </si>
  <si>
    <t>POTA</t>
  </si>
  <si>
    <t>SODI</t>
  </si>
  <si>
    <t>ZINC</t>
  </si>
  <si>
    <t>COPP</t>
  </si>
  <si>
    <t>SELE</t>
  </si>
  <si>
    <t>VC</t>
  </si>
  <si>
    <t>VB1</t>
  </si>
  <si>
    <t>VB2</t>
  </si>
  <si>
    <t>NIAC</t>
  </si>
  <si>
    <t>VB6</t>
  </si>
  <si>
    <t>FOLA</t>
  </si>
  <si>
    <t>VB12</t>
  </si>
  <si>
    <t>VARA</t>
  </si>
  <si>
    <t>RET</t>
  </si>
  <si>
    <t>BCAR</t>
  </si>
  <si>
    <t>ACAR</t>
  </si>
  <si>
    <t>CRYP</t>
  </si>
  <si>
    <t>LYCO</t>
  </si>
  <si>
    <t>LZ</t>
  </si>
  <si>
    <t>ATOC</t>
  </si>
  <si>
    <t>VK</t>
  </si>
  <si>
    <t>CHOLE</t>
  </si>
  <si>
    <t>SFAT</t>
  </si>
  <si>
    <t>MFAT</t>
  </si>
  <si>
    <t>PFAT</t>
  </si>
  <si>
    <t>VITD</t>
  </si>
  <si>
    <t>CHOLN</t>
  </si>
  <si>
    <t>0.0</t>
  </si>
  <si>
    <t>MEDIA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</si>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</sst>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" fillId="2" borderId="0" xfId="1"/>
    <xf numFmtId="164" fontId="0" fillId="0" borderId="0" xfId="0" applyNumberFormat="1"/>
    <xf numFmtId="164" fontId="1" fillId="2" borderId="0" xfId="1" applyNumberFormat="1"/>
  </cellXfs>
  <cellStyles count="2">
    <cellStyle name="Neutral" xfId="1" builtinId="28"/>
    <cellStyle name="Normal" xfId="0" builtinId="0"/>
  </cellStyles>
  <dxfs count="252"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9BF6111-9509-4FC9-B68E-5E6C63D66D80}" autoFormatId="16" applyNumberFormats="0" applyBorderFormats="0" applyFontFormats="0" applyPatternFormats="0" applyAlignmentFormats="0" applyWidthHeightFormats="0">
  <queryTableRefresh nextId="42">
    <queryTableFields count="41">
      <queryTableField id="1" name="KCAL" tableColumnId="1"/>
      <queryTableField id="2" name="PROT" tableColumnId="2"/>
      <queryTableField id="3" name="TFAT" tableColumnId="3"/>
      <queryTableField id="4" name="CARB" tableColumnId="4"/>
      <queryTableField id="5" name="MOIS" tableColumnId="5"/>
      <queryTableField id="6" name="ALC" tableColumnId="6"/>
      <queryTableField id="7" name="CAFF" tableColumnId="7"/>
      <queryTableField id="8" name="THEO" tableColumnId="8"/>
      <queryTableField id="9" name="SUGR" tableColumnId="9"/>
      <queryTableField id="10" name="FIBE" tableColumnId="10"/>
      <queryTableField id="11" name="CALC" tableColumnId="11"/>
      <queryTableField id="12" name="IRON" tableColumnId="12"/>
      <queryTableField id="13" name="MAGN" tableColumnId="13"/>
      <queryTableField id="14" name="PHOS" tableColumnId="14"/>
      <queryTableField id="15" name="POTA" tableColumnId="15"/>
      <queryTableField id="16" name="SODI" tableColumnId="16"/>
      <queryTableField id="17" name="ZINC" tableColumnId="17"/>
      <queryTableField id="18" name="COPP" tableColumnId="18"/>
      <queryTableField id="19" name="SELE" tableColumnId="19"/>
      <queryTableField id="20" name="VC" tableColumnId="20"/>
      <queryTableField id="21" name="VB1" tableColumnId="21"/>
      <queryTableField id="22" name="VB2" tableColumnId="22"/>
      <queryTableField id="23" name="NIAC" tableColumnId="23"/>
      <queryTableField id="24" name="VB6" tableColumnId="24"/>
      <queryTableField id="25" name="FOLA" tableColumnId="25"/>
      <queryTableField id="26" name="VB12" tableColumnId="26"/>
      <queryTableField id="27" name="VARA" tableColumnId="27"/>
      <queryTableField id="28" name="RET" tableColumnId="28"/>
      <queryTableField id="29" name="BCAR" tableColumnId="29"/>
      <queryTableField id="30" name="ACAR" tableColumnId="30"/>
      <queryTableField id="31" name="CRYP" tableColumnId="31"/>
      <queryTableField id="32" name="LYCO" tableColumnId="32"/>
      <queryTableField id="33" name="LZ" tableColumnId="33"/>
      <queryTableField id="34" name="ATOC" tableColumnId="34"/>
      <queryTableField id="35" name="VK" tableColumnId="35"/>
      <queryTableField id="36" name="CHOLE" tableColumnId="36"/>
      <queryTableField id="37" name="SFAT" tableColumnId="37"/>
      <queryTableField id="38" name="MFAT" tableColumnId="38"/>
      <queryTableField id="39" name="PFAT" tableColumnId="39"/>
      <queryTableField id="40" name="VITD" tableColumnId="40"/>
      <queryTableField id="41" name="CHOLN" tableColumnId="4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9981930C-BEAE-4D3C-965B-8C078D4292C2}" autoFormatId="16" applyNumberFormats="0" applyBorderFormats="0" applyFontFormats="0" applyPatternFormats="0" applyAlignmentFormats="0" applyWidthHeightFormats="0">
  <queryTableRefresh nextId="42">
    <queryTableFields count="41">
      <queryTableField id="1" name="KCAL" tableColumnId="1"/>
      <queryTableField id="2" name="PROT" tableColumnId="2"/>
      <queryTableField id="3" name="TFAT" tableColumnId="3"/>
      <queryTableField id="4" name="CARB" tableColumnId="4"/>
      <queryTableField id="5" name="MOIS" tableColumnId="5"/>
      <queryTableField id="6" name="ALC" tableColumnId="6"/>
      <queryTableField id="7" name="CAFF" tableColumnId="7"/>
      <queryTableField id="8" name="THEO" tableColumnId="8"/>
      <queryTableField id="9" name="SUGR" tableColumnId="9"/>
      <queryTableField id="10" name="FIBE" tableColumnId="10"/>
      <queryTableField id="11" name="CALC" tableColumnId="11"/>
      <queryTableField id="12" name="IRON" tableColumnId="12"/>
      <queryTableField id="13" name="MAGN" tableColumnId="13"/>
      <queryTableField id="14" name="PHOS" tableColumnId="14"/>
      <queryTableField id="15" name="POTA" tableColumnId="15"/>
      <queryTableField id="16" name="SODI" tableColumnId="16"/>
      <queryTableField id="17" name="ZINC" tableColumnId="17"/>
      <queryTableField id="18" name="COPP" tableColumnId="18"/>
      <queryTableField id="19" name="SELE" tableColumnId="19"/>
      <queryTableField id="20" name="VC" tableColumnId="20"/>
      <queryTableField id="21" name="VB1" tableColumnId="21"/>
      <queryTableField id="22" name="VB2" tableColumnId="22"/>
      <queryTableField id="23" name="NIAC" tableColumnId="23"/>
      <queryTableField id="24" name="VB6" tableColumnId="24"/>
      <queryTableField id="25" name="FOLA" tableColumnId="25"/>
      <queryTableField id="26" name="VB12" tableColumnId="26"/>
      <queryTableField id="27" name="VARA" tableColumnId="27"/>
      <queryTableField id="28" name="RET" tableColumnId="28"/>
      <queryTableField id="29" name="BCAR" tableColumnId="29"/>
      <queryTableField id="30" name="ACAR" tableColumnId="30"/>
      <queryTableField id="31" name="CRYP" tableColumnId="31"/>
      <queryTableField id="32" name="LYCO" tableColumnId="32"/>
      <queryTableField id="33" name="LZ" tableColumnId="33"/>
      <queryTableField id="34" name="ATOC" tableColumnId="34"/>
      <queryTableField id="35" name="VK" tableColumnId="35"/>
      <queryTableField id="36" name="CHOLE" tableColumnId="36"/>
      <queryTableField id="37" name="SFAT" tableColumnId="37"/>
      <queryTableField id="38" name="MFAT" tableColumnId="38"/>
      <queryTableField id="39" name="PFAT" tableColumnId="39"/>
      <queryTableField id="40" name="VITD" tableColumnId="40"/>
      <queryTableField id="41" name="CHOLN" tableColumnId="4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32668F98-76E8-4EB0-B1B8-6E8F1F1B4BE7}" autoFormatId="16" applyNumberFormats="0" applyBorderFormats="0" applyFontFormats="0" applyPatternFormats="0" applyAlignmentFormats="0" applyWidthHeightFormats="0">
  <queryTableRefresh nextId="42">
    <queryTableFields count="41">
      <queryTableField id="1" name="KCAL" tableColumnId="1"/>
      <queryTableField id="2" name="PROT" tableColumnId="2"/>
      <queryTableField id="3" name="TFAT" tableColumnId="3"/>
      <queryTableField id="4" name="CARB" tableColumnId="4"/>
      <queryTableField id="5" name="MOIS" tableColumnId="5"/>
      <queryTableField id="6" name="ALC" tableColumnId="6"/>
      <queryTableField id="7" name="CAFF" tableColumnId="7"/>
      <queryTableField id="8" name="THEO" tableColumnId="8"/>
      <queryTableField id="9" name="SUGR" tableColumnId="9"/>
      <queryTableField id="10" name="FIBE" tableColumnId="10"/>
      <queryTableField id="11" name="CALC" tableColumnId="11"/>
      <queryTableField id="12" name="IRON" tableColumnId="12"/>
      <queryTableField id="13" name="MAGN" tableColumnId="13"/>
      <queryTableField id="14" name="PHOS" tableColumnId="14"/>
      <queryTableField id="15" name="POTA" tableColumnId="15"/>
      <queryTableField id="16" name="SODI" tableColumnId="16"/>
      <queryTableField id="17" name="ZINC" tableColumnId="17"/>
      <queryTableField id="18" name="COPP" tableColumnId="18"/>
      <queryTableField id="19" name="SELE" tableColumnId="19"/>
      <queryTableField id="20" name="VC" tableColumnId="20"/>
      <queryTableField id="21" name="VB1" tableColumnId="21"/>
      <queryTableField id="22" name="VB2" tableColumnId="22"/>
      <queryTableField id="23" name="NIAC" tableColumnId="23"/>
      <queryTableField id="24" name="VB6" tableColumnId="24"/>
      <queryTableField id="25" name="FOLA" tableColumnId="25"/>
      <queryTableField id="26" name="VB12" tableColumnId="26"/>
      <queryTableField id="27" name="VARA" tableColumnId="27"/>
      <queryTableField id="28" name="RET" tableColumnId="28"/>
      <queryTableField id="29" name="BCAR" tableColumnId="29"/>
      <queryTableField id="30" name="ACAR" tableColumnId="30"/>
      <queryTableField id="31" name="CRYP" tableColumnId="31"/>
      <queryTableField id="32" name="LYCO" tableColumnId="32"/>
      <queryTableField id="33" name="LZ" tableColumnId="33"/>
      <queryTableField id="34" name="ATOC" tableColumnId="34"/>
      <queryTableField id="35" name="VK" tableColumnId="35"/>
      <queryTableField id="36" name="CHOLE" tableColumnId="36"/>
      <queryTableField id="37" name="SFAT" tableColumnId="37"/>
      <queryTableField id="38" name="MFAT" tableColumnId="38"/>
      <queryTableField id="39" name="PFAT" tableColumnId="39"/>
      <queryTableField id="40" name="VITD" tableColumnId="40"/>
      <queryTableField id="41" name="CHOLN" tableColumnId="4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2C85DB60-87EC-47FA-B95A-1C241F797CFA}" autoFormatId="16" applyNumberFormats="0" applyBorderFormats="0" applyFontFormats="0" applyPatternFormats="0" applyAlignmentFormats="0" applyWidthHeightFormats="0">
  <queryTableRefresh nextId="42">
    <queryTableFields count="41">
      <queryTableField id="1" name="KCAL" tableColumnId="1"/>
      <queryTableField id="2" name="PROT" tableColumnId="2"/>
      <queryTableField id="3" name="TFAT" tableColumnId="3"/>
      <queryTableField id="4" name="CARB" tableColumnId="4"/>
      <queryTableField id="5" name="MOIS" tableColumnId="5"/>
      <queryTableField id="6" name="ALC" tableColumnId="6"/>
      <queryTableField id="7" name="CAFF" tableColumnId="7"/>
      <queryTableField id="8" name="THEO" tableColumnId="8"/>
      <queryTableField id="9" name="SUGR" tableColumnId="9"/>
      <queryTableField id="10" name="FIBE" tableColumnId="10"/>
      <queryTableField id="11" name="CALC" tableColumnId="11"/>
      <queryTableField id="12" name="IRON" tableColumnId="12"/>
      <queryTableField id="13" name="MAGN" tableColumnId="13"/>
      <queryTableField id="14" name="PHOS" tableColumnId="14"/>
      <queryTableField id="15" name="POTA" tableColumnId="15"/>
      <queryTableField id="16" name="SODI" tableColumnId="16"/>
      <queryTableField id="17" name="ZINC" tableColumnId="17"/>
      <queryTableField id="18" name="COPP" tableColumnId="18"/>
      <queryTableField id="19" name="SELE" tableColumnId="19"/>
      <queryTableField id="20" name="VC" tableColumnId="20"/>
      <queryTableField id="21" name="VB1" tableColumnId="21"/>
      <queryTableField id="22" name="VB2" tableColumnId="22"/>
      <queryTableField id="23" name="NIAC" tableColumnId="23"/>
      <queryTableField id="24" name="VB6" tableColumnId="24"/>
      <queryTableField id="25" name="FOLA" tableColumnId="25"/>
      <queryTableField id="26" name="VB12" tableColumnId="26"/>
      <queryTableField id="27" name="VARA" tableColumnId="27"/>
      <queryTableField id="28" name="RET" tableColumnId="28"/>
      <queryTableField id="29" name="BCAR" tableColumnId="29"/>
      <queryTableField id="30" name="ACAR" tableColumnId="30"/>
      <queryTableField id="31" name="CRYP" tableColumnId="31"/>
      <queryTableField id="32" name="LYCO" tableColumnId="32"/>
      <queryTableField id="33" name="LZ" tableColumnId="33"/>
      <queryTableField id="34" name="ATOC" tableColumnId="34"/>
      <queryTableField id="35" name="VK" tableColumnId="35"/>
      <queryTableField id="36" name="CHOLE" tableColumnId="36"/>
      <queryTableField id="37" name="SFAT" tableColumnId="37"/>
      <queryTableField id="38" name="MFAT" tableColumnId="38"/>
      <queryTableField id="39" name="PFAT" tableColumnId="39"/>
      <queryTableField id="40" name="VITD" tableColumnId="40"/>
      <queryTableField id="41" name="CHOLN" tableColumnId="4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E24812B9-EB79-48A8-9AEB-3BC22ECB881A}" autoFormatId="16" applyNumberFormats="0" applyBorderFormats="0" applyFontFormats="0" applyPatternFormats="0" applyAlignmentFormats="0" applyWidthHeightFormats="0">
  <queryTableRefresh nextId="42">
    <queryTableFields count="41">
      <queryTableField id="1" name="KCAL" tableColumnId="1"/>
      <queryTableField id="2" name="PROT" tableColumnId="2"/>
      <queryTableField id="3" name="TFAT" tableColumnId="3"/>
      <queryTableField id="4" name="CARB" tableColumnId="4"/>
      <queryTableField id="5" name="MOIS" tableColumnId="5"/>
      <queryTableField id="6" name="ALC" tableColumnId="6"/>
      <queryTableField id="7" name="CAFF" tableColumnId="7"/>
      <queryTableField id="8" name="THEO" tableColumnId="8"/>
      <queryTableField id="9" name="SUGR" tableColumnId="9"/>
      <queryTableField id="10" name="FIBE" tableColumnId="10"/>
      <queryTableField id="11" name="CALC" tableColumnId="11"/>
      <queryTableField id="12" name="IRON" tableColumnId="12"/>
      <queryTableField id="13" name="MAGN" tableColumnId="13"/>
      <queryTableField id="14" name="PHOS" tableColumnId="14"/>
      <queryTableField id="15" name="POTA" tableColumnId="15"/>
      <queryTableField id="16" name="SODI" tableColumnId="16"/>
      <queryTableField id="17" name="ZINC" tableColumnId="17"/>
      <queryTableField id="18" name="COPP" tableColumnId="18"/>
      <queryTableField id="19" name="SELE" tableColumnId="19"/>
      <queryTableField id="20" name="VC" tableColumnId="20"/>
      <queryTableField id="21" name="VB1" tableColumnId="21"/>
      <queryTableField id="22" name="VB2" tableColumnId="22"/>
      <queryTableField id="23" name="NIAC" tableColumnId="23"/>
      <queryTableField id="24" name="VB6" tableColumnId="24"/>
      <queryTableField id="25" name="FOLA" tableColumnId="25"/>
      <queryTableField id="26" name="VB12" tableColumnId="26"/>
      <queryTableField id="27" name="VARA" tableColumnId="27"/>
      <queryTableField id="28" name="RET" tableColumnId="28"/>
      <queryTableField id="29" name="BCAR" tableColumnId="29"/>
      <queryTableField id="30" name="ACAR" tableColumnId="30"/>
      <queryTableField id="31" name="CRYP" tableColumnId="31"/>
      <queryTableField id="32" name="LYCO" tableColumnId="32"/>
      <queryTableField id="33" name="LZ" tableColumnId="33"/>
      <queryTableField id="34" name="ATOC" tableColumnId="34"/>
      <queryTableField id="35" name="VK" tableColumnId="35"/>
      <queryTableField id="36" name="CHOLE" tableColumnId="36"/>
      <queryTableField id="37" name="SFAT" tableColumnId="37"/>
      <queryTableField id="38" name="MFAT" tableColumnId="38"/>
      <queryTableField id="39" name="PFAT" tableColumnId="39"/>
      <queryTableField id="40" name="VITD" tableColumnId="40"/>
      <queryTableField id="41" name="CHOLN" tableColumnId="4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81E2E9D-A74F-445E-B1D5-C0A4A5E7E04D}" autoFormatId="16" applyNumberFormats="0" applyBorderFormats="0" applyFontFormats="0" applyPatternFormats="0" applyAlignmentFormats="0" applyWidthHeightFormats="0">
  <queryTableRefresh nextId="42">
    <queryTableFields count="41">
      <queryTableField id="1" name="KCAL" tableColumnId="1"/>
      <queryTableField id="2" name="PROT" tableColumnId="2"/>
      <queryTableField id="3" name="TFAT" tableColumnId="3"/>
      <queryTableField id="4" name="CARB" tableColumnId="4"/>
      <queryTableField id="5" name="MOIS" tableColumnId="5"/>
      <queryTableField id="6" name="ALC" tableColumnId="6"/>
      <queryTableField id="7" name="CAFF" tableColumnId="7"/>
      <queryTableField id="8" name="THEO" tableColumnId="8"/>
      <queryTableField id="9" name="SUGR" tableColumnId="9"/>
      <queryTableField id="10" name="FIBE" tableColumnId="10"/>
      <queryTableField id="11" name="CALC" tableColumnId="11"/>
      <queryTableField id="12" name="IRON" tableColumnId="12"/>
      <queryTableField id="13" name="MAGN" tableColumnId="13"/>
      <queryTableField id="14" name="PHOS" tableColumnId="14"/>
      <queryTableField id="15" name="POTA" tableColumnId="15"/>
      <queryTableField id="16" name="SODI" tableColumnId="16"/>
      <queryTableField id="17" name="ZINC" tableColumnId="17"/>
      <queryTableField id="18" name="COPP" tableColumnId="18"/>
      <queryTableField id="19" name="SELE" tableColumnId="19"/>
      <queryTableField id="20" name="VC" tableColumnId="20"/>
      <queryTableField id="21" name="VB1" tableColumnId="21"/>
      <queryTableField id="22" name="VB2" tableColumnId="22"/>
      <queryTableField id="23" name="NIAC" tableColumnId="23"/>
      <queryTableField id="24" name="VB6" tableColumnId="24"/>
      <queryTableField id="25" name="FOLA" tableColumnId="25"/>
      <queryTableField id="26" name="VB12" tableColumnId="26"/>
      <queryTableField id="27" name="VARA" tableColumnId="27"/>
      <queryTableField id="28" name="RET" tableColumnId="28"/>
      <queryTableField id="29" name="BCAR" tableColumnId="29"/>
      <queryTableField id="30" name="ACAR" tableColumnId="30"/>
      <queryTableField id="31" name="CRYP" tableColumnId="31"/>
      <queryTableField id="32" name="LYCO" tableColumnId="32"/>
      <queryTableField id="33" name="LZ" tableColumnId="33"/>
      <queryTableField id="34" name="ATOC" tableColumnId="34"/>
      <queryTableField id="35" name="VK" tableColumnId="35"/>
      <queryTableField id="36" name="CHOLE" tableColumnId="36"/>
      <queryTableField id="37" name="SFAT" tableColumnId="37"/>
      <queryTableField id="38" name="MFAT" tableColumnId="38"/>
      <queryTableField id="39" name="PFAT" tableColumnId="39"/>
      <queryTableField id="40" name="VITD" tableColumnId="40"/>
      <queryTableField id="41" name="CHOLN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8C4E20-33D6-463E-B22A-CCD5F2C50493}" name="FI_OTU44_class" displayName="FI_OTU44_class" ref="A1:AO11" tableType="queryTable" totalsRowShown="0" headerRowDxfId="1" dataDxfId="0">
  <autoFilter ref="A1:AO11" xr:uid="{0547685D-BC52-4586-AE57-89CFBFF75062}"/>
  <tableColumns count="41">
    <tableColumn id="1" xr3:uid="{BDD2E7B4-9157-42E9-ABF9-8698B2F1ED77}" uniqueName="1" name="KCAL" queryTableFieldId="1" dataDxfId="42"/>
    <tableColumn id="2" xr3:uid="{4B0E8D34-E325-4851-BF54-755E55818741}" uniqueName="2" name="PROT" queryTableFieldId="2" dataDxfId="41"/>
    <tableColumn id="3" xr3:uid="{26E41184-9371-43D1-9A90-24A21F790CE0}" uniqueName="3" name="TFAT" queryTableFieldId="3" dataDxfId="40"/>
    <tableColumn id="4" xr3:uid="{2A3741FF-7895-4482-B167-A976B2C84099}" uniqueName="4" name="CARB" queryTableFieldId="4" dataDxfId="39"/>
    <tableColumn id="5" xr3:uid="{01F96421-A93A-4628-A9F2-F3F1B3159EED}" uniqueName="5" name="MOIS" queryTableFieldId="5" dataDxfId="38"/>
    <tableColumn id="6" xr3:uid="{FE82C0CF-1D78-4746-9632-DA9BAD46E9A0}" uniqueName="6" name="ALC" queryTableFieldId="6" dataDxfId="37"/>
    <tableColumn id="7" xr3:uid="{4A3F067C-4455-48DD-B4AE-202E703CA486}" uniqueName="7" name="CAFF" queryTableFieldId="7" dataDxfId="36"/>
    <tableColumn id="8" xr3:uid="{88D69822-4C34-4212-9CBD-C4FFB0AF4E12}" uniqueName="8" name="THEO" queryTableFieldId="8" dataDxfId="35"/>
    <tableColumn id="9" xr3:uid="{1A6A6091-D954-40D3-B580-70DD773C88EF}" uniqueName="9" name="SUGR" queryTableFieldId="9" dataDxfId="34"/>
    <tableColumn id="10" xr3:uid="{AE72BB25-79EE-449A-BDAD-C6CD8A1A3891}" uniqueName="10" name="FIBE" queryTableFieldId="10" dataDxfId="33"/>
    <tableColumn id="11" xr3:uid="{18D19993-04A9-497E-9DCB-7B05C1FD164F}" uniqueName="11" name="CALC" queryTableFieldId="11" dataDxfId="32"/>
    <tableColumn id="12" xr3:uid="{25EB91C6-2B7B-4027-B6C1-B2E8C987C5AA}" uniqueName="12" name="IRON" queryTableFieldId="12" dataDxfId="31"/>
    <tableColumn id="13" xr3:uid="{8F788855-34F2-42B0-B8F4-76422BC7D0DE}" uniqueName="13" name="MAGN" queryTableFieldId="13" dataDxfId="30"/>
    <tableColumn id="14" xr3:uid="{71CA479C-4838-47E6-87B0-D1958D3177AE}" uniqueName="14" name="PHOS" queryTableFieldId="14" dataDxfId="29"/>
    <tableColumn id="15" xr3:uid="{ECBD6C87-9348-41C9-AC61-D6BA9A84ADC8}" uniqueName="15" name="POTA" queryTableFieldId="15" dataDxfId="28"/>
    <tableColumn id="16" xr3:uid="{E451332E-0070-4DD7-921C-37E6B6A9B4A1}" uniqueName="16" name="SODI" queryTableFieldId="16" dataDxfId="27"/>
    <tableColumn id="17" xr3:uid="{D1076094-3822-4872-9AA3-3824E6887283}" uniqueName="17" name="ZINC" queryTableFieldId="17" dataDxfId="26"/>
    <tableColumn id="18" xr3:uid="{98E0902B-C0B2-4265-9D5F-B17F61243F7C}" uniqueName="18" name="COPP" queryTableFieldId="18" dataDxfId="25"/>
    <tableColumn id="19" xr3:uid="{A3A9E4E5-68AA-4F38-A3D8-744C281E0EFD}" uniqueName="19" name="SELE" queryTableFieldId="19" dataDxfId="24"/>
    <tableColumn id="20" xr3:uid="{8A5112D6-389F-4C25-BDDF-4E04C509A0EE}" uniqueName="20" name="VC" queryTableFieldId="20" dataDxfId="23"/>
    <tableColumn id="21" xr3:uid="{3D3C3254-463C-42E6-BCE8-A218A4EBB089}" uniqueName="21" name="VB1" queryTableFieldId="21" dataDxfId="22"/>
    <tableColumn id="22" xr3:uid="{DBCEC281-3C16-48FA-905C-CE3051768E8F}" uniqueName="22" name="VB2" queryTableFieldId="22" dataDxfId="21"/>
    <tableColumn id="23" xr3:uid="{169E6340-6278-4BCA-A130-45B3D1A99D1F}" uniqueName="23" name="NIAC" queryTableFieldId="23" dataDxfId="20"/>
    <tableColumn id="24" xr3:uid="{7DF37B26-4827-45DA-B06B-35D91F01F204}" uniqueName="24" name="VB6" queryTableFieldId="24" dataDxfId="19"/>
    <tableColumn id="25" xr3:uid="{4C9C36C6-94CE-47B9-BD46-BE22A655212B}" uniqueName="25" name="FOLA" queryTableFieldId="25" dataDxfId="18"/>
    <tableColumn id="26" xr3:uid="{80153FDE-9497-49E2-AEBB-036C65B22BDC}" uniqueName="26" name="VB12" queryTableFieldId="26" dataDxfId="17"/>
    <tableColumn id="27" xr3:uid="{B697C20D-D9FC-42D4-BB55-8AA0F6F82E03}" uniqueName="27" name="VARA" queryTableFieldId="27" dataDxfId="16"/>
    <tableColumn id="28" xr3:uid="{E9DF344B-362C-44DE-AF95-9C67F573E2BF}" uniqueName="28" name="RET" queryTableFieldId="28" dataDxfId="15"/>
    <tableColumn id="29" xr3:uid="{199335B5-2E2F-4307-9F37-44290F2969F0}" uniqueName="29" name="BCAR" queryTableFieldId="29" dataDxfId="14"/>
    <tableColumn id="30" xr3:uid="{92CEDE09-B157-4AD3-B898-0CA555E06039}" uniqueName="30" name="ACAR" queryTableFieldId="30" dataDxfId="13"/>
    <tableColumn id="31" xr3:uid="{B5A9A595-609E-442E-BC66-3CA2F9E9AB2B}" uniqueName="31" name="CRYP" queryTableFieldId="31" dataDxfId="12"/>
    <tableColumn id="32" xr3:uid="{C5F72349-0567-46F9-BE5A-F4A561634000}" uniqueName="32" name="LYCO" queryTableFieldId="32" dataDxfId="11"/>
    <tableColumn id="33" xr3:uid="{E1D8FC08-A756-4550-8560-DB5783764827}" uniqueName="33" name="LZ" queryTableFieldId="33" dataDxfId="10"/>
    <tableColumn id="34" xr3:uid="{6B64A3FD-22D8-4459-A762-BD105D1A3EC3}" uniqueName="34" name="ATOC" queryTableFieldId="34" dataDxfId="9"/>
    <tableColumn id="35" xr3:uid="{826173A8-0FF1-42C8-84A8-313D66FB1248}" uniqueName="35" name="VK" queryTableFieldId="35" dataDxfId="8"/>
    <tableColumn id="36" xr3:uid="{71AAE485-8017-4958-AF12-BD4495D197EF}" uniqueName="36" name="CHOLE" queryTableFieldId="36" dataDxfId="7"/>
    <tableColumn id="37" xr3:uid="{1CD3D8A5-038A-4DC4-92B6-87DE3E861C4F}" uniqueName="37" name="SFAT" queryTableFieldId="37" dataDxfId="6"/>
    <tableColumn id="38" xr3:uid="{45EBAEC5-7E09-43AB-A3C5-2B2D5B550D98}" uniqueName="38" name="MFAT" queryTableFieldId="38" dataDxfId="5"/>
    <tableColumn id="39" xr3:uid="{CB3822B1-97C1-4B9A-968A-AD070504D904}" uniqueName="39" name="PFAT" queryTableFieldId="39" dataDxfId="4"/>
    <tableColumn id="40" xr3:uid="{14C61581-2B3A-4350-A73D-34E86FB8D4FD}" uniqueName="40" name="VITD" queryTableFieldId="40" dataDxfId="3"/>
    <tableColumn id="41" xr3:uid="{579804B6-8617-413F-BAD5-E87C1DC8C953}" uniqueName="41" name="CHOLN" queryTableFieldId="41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BD40CE-3D18-40A2-848C-80DE2EDB96CC}" name="FI_OTU44_especie" displayName="FI_OTU44_especie" ref="A1:AO11" tableType="queryTable" totalsRowShown="0" headerRowDxfId="44" dataDxfId="43">
  <autoFilter ref="A1:AO11" xr:uid="{765A8AC9-4E3C-419F-A81B-7AB8EE8AA9C0}"/>
  <tableColumns count="41">
    <tableColumn id="1" xr3:uid="{24B6DB22-66D6-4B81-B341-B3278BA9AE64}" uniqueName="1" name="KCAL" queryTableFieldId="1" dataDxfId="85"/>
    <tableColumn id="2" xr3:uid="{064E74BE-9F0E-4CAE-A7BA-5B27F7684104}" uniqueName="2" name="PROT" queryTableFieldId="2" dataDxfId="84"/>
    <tableColumn id="3" xr3:uid="{6CDB6C95-49AA-409D-9ABE-0F38FCDB81DA}" uniqueName="3" name="TFAT" queryTableFieldId="3" dataDxfId="83"/>
    <tableColumn id="4" xr3:uid="{DE42C5A2-5BD1-43AF-919E-E5BAAF67039B}" uniqueName="4" name="CARB" queryTableFieldId="4" dataDxfId="82"/>
    <tableColumn id="5" xr3:uid="{4C94BC38-6749-46A6-AA5B-8AE51FBFE093}" uniqueName="5" name="MOIS" queryTableFieldId="5" dataDxfId="81"/>
    <tableColumn id="6" xr3:uid="{F68809F7-EFD5-4FF4-8A4C-F4B6507CA8ED}" uniqueName="6" name="ALC" queryTableFieldId="6" dataDxfId="80"/>
    <tableColumn id="7" xr3:uid="{B6DFE9E5-F705-4EAE-9D62-85FDE042EBC1}" uniqueName="7" name="CAFF" queryTableFieldId="7" dataDxfId="79"/>
    <tableColumn id="8" xr3:uid="{705AD02B-50BA-431D-874D-A34CE037D2DC}" uniqueName="8" name="THEO" queryTableFieldId="8" dataDxfId="78"/>
    <tableColumn id="9" xr3:uid="{45B0D91D-C047-4FC8-B8E7-D7996B13833C}" uniqueName="9" name="SUGR" queryTableFieldId="9" dataDxfId="77"/>
    <tableColumn id="10" xr3:uid="{F6198758-C94F-4FB0-848D-02337306601E}" uniqueName="10" name="FIBE" queryTableFieldId="10" dataDxfId="76"/>
    <tableColumn id="11" xr3:uid="{CA82E1FB-89A9-4563-BC94-CF3E22EDC695}" uniqueName="11" name="CALC" queryTableFieldId="11" dataDxfId="75"/>
    <tableColumn id="12" xr3:uid="{62BCEDD6-2C7B-47B4-98C4-8A64E4E940F3}" uniqueName="12" name="IRON" queryTableFieldId="12" dataDxfId="74"/>
    <tableColumn id="13" xr3:uid="{05FCC378-7EA5-49EF-A7BB-CC35AE029C7A}" uniqueName="13" name="MAGN" queryTableFieldId="13" dataDxfId="73"/>
    <tableColumn id="14" xr3:uid="{A9BE5C22-5E4F-4B45-9F27-E7359B614BD6}" uniqueName="14" name="PHOS" queryTableFieldId="14" dataDxfId="72"/>
    <tableColumn id="15" xr3:uid="{CFB8E806-3730-409D-B879-9BF0D04D284C}" uniqueName="15" name="POTA" queryTableFieldId="15" dataDxfId="71"/>
    <tableColumn id="16" xr3:uid="{5274A1FD-7A17-429F-AB6D-F282551DEA73}" uniqueName="16" name="SODI" queryTableFieldId="16" dataDxfId="70"/>
    <tableColumn id="17" xr3:uid="{DF0CEFA3-0D9F-4000-A42E-94076509F9FE}" uniqueName="17" name="ZINC" queryTableFieldId="17" dataDxfId="69"/>
    <tableColumn id="18" xr3:uid="{6A106876-EECA-4452-B803-FDBA9613A0F5}" uniqueName="18" name="COPP" queryTableFieldId="18" dataDxfId="68"/>
    <tableColumn id="19" xr3:uid="{DB5E8D21-9E47-47C3-B419-DE3EEC64017C}" uniqueName="19" name="SELE" queryTableFieldId="19" dataDxfId="67"/>
    <tableColumn id="20" xr3:uid="{CA61702F-054B-47A4-A57A-55D05B4CAD8B}" uniqueName="20" name="VC" queryTableFieldId="20" dataDxfId="66"/>
    <tableColumn id="21" xr3:uid="{F8D7C3A6-72A5-4006-8FB1-1C16CC17B407}" uniqueName="21" name="VB1" queryTableFieldId="21" dataDxfId="65"/>
    <tableColumn id="22" xr3:uid="{3AC59676-D68A-482F-BD92-5E5A55C23CFA}" uniqueName="22" name="VB2" queryTableFieldId="22" dataDxfId="64"/>
    <tableColumn id="23" xr3:uid="{F29040AD-5DE6-4231-9D68-E306AEDA10C6}" uniqueName="23" name="NIAC" queryTableFieldId="23" dataDxfId="63"/>
    <tableColumn id="24" xr3:uid="{BF352D18-BF1F-49F6-AA2E-2A713E53675B}" uniqueName="24" name="VB6" queryTableFieldId="24" dataDxfId="62"/>
    <tableColumn id="25" xr3:uid="{E69C0B9E-E711-4DB5-BF72-BC4B59737EE0}" uniqueName="25" name="FOLA" queryTableFieldId="25" dataDxfId="61"/>
    <tableColumn id="26" xr3:uid="{94EC3251-9A50-4473-A54E-06EEFDFF8DD1}" uniqueName="26" name="VB12" queryTableFieldId="26" dataDxfId="60"/>
    <tableColumn id="27" xr3:uid="{EF95292D-62F8-4D9E-B1A8-747FACE86680}" uniqueName="27" name="VARA" queryTableFieldId="27" dataDxfId="59"/>
    <tableColumn id="28" xr3:uid="{BEC8282D-8747-4ACD-8E57-96834CC0C428}" uniqueName="28" name="RET" queryTableFieldId="28" dataDxfId="58"/>
    <tableColumn id="29" xr3:uid="{EDB277F9-7FC1-4FB3-A923-CCFD386AAA5B}" uniqueName="29" name="BCAR" queryTableFieldId="29" dataDxfId="57"/>
    <tableColumn id="30" xr3:uid="{A65E5ECD-0D6E-42A1-82A8-BE77ABCB21A8}" uniqueName="30" name="ACAR" queryTableFieldId="30" dataDxfId="56"/>
    <tableColumn id="31" xr3:uid="{76B98550-1F51-483E-9457-E63AA1607D5C}" uniqueName="31" name="CRYP" queryTableFieldId="31" dataDxfId="55"/>
    <tableColumn id="32" xr3:uid="{8DCA9503-110D-41D7-9C81-21C498B4D538}" uniqueName="32" name="LYCO" queryTableFieldId="32" dataDxfId="54"/>
    <tableColumn id="33" xr3:uid="{94D9EB77-C7B8-4D3A-8A02-AC5382737831}" uniqueName="33" name="LZ" queryTableFieldId="33" dataDxfId="53"/>
    <tableColumn id="34" xr3:uid="{A849C7A9-075C-4656-BDB7-8D9CF2D7FD4B}" uniqueName="34" name="ATOC" queryTableFieldId="34" dataDxfId="52"/>
    <tableColumn id="35" xr3:uid="{61F1D097-3AE5-48BE-909D-043C0A913DB1}" uniqueName="35" name="VK" queryTableFieldId="35" dataDxfId="51"/>
    <tableColumn id="36" xr3:uid="{D1E19026-8B7A-49AB-84C7-984DC8E48563}" uniqueName="36" name="CHOLE" queryTableFieldId="36" dataDxfId="50"/>
    <tableColumn id="37" xr3:uid="{13172153-E7CA-4EA5-8DDC-84ED149B7D97}" uniqueName="37" name="SFAT" queryTableFieldId="37" dataDxfId="49"/>
    <tableColumn id="38" xr3:uid="{CFA6C084-C8CA-47F8-9A02-7B58754911F1}" uniqueName="38" name="MFAT" queryTableFieldId="38" dataDxfId="48"/>
    <tableColumn id="39" xr3:uid="{01BE0F7F-6953-4895-A552-DB883EF3254D}" uniqueName="39" name="PFAT" queryTableFieldId="39" dataDxfId="47"/>
    <tableColumn id="40" xr3:uid="{D3CD3873-E3A8-48AE-9BE2-F57D6F4DB069}" uniqueName="40" name="VITD" queryTableFieldId="40" dataDxfId="46"/>
    <tableColumn id="41" xr3:uid="{9C543D29-57DA-4B00-8403-4137371CB3C4}" uniqueName="41" name="CHOLN" queryTableFieldId="41" dataDxfId="4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A9389C-74E9-4BA8-A35A-9E7FF53F15B5}" name="FI_OTU44_family" displayName="FI_OTU44_family" ref="A1:AO11" tableType="queryTable" totalsRowShown="0" headerRowDxfId="87" dataDxfId="86">
  <autoFilter ref="A1:AO11" xr:uid="{688A45E4-886F-4353-B6D8-8A1C14EC6659}"/>
  <tableColumns count="41">
    <tableColumn id="1" xr3:uid="{B9E8ABB2-C93B-4E92-857F-78FBF6D668BE}" uniqueName="1" name="KCAL" queryTableFieldId="1" dataDxfId="128"/>
    <tableColumn id="2" xr3:uid="{9CD18AF0-F742-49F2-BC93-BE947123C4C5}" uniqueName="2" name="PROT" queryTableFieldId="2" dataDxfId="127"/>
    <tableColumn id="3" xr3:uid="{B257F747-1FDB-4246-9882-95323852859A}" uniqueName="3" name="TFAT" queryTableFieldId="3" dataDxfId="126"/>
    <tableColumn id="4" xr3:uid="{455398F0-4CE8-478D-851C-0FD24CC45A5D}" uniqueName="4" name="CARB" queryTableFieldId="4" dataDxfId="125"/>
    <tableColumn id="5" xr3:uid="{8FC97EAC-ECA7-4A6B-AC0F-B6BCC2313B72}" uniqueName="5" name="MOIS" queryTableFieldId="5" dataDxfId="124"/>
    <tableColumn id="6" xr3:uid="{51DC219C-B66C-4F5F-A156-62331E9B611A}" uniqueName="6" name="ALC" queryTableFieldId="6" dataDxfId="123"/>
    <tableColumn id="7" xr3:uid="{15D10FEF-9933-4947-918B-F950A416EE6D}" uniqueName="7" name="CAFF" queryTableFieldId="7" dataDxfId="122"/>
    <tableColumn id="8" xr3:uid="{8B4ADA94-3212-4549-966D-05B4F4125E13}" uniqueName="8" name="THEO" queryTableFieldId="8" dataDxfId="121"/>
    <tableColumn id="9" xr3:uid="{69A6B699-A4BC-4CDC-B155-428480FB7924}" uniqueName="9" name="SUGR" queryTableFieldId="9" dataDxfId="120"/>
    <tableColumn id="10" xr3:uid="{AB5E6E2B-00BA-40E4-AB5E-FFF4551970A2}" uniqueName="10" name="FIBE" queryTableFieldId="10" dataDxfId="119"/>
    <tableColumn id="11" xr3:uid="{6A89EF38-106F-4F00-A520-842ADFCAA747}" uniqueName="11" name="CALC" queryTableFieldId="11" dataDxfId="118"/>
    <tableColumn id="12" xr3:uid="{E3A450A4-D73C-445D-A3B6-04B562B70BCF}" uniqueName="12" name="IRON" queryTableFieldId="12" dataDxfId="117"/>
    <tableColumn id="13" xr3:uid="{7AB6225D-B55F-4F14-BC71-863491FD61B7}" uniqueName="13" name="MAGN" queryTableFieldId="13" dataDxfId="116"/>
    <tableColumn id="14" xr3:uid="{67C10C5B-D43A-44A1-92F8-A3BB1257F504}" uniqueName="14" name="PHOS" queryTableFieldId="14" dataDxfId="115"/>
    <tableColumn id="15" xr3:uid="{49199B91-423C-4DF0-BAF6-8195ABAFB318}" uniqueName="15" name="POTA" queryTableFieldId="15" dataDxfId="114"/>
    <tableColumn id="16" xr3:uid="{84E0D1DB-A20C-4EC3-AC7B-ECB5514BA4AC}" uniqueName="16" name="SODI" queryTableFieldId="16" dataDxfId="113"/>
    <tableColumn id="17" xr3:uid="{344DEBA5-DAEF-4F82-B6DD-3758912396EC}" uniqueName="17" name="ZINC" queryTableFieldId="17" dataDxfId="112"/>
    <tableColumn id="18" xr3:uid="{A9DBCBCC-FA0E-489B-B95D-C667C46DCCB2}" uniqueName="18" name="COPP" queryTableFieldId="18" dataDxfId="111"/>
    <tableColumn id="19" xr3:uid="{6CDF0431-6A3C-4B29-823C-16EEF924659A}" uniqueName="19" name="SELE" queryTableFieldId="19" dataDxfId="110"/>
    <tableColumn id="20" xr3:uid="{C93FA799-A93D-4D7F-9678-860896A09162}" uniqueName="20" name="VC" queryTableFieldId="20" dataDxfId="109"/>
    <tableColumn id="21" xr3:uid="{77AAB761-851B-4AAD-BB45-4C333494038E}" uniqueName="21" name="VB1" queryTableFieldId="21" dataDxfId="108"/>
    <tableColumn id="22" xr3:uid="{D9BBF762-C5E7-4679-8732-78B5E2611CD3}" uniqueName="22" name="VB2" queryTableFieldId="22" dataDxfId="107"/>
    <tableColumn id="23" xr3:uid="{1A227412-DEA2-44EB-8EF4-CCAA5851745D}" uniqueName="23" name="NIAC" queryTableFieldId="23" dataDxfId="106"/>
    <tableColumn id="24" xr3:uid="{0DE342D5-0422-4165-AD08-4369FC8942A1}" uniqueName="24" name="VB6" queryTableFieldId="24" dataDxfId="105"/>
    <tableColumn id="25" xr3:uid="{48F6E3A3-94AE-440E-AFDC-330117480C99}" uniqueName="25" name="FOLA" queryTableFieldId="25" dataDxfId="104"/>
    <tableColumn id="26" xr3:uid="{E4EC2366-13FB-4759-BE2F-573E7E1005F4}" uniqueName="26" name="VB12" queryTableFieldId="26" dataDxfId="103"/>
    <tableColumn id="27" xr3:uid="{60344FD3-4455-4A58-AB1F-83A7A2E7EB71}" uniqueName="27" name="VARA" queryTableFieldId="27" dataDxfId="102"/>
    <tableColumn id="28" xr3:uid="{CBBA60A9-DD67-428D-91CA-3EC1DB8ECF45}" uniqueName="28" name="RET" queryTableFieldId="28" dataDxfId="101"/>
    <tableColumn id="29" xr3:uid="{D328FC9C-C76E-4239-936D-F682743A688C}" uniqueName="29" name="BCAR" queryTableFieldId="29" dataDxfId="100"/>
    <tableColumn id="30" xr3:uid="{3CBCC067-F959-4305-BE0B-72C6B65113D0}" uniqueName="30" name="ACAR" queryTableFieldId="30" dataDxfId="99"/>
    <tableColumn id="31" xr3:uid="{6AC9A8B8-EE65-4EA9-B98A-A50DAC268833}" uniqueName="31" name="CRYP" queryTableFieldId="31" dataDxfId="98"/>
    <tableColumn id="32" xr3:uid="{9BFE68AB-493F-4F54-BE46-BD45D4649A06}" uniqueName="32" name="LYCO" queryTableFieldId="32" dataDxfId="97"/>
    <tableColumn id="33" xr3:uid="{3847559A-06E2-4B15-8AEC-5EF5FD97F458}" uniqueName="33" name="LZ" queryTableFieldId="33" dataDxfId="96"/>
    <tableColumn id="34" xr3:uid="{82374884-D837-4EEC-9D2C-01CCA198FA3A}" uniqueName="34" name="ATOC" queryTableFieldId="34" dataDxfId="95"/>
    <tableColumn id="35" xr3:uid="{6EB97055-A883-4175-956A-5E5B22E64E88}" uniqueName="35" name="VK" queryTableFieldId="35" dataDxfId="94"/>
    <tableColumn id="36" xr3:uid="{EE061375-83CD-4AE1-9C1D-FB4E6E0FC184}" uniqueName="36" name="CHOLE" queryTableFieldId="36" dataDxfId="93"/>
    <tableColumn id="37" xr3:uid="{B6C8DF1E-E1D3-4676-AF0B-614FDB5CA491}" uniqueName="37" name="SFAT" queryTableFieldId="37" dataDxfId="92"/>
    <tableColumn id="38" xr3:uid="{283542E8-6A41-4A26-BB05-A43C20A8B111}" uniqueName="38" name="MFAT" queryTableFieldId="38" dataDxfId="91"/>
    <tableColumn id="39" xr3:uid="{9316F5F6-50B9-4FC3-B6A2-E80EDC8E4BA1}" uniqueName="39" name="PFAT" queryTableFieldId="39" dataDxfId="90"/>
    <tableColumn id="40" xr3:uid="{ADEF1D97-0874-4312-A4D4-53A0C3959F2A}" uniqueName="40" name="VITD" queryTableFieldId="40" dataDxfId="89"/>
    <tableColumn id="41" xr3:uid="{9B18BA2B-485F-402D-8F3B-2197A8B75D93}" uniqueName="41" name="CHOLN" queryTableFieldId="41" dataDxfId="8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9B1B29-2A1F-46AE-BE4A-23FD271EEAC5}" name="FI_OTU44_genus" displayName="FI_OTU44_genus" ref="A1:AO11" tableType="queryTable" totalsRowShown="0">
  <autoFilter ref="A1:AO11" xr:uid="{7FA897DF-9DEC-4446-A73A-A9A2B566A527}"/>
  <tableColumns count="41">
    <tableColumn id="1" xr3:uid="{3F1EA3E4-82A1-48E7-9EBE-804E5F9ABB13}" uniqueName="1" name="KCAL" queryTableFieldId="1" dataDxfId="251"/>
    <tableColumn id="2" xr3:uid="{93DA6890-7675-49DB-818C-FF590A6B5877}" uniqueName="2" name="PROT" queryTableFieldId="2" dataDxfId="250"/>
    <tableColumn id="3" xr3:uid="{9DF6743F-C91E-4677-AA91-62642CFBAA97}" uniqueName="3" name="TFAT" queryTableFieldId="3" dataDxfId="249"/>
    <tableColumn id="4" xr3:uid="{27716FD0-0BF7-480C-A04B-54B10C16C561}" uniqueName="4" name="CARB" queryTableFieldId="4" dataDxfId="248"/>
    <tableColumn id="5" xr3:uid="{CFAD99B9-A1D8-4EF3-8C6C-49416EFA79AB}" uniqueName="5" name="MOIS" queryTableFieldId="5" dataDxfId="247"/>
    <tableColumn id="6" xr3:uid="{645D08B7-A438-4CAE-B6ED-BC627EAAADF9}" uniqueName="6" name="ALC" queryTableFieldId="6" dataDxfId="246"/>
    <tableColumn id="7" xr3:uid="{D0473514-D2DF-4588-9265-391F556AAE5A}" uniqueName="7" name="CAFF" queryTableFieldId="7" dataDxfId="245"/>
    <tableColumn id="8" xr3:uid="{5542A2A3-230A-48A6-8FB2-88DA2168EB9B}" uniqueName="8" name="THEO" queryTableFieldId="8" dataDxfId="244"/>
    <tableColumn id="9" xr3:uid="{E6E68483-B717-4B71-87DF-42133D4646F7}" uniqueName="9" name="SUGR" queryTableFieldId="9" dataDxfId="243"/>
    <tableColumn id="10" xr3:uid="{68F32830-C7A6-4ADC-876E-D2C7CB0A3F4F}" uniqueName="10" name="FIBE" queryTableFieldId="10" dataDxfId="242"/>
    <tableColumn id="11" xr3:uid="{D4E6C807-A773-4AC9-BD42-C18F5D90462C}" uniqueName="11" name="CALC" queryTableFieldId="11" dataDxfId="241"/>
    <tableColumn id="12" xr3:uid="{34B59BEC-E0A4-430D-8F8D-B5574B25C518}" uniqueName="12" name="IRON" queryTableFieldId="12" dataDxfId="240"/>
    <tableColumn id="13" xr3:uid="{6DF30369-EF2F-4ABE-B4A6-E12019022FE0}" uniqueName="13" name="MAGN" queryTableFieldId="13" dataDxfId="239"/>
    <tableColumn id="14" xr3:uid="{F3D39BA2-3C25-44F0-8589-F91BD590D3C7}" uniqueName="14" name="PHOS" queryTableFieldId="14" dataDxfId="238"/>
    <tableColumn id="15" xr3:uid="{AE1780EA-566D-4EE8-AE78-5443D4F3BCFE}" uniqueName="15" name="POTA" queryTableFieldId="15" dataDxfId="237"/>
    <tableColumn id="16" xr3:uid="{E3618F76-E05D-4D60-8373-F8325F792F20}" uniqueName="16" name="SODI" queryTableFieldId="16" dataDxfId="236"/>
    <tableColumn id="17" xr3:uid="{C5BAA6BC-383C-4BD4-82C8-CB639F3F1B47}" uniqueName="17" name="ZINC" queryTableFieldId="17" dataDxfId="235"/>
    <tableColumn id="18" xr3:uid="{35CD865A-541D-497B-8169-35741295A680}" uniqueName="18" name="COPP" queryTableFieldId="18" dataDxfId="234"/>
    <tableColumn id="19" xr3:uid="{E98AB9D0-C26A-468E-95DF-F525DF7B83AA}" uniqueName="19" name="SELE" queryTableFieldId="19" dataDxfId="233"/>
    <tableColumn id="20" xr3:uid="{D0F2A438-4F92-4365-8D49-6F459F1368D0}" uniqueName="20" name="VC" queryTableFieldId="20" dataDxfId="232"/>
    <tableColumn id="21" xr3:uid="{4DA16498-4804-48AF-924E-4CE9766B6839}" uniqueName="21" name="VB1" queryTableFieldId="21" dataDxfId="231"/>
    <tableColumn id="22" xr3:uid="{525F78D5-581B-4685-9E40-3EEE7C9635F1}" uniqueName="22" name="VB2" queryTableFieldId="22" dataDxfId="230"/>
    <tableColumn id="23" xr3:uid="{D7C74DB5-D4E0-44AE-997B-A4B3634DCF6F}" uniqueName="23" name="NIAC" queryTableFieldId="23" dataDxfId="229"/>
    <tableColumn id="24" xr3:uid="{CE89C9CF-CFAD-4B73-B98A-19B51B88F02E}" uniqueName="24" name="VB6" queryTableFieldId="24" dataDxfId="228"/>
    <tableColumn id="25" xr3:uid="{3EA1CABE-74C6-4DDE-84CE-3337104BA759}" uniqueName="25" name="FOLA" queryTableFieldId="25" dataDxfId="227"/>
    <tableColumn id="26" xr3:uid="{B6D5C2FB-ACEB-4E23-B335-B81D128799E2}" uniqueName="26" name="VB12" queryTableFieldId="26" dataDxfId="226"/>
    <tableColumn id="27" xr3:uid="{7423FE96-7244-45AC-8D51-C5080FA6316D}" uniqueName="27" name="VARA" queryTableFieldId="27" dataDxfId="225"/>
    <tableColumn id="28" xr3:uid="{41C09D7A-5FDA-4EA1-83C6-9AB42D7E5A2F}" uniqueName="28" name="RET" queryTableFieldId="28" dataDxfId="224"/>
    <tableColumn id="29" xr3:uid="{9C381D7E-18E7-4697-944D-089343183CE9}" uniqueName="29" name="BCAR" queryTableFieldId="29" dataDxfId="223"/>
    <tableColumn id="30" xr3:uid="{B1D36760-AF4A-485D-ACFF-E944E06AFBA2}" uniqueName="30" name="ACAR" queryTableFieldId="30" dataDxfId="222"/>
    <tableColumn id="31" xr3:uid="{38F1F8AC-E06F-468B-AD9A-73BD24032B9B}" uniqueName="31" name="CRYP" queryTableFieldId="31" dataDxfId="221"/>
    <tableColumn id="32" xr3:uid="{D9D2C261-B47A-4AAC-938D-4E25C5466985}" uniqueName="32" name="LYCO" queryTableFieldId="32" dataDxfId="220"/>
    <tableColumn id="33" xr3:uid="{81446B85-4133-46D6-ADBF-B682FF0C8A29}" uniqueName="33" name="LZ" queryTableFieldId="33" dataDxfId="219"/>
    <tableColumn id="34" xr3:uid="{A8163A74-F2B1-4E16-A31B-67D1FFF9EE2C}" uniqueName="34" name="ATOC" queryTableFieldId="34" dataDxfId="218"/>
    <tableColumn id="35" xr3:uid="{24E84801-8E75-4A3A-877B-A9D4BE858DBE}" uniqueName="35" name="VK" queryTableFieldId="35" dataDxfId="217"/>
    <tableColumn id="36" xr3:uid="{161B6D85-18A8-4C68-AD84-E38D54306928}" uniqueName="36" name="CHOLE" queryTableFieldId="36" dataDxfId="216"/>
    <tableColumn id="37" xr3:uid="{BBFC2312-E7C7-4FB1-81E2-0CE969E7D226}" uniqueName="37" name="SFAT" queryTableFieldId="37" dataDxfId="215"/>
    <tableColumn id="38" xr3:uid="{9A0A68C9-D7BF-4974-96C7-C3DB46D56F7D}" uniqueName="38" name="MFAT" queryTableFieldId="38" dataDxfId="214"/>
    <tableColumn id="39" xr3:uid="{894B91ED-D5C5-4326-A341-628737E187A6}" uniqueName="39" name="PFAT" queryTableFieldId="39" dataDxfId="213"/>
    <tableColumn id="40" xr3:uid="{DB9D0F90-6909-472A-A626-54CA8BB951AA}" uniqueName="40" name="VITD" queryTableFieldId="40" dataDxfId="212"/>
    <tableColumn id="41" xr3:uid="{6A29018E-8558-4380-B254-9BE120831CA1}" uniqueName="41" name="CHOLN" queryTableFieldId="41" dataDxfId="2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0FDEA3-B633-4C8B-B3F1-1D6F77E4C13E}" name="FI_OTU44_filo" displayName="FI_OTU44_filo" ref="A1:AO11" tableType="queryTable" totalsRowShown="0">
  <autoFilter ref="A1:AO11" xr:uid="{02933570-92F2-4F30-B348-59CC17786F4C}"/>
  <tableColumns count="41">
    <tableColumn id="1" xr3:uid="{4DD910E1-A0A2-492F-B577-17C1522E35C9}" uniqueName="1" name="KCAL" queryTableFieldId="1" dataDxfId="210"/>
    <tableColumn id="2" xr3:uid="{421761C9-1615-499B-B069-094AA57A0039}" uniqueName="2" name="PROT" queryTableFieldId="2" dataDxfId="209"/>
    <tableColumn id="3" xr3:uid="{3D903298-51FC-41D0-8975-AB974D147457}" uniqueName="3" name="TFAT" queryTableFieldId="3" dataDxfId="208"/>
    <tableColumn id="4" xr3:uid="{223A8C27-1C98-48FB-9485-548505B23140}" uniqueName="4" name="CARB" queryTableFieldId="4" dataDxfId="207"/>
    <tableColumn id="5" xr3:uid="{CE524A06-F7E8-48F0-BF72-2E7BE8230210}" uniqueName="5" name="MOIS" queryTableFieldId="5" dataDxfId="206"/>
    <tableColumn id="6" xr3:uid="{BCFD0489-C689-4004-9F2E-9B16A93D47FD}" uniqueName="6" name="ALC" queryTableFieldId="6" dataDxfId="205"/>
    <tableColumn id="7" xr3:uid="{0D36E7F5-995C-48CF-8AEC-5813868EA7F2}" uniqueName="7" name="CAFF" queryTableFieldId="7" dataDxfId="204"/>
    <tableColumn id="8" xr3:uid="{31A6C52D-E834-4226-973B-7CADA6915C04}" uniqueName="8" name="THEO" queryTableFieldId="8" dataDxfId="203"/>
    <tableColumn id="9" xr3:uid="{D11EF0C3-BFA0-43EA-8F05-0151768D46CA}" uniqueName="9" name="SUGR" queryTableFieldId="9" dataDxfId="202"/>
    <tableColumn id="10" xr3:uid="{2E991F81-1C2B-4943-A11D-D86DAD8A51D4}" uniqueName="10" name="FIBE" queryTableFieldId="10" dataDxfId="201"/>
    <tableColumn id="11" xr3:uid="{01904089-9939-4501-AD14-DFD58054DC9F}" uniqueName="11" name="CALC" queryTableFieldId="11" dataDxfId="200"/>
    <tableColumn id="12" xr3:uid="{43711390-B09B-4C5B-BD44-C5D4D6988191}" uniqueName="12" name="IRON" queryTableFieldId="12" dataDxfId="199"/>
    <tableColumn id="13" xr3:uid="{EEC2DA8E-FD76-4542-89B8-F2CE44BF9FC1}" uniqueName="13" name="MAGN" queryTableFieldId="13" dataDxfId="198"/>
    <tableColumn id="14" xr3:uid="{FEBD2AD7-0979-4545-9C92-9AF41ACAB9ED}" uniqueName="14" name="PHOS" queryTableFieldId="14" dataDxfId="197"/>
    <tableColumn id="15" xr3:uid="{76B5F61D-90AE-4F23-A548-B142EDB9C1F5}" uniqueName="15" name="POTA" queryTableFieldId="15" dataDxfId="196"/>
    <tableColumn id="16" xr3:uid="{3D19EB00-7017-423F-BF8B-3F0F8C7070C1}" uniqueName="16" name="SODI" queryTableFieldId="16" dataDxfId="195"/>
    <tableColumn id="17" xr3:uid="{61419C8F-83B3-4758-B4E7-AA457E910F0A}" uniqueName="17" name="ZINC" queryTableFieldId="17" dataDxfId="194"/>
    <tableColumn id="18" xr3:uid="{EB5F5123-7000-4FAB-8C0E-D7DC7CF28F27}" uniqueName="18" name="COPP" queryTableFieldId="18" dataDxfId="193"/>
    <tableColumn id="19" xr3:uid="{562DFEBD-949F-48C5-AC9A-F7FB21214AD4}" uniqueName="19" name="SELE" queryTableFieldId="19" dataDxfId="192"/>
    <tableColumn id="20" xr3:uid="{0B7E5825-EFCA-4D20-AD56-823661CBC1E9}" uniqueName="20" name="VC" queryTableFieldId="20" dataDxfId="191"/>
    <tableColumn id="21" xr3:uid="{34EBD1AF-C02A-4BE3-B6D0-CED26D6147AC}" uniqueName="21" name="VB1" queryTableFieldId="21" dataDxfId="190"/>
    <tableColumn id="22" xr3:uid="{5D833BCB-3577-4692-AEAC-FAF0993E5B98}" uniqueName="22" name="VB2" queryTableFieldId="22" dataDxfId="189"/>
    <tableColumn id="23" xr3:uid="{84185AC1-0095-4111-A4F2-BC02857BDA88}" uniqueName="23" name="NIAC" queryTableFieldId="23" dataDxfId="188"/>
    <tableColumn id="24" xr3:uid="{D39EA32B-A444-48FE-AF6E-E55517C6AC93}" uniqueName="24" name="VB6" queryTableFieldId="24" dataDxfId="187"/>
    <tableColumn id="25" xr3:uid="{B609F214-2247-4087-B8F2-3F1F9FFB80B8}" uniqueName="25" name="FOLA" queryTableFieldId="25" dataDxfId="186"/>
    <tableColumn id="26" xr3:uid="{CF37DEDF-CE66-40B0-AE22-434441A42758}" uniqueName="26" name="VB12" queryTableFieldId="26" dataDxfId="185"/>
    <tableColumn id="27" xr3:uid="{D4E96D3E-CC69-47C9-A7E5-2F5D584350B8}" uniqueName="27" name="VARA" queryTableFieldId="27" dataDxfId="184"/>
    <tableColumn id="28" xr3:uid="{BF5B85DC-4353-4D5E-B083-05E0DE6373C7}" uniqueName="28" name="RET" queryTableFieldId="28" dataDxfId="183"/>
    <tableColumn id="29" xr3:uid="{2C59A2E1-8FC5-4D79-B789-E41349CB0431}" uniqueName="29" name="BCAR" queryTableFieldId="29" dataDxfId="182"/>
    <tableColumn id="30" xr3:uid="{A02D875D-C6E8-4D23-85E9-9113D5DC5B06}" uniqueName="30" name="ACAR" queryTableFieldId="30" dataDxfId="181"/>
    <tableColumn id="31" xr3:uid="{324D250E-F2CF-40CD-80A9-E882813321C4}" uniqueName="31" name="CRYP" queryTableFieldId="31" dataDxfId="180"/>
    <tableColumn id="32" xr3:uid="{B5311FD7-6A3C-4F5D-AD11-8B376B0C1F2A}" uniqueName="32" name="LYCO" queryTableFieldId="32" dataDxfId="179"/>
    <tableColumn id="33" xr3:uid="{CA1B1F95-5ADA-44B9-A66C-886E9C072345}" uniqueName="33" name="LZ" queryTableFieldId="33" dataDxfId="178"/>
    <tableColumn id="34" xr3:uid="{CD77CB47-D1B4-4D7B-BD1B-5BF17E3B7336}" uniqueName="34" name="ATOC" queryTableFieldId="34" dataDxfId="177"/>
    <tableColumn id="35" xr3:uid="{AEA99F75-7B60-4EB5-941D-F2E93C2E2E38}" uniqueName="35" name="VK" queryTableFieldId="35" dataDxfId="176"/>
    <tableColumn id="36" xr3:uid="{2A55EF44-FE83-4654-B95E-C6A79211DA3E}" uniqueName="36" name="CHOLE" queryTableFieldId="36" dataDxfId="175"/>
    <tableColumn id="37" xr3:uid="{D6D249D3-CFFF-4CBA-B843-168DA07AE316}" uniqueName="37" name="SFAT" queryTableFieldId="37" dataDxfId="174"/>
    <tableColumn id="38" xr3:uid="{8F6504CE-6DAC-44A9-8C79-94479EAC816A}" uniqueName="38" name="MFAT" queryTableFieldId="38" dataDxfId="173"/>
    <tableColumn id="39" xr3:uid="{08CAF79A-997F-42B5-BAAA-5BD4D02D46A3}" uniqueName="39" name="PFAT" queryTableFieldId="39" dataDxfId="172"/>
    <tableColumn id="40" xr3:uid="{825FA11E-E3E5-47DC-860D-26B29A23E08B}" uniqueName="40" name="VITD" queryTableFieldId="40" dataDxfId="171"/>
    <tableColumn id="41" xr3:uid="{E6A1871E-6621-4D38-8446-249FE8AC72B8}" uniqueName="41" name="CHOLN" queryTableFieldId="41" dataDxfId="17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39E3B4-88DD-43C6-96BA-E6A5F13A0BFF}" name="FI_OTU44_orden" displayName="FI_OTU44_orden" ref="A1:AO11" tableType="queryTable" totalsRowShown="0">
  <autoFilter ref="A1:AO11" xr:uid="{28747466-D780-4EF6-822D-931236ADED6A}"/>
  <tableColumns count="41">
    <tableColumn id="1" xr3:uid="{ABD5847B-4280-47A2-AAD8-70AC0C7A5A1B}" uniqueName="1" name="KCAL" queryTableFieldId="1" dataDxfId="169"/>
    <tableColumn id="2" xr3:uid="{A514B19B-B3CB-4F8F-92D0-B924B93B6080}" uniqueName="2" name="PROT" queryTableFieldId="2" dataDxfId="168"/>
    <tableColumn id="3" xr3:uid="{8BFE4C11-ADD9-4EED-B583-89B110120BA4}" uniqueName="3" name="TFAT" queryTableFieldId="3" dataDxfId="167"/>
    <tableColumn id="4" xr3:uid="{9517EF80-08C0-4890-88A3-4E8FBDC13FF4}" uniqueName="4" name="CARB" queryTableFieldId="4" dataDxfId="166"/>
    <tableColumn id="5" xr3:uid="{6795C29D-FFAC-4A82-894F-4E3018511C2B}" uniqueName="5" name="MOIS" queryTableFieldId="5" dataDxfId="165"/>
    <tableColumn id="6" xr3:uid="{9D44EF5F-0C2A-41D3-8DDB-05A6BFB60F3F}" uniqueName="6" name="ALC" queryTableFieldId="6" dataDxfId="164"/>
    <tableColumn id="7" xr3:uid="{E6A20581-5E29-4A25-B023-D6FC2E3D26D5}" uniqueName="7" name="CAFF" queryTableFieldId="7" dataDxfId="163"/>
    <tableColumn id="8" xr3:uid="{E50A3F69-2613-4404-8E4F-E107BD9A2807}" uniqueName="8" name="THEO" queryTableFieldId="8" dataDxfId="162"/>
    <tableColumn id="9" xr3:uid="{7B7AC713-5D81-46EE-9330-CFC0E7D9B8CC}" uniqueName="9" name="SUGR" queryTableFieldId="9" dataDxfId="161"/>
    <tableColumn id="10" xr3:uid="{E0DD93A7-98A9-4112-8D0B-1E297FD8FE80}" uniqueName="10" name="FIBE" queryTableFieldId="10" dataDxfId="160"/>
    <tableColumn id="11" xr3:uid="{400DF941-C5DD-4B10-B3B2-5F70B10E433E}" uniqueName="11" name="CALC" queryTableFieldId="11" dataDxfId="159"/>
    <tableColumn id="12" xr3:uid="{DCAB2786-8D47-4E04-A7A3-7F13EB624D96}" uniqueName="12" name="IRON" queryTableFieldId="12" dataDxfId="158"/>
    <tableColumn id="13" xr3:uid="{2C388AEF-A9AD-44F1-A172-15ECDC5343DE}" uniqueName="13" name="MAGN" queryTableFieldId="13" dataDxfId="157"/>
    <tableColumn id="14" xr3:uid="{B1EAC5D5-A4B7-4FED-85D8-725C70A0A82B}" uniqueName="14" name="PHOS" queryTableFieldId="14" dataDxfId="156"/>
    <tableColumn id="15" xr3:uid="{6611B065-73F4-471B-9D92-EDBF1198B02F}" uniqueName="15" name="POTA" queryTableFieldId="15" dataDxfId="155"/>
    <tableColumn id="16" xr3:uid="{CDD38DCC-5E4B-4012-AE15-C7E15FED35FD}" uniqueName="16" name="SODI" queryTableFieldId="16" dataDxfId="154"/>
    <tableColumn id="17" xr3:uid="{1E9F5C83-D026-4489-A217-5A146BA0448B}" uniqueName="17" name="ZINC" queryTableFieldId="17" dataDxfId="153"/>
    <tableColumn id="18" xr3:uid="{4FD3FF66-DA12-4592-810B-87EBFC90DCE4}" uniqueName="18" name="COPP" queryTableFieldId="18" dataDxfId="152"/>
    <tableColumn id="19" xr3:uid="{14B8F945-9033-4A62-B63C-588DC9DA2D75}" uniqueName="19" name="SELE" queryTableFieldId="19" dataDxfId="151"/>
    <tableColumn id="20" xr3:uid="{6AD6B3B6-D88F-4258-8185-3C46DB1DC256}" uniqueName="20" name="VC" queryTableFieldId="20" dataDxfId="150"/>
    <tableColumn id="21" xr3:uid="{C762E12A-0685-4932-9918-0CF21927954E}" uniqueName="21" name="VB1" queryTableFieldId="21" dataDxfId="149"/>
    <tableColumn id="22" xr3:uid="{7347B718-7775-45ED-9BF2-08376F3E5695}" uniqueName="22" name="VB2" queryTableFieldId="22" dataDxfId="148"/>
    <tableColumn id="23" xr3:uid="{6FA40F46-B8ED-4DBD-B58D-EFBBB7AAD28F}" uniqueName="23" name="NIAC" queryTableFieldId="23" dataDxfId="147"/>
    <tableColumn id="24" xr3:uid="{BB0CC589-13E8-4756-A824-B2B140FD88D3}" uniqueName="24" name="VB6" queryTableFieldId="24" dataDxfId="146"/>
    <tableColumn id="25" xr3:uid="{69FEC61B-174D-4C9D-B872-D026459E822D}" uniqueName="25" name="FOLA" queryTableFieldId="25" dataDxfId="145"/>
    <tableColumn id="26" xr3:uid="{9E6296EE-CE00-48EA-9CEC-C06C1EC0FA6E}" uniqueName="26" name="VB12" queryTableFieldId="26" dataDxfId="144"/>
    <tableColumn id="27" xr3:uid="{356DF275-5064-47C6-8CE0-73B99DDD9762}" uniqueName="27" name="VARA" queryTableFieldId="27" dataDxfId="143"/>
    <tableColumn id="28" xr3:uid="{BCA31CAE-F232-4CAA-B588-ABD6C479141F}" uniqueName="28" name="RET" queryTableFieldId="28" dataDxfId="142"/>
    <tableColumn id="29" xr3:uid="{264ACB6D-4999-411A-89C7-80A91C9C08AC}" uniqueName="29" name="BCAR" queryTableFieldId="29" dataDxfId="141"/>
    <tableColumn id="30" xr3:uid="{9F8A88D9-CB93-42CB-B6E6-BB7AA75B47DB}" uniqueName="30" name="ACAR" queryTableFieldId="30" dataDxfId="140"/>
    <tableColumn id="31" xr3:uid="{1C4F586D-EB6E-4E23-8792-9D10DCD12323}" uniqueName="31" name="CRYP" queryTableFieldId="31" dataDxfId="139"/>
    <tableColumn id="32" xr3:uid="{A6C587A5-67EB-4CFC-9B35-8350D46CC25D}" uniqueName="32" name="LYCO" queryTableFieldId="32" dataDxfId="138"/>
    <tableColumn id="33" xr3:uid="{D14414C6-910C-470E-B635-62378CBCFC76}" uniqueName="33" name="LZ" queryTableFieldId="33" dataDxfId="137"/>
    <tableColumn id="34" xr3:uid="{E2A4C99C-DACE-4D56-B429-88CE3330E102}" uniqueName="34" name="ATOC" queryTableFieldId="34" dataDxfId="136"/>
    <tableColumn id="35" xr3:uid="{237E4DB7-F4FE-4BDF-8852-D4BEDCA2B680}" uniqueName="35" name="VK" queryTableFieldId="35" dataDxfId="135"/>
    <tableColumn id="36" xr3:uid="{B1F2FD35-5207-40C1-B9C2-E24C0D879BFC}" uniqueName="36" name="CHOLE" queryTableFieldId="36" dataDxfId="134"/>
    <tableColumn id="37" xr3:uid="{BFCF9C73-1070-4FEB-8F27-D4EECFBDDD87}" uniqueName="37" name="SFAT" queryTableFieldId="37" dataDxfId="133"/>
    <tableColumn id="38" xr3:uid="{E7179875-5BA9-46DF-ACE7-F6C191887894}" uniqueName="38" name="MFAT" queryTableFieldId="38" dataDxfId="132"/>
    <tableColumn id="39" xr3:uid="{DB4DC327-AF0A-4226-84A8-9EBF075A3686}" uniqueName="39" name="PFAT" queryTableFieldId="39" dataDxfId="131"/>
    <tableColumn id="40" xr3:uid="{0A14D3B5-4FCE-46F6-A2EE-050D58E8CC4C}" uniqueName="40" name="VITD" queryTableFieldId="40" dataDxfId="130"/>
    <tableColumn id="41" xr3:uid="{F5F32954-89CB-478B-AD9B-0F456F4E5283}" uniqueName="41" name="CHOLN" queryTableFieldId="41" dataDxfId="1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9612-4E2F-4F39-A223-3F3F33E86EC1}">
  <dimension ref="A1:AO16"/>
  <sheetViews>
    <sheetView workbookViewId="0">
      <selection activeCell="A16" sqref="A16:AO16"/>
    </sheetView>
  </sheetViews>
  <sheetFormatPr baseColWidth="10" defaultRowHeight="14.5" x14ac:dyDescent="0.35"/>
  <cols>
    <col min="1" max="1" width="22.26953125" style="3" bestFit="1" customWidth="1"/>
    <col min="2" max="4" width="11.26953125" style="3" bestFit="1" customWidth="1"/>
    <col min="5" max="5" width="21.26953125" style="3" bestFit="1" customWidth="1"/>
    <col min="6" max="13" width="11.26953125" style="3" bestFit="1" customWidth="1"/>
    <col min="14" max="15" width="21.26953125" style="3" bestFit="1" customWidth="1"/>
    <col min="16" max="26" width="11.26953125" style="3" bestFit="1" customWidth="1"/>
    <col min="27" max="27" width="19.81640625" style="3" bestFit="1" customWidth="1"/>
    <col min="28" max="28" width="11.26953125" style="3" bestFit="1" customWidth="1"/>
    <col min="29" max="29" width="22.26953125" style="3" bestFit="1" customWidth="1"/>
    <col min="30" max="31" width="19.81640625" style="3" bestFit="1" customWidth="1"/>
    <col min="32" max="32" width="22.90625" style="3" bestFit="1" customWidth="1"/>
    <col min="33" max="41" width="22.26953125" style="3" bestFit="1" customWidth="1"/>
  </cols>
  <sheetData>
    <row r="1" spans="1:4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</row>
    <row r="2" spans="1:41" x14ac:dyDescent="0.3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2.0861625671386702E-6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6.1392784118652301E-6</v>
      </c>
      <c r="AD2" s="3">
        <v>-9.5367431640625E-7</v>
      </c>
      <c r="AE2" s="3">
        <v>-9.5367431640625E-7</v>
      </c>
      <c r="AF2" s="3">
        <v>-9.5367431640625E-7</v>
      </c>
      <c r="AG2" s="3">
        <v>-9.5367431640625E-7</v>
      </c>
      <c r="AH2" s="3">
        <v>5.4836273193359299E-6</v>
      </c>
      <c r="AI2" s="3">
        <v>5.4836273193359299E-6</v>
      </c>
      <c r="AJ2" s="3">
        <v>5.4836273193359299E-6</v>
      </c>
      <c r="AK2" s="3">
        <v>5.4836273193359299E-6</v>
      </c>
      <c r="AL2" s="3">
        <v>5.4836273193359299E-6</v>
      </c>
      <c r="AM2" s="3">
        <v>5.4836273193359299E-6</v>
      </c>
      <c r="AN2" s="3">
        <v>5.4836273193359299E-6</v>
      </c>
      <c r="AO2" s="3">
        <v>5.4836273193359299E-6</v>
      </c>
    </row>
    <row r="3" spans="1:41" x14ac:dyDescent="0.3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6.8992376327514598E-6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4.3958425521850501E-7</v>
      </c>
      <c r="AD3" s="3">
        <v>-9.5367431640625E-7</v>
      </c>
      <c r="AE3" s="3">
        <v>-9.5367431640625E-7</v>
      </c>
      <c r="AF3" s="3">
        <v>-9.5367431640625E-7</v>
      </c>
      <c r="AG3" s="3">
        <v>5.4836273193359299E-6</v>
      </c>
      <c r="AH3" s="3">
        <v>5.4836273193359299E-6</v>
      </c>
      <c r="AI3" s="3">
        <v>5.4836273193359299E-6</v>
      </c>
      <c r="AJ3" s="3">
        <v>5.4836273193359299E-6</v>
      </c>
      <c r="AK3" s="3">
        <v>5.4836273193359299E-6</v>
      </c>
      <c r="AL3" s="3">
        <v>5.4836273193359299E-6</v>
      </c>
      <c r="AM3" s="3">
        <v>5.4836273193359299E-6</v>
      </c>
      <c r="AN3" s="3">
        <v>5.4836273193359299E-6</v>
      </c>
      <c r="AO3" s="3">
        <v>5.4836273193359299E-6</v>
      </c>
    </row>
    <row r="4" spans="1:41" x14ac:dyDescent="0.35">
      <c r="A4" s="3">
        <v>0</v>
      </c>
      <c r="B4" s="3">
        <v>0</v>
      </c>
      <c r="C4" s="3">
        <v>0</v>
      </c>
      <c r="D4" s="3">
        <v>0</v>
      </c>
      <c r="E4" s="3">
        <v>2.0861625671386702E-6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-9.5367431640625E-7</v>
      </c>
      <c r="AB4" s="3">
        <v>0</v>
      </c>
      <c r="AC4" s="3">
        <v>-9.5367431640625E-7</v>
      </c>
      <c r="AD4" s="3">
        <v>-9.5367431640625E-7</v>
      </c>
      <c r="AE4" s="3">
        <v>-9.5367431640625E-7</v>
      </c>
      <c r="AF4" s="3">
        <v>-1.84029340744018E-6</v>
      </c>
      <c r="AG4" s="3">
        <v>-7.4505805969238199E-9</v>
      </c>
      <c r="AH4" s="3">
        <v>5.4836273193359299E-6</v>
      </c>
      <c r="AI4" s="3">
        <v>5.4836273193359299E-6</v>
      </c>
      <c r="AJ4" s="3">
        <v>5.4836273193359299E-6</v>
      </c>
      <c r="AK4" s="3">
        <v>5.4836273193359299E-6</v>
      </c>
      <c r="AL4" s="3">
        <v>5.4836273193359299E-6</v>
      </c>
      <c r="AM4" s="3">
        <v>5.4836273193359299E-6</v>
      </c>
      <c r="AN4" s="3">
        <v>5.4836273193359299E-6</v>
      </c>
      <c r="AO4" s="3">
        <v>5.4836273193359299E-6</v>
      </c>
    </row>
    <row r="5" spans="1:41" x14ac:dyDescent="0.3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2.0861625671386702E-6</v>
      </c>
      <c r="O5" s="3">
        <v>6.0200691223144497E-6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-9.5367431640625E-7</v>
      </c>
      <c r="AB5" s="3">
        <v>0</v>
      </c>
      <c r="AC5" s="3">
        <v>-9.5367431640625E-7</v>
      </c>
      <c r="AD5" s="3">
        <v>-9.5367431640625E-7</v>
      </c>
      <c r="AE5" s="3">
        <v>-9.5367431640625E-7</v>
      </c>
      <c r="AF5" s="3">
        <v>-9.5367431640625E-7</v>
      </c>
      <c r="AG5" s="3">
        <v>4.5672059059142999E-6</v>
      </c>
      <c r="AH5" s="3">
        <v>5.4836273193359299E-6</v>
      </c>
      <c r="AI5" s="3">
        <v>5.4836273193359299E-6</v>
      </c>
      <c r="AJ5" s="3">
        <v>5.4836273193359299E-6</v>
      </c>
      <c r="AK5" s="3">
        <v>5.4836273193359299E-6</v>
      </c>
      <c r="AL5" s="3">
        <v>5.4836273193359299E-6</v>
      </c>
      <c r="AM5" s="3">
        <v>5.4836273193359299E-6</v>
      </c>
      <c r="AN5" s="3">
        <v>5.4836273193359299E-6</v>
      </c>
      <c r="AO5" s="3">
        <v>5.4836273193359299E-6</v>
      </c>
    </row>
    <row r="6" spans="1:41" x14ac:dyDescent="0.35">
      <c r="A6" s="3">
        <v>1.17719173431396E-6</v>
      </c>
      <c r="B6" s="3">
        <v>0</v>
      </c>
      <c r="C6" s="3">
        <v>0</v>
      </c>
      <c r="D6" s="3">
        <v>0</v>
      </c>
      <c r="E6" s="3">
        <v>2.38418579101562E-7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2.0861625671386702E-6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-9.5367431640625E-7</v>
      </c>
      <c r="AD6" s="3">
        <v>-9.5367431640625E-7</v>
      </c>
      <c r="AE6" s="3">
        <v>-9.5367431640625E-7</v>
      </c>
      <c r="AF6" s="3">
        <v>1.08778476715087E-6</v>
      </c>
      <c r="AG6" s="3">
        <v>-7.4505805969238199E-9</v>
      </c>
      <c r="AH6" s="3">
        <v>5.4836273193359299E-6</v>
      </c>
      <c r="AI6" s="3">
        <v>5.4836273193359299E-6</v>
      </c>
      <c r="AJ6" s="3">
        <v>5.4836273193359299E-6</v>
      </c>
      <c r="AK6" s="3">
        <v>5.4836273193359299E-6</v>
      </c>
      <c r="AL6" s="3">
        <v>5.4836273193359299E-6</v>
      </c>
      <c r="AM6" s="3">
        <v>5.4836273193359299E-6</v>
      </c>
      <c r="AN6" s="3">
        <v>5.4836273193359299E-6</v>
      </c>
      <c r="AO6" s="3">
        <v>5.4836273193359299E-6</v>
      </c>
    </row>
    <row r="7" spans="1:41" x14ac:dyDescent="0.35">
      <c r="A7" s="3">
        <v>1.17719173431396E-6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-9.5367431640625E-7</v>
      </c>
      <c r="AB7" s="3">
        <v>0</v>
      </c>
      <c r="AC7" s="3">
        <v>-9.5367431640625E-7</v>
      </c>
      <c r="AD7" s="3">
        <v>-9.5367431640625E-7</v>
      </c>
      <c r="AE7" s="3">
        <v>-9.5367431640625E-7</v>
      </c>
      <c r="AF7" s="3">
        <v>5.2601099014282201E-6</v>
      </c>
      <c r="AG7" s="3">
        <v>5.4836273193359299E-6</v>
      </c>
      <c r="AH7" s="3">
        <v>5.4836273193359299E-6</v>
      </c>
      <c r="AI7" s="3">
        <v>5.4836273193359299E-6</v>
      </c>
      <c r="AJ7" s="3">
        <v>5.4836273193359299E-6</v>
      </c>
      <c r="AK7" s="3">
        <v>5.4836273193359299E-6</v>
      </c>
      <c r="AL7" s="3">
        <v>5.4836273193359299E-6</v>
      </c>
      <c r="AM7" s="3">
        <v>5.4836273193359299E-6</v>
      </c>
      <c r="AN7" s="3">
        <v>5.4836273193359299E-6</v>
      </c>
      <c r="AO7" s="3">
        <v>5.4836273193359299E-6</v>
      </c>
    </row>
    <row r="8" spans="1:41" x14ac:dyDescent="0.3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6.0200691223144497E-6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8.1956386566162096E-8</v>
      </c>
      <c r="AD8" s="3">
        <v>-9.5367431640625E-7</v>
      </c>
      <c r="AE8" s="3">
        <v>-9.5367431640625E-7</v>
      </c>
      <c r="AF8" s="3">
        <v>-7.2196125984191801E-6</v>
      </c>
      <c r="AG8" s="3">
        <v>5.4836273193359299E-6</v>
      </c>
      <c r="AH8" s="3">
        <v>5.4836273193359299E-6</v>
      </c>
      <c r="AI8" s="3">
        <v>5.4836273193359299E-6</v>
      </c>
      <c r="AJ8" s="3">
        <v>5.4836273193359299E-6</v>
      </c>
      <c r="AK8" s="3">
        <v>5.4836273193359299E-6</v>
      </c>
      <c r="AL8" s="3">
        <v>5.4836273193359299E-6</v>
      </c>
      <c r="AM8" s="3">
        <v>5.4836273193359299E-6</v>
      </c>
      <c r="AN8" s="3">
        <v>5.4836273193359299E-6</v>
      </c>
      <c r="AO8" s="3">
        <v>5.4836273193359299E-6</v>
      </c>
    </row>
    <row r="9" spans="1:41" x14ac:dyDescent="0.3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6.8992376327514598E-6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-9.5367431640625E-7</v>
      </c>
      <c r="AE9" s="3">
        <v>-9.5367431640625E-7</v>
      </c>
      <c r="AF9" s="3">
        <v>5.7220458984375E-6</v>
      </c>
      <c r="AG9" s="3">
        <v>-9.5367431640625E-7</v>
      </c>
      <c r="AH9" s="3">
        <v>5.4836273193359299E-6</v>
      </c>
      <c r="AI9" s="3">
        <v>5.4836273193359299E-6</v>
      </c>
      <c r="AJ9" s="3">
        <v>5.4836273193359299E-6</v>
      </c>
      <c r="AK9" s="3">
        <v>5.4836273193359299E-6</v>
      </c>
      <c r="AL9" s="3">
        <v>5.4836273193359299E-6</v>
      </c>
      <c r="AM9" s="3">
        <v>5.4836273193359299E-6</v>
      </c>
      <c r="AN9" s="3">
        <v>5.4836273193359299E-6</v>
      </c>
      <c r="AO9" s="3">
        <v>5.4836273193359299E-6</v>
      </c>
    </row>
    <row r="10" spans="1:41" x14ac:dyDescent="0.3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2.0861625671386702E-6</v>
      </c>
      <c r="O10" s="3">
        <v>6.8992376327514598E-6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-9.5367431640625E-7</v>
      </c>
      <c r="AE10" s="3">
        <v>-9.5367431640625E-7</v>
      </c>
      <c r="AF10" s="3">
        <v>-9.5367431640625E-7</v>
      </c>
      <c r="AG10" s="3">
        <v>-9.5367431640625E-7</v>
      </c>
      <c r="AH10" s="3">
        <v>5.4836273193359299E-6</v>
      </c>
      <c r="AI10" s="3">
        <v>5.4836273193359299E-6</v>
      </c>
      <c r="AJ10" s="3">
        <v>5.4836273193359299E-6</v>
      </c>
      <c r="AK10" s="3">
        <v>5.4836273193359299E-6</v>
      </c>
      <c r="AL10" s="3">
        <v>5.4836273193359299E-6</v>
      </c>
      <c r="AM10" s="3">
        <v>5.4836273193359299E-6</v>
      </c>
      <c r="AN10" s="3">
        <v>5.4836273193359299E-6</v>
      </c>
      <c r="AO10" s="3">
        <v>5.4836273193359299E-6</v>
      </c>
    </row>
    <row r="11" spans="1:41" x14ac:dyDescent="0.3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-9.5367431640625E-7</v>
      </c>
      <c r="AD11" s="3">
        <v>-9.5367431640625E-7</v>
      </c>
      <c r="AE11" s="3">
        <v>-9.5367431640625E-7</v>
      </c>
      <c r="AF11" s="3">
        <v>-1.86264514923095E-6</v>
      </c>
      <c r="AG11" s="3">
        <v>5.4836273193359299E-6</v>
      </c>
      <c r="AH11" s="3">
        <v>5.4836273193359299E-6</v>
      </c>
      <c r="AI11" s="3">
        <v>5.4836273193359299E-6</v>
      </c>
      <c r="AJ11" s="3">
        <v>5.4836273193359299E-6</v>
      </c>
      <c r="AK11" s="3">
        <v>5.4836273193359299E-6</v>
      </c>
      <c r="AL11" s="3">
        <v>5.4836273193359299E-6</v>
      </c>
      <c r="AM11" s="3">
        <v>5.4836273193359299E-6</v>
      </c>
      <c r="AN11" s="3">
        <v>5.4836273193359299E-6</v>
      </c>
      <c r="AO11" s="3">
        <v>5.4836273193359299E-6</v>
      </c>
    </row>
    <row r="13" spans="1:41" x14ac:dyDescent="0.35">
      <c r="A13" s="4" t="s">
        <v>42</v>
      </c>
    </row>
    <row r="14" spans="1:41" x14ac:dyDescent="0.35">
      <c r="A14" s="3">
        <f>AVERAGE(FI_OTU44_class[KCAL])</f>
        <v>2.35438346862792E-7</v>
      </c>
      <c r="B14" s="3">
        <f>AVERAGE(FI_OTU44_class[PROT])</f>
        <v>0</v>
      </c>
      <c r="C14" s="3">
        <f>AVERAGE(FI_OTU44_class[TFAT])</f>
        <v>0</v>
      </c>
      <c r="D14" s="3">
        <f>AVERAGE(FI_OTU44_class[CARB])</f>
        <v>0</v>
      </c>
      <c r="E14" s="3">
        <f>AVERAGE(FI_OTU44_class[MOIS])</f>
        <v>2.3245811462402322E-7</v>
      </c>
      <c r="F14" s="3">
        <f>AVERAGE(FI_OTU44_class[ALC])</f>
        <v>0</v>
      </c>
      <c r="G14" s="3">
        <f>AVERAGE(FI_OTU44_class[CAFF])</f>
        <v>0</v>
      </c>
      <c r="H14" s="3">
        <f>AVERAGE(FI_OTU44_class[THEO])</f>
        <v>0</v>
      </c>
      <c r="I14" s="3">
        <f>AVERAGE(FI_OTU44_class[SUGR])</f>
        <v>0</v>
      </c>
      <c r="J14" s="3">
        <f>AVERAGE(FI_OTU44_class[FIBE])</f>
        <v>0</v>
      </c>
      <c r="K14" s="3">
        <f>AVERAGE(FI_OTU44_class[CALC])</f>
        <v>0</v>
      </c>
      <c r="L14" s="3">
        <f>AVERAGE(FI_OTU44_class[IRON])</f>
        <v>0</v>
      </c>
      <c r="M14" s="3">
        <f>AVERAGE(FI_OTU44_class[MAGN])</f>
        <v>0</v>
      </c>
      <c r="N14" s="3">
        <f>AVERAGE(FI_OTU44_class[PHOS])</f>
        <v>8.3446502685546811E-7</v>
      </c>
      <c r="O14" s="3">
        <f>AVERAGE(FI_OTU44_class[POTA])</f>
        <v>3.2737851142883274E-6</v>
      </c>
      <c r="P14" s="3">
        <f>AVERAGE(FI_OTU44_class[SODI])</f>
        <v>0</v>
      </c>
      <c r="Q14" s="3">
        <f>AVERAGE(FI_OTU44_class[ZINC])</f>
        <v>0</v>
      </c>
      <c r="R14" s="3">
        <f>AVERAGE(FI_OTU44_class[COPP])</f>
        <v>0</v>
      </c>
      <c r="S14" s="3">
        <f>AVERAGE(FI_OTU44_class[SELE])</f>
        <v>0</v>
      </c>
      <c r="T14" s="3">
        <f>AVERAGE(FI_OTU44_class[VC])</f>
        <v>0</v>
      </c>
      <c r="U14" s="3">
        <f>AVERAGE(FI_OTU44_class[VB1])</f>
        <v>0</v>
      </c>
      <c r="V14" s="3">
        <f>AVERAGE(FI_OTU44_class[VB2])</f>
        <v>0</v>
      </c>
      <c r="W14" s="3">
        <f>AVERAGE(FI_OTU44_class[NIAC])</f>
        <v>0</v>
      </c>
      <c r="X14" s="3">
        <f>AVERAGE(FI_OTU44_class[VB6])</f>
        <v>0</v>
      </c>
      <c r="Y14" s="3">
        <f>AVERAGE(FI_OTU44_class[FOLA])</f>
        <v>0</v>
      </c>
      <c r="Z14" s="3">
        <f>AVERAGE(FI_OTU44_class[VB12])</f>
        <v>0</v>
      </c>
      <c r="AA14" s="3">
        <f>AVERAGE(FI_OTU44_class[VARA])</f>
        <v>-2.8610229492187499E-7</v>
      </c>
      <c r="AB14" s="3">
        <f>AVERAGE(FI_OTU44_class[RET])</f>
        <v>0</v>
      </c>
      <c r="AC14" s="3">
        <f>AVERAGE(FI_OTU44_class[BCAR])</f>
        <v>1.8924474716186472E-7</v>
      </c>
      <c r="AD14" s="3">
        <f>AVERAGE(FI_OTU44_class[ACAR])</f>
        <v>-9.5367431640625E-7</v>
      </c>
      <c r="AE14" s="3">
        <f>AVERAGE(FI_OTU44_class[CRYP])</f>
        <v>-9.5367431640625E-7</v>
      </c>
      <c r="AF14" s="3">
        <f>AVERAGE(FI_OTU44_class[LYCO])</f>
        <v>-2.6673078536987202E-7</v>
      </c>
      <c r="AG14" s="3">
        <f>AVERAGE(FI_OTU44_class[LZ])</f>
        <v>2.3625791072845427E-6</v>
      </c>
      <c r="AH14" s="3">
        <f>AVERAGE(FI_OTU44_class[ATOC])</f>
        <v>5.4836273193359299E-6</v>
      </c>
      <c r="AI14" s="3">
        <f>AVERAGE(FI_OTU44_class[VK])</f>
        <v>5.4836273193359299E-6</v>
      </c>
      <c r="AJ14" s="3">
        <f>AVERAGE(FI_OTU44_class[CHOLE])</f>
        <v>5.4836273193359299E-6</v>
      </c>
      <c r="AK14" s="3">
        <f>AVERAGE(FI_OTU44_class[SFAT])</f>
        <v>5.4836273193359299E-6</v>
      </c>
      <c r="AL14" s="3">
        <f>AVERAGE(FI_OTU44_class[MFAT])</f>
        <v>5.4836273193359299E-6</v>
      </c>
      <c r="AM14" s="3">
        <f>AVERAGE(FI_OTU44_class[PFAT])</f>
        <v>5.4836273193359299E-6</v>
      </c>
      <c r="AN14" s="3">
        <f>AVERAGE(FI_OTU44_class[VITD])</f>
        <v>5.4836273193359299E-6</v>
      </c>
      <c r="AO14" s="3">
        <f>AVERAGE(FI_OTU44_class[CHOLN])</f>
        <v>5.4836273193359299E-6</v>
      </c>
    </row>
    <row r="15" spans="1:41" x14ac:dyDescent="0.35">
      <c r="A15" s="4" t="s">
        <v>43</v>
      </c>
    </row>
    <row r="16" spans="1:41" x14ac:dyDescent="0.35">
      <c r="A16" s="3">
        <f>STDEV(FI_OTU44_class[KCAL])</f>
        <v>4.9634761642078739E-7</v>
      </c>
      <c r="B16" s="3">
        <f>STDEV(FI_OTU44_class[PROT])</f>
        <v>0</v>
      </c>
      <c r="C16" s="3">
        <f>STDEV(FI_OTU44_class[TFAT])</f>
        <v>0</v>
      </c>
      <c r="D16" s="3">
        <f>STDEV(FI_OTU44_class[CARB])</f>
        <v>0</v>
      </c>
      <c r="E16" s="3">
        <f>STDEV(FI_OTU44_class[MOIS])</f>
        <v>6.556209884822396E-7</v>
      </c>
      <c r="F16" s="3">
        <f>STDEV(FI_OTU44_class[ALC])</f>
        <v>0</v>
      </c>
      <c r="G16" s="3">
        <f>STDEV(FI_OTU44_class[CAFF])</f>
        <v>0</v>
      </c>
      <c r="H16" s="3">
        <f>STDEV(FI_OTU44_class[THEO])</f>
        <v>0</v>
      </c>
      <c r="I16" s="3">
        <f>STDEV(FI_OTU44_class[SUGR])</f>
        <v>0</v>
      </c>
      <c r="J16" s="3">
        <f>STDEV(FI_OTU44_class[FIBE])</f>
        <v>0</v>
      </c>
      <c r="K16" s="3">
        <f>STDEV(FI_OTU44_class[CALC])</f>
        <v>0</v>
      </c>
      <c r="L16" s="3">
        <f>STDEV(FI_OTU44_class[IRON])</f>
        <v>0</v>
      </c>
      <c r="M16" s="3">
        <f>STDEV(FI_OTU44_class[MAGN])</f>
        <v>0</v>
      </c>
      <c r="N16" s="3">
        <f>STDEV(FI_OTU44_class[PHOS])</f>
        <v>1.0772897173345843E-6</v>
      </c>
      <c r="O16" s="3">
        <f>STDEV(FI_OTU44_class[POTA])</f>
        <v>3.4657725524693823E-6</v>
      </c>
      <c r="P16" s="3">
        <f>STDEV(FI_OTU44_class[SODI])</f>
        <v>0</v>
      </c>
      <c r="Q16" s="3">
        <f>STDEV(FI_OTU44_class[ZINC])</f>
        <v>0</v>
      </c>
      <c r="R16" s="3">
        <f>STDEV(FI_OTU44_class[COPP])</f>
        <v>0</v>
      </c>
      <c r="S16" s="3">
        <f>STDEV(FI_OTU44_class[SELE])</f>
        <v>0</v>
      </c>
      <c r="T16" s="3">
        <f>STDEV(FI_OTU44_class[VC])</f>
        <v>0</v>
      </c>
      <c r="U16" s="3">
        <f>STDEV(FI_OTU44_class[VB1])</f>
        <v>0</v>
      </c>
      <c r="V16" s="3">
        <f>STDEV(FI_OTU44_class[VB2])</f>
        <v>0</v>
      </c>
      <c r="W16" s="3">
        <f>STDEV(FI_OTU44_class[NIAC])</f>
        <v>0</v>
      </c>
      <c r="X16" s="3">
        <f>STDEV(FI_OTU44_class[VB6])</f>
        <v>0</v>
      </c>
      <c r="Y16" s="3">
        <f>STDEV(FI_OTU44_class[FOLA])</f>
        <v>0</v>
      </c>
      <c r="Z16" s="3">
        <f>STDEV(FI_OTU44_class[VB12])</f>
        <v>0</v>
      </c>
      <c r="AA16" s="3">
        <f>STDEV(FI_OTU44_class[VARA])</f>
        <v>4.6066846040692133E-7</v>
      </c>
      <c r="AB16" s="3">
        <f>STDEV(FI_OTU44_class[RET])</f>
        <v>0</v>
      </c>
      <c r="AC16" s="3">
        <f>STDEV(FI_OTU44_class[BCAR])</f>
        <v>2.1623040271049998E-6</v>
      </c>
      <c r="AD16" s="3">
        <f>STDEV(FI_OTU44_class[ACAR])</f>
        <v>0</v>
      </c>
      <c r="AE16" s="3">
        <f>STDEV(FI_OTU44_class[CRYP])</f>
        <v>0</v>
      </c>
      <c r="AF16" s="3">
        <f>STDEV(FI_OTU44_class[LYCO])</f>
        <v>3.7043412921072879E-6</v>
      </c>
      <c r="AG16" s="3">
        <f>STDEV(FI_OTU44_class[LZ])</f>
        <v>3.1278469492667331E-6</v>
      </c>
      <c r="AH16" s="3">
        <f>STDEV(FI_OTU44_class[ATOC])</f>
        <v>0</v>
      </c>
      <c r="AI16" s="3">
        <f>STDEV(FI_OTU44_class[VK])</f>
        <v>0</v>
      </c>
      <c r="AJ16" s="3">
        <f>STDEV(FI_OTU44_class[CHOLE])</f>
        <v>0</v>
      </c>
      <c r="AK16" s="3">
        <f>STDEV(FI_OTU44_class[SFAT])</f>
        <v>0</v>
      </c>
      <c r="AL16" s="3">
        <f>STDEV(FI_OTU44_class[MFAT])</f>
        <v>0</v>
      </c>
      <c r="AM16" s="3">
        <f>STDEV(FI_OTU44_class[PFAT])</f>
        <v>0</v>
      </c>
      <c r="AN16" s="3">
        <f>STDEV(FI_OTU44_class[VITD])</f>
        <v>0</v>
      </c>
      <c r="AO16" s="3">
        <f>STDEV(FI_OTU44_class[CHOLN])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04986-2C8D-4376-8A31-D8D0F0AAB3D8}">
  <dimension ref="A1:AO16"/>
  <sheetViews>
    <sheetView workbookViewId="0">
      <selection activeCell="A16" sqref="A16:AO16"/>
    </sheetView>
  </sheetViews>
  <sheetFormatPr baseColWidth="10" defaultRowHeight="14.5" x14ac:dyDescent="0.35"/>
  <cols>
    <col min="1" max="1" width="22.90625" style="3" bestFit="1" customWidth="1"/>
    <col min="2" max="4" width="11.26953125" style="3" bestFit="1" customWidth="1"/>
    <col min="5" max="5" width="22.90625" style="3" bestFit="1" customWidth="1"/>
    <col min="6" max="14" width="20.54296875" style="3" bestFit="1" customWidth="1"/>
    <col min="15" max="15" width="22.90625" style="3" bestFit="1" customWidth="1"/>
    <col min="16" max="41" width="20.54296875" style="3" bestFit="1" customWidth="1"/>
  </cols>
  <sheetData>
    <row r="1" spans="1:4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</row>
    <row r="2" spans="1:41" x14ac:dyDescent="0.35">
      <c r="A2" s="3">
        <v>0</v>
      </c>
      <c r="B2" s="3">
        <v>0</v>
      </c>
      <c r="C2" s="3">
        <v>0</v>
      </c>
      <c r="D2" s="3">
        <v>0</v>
      </c>
      <c r="E2" s="3">
        <v>9.9798440933227504E-3</v>
      </c>
      <c r="F2" s="3">
        <v>2.0065397024154601E-2</v>
      </c>
      <c r="G2" s="3">
        <v>2.0045936107635401E-2</v>
      </c>
      <c r="H2" s="3">
        <v>2.0045936107635401E-2</v>
      </c>
      <c r="I2" s="3">
        <v>2.0045936107635401E-2</v>
      </c>
      <c r="J2" s="3">
        <v>2.0045936107635401E-2</v>
      </c>
      <c r="K2" s="3">
        <v>9.9604129791259696E-3</v>
      </c>
      <c r="L2" s="3">
        <v>1.0066121816635101E-2</v>
      </c>
      <c r="M2" s="3">
        <v>1.0066121816635101E-2</v>
      </c>
      <c r="N2" s="3">
        <v>1.0066121816635101E-2</v>
      </c>
      <c r="O2" s="3">
        <v>5.6037902832031198E-3</v>
      </c>
      <c r="P2" s="3">
        <v>1.5689373016357401E-2</v>
      </c>
      <c r="Q2" s="3">
        <v>5.6232810020446699E-3</v>
      </c>
      <c r="R2" s="3">
        <v>5.6232810020446699E-3</v>
      </c>
      <c r="S2" s="3">
        <v>5.6232810020446699E-3</v>
      </c>
      <c r="T2" s="3">
        <v>5.6232810020446699E-3</v>
      </c>
      <c r="U2" s="3">
        <v>5.6232810020446699E-3</v>
      </c>
      <c r="V2" s="3">
        <v>5.6232810020446699E-3</v>
      </c>
      <c r="W2" s="3">
        <v>5.6232810020446699E-3</v>
      </c>
      <c r="X2" s="3">
        <v>5.6232810020446699E-3</v>
      </c>
      <c r="Y2" s="3">
        <v>5.6232810020446699E-3</v>
      </c>
      <c r="Z2" s="3">
        <v>5.6232810020446699E-3</v>
      </c>
      <c r="AA2" s="3">
        <v>9.9798440933227504E-3</v>
      </c>
      <c r="AB2" s="3">
        <v>2.5688648223876901E-2</v>
      </c>
      <c r="AC2" s="3">
        <v>2.0104825496673501E-2</v>
      </c>
      <c r="AD2" s="3">
        <v>2.5670588016509999E-2</v>
      </c>
      <c r="AE2" s="3">
        <v>2.5657087564468301E-2</v>
      </c>
      <c r="AF2" s="3">
        <v>2.0439505577087399E-2</v>
      </c>
      <c r="AG2" s="3">
        <v>2.0751208066940301E-2</v>
      </c>
      <c r="AH2" s="3">
        <v>2.0251482725143401E-2</v>
      </c>
      <c r="AI2" s="3">
        <v>2.0251482725143401E-2</v>
      </c>
      <c r="AJ2" s="3">
        <v>2.0251482725143401E-2</v>
      </c>
      <c r="AK2" s="3">
        <v>2.0257502794265698E-2</v>
      </c>
      <c r="AL2" s="3">
        <v>2.0257502794265698E-2</v>
      </c>
      <c r="AM2" s="3">
        <v>2.0257502794265698E-2</v>
      </c>
      <c r="AN2" s="3">
        <v>2.0257502794265698E-2</v>
      </c>
      <c r="AO2" s="3">
        <v>2.0256519317626901E-2</v>
      </c>
    </row>
    <row r="3" spans="1:41" x14ac:dyDescent="0.3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2.0065397024154601E-2</v>
      </c>
      <c r="G3" s="3">
        <v>2.0045936107635401E-2</v>
      </c>
      <c r="H3" s="3">
        <v>2.0045936107635401E-2</v>
      </c>
      <c r="I3" s="3">
        <v>2.0045936107635401E-2</v>
      </c>
      <c r="J3" s="3">
        <v>2.0045936107635401E-2</v>
      </c>
      <c r="K3" s="3">
        <v>2.0045936107635401E-2</v>
      </c>
      <c r="L3" s="3">
        <v>1.0066121816635101E-2</v>
      </c>
      <c r="M3" s="3">
        <v>1.0066121816635101E-2</v>
      </c>
      <c r="N3" s="3">
        <v>1.0066121816635101E-2</v>
      </c>
      <c r="O3" s="3">
        <v>1.71009600162506E-2</v>
      </c>
      <c r="P3" s="3">
        <v>2.5924801826476999E-2</v>
      </c>
      <c r="Q3" s="3">
        <v>5.6232810020446699E-3</v>
      </c>
      <c r="R3" s="3">
        <v>5.6232810020446699E-3</v>
      </c>
      <c r="S3" s="3">
        <v>5.6232810020446699E-3</v>
      </c>
      <c r="T3" s="3">
        <v>5.6232810020446699E-3</v>
      </c>
      <c r="U3" s="3">
        <v>5.6232810020446699E-3</v>
      </c>
      <c r="V3" s="3">
        <v>5.6232810020446699E-3</v>
      </c>
      <c r="W3" s="3">
        <v>5.6232810020446699E-3</v>
      </c>
      <c r="X3" s="3">
        <v>5.6232810020446699E-3</v>
      </c>
      <c r="Y3" s="3">
        <v>5.6232810020446699E-3</v>
      </c>
      <c r="Z3" s="3">
        <v>5.6232810020446699E-3</v>
      </c>
      <c r="AA3" s="3">
        <v>2.0065397024154601E-2</v>
      </c>
      <c r="AB3" s="3">
        <v>2.5688648223876901E-2</v>
      </c>
      <c r="AC3" s="3">
        <v>2.0045816898345899E-2</v>
      </c>
      <c r="AD3" s="3">
        <v>2.0047277212142899E-2</v>
      </c>
      <c r="AE3" s="3">
        <v>2.5657087564468301E-2</v>
      </c>
      <c r="AF3" s="3">
        <v>2.03760862350463E-2</v>
      </c>
      <c r="AG3" s="3">
        <v>2.0912736654281599E-2</v>
      </c>
      <c r="AH3" s="3">
        <v>2.0251482725143401E-2</v>
      </c>
      <c r="AI3" s="3">
        <v>2.0251482725143401E-2</v>
      </c>
      <c r="AJ3" s="3">
        <v>2.0251482725143401E-2</v>
      </c>
      <c r="AK3" s="3">
        <v>2.0257502794265698E-2</v>
      </c>
      <c r="AL3" s="3">
        <v>2.0257502794265698E-2</v>
      </c>
      <c r="AM3" s="3">
        <v>2.0257502794265698E-2</v>
      </c>
      <c r="AN3" s="3">
        <v>2.0257502794265698E-2</v>
      </c>
      <c r="AO3" s="3">
        <v>2.0257383584976099E-2</v>
      </c>
    </row>
    <row r="4" spans="1:41" x14ac:dyDescent="0.35">
      <c r="A4" s="3">
        <v>-1.94311141967773E-5</v>
      </c>
      <c r="B4" s="3">
        <v>0</v>
      </c>
      <c r="C4" s="3">
        <v>0</v>
      </c>
      <c r="D4" s="3">
        <v>0</v>
      </c>
      <c r="E4" s="3">
        <v>2.0045936107635401E-2</v>
      </c>
      <c r="F4" s="3">
        <v>2.0065397024154601E-2</v>
      </c>
      <c r="G4" s="3">
        <v>2.0045936107635401E-2</v>
      </c>
      <c r="H4" s="3">
        <v>2.0045936107635401E-2</v>
      </c>
      <c r="I4" s="3">
        <v>2.0045936107635401E-2</v>
      </c>
      <c r="J4" s="3">
        <v>2.0045936107635401E-2</v>
      </c>
      <c r="K4" s="3">
        <v>2.0045936107635401E-2</v>
      </c>
      <c r="L4" s="3">
        <v>1.0066121816635101E-2</v>
      </c>
      <c r="M4" s="3">
        <v>1.0085940361022901E-2</v>
      </c>
      <c r="N4" s="3">
        <v>1.0066121816635101E-2</v>
      </c>
      <c r="O4" s="3">
        <v>5.6037902832031198E-3</v>
      </c>
      <c r="P4" s="3">
        <v>1.5603095293045001E-2</v>
      </c>
      <c r="Q4" s="3">
        <v>5.6232810020446699E-3</v>
      </c>
      <c r="R4" s="3">
        <v>5.6232810020446699E-3</v>
      </c>
      <c r="S4" s="3">
        <v>5.6232810020446699E-3</v>
      </c>
      <c r="T4" s="3">
        <v>5.6232810020446699E-3</v>
      </c>
      <c r="U4" s="3">
        <v>5.6232810020446699E-3</v>
      </c>
      <c r="V4" s="3">
        <v>5.6232810020446699E-3</v>
      </c>
      <c r="W4" s="3">
        <v>5.6232810020446699E-3</v>
      </c>
      <c r="X4" s="3">
        <v>5.6232810020446699E-3</v>
      </c>
      <c r="Y4" s="3">
        <v>5.6232810020446699E-3</v>
      </c>
      <c r="Z4" s="3">
        <v>5.6232810020446699E-3</v>
      </c>
      <c r="AA4" s="3">
        <v>1.73954367637634E-2</v>
      </c>
      <c r="AB4" s="3">
        <v>2.5688648223876901E-2</v>
      </c>
      <c r="AC4" s="3">
        <v>2.00338959693908E-2</v>
      </c>
      <c r="AD4" s="3">
        <v>2.00473666191101E-2</v>
      </c>
      <c r="AE4" s="3">
        <v>2.5657087564468301E-2</v>
      </c>
      <c r="AF4" s="3">
        <v>2.6062726974487301E-2</v>
      </c>
      <c r="AG4" s="3">
        <v>2.1030545234680099E-2</v>
      </c>
      <c r="AH4" s="3">
        <v>2.0251482725143401E-2</v>
      </c>
      <c r="AI4" s="3">
        <v>2.0251482725143401E-2</v>
      </c>
      <c r="AJ4" s="3">
        <v>2.0251482725143401E-2</v>
      </c>
      <c r="AK4" s="3">
        <v>2.0257502794265698E-2</v>
      </c>
      <c r="AL4" s="3">
        <v>2.0257502794265698E-2</v>
      </c>
      <c r="AM4" s="3">
        <v>2.0257502794265698E-2</v>
      </c>
      <c r="AN4" s="3">
        <v>2.0257502794265698E-2</v>
      </c>
      <c r="AO4" s="3">
        <v>2.0256578922271701E-2</v>
      </c>
    </row>
    <row r="5" spans="1:41" x14ac:dyDescent="0.35">
      <c r="A5" s="3">
        <v>0</v>
      </c>
      <c r="B5" s="3">
        <v>0</v>
      </c>
      <c r="C5" s="3">
        <v>0</v>
      </c>
      <c r="D5" s="3">
        <v>0</v>
      </c>
      <c r="E5" s="3">
        <v>1.00855827331542E-2</v>
      </c>
      <c r="F5" s="3">
        <v>2.0065397024154601E-2</v>
      </c>
      <c r="G5" s="3">
        <v>2.0045936107635401E-2</v>
      </c>
      <c r="H5" s="3">
        <v>2.0045936107635401E-2</v>
      </c>
      <c r="I5" s="3">
        <v>2.0045936107635401E-2</v>
      </c>
      <c r="J5" s="3">
        <v>2.0045936107635401E-2</v>
      </c>
      <c r="K5" s="3">
        <v>2.0045936107635401E-2</v>
      </c>
      <c r="L5" s="3">
        <v>1.0066121816635101E-2</v>
      </c>
      <c r="M5" s="3">
        <v>1.00863873958587E-2</v>
      </c>
      <c r="N5" s="3">
        <v>1.0066121816635101E-2</v>
      </c>
      <c r="O5" s="3">
        <v>1.5689373016357401E-2</v>
      </c>
      <c r="P5" s="3">
        <v>5.6232810020446699E-3</v>
      </c>
      <c r="Q5" s="3">
        <v>5.6232810020446699E-3</v>
      </c>
      <c r="R5" s="3">
        <v>5.6232810020446699E-3</v>
      </c>
      <c r="S5" s="3">
        <v>5.6232810020446699E-3</v>
      </c>
      <c r="T5" s="3">
        <v>5.6232810020446699E-3</v>
      </c>
      <c r="U5" s="3">
        <v>5.6232810020446699E-3</v>
      </c>
      <c r="V5" s="3">
        <v>5.6232810020446699E-3</v>
      </c>
      <c r="W5" s="3">
        <v>5.6232810020446699E-3</v>
      </c>
      <c r="X5" s="3">
        <v>5.6232810020446699E-3</v>
      </c>
      <c r="Y5" s="3">
        <v>5.6232810020446699E-3</v>
      </c>
      <c r="Z5" s="3">
        <v>5.6232810020446699E-3</v>
      </c>
      <c r="AA5" s="3">
        <v>1.00855827331542E-2</v>
      </c>
      <c r="AB5" s="3">
        <v>2.5688648223876901E-2</v>
      </c>
      <c r="AC5" s="3">
        <v>2.00473666191101E-2</v>
      </c>
      <c r="AD5" s="3">
        <v>2.5666862726211499E-2</v>
      </c>
      <c r="AE5" s="3">
        <v>2.5657087564468301E-2</v>
      </c>
      <c r="AF5" s="3">
        <v>2.0307421684265099E-2</v>
      </c>
      <c r="AG5" s="3">
        <v>2.08818912506103E-2</v>
      </c>
      <c r="AH5" s="3">
        <v>2.0251482725143401E-2</v>
      </c>
      <c r="AI5" s="3">
        <v>2.0251482725143401E-2</v>
      </c>
      <c r="AJ5" s="3">
        <v>2.0258754491805999E-2</v>
      </c>
      <c r="AK5" s="3">
        <v>2.0257502794265698E-2</v>
      </c>
      <c r="AL5" s="3">
        <v>2.0257502794265698E-2</v>
      </c>
      <c r="AM5" s="3">
        <v>2.0257502794265698E-2</v>
      </c>
      <c r="AN5" s="3">
        <v>2.0257502794265698E-2</v>
      </c>
      <c r="AO5" s="3">
        <v>2.0256519317626901E-2</v>
      </c>
    </row>
    <row r="6" spans="1:41" x14ac:dyDescent="0.35">
      <c r="A6" s="3">
        <v>4.17232513427734E-7</v>
      </c>
      <c r="B6" s="3">
        <v>0</v>
      </c>
      <c r="C6" s="3">
        <v>0</v>
      </c>
      <c r="D6" s="3">
        <v>0</v>
      </c>
      <c r="E6" s="3">
        <v>9.9798440933227504E-3</v>
      </c>
      <c r="F6" s="3">
        <v>2.0065397024154601E-2</v>
      </c>
      <c r="G6" s="3">
        <v>2.0045936107635401E-2</v>
      </c>
      <c r="H6" s="3">
        <v>2.0045936107635401E-2</v>
      </c>
      <c r="I6" s="3">
        <v>2.0045936107635401E-2</v>
      </c>
      <c r="J6" s="3">
        <v>2.0045936107635401E-2</v>
      </c>
      <c r="K6" s="3">
        <v>2.70807743072509E-2</v>
      </c>
      <c r="L6" s="3">
        <v>1.0066121816635101E-2</v>
      </c>
      <c r="M6" s="3">
        <v>1.0086715221405E-2</v>
      </c>
      <c r="N6" s="3">
        <v>1.0066121816635101E-2</v>
      </c>
      <c r="O6" s="3">
        <v>1.5689373016357401E-2</v>
      </c>
      <c r="P6" s="3">
        <v>1.5964418649673399E-2</v>
      </c>
      <c r="Q6" s="3">
        <v>5.6232810020446699E-3</v>
      </c>
      <c r="R6" s="3">
        <v>5.6232810020446699E-3</v>
      </c>
      <c r="S6" s="3">
        <v>5.6232810020446699E-3</v>
      </c>
      <c r="T6" s="3">
        <v>5.6232810020446699E-3</v>
      </c>
      <c r="U6" s="3">
        <v>5.6232810020446699E-3</v>
      </c>
      <c r="V6" s="3">
        <v>5.6232810020446699E-3</v>
      </c>
      <c r="W6" s="3">
        <v>5.6232810020446699E-3</v>
      </c>
      <c r="X6" s="3">
        <v>5.6232810020446699E-3</v>
      </c>
      <c r="Y6" s="3">
        <v>5.6232810020446699E-3</v>
      </c>
      <c r="Z6" s="3">
        <v>5.6232810020446699E-3</v>
      </c>
      <c r="AA6" s="3">
        <v>2.5688648223876901E-2</v>
      </c>
      <c r="AB6" s="3">
        <v>2.5688648223876901E-2</v>
      </c>
      <c r="AC6" s="3">
        <v>2.0065397024154601E-2</v>
      </c>
      <c r="AD6" s="3">
        <v>2.56704688072204E-2</v>
      </c>
      <c r="AE6" s="3">
        <v>2.5657087564468301E-2</v>
      </c>
      <c r="AF6" s="3">
        <v>2.0389586687087999E-2</v>
      </c>
      <c r="AG6" s="3">
        <v>2.1262347698211601E-2</v>
      </c>
      <c r="AH6" s="3">
        <v>2.0251482725143401E-2</v>
      </c>
      <c r="AI6" s="3">
        <v>2.0251482725143401E-2</v>
      </c>
      <c r="AJ6" s="3">
        <v>2.0191997289657499E-2</v>
      </c>
      <c r="AK6" s="3">
        <v>2.0257502794265698E-2</v>
      </c>
      <c r="AL6" s="3">
        <v>2.0257502794265698E-2</v>
      </c>
      <c r="AM6" s="3">
        <v>2.0257502794265698E-2</v>
      </c>
      <c r="AN6" s="3">
        <v>2.0257502794265698E-2</v>
      </c>
      <c r="AO6" s="3">
        <v>2.00245082378387E-2</v>
      </c>
    </row>
    <row r="7" spans="1:41" x14ac:dyDescent="0.35">
      <c r="A7" s="3">
        <v>-1.94311141967773E-5</v>
      </c>
      <c r="B7" s="3">
        <v>0</v>
      </c>
      <c r="C7" s="3">
        <v>0</v>
      </c>
      <c r="D7" s="3">
        <v>0</v>
      </c>
      <c r="E7" s="3">
        <v>9.9798440933227504E-3</v>
      </c>
      <c r="F7" s="3">
        <v>2.0065397024154601E-2</v>
      </c>
      <c r="G7" s="3">
        <v>2.0045936107635401E-2</v>
      </c>
      <c r="H7" s="3">
        <v>2.0045936107635401E-2</v>
      </c>
      <c r="I7" s="3">
        <v>2.0045936107635401E-2</v>
      </c>
      <c r="J7" s="3">
        <v>2.0045936107635401E-2</v>
      </c>
      <c r="K7" s="3">
        <v>9.9604129791259696E-3</v>
      </c>
      <c r="L7" s="3">
        <v>1.0066121816635101E-2</v>
      </c>
      <c r="M7" s="3">
        <v>1.0066121816635101E-2</v>
      </c>
      <c r="N7" s="3">
        <v>1.0066121816635101E-2</v>
      </c>
      <c r="O7" s="3">
        <v>1.71009600162506E-2</v>
      </c>
      <c r="P7" s="3">
        <v>1.56892836093902E-2</v>
      </c>
      <c r="Q7" s="3">
        <v>5.6232810020446699E-3</v>
      </c>
      <c r="R7" s="3">
        <v>5.6232810020446699E-3</v>
      </c>
      <c r="S7" s="3">
        <v>5.6232810020446699E-3</v>
      </c>
      <c r="T7" s="3">
        <v>5.6232810020446699E-3</v>
      </c>
      <c r="U7" s="3">
        <v>5.6232810020446699E-3</v>
      </c>
      <c r="V7" s="3">
        <v>5.6232810020446699E-3</v>
      </c>
      <c r="W7" s="3">
        <v>5.6232810020446699E-3</v>
      </c>
      <c r="X7" s="3">
        <v>5.6232810020446699E-3</v>
      </c>
      <c r="Y7" s="3">
        <v>5.6232810020446699E-3</v>
      </c>
      <c r="Z7" s="3">
        <v>5.6232810020446699E-3</v>
      </c>
      <c r="AA7" s="3">
        <v>2.0065397024154601E-2</v>
      </c>
      <c r="AB7" s="3">
        <v>2.7764081954955999E-2</v>
      </c>
      <c r="AC7" s="3">
        <v>2.0045816898345899E-2</v>
      </c>
      <c r="AD7" s="3">
        <v>2.5670588016509999E-2</v>
      </c>
      <c r="AE7" s="3">
        <v>2.5657087564468301E-2</v>
      </c>
      <c r="AF7" s="3">
        <v>2.5752991437911901E-2</v>
      </c>
      <c r="AG7" s="3">
        <v>2.0881980657577501E-2</v>
      </c>
      <c r="AH7" s="3">
        <v>2.0251482725143401E-2</v>
      </c>
      <c r="AI7" s="3">
        <v>2.0251482725143401E-2</v>
      </c>
      <c r="AJ7" s="3">
        <v>2.0251482725143401E-2</v>
      </c>
      <c r="AK7" s="3">
        <v>2.0257502794265698E-2</v>
      </c>
      <c r="AL7" s="3">
        <v>2.0257502794265698E-2</v>
      </c>
      <c r="AM7" s="3">
        <v>2.0257502794265698E-2</v>
      </c>
      <c r="AN7" s="3">
        <v>2.0257502794265698E-2</v>
      </c>
      <c r="AO7" s="3">
        <v>2.00245082378387E-2</v>
      </c>
    </row>
    <row r="8" spans="1:41" x14ac:dyDescent="0.35">
      <c r="A8" s="3">
        <v>0</v>
      </c>
      <c r="B8" s="3">
        <v>0</v>
      </c>
      <c r="C8" s="3">
        <v>0</v>
      </c>
      <c r="D8" s="3">
        <v>0</v>
      </c>
      <c r="E8" s="3">
        <v>-1.94311141967773E-5</v>
      </c>
      <c r="F8" s="3">
        <v>2.0065397024154601E-2</v>
      </c>
      <c r="G8" s="3">
        <v>2.0065546035766602E-2</v>
      </c>
      <c r="H8" s="3">
        <v>2.0045936107635401E-2</v>
      </c>
      <c r="I8" s="3">
        <v>2.0045936107635401E-2</v>
      </c>
      <c r="J8" s="3">
        <v>2.0045936107635401E-2</v>
      </c>
      <c r="K8" s="3">
        <v>2.0045936107635401E-2</v>
      </c>
      <c r="L8" s="3">
        <v>1.0066121816635101E-2</v>
      </c>
      <c r="M8" s="3">
        <v>1.00859701633453E-2</v>
      </c>
      <c r="N8" s="3">
        <v>2.0045936107635401E-2</v>
      </c>
      <c r="O8" s="3">
        <v>-1.94311141967773E-5</v>
      </c>
      <c r="P8" s="3">
        <v>5.6037902832031198E-3</v>
      </c>
      <c r="Q8" s="3">
        <v>5.6232810020446699E-3</v>
      </c>
      <c r="R8" s="3">
        <v>5.6232810020446699E-3</v>
      </c>
      <c r="S8" s="3">
        <v>5.6232810020446699E-3</v>
      </c>
      <c r="T8" s="3">
        <v>5.6232810020446699E-3</v>
      </c>
      <c r="U8" s="3">
        <v>5.6232810020446699E-3</v>
      </c>
      <c r="V8" s="3">
        <v>5.6232810020446699E-3</v>
      </c>
      <c r="W8" s="3">
        <v>5.6232810020446699E-3</v>
      </c>
      <c r="X8" s="3">
        <v>5.6232810020446699E-3</v>
      </c>
      <c r="Y8" s="3">
        <v>5.6232810020446699E-3</v>
      </c>
      <c r="Z8" s="3">
        <v>5.6232810020446699E-3</v>
      </c>
      <c r="AA8" s="3">
        <v>2.5688648223876901E-2</v>
      </c>
      <c r="AB8" s="3">
        <v>2.5688648223876901E-2</v>
      </c>
      <c r="AC8" s="3">
        <v>2.00338959693908E-2</v>
      </c>
      <c r="AD8" s="3">
        <v>2.00473666191101E-2</v>
      </c>
      <c r="AE8" s="3">
        <v>2.5657087564468301E-2</v>
      </c>
      <c r="AF8" s="3">
        <v>2.0439505577087399E-2</v>
      </c>
      <c r="AG8" s="3">
        <v>1.9966125488281201E-2</v>
      </c>
      <c r="AH8" s="3">
        <v>2.0251482725143401E-2</v>
      </c>
      <c r="AI8" s="3">
        <v>2.0251482725143401E-2</v>
      </c>
      <c r="AJ8" s="3">
        <v>2.0257502794265698E-2</v>
      </c>
      <c r="AK8" s="3">
        <v>2.0257502794265698E-2</v>
      </c>
      <c r="AL8" s="3">
        <v>2.0257502794265698E-2</v>
      </c>
      <c r="AM8" s="3">
        <v>2.0257502794265698E-2</v>
      </c>
      <c r="AN8" s="3">
        <v>2.0257502794265698E-2</v>
      </c>
      <c r="AO8" s="3">
        <v>2.00245678424835E-2</v>
      </c>
    </row>
    <row r="9" spans="1:41" x14ac:dyDescent="0.3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2.0065397024154601E-2</v>
      </c>
      <c r="G9" s="3">
        <v>2.0045936107635401E-2</v>
      </c>
      <c r="H9" s="3">
        <v>2.0045936107635401E-2</v>
      </c>
      <c r="I9" s="3">
        <v>2.0045936107635401E-2</v>
      </c>
      <c r="J9" s="3">
        <v>2.0045936107635401E-2</v>
      </c>
      <c r="K9" s="3">
        <v>2.0045936107635401E-2</v>
      </c>
      <c r="L9" s="3">
        <v>1.0066121816635101E-2</v>
      </c>
      <c r="M9" s="3">
        <v>1.0066241025924599E-2</v>
      </c>
      <c r="N9" s="3">
        <v>2.0065397024154601E-2</v>
      </c>
      <c r="O9" s="3">
        <v>1.5689373016357401E-2</v>
      </c>
      <c r="P9" s="3">
        <v>5.6037902832031198E-3</v>
      </c>
      <c r="Q9" s="3">
        <v>5.6232810020446699E-3</v>
      </c>
      <c r="R9" s="3">
        <v>5.6232810020446699E-3</v>
      </c>
      <c r="S9" s="3">
        <v>5.6232810020446699E-3</v>
      </c>
      <c r="T9" s="3">
        <v>5.6232810020446699E-3</v>
      </c>
      <c r="U9" s="3">
        <v>5.6232810020446699E-3</v>
      </c>
      <c r="V9" s="3">
        <v>5.6232810020446699E-3</v>
      </c>
      <c r="W9" s="3">
        <v>5.6232810020446699E-3</v>
      </c>
      <c r="X9" s="3">
        <v>5.6232810020446699E-3</v>
      </c>
      <c r="Y9" s="3">
        <v>5.6232810020446699E-3</v>
      </c>
      <c r="Z9" s="3">
        <v>5.6232810020446699E-3</v>
      </c>
      <c r="AA9" s="3">
        <v>2.0065397024154601E-2</v>
      </c>
      <c r="AB9" s="3">
        <v>2.5688648223876901E-2</v>
      </c>
      <c r="AC9" s="3">
        <v>2.0104825496673501E-2</v>
      </c>
      <c r="AD9" s="3">
        <v>2.5657087564468301E-2</v>
      </c>
      <c r="AE9" s="3">
        <v>2.5657087564468301E-2</v>
      </c>
      <c r="AF9" s="3">
        <v>2.0344585180282499E-2</v>
      </c>
      <c r="AG9" s="3">
        <v>2.0954132080078101E-2</v>
      </c>
      <c r="AH9" s="3">
        <v>2.0251482725143401E-2</v>
      </c>
      <c r="AI9" s="3">
        <v>2.0251482725143401E-2</v>
      </c>
      <c r="AJ9" s="3">
        <v>2.0251482725143401E-2</v>
      </c>
      <c r="AK9" s="3">
        <v>2.0257502794265698E-2</v>
      </c>
      <c r="AL9" s="3">
        <v>2.0257502794265698E-2</v>
      </c>
      <c r="AM9" s="3">
        <v>2.0257502794265698E-2</v>
      </c>
      <c r="AN9" s="3">
        <v>2.0257502794265698E-2</v>
      </c>
      <c r="AO9" s="3">
        <v>2.0256519317626901E-2</v>
      </c>
    </row>
    <row r="10" spans="1:41" x14ac:dyDescent="0.35">
      <c r="A10" s="3">
        <v>0</v>
      </c>
      <c r="B10" s="3">
        <v>0</v>
      </c>
      <c r="C10" s="3">
        <v>0</v>
      </c>
      <c r="D10" s="3">
        <v>0</v>
      </c>
      <c r="E10" s="3">
        <v>-1.94311141967773E-5</v>
      </c>
      <c r="F10" s="3">
        <v>2.0065397024154601E-2</v>
      </c>
      <c r="G10" s="3">
        <v>2.0045936107635401E-2</v>
      </c>
      <c r="H10" s="3">
        <v>2.0045936107635401E-2</v>
      </c>
      <c r="I10" s="3">
        <v>2.0045936107635401E-2</v>
      </c>
      <c r="J10" s="3">
        <v>2.0045936107635401E-2</v>
      </c>
      <c r="K10" s="3">
        <v>2.0045936107635401E-2</v>
      </c>
      <c r="L10" s="3">
        <v>1.0066121816635101E-2</v>
      </c>
      <c r="M10" s="3">
        <v>2.00463235378265E-2</v>
      </c>
      <c r="N10" s="3">
        <v>2.0045936107635401E-2</v>
      </c>
      <c r="O10" s="3">
        <v>2.5669187307357701E-2</v>
      </c>
      <c r="P10" s="3">
        <v>5.6037902832031198E-3</v>
      </c>
      <c r="Q10" s="3">
        <v>5.6232810020446699E-3</v>
      </c>
      <c r="R10" s="3">
        <v>5.6232810020446699E-3</v>
      </c>
      <c r="S10" s="3">
        <v>5.6232810020446699E-3</v>
      </c>
      <c r="T10" s="3">
        <v>5.6232810020446699E-3</v>
      </c>
      <c r="U10" s="3">
        <v>5.6232810020446699E-3</v>
      </c>
      <c r="V10" s="3">
        <v>5.6232810020446699E-3</v>
      </c>
      <c r="W10" s="3">
        <v>5.6232810020446699E-3</v>
      </c>
      <c r="X10" s="3">
        <v>5.6232810020446699E-3</v>
      </c>
      <c r="Y10" s="3">
        <v>5.6232810020446699E-3</v>
      </c>
      <c r="Z10" s="3">
        <v>5.6232810020446699E-3</v>
      </c>
      <c r="AA10" s="3">
        <v>2.0065397024154601E-2</v>
      </c>
      <c r="AB10" s="3">
        <v>2.5688648223876901E-2</v>
      </c>
      <c r="AC10" s="3">
        <v>2.00338959693908E-2</v>
      </c>
      <c r="AD10" s="3">
        <v>2.00338959693908E-2</v>
      </c>
      <c r="AE10" s="3">
        <v>2.5657117366790699E-2</v>
      </c>
      <c r="AF10" s="3">
        <v>2.03210413455963E-2</v>
      </c>
      <c r="AG10" s="3">
        <v>2.0356893539428701E-2</v>
      </c>
      <c r="AH10" s="3">
        <v>2.0251482725143401E-2</v>
      </c>
      <c r="AI10" s="3">
        <v>2.0251482725143401E-2</v>
      </c>
      <c r="AJ10" s="3">
        <v>2.0257502794265698E-2</v>
      </c>
      <c r="AK10" s="3">
        <v>2.0257502794265698E-2</v>
      </c>
      <c r="AL10" s="3">
        <v>2.0257502794265698E-2</v>
      </c>
      <c r="AM10" s="3">
        <v>2.0257502794265698E-2</v>
      </c>
      <c r="AN10" s="3">
        <v>2.0257502794265698E-2</v>
      </c>
      <c r="AO10" s="3">
        <v>2.00245082378387E-2</v>
      </c>
    </row>
    <row r="11" spans="1:41" x14ac:dyDescent="0.35">
      <c r="A11" s="3">
        <v>0</v>
      </c>
      <c r="B11" s="3">
        <v>0</v>
      </c>
      <c r="C11" s="3">
        <v>0</v>
      </c>
      <c r="D11" s="3">
        <v>0</v>
      </c>
      <c r="E11" s="3">
        <v>2.0065397024154601E-2</v>
      </c>
      <c r="F11" s="3">
        <v>2.0065397024154601E-2</v>
      </c>
      <c r="G11" s="3">
        <v>2.0045936107635401E-2</v>
      </c>
      <c r="H11" s="3">
        <v>2.0045936107635401E-2</v>
      </c>
      <c r="I11" s="3">
        <v>2.0045936107635401E-2</v>
      </c>
      <c r="J11" s="3">
        <v>2.0045936107635401E-2</v>
      </c>
      <c r="K11" s="3">
        <v>1.0066121816635101E-2</v>
      </c>
      <c r="L11" s="3">
        <v>1.0066121816635101E-2</v>
      </c>
      <c r="M11" s="3">
        <v>1.0066241025924599E-2</v>
      </c>
      <c r="N11" s="3">
        <v>1.0066121816635101E-2</v>
      </c>
      <c r="O11" s="3">
        <v>5.6037902832031198E-3</v>
      </c>
      <c r="P11" s="3">
        <v>5.6232810020446699E-3</v>
      </c>
      <c r="Q11" s="3">
        <v>5.6232810020446699E-3</v>
      </c>
      <c r="R11" s="3">
        <v>5.6232810020446699E-3</v>
      </c>
      <c r="S11" s="3">
        <v>5.6232810020446699E-3</v>
      </c>
      <c r="T11" s="3">
        <v>5.6232810020446699E-3</v>
      </c>
      <c r="U11" s="3">
        <v>5.6232810020446699E-3</v>
      </c>
      <c r="V11" s="3">
        <v>5.6232810020446699E-3</v>
      </c>
      <c r="W11" s="3">
        <v>5.6232810020446699E-3</v>
      </c>
      <c r="X11" s="3">
        <v>5.6232810020446699E-3</v>
      </c>
      <c r="Y11" s="3">
        <v>5.6232810020446699E-3</v>
      </c>
      <c r="Z11" s="3">
        <v>5.6232810020446699E-3</v>
      </c>
      <c r="AA11" s="3">
        <v>2.5688648223876901E-2</v>
      </c>
      <c r="AB11" s="3">
        <v>2.5688648223876901E-2</v>
      </c>
      <c r="AC11" s="3">
        <v>2.5670588016509999E-2</v>
      </c>
      <c r="AD11" s="3">
        <v>2.5657087564468301E-2</v>
      </c>
      <c r="AE11" s="3">
        <v>2.5657087564468301E-2</v>
      </c>
      <c r="AF11" s="3">
        <v>2.0238578319549502E-2</v>
      </c>
      <c r="AG11" s="3">
        <v>2.0251482725143401E-2</v>
      </c>
      <c r="AH11" s="3">
        <v>2.0251482725143401E-2</v>
      </c>
      <c r="AI11" s="3">
        <v>2.0251482725143401E-2</v>
      </c>
      <c r="AJ11" s="3">
        <v>2.0257502794265698E-2</v>
      </c>
      <c r="AK11" s="3">
        <v>2.0257502794265698E-2</v>
      </c>
      <c r="AL11" s="3">
        <v>2.0257502794265698E-2</v>
      </c>
      <c r="AM11" s="3">
        <v>2.0257502794265698E-2</v>
      </c>
      <c r="AN11" s="3">
        <v>2.0257502794265698E-2</v>
      </c>
      <c r="AO11" s="3">
        <v>2.0256459712982101E-2</v>
      </c>
    </row>
    <row r="13" spans="1:41" x14ac:dyDescent="0.35">
      <c r="A13" s="4" t="s">
        <v>42</v>
      </c>
    </row>
    <row r="14" spans="1:41" x14ac:dyDescent="0.35">
      <c r="A14" s="3">
        <f>AVERAGE(FI_OTU44_especie[KCAL])</f>
        <v>-3.8444995880126868E-6</v>
      </c>
      <c r="B14" s="3">
        <f>AVERAGE(FI_OTU44_especie[PROT])</f>
        <v>0</v>
      </c>
      <c r="C14" s="3">
        <f>AVERAGE(FI_OTU44_especie[TFAT])</f>
        <v>0</v>
      </c>
      <c r="D14" s="3">
        <f>AVERAGE(FI_OTU44_especie[CARB])</f>
        <v>0</v>
      </c>
      <c r="E14" s="3">
        <f>AVERAGE(FI_OTU44_especie[MOIS])</f>
        <v>8.0097585916518912E-3</v>
      </c>
      <c r="F14" s="3">
        <f>AVERAGE(FI_OTU44_especie[ALC])</f>
        <v>2.0065397024154604E-2</v>
      </c>
      <c r="G14" s="3">
        <f>AVERAGE(FI_OTU44_especie[CAFF])</f>
        <v>2.004789710044852E-2</v>
      </c>
      <c r="H14" s="3">
        <f>AVERAGE(FI_OTU44_especie[THEO])</f>
        <v>2.0045936107635397E-2</v>
      </c>
      <c r="I14" s="3">
        <f>AVERAGE(FI_OTU44_especie[SUGR])</f>
        <v>2.0045936107635397E-2</v>
      </c>
      <c r="J14" s="3">
        <f>AVERAGE(FI_OTU44_especie[FIBE])</f>
        <v>2.0045936107635397E-2</v>
      </c>
      <c r="K14" s="3">
        <f>AVERAGE(FI_OTU44_especie[CALC])</f>
        <v>1.7734333872795029E-2</v>
      </c>
      <c r="L14" s="3">
        <f>AVERAGE(FI_OTU44_especie[IRON])</f>
        <v>1.0066121816635102E-2</v>
      </c>
      <c r="M14" s="3">
        <f>AVERAGE(FI_OTU44_especie[MAGN])</f>
        <v>1.1072218418121289E-2</v>
      </c>
      <c r="N14" s="3">
        <f>AVERAGE(FI_OTU44_especie[PHOS])</f>
        <v>1.306201219558711E-2</v>
      </c>
      <c r="O14" s="3">
        <f>AVERAGE(FI_OTU44_especie[POTA])</f>
        <v>1.2373116612434371E-2</v>
      </c>
      <c r="P14" s="3">
        <f>AVERAGE(FI_OTU44_especie[SODI])</f>
        <v>1.169289052486417E-2</v>
      </c>
      <c r="Q14" s="3">
        <f>AVERAGE(FI_OTU44_especie[ZINC])</f>
        <v>5.6232810020446699E-3</v>
      </c>
      <c r="R14" s="3">
        <f>AVERAGE(FI_OTU44_especie[COPP])</f>
        <v>5.6232810020446699E-3</v>
      </c>
      <c r="S14" s="3">
        <f>AVERAGE(FI_OTU44_especie[SELE])</f>
        <v>5.6232810020446699E-3</v>
      </c>
      <c r="T14" s="3">
        <f>AVERAGE(FI_OTU44_especie[VC])</f>
        <v>5.6232810020446699E-3</v>
      </c>
      <c r="U14" s="3">
        <f>AVERAGE(FI_OTU44_especie[VB1])</f>
        <v>5.6232810020446699E-3</v>
      </c>
      <c r="V14" s="3">
        <f>AVERAGE(FI_OTU44_especie[VB2])</f>
        <v>5.6232810020446699E-3</v>
      </c>
      <c r="W14" s="3">
        <f>AVERAGE(FI_OTU44_especie[NIAC])</f>
        <v>5.6232810020446699E-3</v>
      </c>
      <c r="X14" s="3">
        <f>AVERAGE(FI_OTU44_especie[VB6])</f>
        <v>5.6232810020446699E-3</v>
      </c>
      <c r="Y14" s="3">
        <f>AVERAGE(FI_OTU44_especie[FOLA])</f>
        <v>5.6232810020446699E-3</v>
      </c>
      <c r="Z14" s="3">
        <f>AVERAGE(FI_OTU44_especie[VB12])</f>
        <v>5.6232810020446699E-3</v>
      </c>
      <c r="AA14" s="3">
        <f>AVERAGE(FI_OTU44_especie[VARA])</f>
        <v>1.9478839635848948E-2</v>
      </c>
      <c r="AB14" s="3">
        <f>AVERAGE(FI_OTU44_especie[RET])</f>
        <v>2.5896191596984815E-2</v>
      </c>
      <c r="AC14" s="3">
        <f>AVERAGE(FI_OTU44_especie[BCAR])</f>
        <v>2.061863243579859E-2</v>
      </c>
      <c r="AD14" s="3">
        <f>AVERAGE(FI_OTU44_especie[ACAR])</f>
        <v>2.3416858911514241E-2</v>
      </c>
      <c r="AE14" s="3">
        <f>AVERAGE(FI_OTU44_especie[CRYP])</f>
        <v>2.5657090544700539E-2</v>
      </c>
      <c r="AF14" s="3">
        <f>AVERAGE(FI_OTU44_especie[LYCO])</f>
        <v>2.146720290184017E-2</v>
      </c>
      <c r="AG14" s="3">
        <f>AVERAGE(FI_OTU44_especie[LZ])</f>
        <v>2.0724934339523278E-2</v>
      </c>
      <c r="AH14" s="3">
        <f>AVERAGE(FI_OTU44_especie[ATOC])</f>
        <v>2.0251482725143401E-2</v>
      </c>
      <c r="AI14" s="3">
        <f>AVERAGE(FI_OTU44_especie[VK])</f>
        <v>2.0251482725143401E-2</v>
      </c>
      <c r="AJ14" s="3">
        <f>AVERAGE(FI_OTU44_especie[CHOLE])</f>
        <v>2.0248067378997758E-2</v>
      </c>
      <c r="AK14" s="3">
        <f>AVERAGE(FI_OTU44_especie[SFAT])</f>
        <v>2.0257502794265695E-2</v>
      </c>
      <c r="AL14" s="3">
        <f>AVERAGE(FI_OTU44_especie[MFAT])</f>
        <v>2.0257502794265695E-2</v>
      </c>
      <c r="AM14" s="3">
        <f>AVERAGE(FI_OTU44_especie[PFAT])</f>
        <v>2.0257502794265695E-2</v>
      </c>
      <c r="AN14" s="3">
        <f>AVERAGE(FI_OTU44_especie[VITD])</f>
        <v>2.0257502794265695E-2</v>
      </c>
      <c r="AO14" s="3">
        <f>AVERAGE(FI_OTU44_especie[CHOLN])</f>
        <v>2.0163807272911019E-2</v>
      </c>
    </row>
    <row r="15" spans="1:41" x14ac:dyDescent="0.35">
      <c r="A15" s="4" t="s">
        <v>43</v>
      </c>
    </row>
    <row r="16" spans="1:41" x14ac:dyDescent="0.35">
      <c r="A16" s="3">
        <f>STDEV(FI_OTU44_especie[KCAL])</f>
        <v>8.2158972594758486E-6</v>
      </c>
      <c r="B16" s="3">
        <f>STDEV(FI_OTU44_especie[PROT])</f>
        <v>0</v>
      </c>
      <c r="C16" s="3">
        <f>STDEV(FI_OTU44_especie[TFAT])</f>
        <v>0</v>
      </c>
      <c r="D16" s="3">
        <f>STDEV(FI_OTU44_especie[CARB])</f>
        <v>0</v>
      </c>
      <c r="E16" s="3">
        <f>STDEV(FI_OTU44_especie[MOIS])</f>
        <v>7.9120792588696868E-3</v>
      </c>
      <c r="F16" s="3">
        <f>STDEV(FI_OTU44_especie[ALC])</f>
        <v>3.6571181964340638E-18</v>
      </c>
      <c r="G16" s="3">
        <f>STDEV(FI_OTU44_especie[CAFF])</f>
        <v>6.2012037646803298E-6</v>
      </c>
      <c r="H16" s="3">
        <f>STDEV(FI_OTU44_especie[THEO])</f>
        <v>3.6571181964340638E-18</v>
      </c>
      <c r="I16" s="3">
        <f>STDEV(FI_OTU44_especie[SUGR])</f>
        <v>3.6571181964340638E-18</v>
      </c>
      <c r="J16" s="3">
        <f>STDEV(FI_OTU44_especie[FIBE])</f>
        <v>3.6571181964340638E-18</v>
      </c>
      <c r="K16" s="3">
        <f>STDEV(FI_OTU44_especie[CALC])</f>
        <v>5.764702424697633E-3</v>
      </c>
      <c r="L16" s="3">
        <f>STDEV(FI_OTU44_especie[IRON])</f>
        <v>1.8285590982170319E-18</v>
      </c>
      <c r="M16" s="3">
        <f>STDEV(FI_OTU44_especie[MAGN])</f>
        <v>3.1531949268861141E-3</v>
      </c>
      <c r="N16" s="3">
        <f>STDEV(FI_OTU44_especie[PHOS])</f>
        <v>4.8238447046872086E-3</v>
      </c>
      <c r="O16" s="3">
        <f>STDEV(FI_OTU44_especie[POTA])</f>
        <v>7.7855260868971076E-3</v>
      </c>
      <c r="P16" s="3">
        <f>STDEV(FI_OTU44_especie[SODI])</f>
        <v>7.0941112348824383E-3</v>
      </c>
      <c r="Q16" s="3">
        <f>STDEV(FI_OTU44_especie[ZINC])</f>
        <v>0</v>
      </c>
      <c r="R16" s="3">
        <f>STDEV(FI_OTU44_especie[COPP])</f>
        <v>0</v>
      </c>
      <c r="S16" s="3">
        <f>STDEV(FI_OTU44_especie[SELE])</f>
        <v>0</v>
      </c>
      <c r="T16" s="3">
        <f>STDEV(FI_OTU44_especie[VC])</f>
        <v>0</v>
      </c>
      <c r="U16" s="3">
        <f>STDEV(FI_OTU44_especie[VB1])</f>
        <v>0</v>
      </c>
      <c r="V16" s="3">
        <f>STDEV(FI_OTU44_especie[VB2])</f>
        <v>0</v>
      </c>
      <c r="W16" s="3">
        <f>STDEV(FI_OTU44_especie[NIAC])</f>
        <v>0</v>
      </c>
      <c r="X16" s="3">
        <f>STDEV(FI_OTU44_especie[VB6])</f>
        <v>0</v>
      </c>
      <c r="Y16" s="3">
        <f>STDEV(FI_OTU44_especie[FOLA])</f>
        <v>0</v>
      </c>
      <c r="Z16" s="3">
        <f>STDEV(FI_OTU44_especie[VB12])</f>
        <v>0</v>
      </c>
      <c r="AA16" s="3">
        <f>STDEV(FI_OTU44_especie[VARA])</f>
        <v>5.7722143398190083E-3</v>
      </c>
      <c r="AB16" s="3">
        <f>STDEV(FI_OTU44_especie[RET])</f>
        <v>6.5630977229513398E-4</v>
      </c>
      <c r="AC16" s="3">
        <f>STDEV(FI_OTU44_especie[BCAR])</f>
        <v>1.7752824460793286E-3</v>
      </c>
      <c r="AD16" s="3">
        <f>STDEV(FI_OTU44_especie[ACAR])</f>
        <v>2.9029216898053315E-3</v>
      </c>
      <c r="AE16" s="3">
        <f>STDEV(FI_OTU44_especie[CRYP])</f>
        <v>9.4243218340658906E-9</v>
      </c>
      <c r="AF16" s="3">
        <f>STDEV(FI_OTU44_especie[LYCO])</f>
        <v>2.3423518201983536E-3</v>
      </c>
      <c r="AG16" s="3">
        <f>STDEV(FI_OTU44_especie[LZ])</f>
        <v>4.0213363065866493E-4</v>
      </c>
      <c r="AH16" s="3">
        <f>STDEV(FI_OTU44_especie[ATOC])</f>
        <v>0</v>
      </c>
      <c r="AI16" s="3">
        <f>STDEV(FI_OTU44_especie[VK])</f>
        <v>0</v>
      </c>
      <c r="AJ16" s="3">
        <f>STDEV(FI_OTU44_especie[CHOLE])</f>
        <v>1.9954040050712495E-5</v>
      </c>
      <c r="AK16" s="3">
        <f>STDEV(FI_OTU44_especie[SFAT])</f>
        <v>3.6571181964340638E-18</v>
      </c>
      <c r="AL16" s="3">
        <f>STDEV(FI_OTU44_especie[MFAT])</f>
        <v>3.6571181964340638E-18</v>
      </c>
      <c r="AM16" s="3">
        <f>STDEV(FI_OTU44_especie[PFAT])</f>
        <v>3.6571181964340638E-18</v>
      </c>
      <c r="AN16" s="3">
        <f>STDEV(FI_OTU44_especie[VITD])</f>
        <v>3.6571181964340638E-18</v>
      </c>
      <c r="AO16" s="3">
        <f>STDEV(FI_OTU44_especie[CHOLN])</f>
        <v>1.1987698878625756E-4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7A51-2B50-48C9-812F-195E066B8AE7}">
  <dimension ref="A1:AO16"/>
  <sheetViews>
    <sheetView workbookViewId="0">
      <selection activeCell="C19" sqref="C19"/>
    </sheetView>
  </sheetViews>
  <sheetFormatPr baseColWidth="10" defaultRowHeight="14.5" x14ac:dyDescent="0.35"/>
  <cols>
    <col min="1" max="1" width="22.1796875" style="3" bestFit="1" customWidth="1"/>
    <col min="2" max="4" width="21.54296875" style="3" bestFit="1" customWidth="1"/>
    <col min="5" max="5" width="23.1796875" style="3" bestFit="1" customWidth="1"/>
    <col min="6" max="10" width="21.54296875" style="3" bestFit="1" customWidth="1"/>
    <col min="11" max="11" width="22.54296875" style="3" bestFit="1" customWidth="1"/>
    <col min="12" max="14" width="21.54296875" style="3" bestFit="1" customWidth="1"/>
    <col min="15" max="16" width="23.1796875" style="3" bestFit="1" customWidth="1"/>
    <col min="17" max="26" width="21.54296875" style="3" bestFit="1" customWidth="1"/>
    <col min="27" max="27" width="21.81640625" style="3" bestFit="1" customWidth="1"/>
    <col min="28" max="28" width="21.54296875" style="3" bestFit="1" customWidth="1"/>
    <col min="29" max="29" width="22.81640625" style="3" bestFit="1" customWidth="1"/>
    <col min="30" max="31" width="23.1796875" style="3" bestFit="1" customWidth="1"/>
    <col min="32" max="33" width="22.1796875" style="3" bestFit="1" customWidth="1"/>
    <col min="34" max="35" width="20.453125" style="3" bestFit="1" customWidth="1"/>
    <col min="36" max="36" width="22.1796875" style="3" bestFit="1" customWidth="1"/>
    <col min="37" max="41" width="20.453125" style="3" bestFit="1" customWidth="1"/>
  </cols>
  <sheetData>
    <row r="1" spans="1:4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</row>
    <row r="2" spans="1:41" x14ac:dyDescent="0.35">
      <c r="A2" s="3">
        <v>-2.1615624427795399E-4</v>
      </c>
      <c r="B2" s="3">
        <v>2.1865963935851999E-4</v>
      </c>
      <c r="C2" s="3">
        <v>2.1865963935851999E-4</v>
      </c>
      <c r="D2" s="3">
        <v>2.1865963935851999E-4</v>
      </c>
      <c r="E2" s="3">
        <v>2.1865963935851999E-4</v>
      </c>
      <c r="F2" s="3">
        <v>2.1865963935851999E-4</v>
      </c>
      <c r="G2" s="3">
        <v>2.1865963935851999E-4</v>
      </c>
      <c r="H2" s="3">
        <v>2.1865963935851999E-4</v>
      </c>
      <c r="I2" s="3">
        <v>2.1865963935851999E-4</v>
      </c>
      <c r="J2" s="3">
        <v>2.1865963935851999E-4</v>
      </c>
      <c r="K2" s="3">
        <v>2.1865963935851999E-4</v>
      </c>
      <c r="L2" s="3">
        <v>2.1865963935851999E-4</v>
      </c>
      <c r="M2" s="3">
        <v>2.1865963935851999E-4</v>
      </c>
      <c r="N2" s="3">
        <v>2.1865963935851999E-4</v>
      </c>
      <c r="O2" s="3">
        <v>-4.4229626655578602E-4</v>
      </c>
      <c r="P2" s="3">
        <v>-4.7504901885986301E-5</v>
      </c>
      <c r="Q2" s="3">
        <v>6.1345100402831999E-4</v>
      </c>
      <c r="R2" s="3">
        <v>6.1345100402831999E-4</v>
      </c>
      <c r="S2" s="3">
        <v>6.1345100402831999E-4</v>
      </c>
      <c r="T2" s="3">
        <v>6.1345100402831999E-4</v>
      </c>
      <c r="U2" s="3">
        <v>6.1345100402831999E-4</v>
      </c>
      <c r="V2" s="3">
        <v>6.1345100402831999E-4</v>
      </c>
      <c r="W2" s="3">
        <v>6.1345100402831999E-4</v>
      </c>
      <c r="X2" s="3">
        <v>6.1345100402831999E-4</v>
      </c>
      <c r="Y2" s="3">
        <v>6.1345100402831999E-4</v>
      </c>
      <c r="Z2" s="3">
        <v>6.1345100402831999E-4</v>
      </c>
      <c r="AA2" s="3">
        <v>6.1345100402831999E-4</v>
      </c>
      <c r="AB2" s="3">
        <v>6.1345100402831999E-4</v>
      </c>
      <c r="AC2" s="3">
        <v>-2.89678573608398E-5</v>
      </c>
      <c r="AD2" s="3">
        <v>-2.39759683609008E-4</v>
      </c>
      <c r="AE2" s="3">
        <v>-4.7504901885986301E-5</v>
      </c>
      <c r="AF2" s="3">
        <v>-8.5741281509399403E-4</v>
      </c>
      <c r="AG2" s="3">
        <v>-3.3512711524963298E-4</v>
      </c>
      <c r="AH2" s="3">
        <v>2.3536682128906198E-3</v>
      </c>
      <c r="AI2" s="3">
        <v>2.3536682128906198E-3</v>
      </c>
      <c r="AJ2" s="3">
        <v>2.3536682128906198E-3</v>
      </c>
      <c r="AK2" s="3">
        <v>2.3536682128906198E-3</v>
      </c>
      <c r="AL2" s="3">
        <v>2.3536682128906198E-3</v>
      </c>
      <c r="AM2" s="3">
        <v>2.3536682128906198E-3</v>
      </c>
      <c r="AN2" s="3">
        <v>2.3536682128906198E-3</v>
      </c>
      <c r="AO2" s="3">
        <v>2.3536682128906198E-3</v>
      </c>
    </row>
    <row r="3" spans="1:41" x14ac:dyDescent="0.35">
      <c r="A3" s="3">
        <v>2.1865963935851999E-4</v>
      </c>
      <c r="B3" s="3">
        <v>2.1865963935851999E-4</v>
      </c>
      <c r="C3" s="3">
        <v>2.1865963935851999E-4</v>
      </c>
      <c r="D3" s="3">
        <v>2.1865963935851999E-4</v>
      </c>
      <c r="E3" s="3">
        <v>2.5033950805663999E-6</v>
      </c>
      <c r="F3" s="3">
        <v>2.1865963935851999E-4</v>
      </c>
      <c r="G3" s="3">
        <v>2.1865963935851999E-4</v>
      </c>
      <c r="H3" s="3">
        <v>2.1865963935851999E-4</v>
      </c>
      <c r="I3" s="3">
        <v>2.1865963935851999E-4</v>
      </c>
      <c r="J3" s="3">
        <v>2.1865963935851999E-4</v>
      </c>
      <c r="K3" s="3">
        <v>2.1865963935851999E-4</v>
      </c>
      <c r="L3" s="3">
        <v>2.1865963935851999E-4</v>
      </c>
      <c r="M3" s="3">
        <v>2.1865963935851999E-4</v>
      </c>
      <c r="N3" s="3">
        <v>2.1865963935851999E-4</v>
      </c>
      <c r="O3" s="3">
        <v>2.4807453155517502E-4</v>
      </c>
      <c r="P3" s="3">
        <v>4.0766596794128402E-4</v>
      </c>
      <c r="Q3" s="3">
        <v>6.1345100402831999E-4</v>
      </c>
      <c r="R3" s="3">
        <v>6.1345100402831999E-4</v>
      </c>
      <c r="S3" s="3">
        <v>6.1345100402831999E-4</v>
      </c>
      <c r="T3" s="3">
        <v>6.1345100402831999E-4</v>
      </c>
      <c r="U3" s="3">
        <v>6.1345100402831999E-4</v>
      </c>
      <c r="V3" s="3">
        <v>6.1345100402831999E-4</v>
      </c>
      <c r="W3" s="3">
        <v>6.1345100402831999E-4</v>
      </c>
      <c r="X3" s="3">
        <v>6.1345100402831999E-4</v>
      </c>
      <c r="Y3" s="3">
        <v>6.1345100402831999E-4</v>
      </c>
      <c r="Z3" s="3">
        <v>6.1345100402831999E-4</v>
      </c>
      <c r="AA3" s="3">
        <v>6.1345100402831999E-4</v>
      </c>
      <c r="AB3" s="3">
        <v>6.1345100402831999E-4</v>
      </c>
      <c r="AC3" s="3">
        <v>-2.89678573608398E-5</v>
      </c>
      <c r="AD3" s="3">
        <v>-2.4509429931640598E-4</v>
      </c>
      <c r="AE3" s="3">
        <v>-4.7504901885986301E-5</v>
      </c>
      <c r="AF3" s="3">
        <v>-9.7835063934326107E-4</v>
      </c>
      <c r="AG3" s="3">
        <v>-3.9541721343994103E-4</v>
      </c>
      <c r="AH3" s="3">
        <v>2.3536682128906198E-3</v>
      </c>
      <c r="AI3" s="3">
        <v>2.3536682128906198E-3</v>
      </c>
      <c r="AJ3" s="3">
        <v>2.3536682128906198E-3</v>
      </c>
      <c r="AK3" s="3">
        <v>2.3536682128906198E-3</v>
      </c>
      <c r="AL3" s="3">
        <v>2.3536682128906198E-3</v>
      </c>
      <c r="AM3" s="3">
        <v>2.3536682128906198E-3</v>
      </c>
      <c r="AN3" s="3">
        <v>2.3536682128906198E-3</v>
      </c>
      <c r="AO3" s="3">
        <v>2.3536682128906198E-3</v>
      </c>
    </row>
    <row r="4" spans="1:41" x14ac:dyDescent="0.35">
      <c r="A4" s="3">
        <v>2.5033950805663999E-6</v>
      </c>
      <c r="B4" s="3">
        <v>2.1865963935851999E-4</v>
      </c>
      <c r="C4" s="3">
        <v>2.1865963935851999E-4</v>
      </c>
      <c r="D4" s="3">
        <v>2.1865963935851999E-4</v>
      </c>
      <c r="E4" s="3">
        <v>-4.4229626655578602E-4</v>
      </c>
      <c r="F4" s="3">
        <v>2.1865963935851999E-4</v>
      </c>
      <c r="G4" s="3">
        <v>2.1865963935851999E-4</v>
      </c>
      <c r="H4" s="3">
        <v>2.1865963935851999E-4</v>
      </c>
      <c r="I4" s="3">
        <v>2.1865963935851999E-4</v>
      </c>
      <c r="J4" s="3">
        <v>2.1865963935851999E-4</v>
      </c>
      <c r="K4" s="3">
        <v>2.1865963935851999E-4</v>
      </c>
      <c r="L4" s="3">
        <v>2.1865963935851999E-4</v>
      </c>
      <c r="M4" s="3">
        <v>2.1865963935851999E-4</v>
      </c>
      <c r="N4" s="3">
        <v>2.1865963935851999E-4</v>
      </c>
      <c r="O4" s="3">
        <v>-4.1288137435912999E-4</v>
      </c>
      <c r="P4" s="3">
        <v>-2.3427605628967201E-4</v>
      </c>
      <c r="Q4" s="3">
        <v>6.1345100402831999E-4</v>
      </c>
      <c r="R4" s="3">
        <v>6.1345100402831999E-4</v>
      </c>
      <c r="S4" s="3">
        <v>6.1345100402831999E-4</v>
      </c>
      <c r="T4" s="3">
        <v>6.1345100402831999E-4</v>
      </c>
      <c r="U4" s="3">
        <v>6.1345100402831999E-4</v>
      </c>
      <c r="V4" s="3">
        <v>6.1345100402831999E-4</v>
      </c>
      <c r="W4" s="3">
        <v>6.1345100402831999E-4</v>
      </c>
      <c r="X4" s="3">
        <v>6.1345100402831999E-4</v>
      </c>
      <c r="Y4" s="3">
        <v>6.1345100402831999E-4</v>
      </c>
      <c r="Z4" s="3">
        <v>6.1345100402831999E-4</v>
      </c>
      <c r="AA4" s="3">
        <v>6.1303377151489204E-4</v>
      </c>
      <c r="AB4" s="3">
        <v>6.1345100402831999E-4</v>
      </c>
      <c r="AC4" s="3">
        <v>-4.7504901885986301E-5</v>
      </c>
      <c r="AD4" s="3">
        <v>-2.50786542892456E-4</v>
      </c>
      <c r="AE4" s="3">
        <v>-4.7504901885986301E-5</v>
      </c>
      <c r="AF4" s="3">
        <v>-6.1485171318054199E-4</v>
      </c>
      <c r="AG4" s="3">
        <v>2.7662515640258698E-3</v>
      </c>
      <c r="AH4" s="3">
        <v>2.3536682128906198E-3</v>
      </c>
      <c r="AI4" s="3">
        <v>2.3536682128906198E-3</v>
      </c>
      <c r="AJ4" s="3">
        <v>2.3536682128906198E-3</v>
      </c>
      <c r="AK4" s="3">
        <v>2.3536682128906198E-3</v>
      </c>
      <c r="AL4" s="3">
        <v>2.3536682128906198E-3</v>
      </c>
      <c r="AM4" s="3">
        <v>2.3536682128906198E-3</v>
      </c>
      <c r="AN4" s="3">
        <v>2.3536682128906198E-3</v>
      </c>
      <c r="AO4" s="3">
        <v>2.3536682128906198E-3</v>
      </c>
    </row>
    <row r="5" spans="1:41" x14ac:dyDescent="0.35">
      <c r="A5" s="3">
        <v>2.1865963935851999E-4</v>
      </c>
      <c r="B5" s="3">
        <v>2.1865963935851999E-4</v>
      </c>
      <c r="C5" s="3">
        <v>2.1865963935851999E-4</v>
      </c>
      <c r="D5" s="3">
        <v>2.1865963935851999E-4</v>
      </c>
      <c r="E5" s="3">
        <v>2.1865963935851999E-4</v>
      </c>
      <c r="F5" s="3">
        <v>2.1865963935851999E-4</v>
      </c>
      <c r="G5" s="3">
        <v>2.1865963935851999E-4</v>
      </c>
      <c r="H5" s="3">
        <v>2.1865963935851999E-4</v>
      </c>
      <c r="I5" s="3">
        <v>2.1865963935851999E-4</v>
      </c>
      <c r="J5" s="3">
        <v>2.1865963935851999E-4</v>
      </c>
      <c r="K5" s="3">
        <v>2.1865963935851999E-4</v>
      </c>
      <c r="L5" s="3">
        <v>2.1865963935851999E-4</v>
      </c>
      <c r="M5" s="3">
        <v>2.1865963935851999E-4</v>
      </c>
      <c r="N5" s="3">
        <v>2.1865963935851999E-4</v>
      </c>
      <c r="O5" s="3">
        <v>2.1865963935851999E-4</v>
      </c>
      <c r="P5" s="3">
        <v>1.9150972366333E-4</v>
      </c>
      <c r="Q5" s="3">
        <v>6.1345100402831999E-4</v>
      </c>
      <c r="R5" s="3">
        <v>6.1345100402831999E-4</v>
      </c>
      <c r="S5" s="3">
        <v>6.1345100402831999E-4</v>
      </c>
      <c r="T5" s="3">
        <v>6.1345100402831999E-4</v>
      </c>
      <c r="U5" s="3">
        <v>6.1345100402831999E-4</v>
      </c>
      <c r="V5" s="3">
        <v>6.1345100402831999E-4</v>
      </c>
      <c r="W5" s="3">
        <v>6.1345100402831999E-4</v>
      </c>
      <c r="X5" s="3">
        <v>6.1345100402831999E-4</v>
      </c>
      <c r="Y5" s="3">
        <v>6.1345100402831999E-4</v>
      </c>
      <c r="Z5" s="3">
        <v>6.1345100402831999E-4</v>
      </c>
      <c r="AA5" s="3">
        <v>-4.7475099563598599E-5</v>
      </c>
      <c r="AB5" s="3">
        <v>6.1345100402831999E-4</v>
      </c>
      <c r="AC5" s="3">
        <v>-4.7504901885986301E-5</v>
      </c>
      <c r="AD5" s="3">
        <v>-2.6366114616394E-4</v>
      </c>
      <c r="AE5" s="3">
        <v>-4.7504901885986301E-5</v>
      </c>
      <c r="AF5" s="3">
        <v>-5.1200389862060499E-5</v>
      </c>
      <c r="AG5" s="3">
        <v>-3.9541721343994103E-4</v>
      </c>
      <c r="AH5" s="3">
        <v>2.3536682128906198E-3</v>
      </c>
      <c r="AI5" s="3">
        <v>2.3536682128906198E-3</v>
      </c>
      <c r="AJ5" s="3">
        <v>2.3536682128906198E-3</v>
      </c>
      <c r="AK5" s="3">
        <v>2.3536682128906198E-3</v>
      </c>
      <c r="AL5" s="3">
        <v>2.3536682128906198E-3</v>
      </c>
      <c r="AM5" s="3">
        <v>2.3536682128906198E-3</v>
      </c>
      <c r="AN5" s="3">
        <v>2.3536682128906198E-3</v>
      </c>
      <c r="AO5" s="3">
        <v>2.3536682128906198E-3</v>
      </c>
    </row>
    <row r="6" spans="1:41" x14ac:dyDescent="0.35">
      <c r="A6" s="3">
        <v>2.1865963935851999E-4</v>
      </c>
      <c r="B6" s="3">
        <v>2.1865963935851999E-4</v>
      </c>
      <c r="C6" s="3">
        <v>2.1865963935851999E-4</v>
      </c>
      <c r="D6" s="3">
        <v>2.1865963935851999E-4</v>
      </c>
      <c r="E6" s="3">
        <v>2.1865963935851999E-4</v>
      </c>
      <c r="F6" s="3">
        <v>2.1865963935851999E-4</v>
      </c>
      <c r="G6" s="3">
        <v>2.1865963935851999E-4</v>
      </c>
      <c r="H6" s="3">
        <v>2.1865963935851999E-4</v>
      </c>
      <c r="I6" s="3">
        <v>2.1865963935851999E-4</v>
      </c>
      <c r="J6" s="3">
        <v>2.1865963935851999E-4</v>
      </c>
      <c r="K6" s="3">
        <v>2.1865963935851999E-4</v>
      </c>
      <c r="L6" s="3">
        <v>2.1865963935851999E-4</v>
      </c>
      <c r="M6" s="3">
        <v>2.1865963935851999E-4</v>
      </c>
      <c r="N6" s="3">
        <v>2.1865963935851999E-4</v>
      </c>
      <c r="O6" s="3">
        <v>2.1865963935851999E-4</v>
      </c>
      <c r="P6" s="3">
        <v>-2.6366114616394E-4</v>
      </c>
      <c r="Q6" s="3">
        <v>6.1345100402831999E-4</v>
      </c>
      <c r="R6" s="3">
        <v>6.1345100402831999E-4</v>
      </c>
      <c r="S6" s="3">
        <v>6.1345100402831999E-4</v>
      </c>
      <c r="T6" s="3">
        <v>6.1345100402831999E-4</v>
      </c>
      <c r="U6" s="3">
        <v>6.1345100402831999E-4</v>
      </c>
      <c r="V6" s="3">
        <v>6.1345100402831999E-4</v>
      </c>
      <c r="W6" s="3">
        <v>6.1345100402831999E-4</v>
      </c>
      <c r="X6" s="3">
        <v>6.1345100402831999E-4</v>
      </c>
      <c r="Y6" s="3">
        <v>6.1345100402831999E-4</v>
      </c>
      <c r="Z6" s="3">
        <v>6.1345100402831999E-4</v>
      </c>
      <c r="AA6" s="3">
        <v>6.1345100402831999E-4</v>
      </c>
      <c r="AB6" s="3">
        <v>6.1345100402831999E-4</v>
      </c>
      <c r="AC6" s="3">
        <v>-2.89678573608398E-5</v>
      </c>
      <c r="AD6" s="3">
        <v>-2.6366114616394E-4</v>
      </c>
      <c r="AE6" s="3">
        <v>-2.6366114616394E-4</v>
      </c>
      <c r="AF6" s="3">
        <v>-5.9071183204650803E-4</v>
      </c>
      <c r="AG6" s="3">
        <v>-3.9541721343994103E-4</v>
      </c>
      <c r="AH6" s="3">
        <v>2.3536682128906198E-3</v>
      </c>
      <c r="AI6" s="3">
        <v>2.3536682128906198E-3</v>
      </c>
      <c r="AJ6" s="3">
        <v>2.3536682128906198E-3</v>
      </c>
      <c r="AK6" s="3">
        <v>2.3536682128906198E-3</v>
      </c>
      <c r="AL6" s="3">
        <v>2.3536682128906198E-3</v>
      </c>
      <c r="AM6" s="3">
        <v>2.3536682128906198E-3</v>
      </c>
      <c r="AN6" s="3">
        <v>2.3536682128906198E-3</v>
      </c>
      <c r="AO6" s="3">
        <v>2.3536682128906198E-3</v>
      </c>
    </row>
    <row r="7" spans="1:41" x14ac:dyDescent="0.35">
      <c r="A7" s="3">
        <v>2.1865963935851999E-4</v>
      </c>
      <c r="B7" s="3">
        <v>2.1865963935851999E-4</v>
      </c>
      <c r="C7" s="3">
        <v>2.1865963935851999E-4</v>
      </c>
      <c r="D7" s="3">
        <v>2.1865963935851999E-4</v>
      </c>
      <c r="E7" s="3">
        <v>2.1865963935851999E-4</v>
      </c>
      <c r="F7" s="3">
        <v>2.1865963935851999E-4</v>
      </c>
      <c r="G7" s="3">
        <v>2.1865963935851999E-4</v>
      </c>
      <c r="H7" s="3">
        <v>2.1865963935851999E-4</v>
      </c>
      <c r="I7" s="3">
        <v>2.1865963935851999E-4</v>
      </c>
      <c r="J7" s="3">
        <v>2.1865963935851999E-4</v>
      </c>
      <c r="K7" s="3">
        <v>2.17646360397338E-4</v>
      </c>
      <c r="L7" s="3">
        <v>2.1865963935851999E-4</v>
      </c>
      <c r="M7" s="3">
        <v>2.1865963935851999E-4</v>
      </c>
      <c r="N7" s="3">
        <v>2.1865963935851999E-4</v>
      </c>
      <c r="O7" s="3">
        <v>-4.4229626655578602E-4</v>
      </c>
      <c r="P7" s="3">
        <v>3.9729475975036599E-4</v>
      </c>
      <c r="Q7" s="3">
        <v>6.1345100402831999E-4</v>
      </c>
      <c r="R7" s="3">
        <v>6.1345100402831999E-4</v>
      </c>
      <c r="S7" s="3">
        <v>6.1345100402831999E-4</v>
      </c>
      <c r="T7" s="3">
        <v>6.1345100402831999E-4</v>
      </c>
      <c r="U7" s="3">
        <v>6.1345100402831999E-4</v>
      </c>
      <c r="V7" s="3">
        <v>6.1345100402831999E-4</v>
      </c>
      <c r="W7" s="3">
        <v>6.1345100402831999E-4</v>
      </c>
      <c r="X7" s="3">
        <v>6.1345100402831999E-4</v>
      </c>
      <c r="Y7" s="3">
        <v>6.1345100402831999E-4</v>
      </c>
      <c r="Z7" s="3">
        <v>6.1345100402831999E-4</v>
      </c>
      <c r="AA7" s="3">
        <v>6.1345100402831999E-4</v>
      </c>
      <c r="AB7" s="3">
        <v>6.01202249526977E-4</v>
      </c>
      <c r="AC7" s="3">
        <v>-4.7504901885986301E-5</v>
      </c>
      <c r="AD7" s="3">
        <v>-4.7504901885986301E-5</v>
      </c>
      <c r="AE7" s="3">
        <v>-4.7504901885986301E-5</v>
      </c>
      <c r="AF7" s="3">
        <v>-7.7512860298156695E-4</v>
      </c>
      <c r="AG7" s="3">
        <v>-3.78400087356567E-4</v>
      </c>
      <c r="AH7" s="3">
        <v>2.3536682128906198E-3</v>
      </c>
      <c r="AI7" s="3">
        <v>2.3536682128906198E-3</v>
      </c>
      <c r="AJ7" s="3">
        <v>2.3536682128906198E-3</v>
      </c>
      <c r="AK7" s="3">
        <v>2.3536682128906198E-3</v>
      </c>
      <c r="AL7" s="3">
        <v>2.3536682128906198E-3</v>
      </c>
      <c r="AM7" s="3">
        <v>2.3536682128906198E-3</v>
      </c>
      <c r="AN7" s="3">
        <v>2.3536682128906198E-3</v>
      </c>
      <c r="AO7" s="3">
        <v>2.3536682128906198E-3</v>
      </c>
    </row>
    <row r="8" spans="1:41" x14ac:dyDescent="0.35">
      <c r="A8" s="3">
        <v>2.1865963935851999E-4</v>
      </c>
      <c r="B8" s="3">
        <v>2.1865963935851999E-4</v>
      </c>
      <c r="C8" s="3">
        <v>2.1865963935851999E-4</v>
      </c>
      <c r="D8" s="3">
        <v>2.1865963935851999E-4</v>
      </c>
      <c r="E8" s="3">
        <v>2.1865963935851999E-4</v>
      </c>
      <c r="F8" s="3">
        <v>2.1865963935851999E-4</v>
      </c>
      <c r="G8" s="3">
        <v>2.1865963935851999E-4</v>
      </c>
      <c r="H8" s="3">
        <v>2.1865963935851999E-4</v>
      </c>
      <c r="I8" s="3">
        <v>2.1865963935851999E-4</v>
      </c>
      <c r="J8" s="3">
        <v>2.1865963935851999E-4</v>
      </c>
      <c r="K8" s="3">
        <v>2.1865963935851999E-4</v>
      </c>
      <c r="L8" s="3">
        <v>2.1865963935851999E-4</v>
      </c>
      <c r="M8" s="3">
        <v>2.1865963935851999E-4</v>
      </c>
      <c r="N8" s="3">
        <v>2.4807453155517502E-4</v>
      </c>
      <c r="O8" s="3">
        <v>2.1865963935851999E-4</v>
      </c>
      <c r="P8" s="3">
        <v>-4.7504901885986301E-5</v>
      </c>
      <c r="Q8" s="3">
        <v>6.1345100402831999E-4</v>
      </c>
      <c r="R8" s="3">
        <v>6.1345100402831999E-4</v>
      </c>
      <c r="S8" s="3">
        <v>6.1345100402831999E-4</v>
      </c>
      <c r="T8" s="3">
        <v>6.1345100402831999E-4</v>
      </c>
      <c r="U8" s="3">
        <v>6.1345100402831999E-4</v>
      </c>
      <c r="V8" s="3">
        <v>6.1345100402831999E-4</v>
      </c>
      <c r="W8" s="3">
        <v>6.1345100402831999E-4</v>
      </c>
      <c r="X8" s="3">
        <v>6.1345100402831999E-4</v>
      </c>
      <c r="Y8" s="3">
        <v>6.1345100402831999E-4</v>
      </c>
      <c r="Z8" s="3">
        <v>6.1345100402831999E-4</v>
      </c>
      <c r="AA8" s="3">
        <v>6.1345100402831999E-4</v>
      </c>
      <c r="AB8" s="3">
        <v>6.1345100402831999E-4</v>
      </c>
      <c r="AC8" s="3">
        <v>-2.89678573608398E-5</v>
      </c>
      <c r="AD8" s="3">
        <v>-2.45332717895507E-4</v>
      </c>
      <c r="AE8" s="3">
        <v>-4.24683094024658E-5</v>
      </c>
      <c r="AF8" s="3">
        <v>-3.1971931457519499E-4</v>
      </c>
      <c r="AG8" s="3">
        <v>-3.78400087356567E-4</v>
      </c>
      <c r="AH8" s="3">
        <v>2.3536682128906198E-3</v>
      </c>
      <c r="AI8" s="3">
        <v>2.3536682128906198E-3</v>
      </c>
      <c r="AJ8" s="3">
        <v>2.3536682128906198E-3</v>
      </c>
      <c r="AK8" s="3">
        <v>2.3536682128906198E-3</v>
      </c>
      <c r="AL8" s="3">
        <v>2.3536682128906198E-3</v>
      </c>
      <c r="AM8" s="3">
        <v>2.3536682128906198E-3</v>
      </c>
      <c r="AN8" s="3">
        <v>2.3536682128906198E-3</v>
      </c>
      <c r="AO8" s="3">
        <v>2.3536682128906198E-3</v>
      </c>
    </row>
    <row r="9" spans="1:41" x14ac:dyDescent="0.35">
      <c r="A9" s="3">
        <v>2.1865963935851999E-4</v>
      </c>
      <c r="B9" s="3">
        <v>2.1865963935851999E-4</v>
      </c>
      <c r="C9" s="3">
        <v>2.1865963935851999E-4</v>
      </c>
      <c r="D9" s="3">
        <v>2.1865963935851999E-4</v>
      </c>
      <c r="E9" s="3">
        <v>2.4807453155517502E-4</v>
      </c>
      <c r="F9" s="3">
        <v>2.1865963935851999E-4</v>
      </c>
      <c r="G9" s="3">
        <v>2.1865963935851999E-4</v>
      </c>
      <c r="H9" s="3">
        <v>2.1865963935851999E-4</v>
      </c>
      <c r="I9" s="3">
        <v>2.1865963935851999E-4</v>
      </c>
      <c r="J9" s="3">
        <v>2.1865963935851999E-4</v>
      </c>
      <c r="K9" s="3">
        <v>2.1865963935851999E-4</v>
      </c>
      <c r="L9" s="3">
        <v>2.1865963935851999E-4</v>
      </c>
      <c r="M9" s="3">
        <v>2.1865963935851999E-4</v>
      </c>
      <c r="N9" s="3">
        <v>2.1865963935851999E-4</v>
      </c>
      <c r="O9" s="3">
        <v>4.2444467544555599E-4</v>
      </c>
      <c r="P9" s="3">
        <v>-2.6366114616394E-4</v>
      </c>
      <c r="Q9" s="3">
        <v>6.1345100402831999E-4</v>
      </c>
      <c r="R9" s="3">
        <v>6.1345100402831999E-4</v>
      </c>
      <c r="S9" s="3">
        <v>6.1345100402831999E-4</v>
      </c>
      <c r="T9" s="3">
        <v>6.1345100402831999E-4</v>
      </c>
      <c r="U9" s="3">
        <v>6.1345100402831999E-4</v>
      </c>
      <c r="V9" s="3">
        <v>6.1345100402831999E-4</v>
      </c>
      <c r="W9" s="3">
        <v>6.1345100402831999E-4</v>
      </c>
      <c r="X9" s="3">
        <v>6.1345100402831999E-4</v>
      </c>
      <c r="Y9" s="3">
        <v>6.1345100402831999E-4</v>
      </c>
      <c r="Z9" s="3">
        <v>6.1345100402831999E-4</v>
      </c>
      <c r="AA9" s="3">
        <v>6.1345100402831999E-4</v>
      </c>
      <c r="AB9" s="3">
        <v>6.1345100402831999E-4</v>
      </c>
      <c r="AC9" s="3">
        <v>-2.89678573608398E-5</v>
      </c>
      <c r="AD9" s="3">
        <v>-2.6366114616394E-4</v>
      </c>
      <c r="AE9" s="3">
        <v>-4.7504901885986301E-5</v>
      </c>
      <c r="AF9" s="3">
        <v>-9.19222831726074E-4</v>
      </c>
      <c r="AG9" s="3">
        <v>-1.5750229358673E-3</v>
      </c>
      <c r="AH9" s="3">
        <v>2.3536682128906198E-3</v>
      </c>
      <c r="AI9" s="3">
        <v>2.3536682128906198E-3</v>
      </c>
      <c r="AJ9" s="3">
        <v>2.3536682128906198E-3</v>
      </c>
      <c r="AK9" s="3">
        <v>2.3536682128906198E-3</v>
      </c>
      <c r="AL9" s="3">
        <v>2.3536682128906198E-3</v>
      </c>
      <c r="AM9" s="3">
        <v>2.3536682128906198E-3</v>
      </c>
      <c r="AN9" s="3">
        <v>2.3536682128906198E-3</v>
      </c>
      <c r="AO9" s="3">
        <v>2.3536682128906198E-3</v>
      </c>
    </row>
    <row r="10" spans="1:41" x14ac:dyDescent="0.35">
      <c r="A10" s="3">
        <v>0</v>
      </c>
      <c r="B10" s="3">
        <v>2.1865963935851999E-4</v>
      </c>
      <c r="C10" s="3">
        <v>2.1865963935851999E-4</v>
      </c>
      <c r="D10" s="3">
        <v>2.1865963935851999E-4</v>
      </c>
      <c r="E10" s="3">
        <v>2.1865963935851999E-4</v>
      </c>
      <c r="F10" s="3">
        <v>2.1865963935851999E-4</v>
      </c>
      <c r="G10" s="3">
        <v>2.1865963935851999E-4</v>
      </c>
      <c r="H10" s="3">
        <v>2.1865963935851999E-4</v>
      </c>
      <c r="I10" s="3">
        <v>2.1865963935851999E-4</v>
      </c>
      <c r="J10" s="3">
        <v>2.1865963935851999E-4</v>
      </c>
      <c r="K10" s="3">
        <v>2.1865963935851999E-4</v>
      </c>
      <c r="L10" s="3">
        <v>2.1865963935851999E-4</v>
      </c>
      <c r="M10" s="3">
        <v>2.1865963935851999E-4</v>
      </c>
      <c r="N10" s="3">
        <v>2.1865963935851999E-4</v>
      </c>
      <c r="O10" s="3">
        <v>2.1865963935851999E-4</v>
      </c>
      <c r="P10" s="3">
        <v>-4.7504901885986301E-5</v>
      </c>
      <c r="Q10" s="3">
        <v>6.1345100402831999E-4</v>
      </c>
      <c r="R10" s="3">
        <v>6.1345100402831999E-4</v>
      </c>
      <c r="S10" s="3">
        <v>6.1345100402831999E-4</v>
      </c>
      <c r="T10" s="3">
        <v>6.1345100402831999E-4</v>
      </c>
      <c r="U10" s="3">
        <v>6.1345100402831999E-4</v>
      </c>
      <c r="V10" s="3">
        <v>6.1345100402831999E-4</v>
      </c>
      <c r="W10" s="3">
        <v>6.1345100402831999E-4</v>
      </c>
      <c r="X10" s="3">
        <v>6.1345100402831999E-4</v>
      </c>
      <c r="Y10" s="3">
        <v>6.1345100402831999E-4</v>
      </c>
      <c r="Z10" s="3">
        <v>6.1345100402831999E-4</v>
      </c>
      <c r="AA10" s="3">
        <v>6.1345100402831999E-4</v>
      </c>
      <c r="AB10" s="3">
        <v>6.1345100402831999E-4</v>
      </c>
      <c r="AC10" s="3">
        <v>-4.7504901885986301E-5</v>
      </c>
      <c r="AD10" s="3">
        <v>-2.89678573608398E-5</v>
      </c>
      <c r="AE10" s="3">
        <v>-4.7504901885986301E-5</v>
      </c>
      <c r="AF10" s="3">
        <v>-1.06504559516906E-3</v>
      </c>
      <c r="AG10" s="3">
        <v>-3.9541721343994103E-4</v>
      </c>
      <c r="AH10" s="3">
        <v>2.3536682128906198E-3</v>
      </c>
      <c r="AI10" s="3">
        <v>2.3536682128906198E-3</v>
      </c>
      <c r="AJ10" s="3">
        <v>-3.9541721343994103E-4</v>
      </c>
      <c r="AK10" s="3">
        <v>2.3536682128906198E-3</v>
      </c>
      <c r="AL10" s="3">
        <v>2.3536682128906198E-3</v>
      </c>
      <c r="AM10" s="3">
        <v>2.3536682128906198E-3</v>
      </c>
      <c r="AN10" s="3">
        <v>2.3536682128906198E-3</v>
      </c>
      <c r="AO10" s="3">
        <v>2.3536682128906198E-3</v>
      </c>
    </row>
    <row r="11" spans="1:41" x14ac:dyDescent="0.35">
      <c r="A11" s="3">
        <v>2.1865963935851999E-4</v>
      </c>
      <c r="B11" s="3">
        <v>2.1865963935851999E-4</v>
      </c>
      <c r="C11" s="3">
        <v>2.1865963935851999E-4</v>
      </c>
      <c r="D11" s="3">
        <v>2.1865963935851999E-4</v>
      </c>
      <c r="E11" s="3">
        <v>2.1865963935851999E-4</v>
      </c>
      <c r="F11" s="3">
        <v>2.1865963935851999E-4</v>
      </c>
      <c r="G11" s="3">
        <v>2.1865963935851999E-4</v>
      </c>
      <c r="H11" s="3">
        <v>2.1865963935851999E-4</v>
      </c>
      <c r="I11" s="3">
        <v>2.1865963935851999E-4</v>
      </c>
      <c r="J11" s="3">
        <v>2.1865963935851999E-4</v>
      </c>
      <c r="K11" s="3">
        <v>2.1865963935851999E-4</v>
      </c>
      <c r="L11" s="3">
        <v>2.1865963935851999E-4</v>
      </c>
      <c r="M11" s="3">
        <v>2.1865963935851999E-4</v>
      </c>
      <c r="N11" s="3">
        <v>2.1865963935851999E-4</v>
      </c>
      <c r="O11" s="3">
        <v>4.0766596794128402E-4</v>
      </c>
      <c r="P11" s="3">
        <v>6.1345100402831999E-4</v>
      </c>
      <c r="Q11" s="3">
        <v>6.1345100402831999E-4</v>
      </c>
      <c r="R11" s="3">
        <v>6.1345100402831999E-4</v>
      </c>
      <c r="S11" s="3">
        <v>6.1345100402831999E-4</v>
      </c>
      <c r="T11" s="3">
        <v>6.1345100402831999E-4</v>
      </c>
      <c r="U11" s="3">
        <v>6.1345100402831999E-4</v>
      </c>
      <c r="V11" s="3">
        <v>6.1345100402831999E-4</v>
      </c>
      <c r="W11" s="3">
        <v>6.1345100402831999E-4</v>
      </c>
      <c r="X11" s="3">
        <v>6.1345100402831999E-4</v>
      </c>
      <c r="Y11" s="3">
        <v>6.1345100402831999E-4</v>
      </c>
      <c r="Z11" s="3">
        <v>6.1345100402831999E-4</v>
      </c>
      <c r="AA11" s="3">
        <v>6.1345100402831999E-4</v>
      </c>
      <c r="AB11" s="3">
        <v>6.1345100402831999E-4</v>
      </c>
      <c r="AC11" s="3">
        <v>-2.9355287551879801E-5</v>
      </c>
      <c r="AD11" s="3">
        <v>-4.24683094024658E-5</v>
      </c>
      <c r="AE11" s="3">
        <v>-4.7504901885986301E-5</v>
      </c>
      <c r="AF11" s="3">
        <v>-3.9541721343994103E-4</v>
      </c>
      <c r="AG11" s="3">
        <v>2.3536682128906198E-3</v>
      </c>
      <c r="AH11" s="3">
        <v>2.3536682128906198E-3</v>
      </c>
      <c r="AI11" s="3">
        <v>2.3536682128906198E-3</v>
      </c>
      <c r="AJ11" s="3">
        <v>2.3536682128906198E-3</v>
      </c>
      <c r="AK11" s="3">
        <v>2.3536682128906198E-3</v>
      </c>
      <c r="AL11" s="3">
        <v>2.3536682128906198E-3</v>
      </c>
      <c r="AM11" s="3">
        <v>2.3536682128906198E-3</v>
      </c>
      <c r="AN11" s="3">
        <v>2.3536682128906198E-3</v>
      </c>
      <c r="AO11" s="3">
        <v>2.3536682128906198E-3</v>
      </c>
    </row>
    <row r="13" spans="1:41" x14ac:dyDescent="0.35">
      <c r="A13" s="4" t="s">
        <v>42</v>
      </c>
    </row>
    <row r="14" spans="1:41" x14ac:dyDescent="0.35">
      <c r="A14" s="3">
        <f>AVERAGE(FI_OTU44_family[KCAL])</f>
        <v>1.3169646263122523E-4</v>
      </c>
      <c r="B14" s="3">
        <f>AVERAGE(FI_OTU44_family[PROT])</f>
        <v>2.1865963935852002E-4</v>
      </c>
      <c r="C14" s="3">
        <f>AVERAGE(FI_OTU44_family[TFAT])</f>
        <v>2.1865963935852002E-4</v>
      </c>
      <c r="D14" s="3">
        <f>AVERAGE(FI_OTU44_family[CARB])</f>
        <v>2.1865963935852002E-4</v>
      </c>
      <c r="E14" s="3">
        <f>AVERAGE(FI_OTU44_family[MOIS])</f>
        <v>1.3388991355895954E-4</v>
      </c>
      <c r="F14" s="3">
        <f>AVERAGE(FI_OTU44_family[ALC])</f>
        <v>2.1865963935852002E-4</v>
      </c>
      <c r="G14" s="3">
        <f>AVERAGE(FI_OTU44_family[CAFF])</f>
        <v>2.1865963935852002E-4</v>
      </c>
      <c r="H14" s="3">
        <f>AVERAGE(FI_OTU44_family[THEO])</f>
        <v>2.1865963935852002E-4</v>
      </c>
      <c r="I14" s="3">
        <f>AVERAGE(FI_OTU44_family[SUGR])</f>
        <v>2.1865963935852002E-4</v>
      </c>
      <c r="J14" s="3">
        <f>AVERAGE(FI_OTU44_family[FIBE])</f>
        <v>2.1865963935852002E-4</v>
      </c>
      <c r="K14" s="3">
        <f>AVERAGE(FI_OTU44_family[CALC])</f>
        <v>2.1855831146240181E-4</v>
      </c>
      <c r="L14" s="3">
        <f>AVERAGE(FI_OTU44_family[IRON])</f>
        <v>2.1865963935852002E-4</v>
      </c>
      <c r="M14" s="3">
        <f>AVERAGE(FI_OTU44_family[MAGN])</f>
        <v>2.1865963935852002E-4</v>
      </c>
      <c r="N14" s="3">
        <f>AVERAGE(FI_OTU44_family[PHOS])</f>
        <v>2.2160112857818551E-4</v>
      </c>
      <c r="O14" s="3">
        <f>AVERAGE(FI_OTU44_family[POTA])</f>
        <v>6.5734982490539288E-5</v>
      </c>
      <c r="P14" s="3">
        <f>AVERAGE(FI_OTU44_family[SODI])</f>
        <v>7.0580840110778909E-5</v>
      </c>
      <c r="Q14" s="3">
        <f>AVERAGE(FI_OTU44_family[ZINC])</f>
        <v>6.134510040283201E-4</v>
      </c>
      <c r="R14" s="3">
        <f>AVERAGE(FI_OTU44_family[COPP])</f>
        <v>6.134510040283201E-4</v>
      </c>
      <c r="S14" s="3">
        <f>AVERAGE(FI_OTU44_family[SELE])</f>
        <v>6.134510040283201E-4</v>
      </c>
      <c r="T14" s="3">
        <f>AVERAGE(FI_OTU44_family[VC])</f>
        <v>6.134510040283201E-4</v>
      </c>
      <c r="U14" s="3">
        <f>AVERAGE(FI_OTU44_family[VB1])</f>
        <v>6.134510040283201E-4</v>
      </c>
      <c r="V14" s="3">
        <f>AVERAGE(FI_OTU44_family[VB2])</f>
        <v>6.134510040283201E-4</v>
      </c>
      <c r="W14" s="3">
        <f>AVERAGE(FI_OTU44_family[NIAC])</f>
        <v>6.134510040283201E-4</v>
      </c>
      <c r="X14" s="3">
        <f>AVERAGE(FI_OTU44_family[VB6])</f>
        <v>6.134510040283201E-4</v>
      </c>
      <c r="Y14" s="3">
        <f>AVERAGE(FI_OTU44_family[FOLA])</f>
        <v>6.134510040283201E-4</v>
      </c>
      <c r="Z14" s="3">
        <f>AVERAGE(FI_OTU44_family[VB12])</f>
        <v>6.134510040283201E-4</v>
      </c>
      <c r="AA14" s="3">
        <f>AVERAGE(FI_OTU44_family[VARA])</f>
        <v>5.4731667041778536E-4</v>
      </c>
      <c r="AB14" s="3">
        <f>AVERAGE(FI_OTU44_family[RET])</f>
        <v>6.1222612857818575E-4</v>
      </c>
      <c r="AC14" s="3">
        <f>AVERAGE(FI_OTU44_family[BCAR])</f>
        <v>-3.6421418190002398E-5</v>
      </c>
      <c r="AD14" s="3">
        <f>AVERAGE(FI_OTU44_family[ACAR])</f>
        <v>-1.890897750854489E-4</v>
      </c>
      <c r="AE14" s="3">
        <f>AVERAGE(FI_OTU44_family[CRYP])</f>
        <v>-6.8616867065429636E-5</v>
      </c>
      <c r="AF14" s="3">
        <f>AVERAGE(FI_OTU44_family[LYCO])</f>
        <v>-6.5670609474182025E-4</v>
      </c>
      <c r="AG14" s="3">
        <f>AVERAGE(FI_OTU44_family[LZ])</f>
        <v>8.7130069732665891E-5</v>
      </c>
      <c r="AH14" s="3">
        <f>AVERAGE(FI_OTU44_family[ATOC])</f>
        <v>2.3536682128906194E-3</v>
      </c>
      <c r="AI14" s="3">
        <f>AVERAGE(FI_OTU44_family[VK])</f>
        <v>2.3536682128906194E-3</v>
      </c>
      <c r="AJ14" s="3">
        <f>AVERAGE(FI_OTU44_family[CHOLE])</f>
        <v>2.0787596702575633E-3</v>
      </c>
      <c r="AK14" s="3">
        <f>AVERAGE(FI_OTU44_family[SFAT])</f>
        <v>2.3536682128906194E-3</v>
      </c>
      <c r="AL14" s="3">
        <f>AVERAGE(FI_OTU44_family[MFAT])</f>
        <v>2.3536682128906194E-3</v>
      </c>
      <c r="AM14" s="3">
        <f>AVERAGE(FI_OTU44_family[PFAT])</f>
        <v>2.3536682128906194E-3</v>
      </c>
      <c r="AN14" s="3">
        <f>AVERAGE(FI_OTU44_family[VITD])</f>
        <v>2.3536682128906194E-3</v>
      </c>
      <c r="AO14" s="3">
        <f>AVERAGE(FI_OTU44_family[CHOLN])</f>
        <v>2.3536682128906194E-3</v>
      </c>
    </row>
    <row r="15" spans="1:41" x14ac:dyDescent="0.35">
      <c r="A15" s="4" t="s">
        <v>43</v>
      </c>
    </row>
    <row r="16" spans="1:41" x14ac:dyDescent="0.35">
      <c r="A16" s="3">
        <f>STDEV(FI_OTU44_family[KCAL])</f>
        <v>1.5201406054203198E-4</v>
      </c>
      <c r="B16" s="3">
        <f>STDEV(FI_OTU44_family[PROT])</f>
        <v>2.8571235909641123E-20</v>
      </c>
      <c r="C16" s="3">
        <f>STDEV(FI_OTU44_family[TFAT])</f>
        <v>2.8571235909641123E-20</v>
      </c>
      <c r="D16" s="3">
        <f>STDEV(FI_OTU44_family[CARB])</f>
        <v>2.8571235909641123E-20</v>
      </c>
      <c r="E16" s="3">
        <f>STDEV(FI_OTU44_family[MOIS])</f>
        <v>2.1411118691645688E-4</v>
      </c>
      <c r="F16" s="3">
        <f>STDEV(FI_OTU44_family[ALC])</f>
        <v>2.8571235909641123E-20</v>
      </c>
      <c r="G16" s="3">
        <f>STDEV(FI_OTU44_family[CAFF])</f>
        <v>2.8571235909641123E-20</v>
      </c>
      <c r="H16" s="3">
        <f>STDEV(FI_OTU44_family[THEO])</f>
        <v>2.8571235909641123E-20</v>
      </c>
      <c r="I16" s="3">
        <f>STDEV(FI_OTU44_family[SUGR])</f>
        <v>2.8571235909641123E-20</v>
      </c>
      <c r="J16" s="3">
        <f>STDEV(FI_OTU44_family[FIBE])</f>
        <v>2.8571235909641123E-20</v>
      </c>
      <c r="K16" s="3">
        <f>STDEV(FI_OTU44_family[CALC])</f>
        <v>3.2042694224644391E-7</v>
      </c>
      <c r="L16" s="3">
        <f>STDEV(FI_OTU44_family[IRON])</f>
        <v>2.8571235909641123E-20</v>
      </c>
      <c r="M16" s="3">
        <f>STDEV(FI_OTU44_family[MAGN])</f>
        <v>2.8571235909641123E-20</v>
      </c>
      <c r="N16" s="3">
        <f>STDEV(FI_OTU44_family[PHOS])</f>
        <v>9.3018056469743377E-6</v>
      </c>
      <c r="O16" s="3">
        <f>STDEV(FI_OTU44_family[POTA])</f>
        <v>3.5239593791898995E-4</v>
      </c>
      <c r="P16" s="3">
        <f>STDEV(FI_OTU44_family[SODI])</f>
        <v>3.1409588838253569E-4</v>
      </c>
      <c r="Q16" s="3">
        <f>STDEV(FI_OTU44_family[ZINC])</f>
        <v>1.1428494363856449E-19</v>
      </c>
      <c r="R16" s="3">
        <f>STDEV(FI_OTU44_family[COPP])</f>
        <v>1.1428494363856449E-19</v>
      </c>
      <c r="S16" s="3">
        <f>STDEV(FI_OTU44_family[SELE])</f>
        <v>1.1428494363856449E-19</v>
      </c>
      <c r="T16" s="3">
        <f>STDEV(FI_OTU44_family[VC])</f>
        <v>1.1428494363856449E-19</v>
      </c>
      <c r="U16" s="3">
        <f>STDEV(FI_OTU44_family[VB1])</f>
        <v>1.1428494363856449E-19</v>
      </c>
      <c r="V16" s="3">
        <f>STDEV(FI_OTU44_family[VB2])</f>
        <v>1.1428494363856449E-19</v>
      </c>
      <c r="W16" s="3">
        <f>STDEV(FI_OTU44_family[NIAC])</f>
        <v>1.1428494363856449E-19</v>
      </c>
      <c r="X16" s="3">
        <f>STDEV(FI_OTU44_family[VB6])</f>
        <v>1.1428494363856449E-19</v>
      </c>
      <c r="Y16" s="3">
        <f>STDEV(FI_OTU44_family[FOLA])</f>
        <v>1.1428494363856449E-19</v>
      </c>
      <c r="Z16" s="3">
        <f>STDEV(FI_OTU44_family[VB12])</f>
        <v>1.1428494363856449E-19</v>
      </c>
      <c r="AA16" s="3">
        <f>STDEV(FI_OTU44_family[VARA])</f>
        <v>2.0898856631964633E-4</v>
      </c>
      <c r="AB16" s="3">
        <f>STDEV(FI_OTU44_family[RET])</f>
        <v>3.8733962724483812E-6</v>
      </c>
      <c r="AC16" s="3">
        <f>STDEV(FI_OTU44_family[BCAR])</f>
        <v>9.5398724119217649E-6</v>
      </c>
      <c r="AD16" s="3">
        <f>STDEV(FI_OTU44_family[ACAR])</f>
        <v>1.0356937199835757E-4</v>
      </c>
      <c r="AE16" s="3">
        <f>STDEV(FI_OTU44_family[CRYP])</f>
        <v>6.8549850852269212E-5</v>
      </c>
      <c r="AF16" s="3">
        <f>STDEV(FI_OTU44_family[LYCO])</f>
        <v>3.2455005367016808E-4</v>
      </c>
      <c r="AG16" s="3">
        <f>STDEV(FI_OTU44_family[LZ])</f>
        <v>1.3589532350786289E-3</v>
      </c>
      <c r="AH16" s="3">
        <f>STDEV(FI_OTU44_family[ATOC])</f>
        <v>4.5713977455425797E-19</v>
      </c>
      <c r="AI16" s="3">
        <f>STDEV(FI_OTU44_family[VK])</f>
        <v>4.5713977455425797E-19</v>
      </c>
      <c r="AJ16" s="3">
        <f>STDEV(FI_OTU44_family[CHOLE])</f>
        <v>8.6933714295795968E-4</v>
      </c>
      <c r="AK16" s="3">
        <f>STDEV(FI_OTU44_family[SFAT])</f>
        <v>4.5713977455425797E-19</v>
      </c>
      <c r="AL16" s="3">
        <f>STDEV(FI_OTU44_family[MFAT])</f>
        <v>4.5713977455425797E-19</v>
      </c>
      <c r="AM16" s="3">
        <f>STDEV(FI_OTU44_family[PFAT])</f>
        <v>4.5713977455425797E-19</v>
      </c>
      <c r="AN16" s="3">
        <f>STDEV(FI_OTU44_family[VITD])</f>
        <v>4.5713977455425797E-19</v>
      </c>
      <c r="AO16" s="3">
        <f>STDEV(FI_OTU44_family[CHOLN])</f>
        <v>4.5713977455425797E-19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B3D4-6596-4385-98DA-7231CB6CF6EA}">
  <dimension ref="A1:AO15"/>
  <sheetViews>
    <sheetView workbookViewId="0">
      <selection activeCell="A15" sqref="A15"/>
    </sheetView>
  </sheetViews>
  <sheetFormatPr baseColWidth="10" defaultRowHeight="14.5" x14ac:dyDescent="0.35"/>
  <cols>
    <col min="1" max="1" width="7.453125" bestFit="1" customWidth="1"/>
    <col min="2" max="2" width="7.7265625" bestFit="1" customWidth="1"/>
    <col min="3" max="3" width="7.36328125" bestFit="1" customWidth="1"/>
    <col min="4" max="4" width="7.7265625" bestFit="1" customWidth="1"/>
    <col min="5" max="5" width="7.90625" bestFit="1" customWidth="1"/>
    <col min="6" max="6" width="6.36328125" bestFit="1" customWidth="1"/>
    <col min="7" max="7" width="7.453125" bestFit="1" customWidth="1"/>
    <col min="8" max="8" width="7.7265625" bestFit="1" customWidth="1"/>
    <col min="9" max="9" width="8" bestFit="1" customWidth="1"/>
    <col min="10" max="10" width="6.81640625" bestFit="1" customWidth="1"/>
    <col min="11" max="11" width="7.453125" bestFit="1" customWidth="1"/>
    <col min="12" max="12" width="7.6328125" bestFit="1" customWidth="1"/>
    <col min="13" max="13" width="9" bestFit="1" customWidth="1"/>
    <col min="14" max="15" width="7.90625" bestFit="1" customWidth="1"/>
    <col min="16" max="16" width="7.36328125" bestFit="1" customWidth="1"/>
    <col min="17" max="17" width="7.1796875" bestFit="1" customWidth="1"/>
    <col min="18" max="18" width="7.90625" bestFit="1" customWidth="1"/>
    <col min="19" max="19" width="6.90625" bestFit="1" customWidth="1"/>
    <col min="20" max="20" width="5.54296875" bestFit="1" customWidth="1"/>
    <col min="21" max="22" width="6.54296875" bestFit="1" customWidth="1"/>
    <col min="23" max="23" width="7.453125" bestFit="1" customWidth="1"/>
    <col min="24" max="24" width="6.54296875" bestFit="1" customWidth="1"/>
    <col min="25" max="25" width="7.6328125" bestFit="1" customWidth="1"/>
    <col min="26" max="26" width="7.453125" bestFit="1" customWidth="1"/>
    <col min="27" max="27" width="8" bestFit="1" customWidth="1"/>
    <col min="28" max="28" width="6.26953125" bestFit="1" customWidth="1"/>
    <col min="29" max="29" width="7.7265625" bestFit="1" customWidth="1"/>
    <col min="30" max="30" width="7.90625" bestFit="1" customWidth="1"/>
    <col min="31" max="32" width="7.6328125" bestFit="1" customWidth="1"/>
    <col min="33" max="33" width="5" bestFit="1" customWidth="1"/>
    <col min="34" max="34" width="7.90625" bestFit="1" customWidth="1"/>
    <col min="35" max="35" width="5.54296875" bestFit="1" customWidth="1"/>
    <col min="36" max="36" width="8.7265625" bestFit="1" customWidth="1"/>
    <col min="37" max="37" width="7.36328125" bestFit="1" customWidth="1"/>
    <col min="38" max="38" width="8.1796875" bestFit="1" customWidth="1"/>
    <col min="39" max="39" width="7.453125" bestFit="1" customWidth="1"/>
    <col min="40" max="40" width="7.1796875" bestFit="1" customWidth="1"/>
    <col min="41" max="41" width="9.08984375" bestFit="1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5">
      <c r="A2" s="1" t="s">
        <v>41</v>
      </c>
      <c r="B2" s="1" t="s">
        <v>41</v>
      </c>
      <c r="C2" s="1" t="s">
        <v>41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41</v>
      </c>
      <c r="J2" s="1" t="s">
        <v>41</v>
      </c>
      <c r="K2" s="1" t="s">
        <v>41</v>
      </c>
      <c r="L2" s="1" t="s">
        <v>41</v>
      </c>
      <c r="M2" s="1" t="s">
        <v>41</v>
      </c>
      <c r="N2" s="1" t="s">
        <v>41</v>
      </c>
      <c r="O2" s="1" t="s">
        <v>41</v>
      </c>
      <c r="P2" s="1" t="s">
        <v>41</v>
      </c>
      <c r="Q2" s="1" t="s">
        <v>41</v>
      </c>
      <c r="R2" s="1" t="s">
        <v>41</v>
      </c>
      <c r="S2" s="1" t="s">
        <v>41</v>
      </c>
      <c r="T2" s="1" t="s">
        <v>41</v>
      </c>
      <c r="U2" s="1" t="s">
        <v>41</v>
      </c>
      <c r="V2" s="1" t="s">
        <v>41</v>
      </c>
      <c r="W2" s="1" t="s">
        <v>41</v>
      </c>
      <c r="X2" s="1" t="s">
        <v>41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 t="s">
        <v>41</v>
      </c>
      <c r="AK2" s="1" t="s">
        <v>41</v>
      </c>
      <c r="AL2" s="1" t="s">
        <v>41</v>
      </c>
      <c r="AM2" s="1" t="s">
        <v>41</v>
      </c>
      <c r="AN2" s="1" t="s">
        <v>41</v>
      </c>
      <c r="AO2" s="1" t="s">
        <v>41</v>
      </c>
    </row>
    <row r="3" spans="1:41" x14ac:dyDescent="0.35">
      <c r="A3" s="1" t="s">
        <v>41</v>
      </c>
      <c r="B3" s="1" t="s">
        <v>41</v>
      </c>
      <c r="C3" s="1" t="s">
        <v>41</v>
      </c>
      <c r="D3" s="1" t="s">
        <v>41</v>
      </c>
      <c r="E3" s="1" t="s">
        <v>41</v>
      </c>
      <c r="F3" s="1" t="s">
        <v>41</v>
      </c>
      <c r="G3" s="1" t="s">
        <v>41</v>
      </c>
      <c r="H3" s="1" t="s">
        <v>41</v>
      </c>
      <c r="I3" s="1" t="s">
        <v>41</v>
      </c>
      <c r="J3" s="1" t="s">
        <v>41</v>
      </c>
      <c r="K3" s="1" t="s">
        <v>41</v>
      </c>
      <c r="L3" s="1" t="s">
        <v>41</v>
      </c>
      <c r="M3" s="1" t="s">
        <v>41</v>
      </c>
      <c r="N3" s="1" t="s">
        <v>41</v>
      </c>
      <c r="O3" s="1" t="s">
        <v>41</v>
      </c>
      <c r="P3" s="1" t="s">
        <v>41</v>
      </c>
      <c r="Q3" s="1" t="s">
        <v>41</v>
      </c>
      <c r="R3" s="1" t="s">
        <v>41</v>
      </c>
      <c r="S3" s="1" t="s">
        <v>41</v>
      </c>
      <c r="T3" s="1" t="s">
        <v>41</v>
      </c>
      <c r="U3" s="1" t="s">
        <v>41</v>
      </c>
      <c r="V3" s="1" t="s">
        <v>41</v>
      </c>
      <c r="W3" s="1" t="s">
        <v>41</v>
      </c>
      <c r="X3" s="1" t="s">
        <v>41</v>
      </c>
      <c r="Y3" s="1" t="s">
        <v>41</v>
      </c>
      <c r="Z3" s="1" t="s">
        <v>41</v>
      </c>
      <c r="AA3" s="1" t="s">
        <v>41</v>
      </c>
      <c r="AB3" s="1" t="s">
        <v>41</v>
      </c>
      <c r="AC3" s="1" t="s">
        <v>41</v>
      </c>
      <c r="AD3" s="1" t="s">
        <v>41</v>
      </c>
      <c r="AE3" s="1" t="s">
        <v>41</v>
      </c>
      <c r="AF3" s="1" t="s">
        <v>41</v>
      </c>
      <c r="AG3" s="1" t="s">
        <v>41</v>
      </c>
      <c r="AH3" s="1" t="s">
        <v>41</v>
      </c>
      <c r="AI3" s="1" t="s">
        <v>41</v>
      </c>
      <c r="AJ3" s="1" t="s">
        <v>41</v>
      </c>
      <c r="AK3" s="1" t="s">
        <v>41</v>
      </c>
      <c r="AL3" s="1" t="s">
        <v>41</v>
      </c>
      <c r="AM3" s="1" t="s">
        <v>41</v>
      </c>
      <c r="AN3" s="1" t="s">
        <v>41</v>
      </c>
      <c r="AO3" s="1" t="s">
        <v>41</v>
      </c>
    </row>
    <row r="4" spans="1:41" x14ac:dyDescent="0.35">
      <c r="A4" s="1" t="s">
        <v>41</v>
      </c>
      <c r="B4" s="1" t="s">
        <v>41</v>
      </c>
      <c r="C4" s="1" t="s">
        <v>41</v>
      </c>
      <c r="D4" s="1" t="s">
        <v>41</v>
      </c>
      <c r="E4" s="1" t="s">
        <v>41</v>
      </c>
      <c r="F4" s="1" t="s">
        <v>41</v>
      </c>
      <c r="G4" s="1" t="s">
        <v>41</v>
      </c>
      <c r="H4" s="1" t="s">
        <v>41</v>
      </c>
      <c r="I4" s="1" t="s">
        <v>41</v>
      </c>
      <c r="J4" s="1" t="s">
        <v>41</v>
      </c>
      <c r="K4" s="1" t="s">
        <v>41</v>
      </c>
      <c r="L4" s="1" t="s">
        <v>41</v>
      </c>
      <c r="M4" s="1" t="s">
        <v>41</v>
      </c>
      <c r="N4" s="1" t="s">
        <v>41</v>
      </c>
      <c r="O4" s="1" t="s">
        <v>41</v>
      </c>
      <c r="P4" s="1" t="s">
        <v>41</v>
      </c>
      <c r="Q4" s="1" t="s">
        <v>41</v>
      </c>
      <c r="R4" s="1" t="s">
        <v>41</v>
      </c>
      <c r="S4" s="1" t="s">
        <v>41</v>
      </c>
      <c r="T4" s="1" t="s">
        <v>41</v>
      </c>
      <c r="U4" s="1" t="s">
        <v>41</v>
      </c>
      <c r="V4" s="1" t="s">
        <v>41</v>
      </c>
      <c r="W4" s="1" t="s">
        <v>41</v>
      </c>
      <c r="X4" s="1" t="s">
        <v>41</v>
      </c>
      <c r="Y4" s="1" t="s">
        <v>41</v>
      </c>
      <c r="Z4" s="1" t="s">
        <v>41</v>
      </c>
      <c r="AA4" s="1" t="s">
        <v>41</v>
      </c>
      <c r="AB4" s="1" t="s">
        <v>41</v>
      </c>
      <c r="AC4" s="1" t="s">
        <v>41</v>
      </c>
      <c r="AD4" s="1" t="s">
        <v>41</v>
      </c>
      <c r="AE4" s="1" t="s">
        <v>41</v>
      </c>
      <c r="AF4" s="1" t="s">
        <v>41</v>
      </c>
      <c r="AG4" s="1" t="s">
        <v>41</v>
      </c>
      <c r="AH4" s="1" t="s">
        <v>41</v>
      </c>
      <c r="AI4" s="1" t="s">
        <v>41</v>
      </c>
      <c r="AJ4" s="1" t="s">
        <v>41</v>
      </c>
      <c r="AK4" s="1" t="s">
        <v>41</v>
      </c>
      <c r="AL4" s="1" t="s">
        <v>41</v>
      </c>
      <c r="AM4" s="1" t="s">
        <v>41</v>
      </c>
      <c r="AN4" s="1" t="s">
        <v>41</v>
      </c>
      <c r="AO4" s="1" t="s">
        <v>41</v>
      </c>
    </row>
    <row r="5" spans="1:41" x14ac:dyDescent="0.35">
      <c r="A5" s="1" t="s">
        <v>41</v>
      </c>
      <c r="B5" s="1" t="s">
        <v>41</v>
      </c>
      <c r="C5" s="1" t="s">
        <v>41</v>
      </c>
      <c r="D5" s="1" t="s">
        <v>41</v>
      </c>
      <c r="E5" s="1" t="s">
        <v>41</v>
      </c>
      <c r="F5" s="1" t="s">
        <v>41</v>
      </c>
      <c r="G5" s="1" t="s">
        <v>41</v>
      </c>
      <c r="H5" s="1" t="s">
        <v>41</v>
      </c>
      <c r="I5" s="1" t="s">
        <v>41</v>
      </c>
      <c r="J5" s="1" t="s">
        <v>41</v>
      </c>
      <c r="K5" s="1" t="s">
        <v>41</v>
      </c>
      <c r="L5" s="1" t="s">
        <v>41</v>
      </c>
      <c r="M5" s="1" t="s">
        <v>41</v>
      </c>
      <c r="N5" s="1" t="s">
        <v>41</v>
      </c>
      <c r="O5" s="1" t="s">
        <v>41</v>
      </c>
      <c r="P5" s="1" t="s">
        <v>41</v>
      </c>
      <c r="Q5" s="1" t="s">
        <v>41</v>
      </c>
      <c r="R5" s="1" t="s">
        <v>41</v>
      </c>
      <c r="S5" s="1" t="s">
        <v>41</v>
      </c>
      <c r="T5" s="1" t="s">
        <v>41</v>
      </c>
      <c r="U5" s="1" t="s">
        <v>41</v>
      </c>
      <c r="V5" s="1" t="s">
        <v>41</v>
      </c>
      <c r="W5" s="1" t="s">
        <v>41</v>
      </c>
      <c r="X5" s="1" t="s">
        <v>41</v>
      </c>
      <c r="Y5" s="1" t="s">
        <v>41</v>
      </c>
      <c r="Z5" s="1" t="s">
        <v>41</v>
      </c>
      <c r="AA5" s="1" t="s">
        <v>41</v>
      </c>
      <c r="AB5" s="1" t="s">
        <v>41</v>
      </c>
      <c r="AC5" s="1" t="s">
        <v>41</v>
      </c>
      <c r="AD5" s="1" t="s">
        <v>41</v>
      </c>
      <c r="AE5" s="1" t="s">
        <v>41</v>
      </c>
      <c r="AF5" s="1" t="s">
        <v>41</v>
      </c>
      <c r="AG5" s="1" t="s">
        <v>41</v>
      </c>
      <c r="AH5" s="1" t="s">
        <v>41</v>
      </c>
      <c r="AI5" s="1" t="s">
        <v>41</v>
      </c>
      <c r="AJ5" s="1" t="s">
        <v>41</v>
      </c>
      <c r="AK5" s="1" t="s">
        <v>41</v>
      </c>
      <c r="AL5" s="1" t="s">
        <v>41</v>
      </c>
      <c r="AM5" s="1" t="s">
        <v>41</v>
      </c>
      <c r="AN5" s="1" t="s">
        <v>41</v>
      </c>
      <c r="AO5" s="1" t="s">
        <v>41</v>
      </c>
    </row>
    <row r="6" spans="1:41" x14ac:dyDescent="0.35">
      <c r="A6" s="1" t="s">
        <v>41</v>
      </c>
      <c r="B6" s="1" t="s">
        <v>41</v>
      </c>
      <c r="C6" s="1" t="s">
        <v>41</v>
      </c>
      <c r="D6" s="1" t="s">
        <v>41</v>
      </c>
      <c r="E6" s="1" t="s">
        <v>41</v>
      </c>
      <c r="F6" s="1" t="s">
        <v>41</v>
      </c>
      <c r="G6" s="1" t="s">
        <v>41</v>
      </c>
      <c r="H6" s="1" t="s">
        <v>41</v>
      </c>
      <c r="I6" s="1" t="s">
        <v>41</v>
      </c>
      <c r="J6" s="1" t="s">
        <v>41</v>
      </c>
      <c r="K6" s="1" t="s">
        <v>41</v>
      </c>
      <c r="L6" s="1" t="s">
        <v>41</v>
      </c>
      <c r="M6" s="1" t="s">
        <v>41</v>
      </c>
      <c r="N6" s="1" t="s">
        <v>41</v>
      </c>
      <c r="O6" s="1" t="s">
        <v>41</v>
      </c>
      <c r="P6" s="1" t="s">
        <v>41</v>
      </c>
      <c r="Q6" s="1" t="s">
        <v>41</v>
      </c>
      <c r="R6" s="1" t="s">
        <v>41</v>
      </c>
      <c r="S6" s="1" t="s">
        <v>41</v>
      </c>
      <c r="T6" s="1" t="s">
        <v>41</v>
      </c>
      <c r="U6" s="1" t="s">
        <v>41</v>
      </c>
      <c r="V6" s="1" t="s">
        <v>41</v>
      </c>
      <c r="W6" s="1" t="s">
        <v>41</v>
      </c>
      <c r="X6" s="1" t="s">
        <v>41</v>
      </c>
      <c r="Y6" s="1" t="s">
        <v>41</v>
      </c>
      <c r="Z6" s="1" t="s">
        <v>41</v>
      </c>
      <c r="AA6" s="1" t="s">
        <v>41</v>
      </c>
      <c r="AB6" s="1" t="s">
        <v>41</v>
      </c>
      <c r="AC6" s="1" t="s">
        <v>41</v>
      </c>
      <c r="AD6" s="1" t="s">
        <v>41</v>
      </c>
      <c r="AE6" s="1" t="s">
        <v>41</v>
      </c>
      <c r="AF6" s="1" t="s">
        <v>41</v>
      </c>
      <c r="AG6" s="1" t="s">
        <v>41</v>
      </c>
      <c r="AH6" s="1" t="s">
        <v>41</v>
      </c>
      <c r="AI6" s="1" t="s">
        <v>41</v>
      </c>
      <c r="AJ6" s="1" t="s">
        <v>41</v>
      </c>
      <c r="AK6" s="1" t="s">
        <v>41</v>
      </c>
      <c r="AL6" s="1" t="s">
        <v>41</v>
      </c>
      <c r="AM6" s="1" t="s">
        <v>41</v>
      </c>
      <c r="AN6" s="1" t="s">
        <v>41</v>
      </c>
      <c r="AO6" s="1" t="s">
        <v>41</v>
      </c>
    </row>
    <row r="7" spans="1:41" x14ac:dyDescent="0.35">
      <c r="A7" s="1" t="s">
        <v>41</v>
      </c>
      <c r="B7" s="1" t="s">
        <v>41</v>
      </c>
      <c r="C7" s="1" t="s">
        <v>41</v>
      </c>
      <c r="D7" s="1" t="s">
        <v>41</v>
      </c>
      <c r="E7" s="1" t="s">
        <v>41</v>
      </c>
      <c r="F7" s="1" t="s">
        <v>41</v>
      </c>
      <c r="G7" s="1" t="s">
        <v>41</v>
      </c>
      <c r="H7" s="1" t="s">
        <v>41</v>
      </c>
      <c r="I7" s="1" t="s">
        <v>41</v>
      </c>
      <c r="J7" s="1" t="s">
        <v>41</v>
      </c>
      <c r="K7" s="1" t="s">
        <v>41</v>
      </c>
      <c r="L7" s="1" t="s">
        <v>41</v>
      </c>
      <c r="M7" s="1" t="s">
        <v>41</v>
      </c>
      <c r="N7" s="1" t="s">
        <v>41</v>
      </c>
      <c r="O7" s="1" t="s">
        <v>41</v>
      </c>
      <c r="P7" s="1" t="s">
        <v>41</v>
      </c>
      <c r="Q7" s="1" t="s">
        <v>41</v>
      </c>
      <c r="R7" s="1" t="s">
        <v>41</v>
      </c>
      <c r="S7" s="1" t="s">
        <v>41</v>
      </c>
      <c r="T7" s="1" t="s">
        <v>41</v>
      </c>
      <c r="U7" s="1" t="s">
        <v>41</v>
      </c>
      <c r="V7" s="1" t="s">
        <v>41</v>
      </c>
      <c r="W7" s="1" t="s">
        <v>41</v>
      </c>
      <c r="X7" s="1" t="s">
        <v>41</v>
      </c>
      <c r="Y7" s="1" t="s">
        <v>41</v>
      </c>
      <c r="Z7" s="1" t="s">
        <v>41</v>
      </c>
      <c r="AA7" s="1" t="s">
        <v>41</v>
      </c>
      <c r="AB7" s="1" t="s">
        <v>41</v>
      </c>
      <c r="AC7" s="1" t="s">
        <v>41</v>
      </c>
      <c r="AD7" s="1" t="s">
        <v>41</v>
      </c>
      <c r="AE7" s="1" t="s">
        <v>41</v>
      </c>
      <c r="AF7" s="1" t="s">
        <v>41</v>
      </c>
      <c r="AG7" s="1" t="s">
        <v>41</v>
      </c>
      <c r="AH7" s="1" t="s">
        <v>41</v>
      </c>
      <c r="AI7" s="1" t="s">
        <v>41</v>
      </c>
      <c r="AJ7" s="1" t="s">
        <v>41</v>
      </c>
      <c r="AK7" s="1" t="s">
        <v>41</v>
      </c>
      <c r="AL7" s="1" t="s">
        <v>41</v>
      </c>
      <c r="AM7" s="1" t="s">
        <v>41</v>
      </c>
      <c r="AN7" s="1" t="s">
        <v>41</v>
      </c>
      <c r="AO7" s="1" t="s">
        <v>41</v>
      </c>
    </row>
    <row r="8" spans="1:41" x14ac:dyDescent="0.35">
      <c r="A8" s="1" t="s">
        <v>41</v>
      </c>
      <c r="B8" s="1" t="s">
        <v>41</v>
      </c>
      <c r="C8" s="1" t="s">
        <v>41</v>
      </c>
      <c r="D8" s="1" t="s">
        <v>41</v>
      </c>
      <c r="E8" s="1" t="s">
        <v>41</v>
      </c>
      <c r="F8" s="1" t="s">
        <v>41</v>
      </c>
      <c r="G8" s="1" t="s">
        <v>41</v>
      </c>
      <c r="H8" s="1" t="s">
        <v>41</v>
      </c>
      <c r="I8" s="1" t="s">
        <v>41</v>
      </c>
      <c r="J8" s="1" t="s">
        <v>41</v>
      </c>
      <c r="K8" s="1" t="s">
        <v>41</v>
      </c>
      <c r="L8" s="1" t="s">
        <v>41</v>
      </c>
      <c r="M8" s="1" t="s">
        <v>41</v>
      </c>
      <c r="N8" s="1" t="s">
        <v>41</v>
      </c>
      <c r="O8" s="1" t="s">
        <v>41</v>
      </c>
      <c r="P8" s="1" t="s">
        <v>41</v>
      </c>
      <c r="Q8" s="1" t="s">
        <v>41</v>
      </c>
      <c r="R8" s="1" t="s">
        <v>41</v>
      </c>
      <c r="S8" s="1" t="s">
        <v>41</v>
      </c>
      <c r="T8" s="1" t="s">
        <v>41</v>
      </c>
      <c r="U8" s="1" t="s">
        <v>41</v>
      </c>
      <c r="V8" s="1" t="s">
        <v>41</v>
      </c>
      <c r="W8" s="1" t="s">
        <v>41</v>
      </c>
      <c r="X8" s="1" t="s">
        <v>41</v>
      </c>
      <c r="Y8" s="1" t="s">
        <v>41</v>
      </c>
      <c r="Z8" s="1" t="s">
        <v>41</v>
      </c>
      <c r="AA8" s="1" t="s">
        <v>41</v>
      </c>
      <c r="AB8" s="1" t="s">
        <v>41</v>
      </c>
      <c r="AC8" s="1" t="s">
        <v>41</v>
      </c>
      <c r="AD8" s="1" t="s">
        <v>41</v>
      </c>
      <c r="AE8" s="1" t="s">
        <v>41</v>
      </c>
      <c r="AF8" s="1" t="s">
        <v>41</v>
      </c>
      <c r="AG8" s="1" t="s">
        <v>41</v>
      </c>
      <c r="AH8" s="1" t="s">
        <v>41</v>
      </c>
      <c r="AI8" s="1" t="s">
        <v>41</v>
      </c>
      <c r="AJ8" s="1" t="s">
        <v>41</v>
      </c>
      <c r="AK8" s="1" t="s">
        <v>41</v>
      </c>
      <c r="AL8" s="1" t="s">
        <v>41</v>
      </c>
      <c r="AM8" s="1" t="s">
        <v>41</v>
      </c>
      <c r="AN8" s="1" t="s">
        <v>41</v>
      </c>
      <c r="AO8" s="1" t="s">
        <v>41</v>
      </c>
    </row>
    <row r="9" spans="1:41" x14ac:dyDescent="0.35">
      <c r="A9" s="1" t="s">
        <v>41</v>
      </c>
      <c r="B9" s="1" t="s">
        <v>41</v>
      </c>
      <c r="C9" s="1" t="s">
        <v>41</v>
      </c>
      <c r="D9" s="1" t="s">
        <v>41</v>
      </c>
      <c r="E9" s="1" t="s">
        <v>41</v>
      </c>
      <c r="F9" s="1" t="s">
        <v>41</v>
      </c>
      <c r="G9" s="1" t="s">
        <v>41</v>
      </c>
      <c r="H9" s="1" t="s">
        <v>41</v>
      </c>
      <c r="I9" s="1" t="s">
        <v>41</v>
      </c>
      <c r="J9" s="1" t="s">
        <v>41</v>
      </c>
      <c r="K9" s="1" t="s">
        <v>41</v>
      </c>
      <c r="L9" s="1" t="s">
        <v>41</v>
      </c>
      <c r="M9" s="1" t="s">
        <v>41</v>
      </c>
      <c r="N9" s="1" t="s">
        <v>41</v>
      </c>
      <c r="O9" s="1" t="s">
        <v>41</v>
      </c>
      <c r="P9" s="1" t="s">
        <v>41</v>
      </c>
      <c r="Q9" s="1" t="s">
        <v>41</v>
      </c>
      <c r="R9" s="1" t="s">
        <v>41</v>
      </c>
      <c r="S9" s="1" t="s">
        <v>41</v>
      </c>
      <c r="T9" s="1" t="s">
        <v>41</v>
      </c>
      <c r="U9" s="1" t="s">
        <v>41</v>
      </c>
      <c r="V9" s="1" t="s">
        <v>41</v>
      </c>
      <c r="W9" s="1" t="s">
        <v>41</v>
      </c>
      <c r="X9" s="1" t="s">
        <v>41</v>
      </c>
      <c r="Y9" s="1" t="s">
        <v>41</v>
      </c>
      <c r="Z9" s="1" t="s">
        <v>41</v>
      </c>
      <c r="AA9" s="1" t="s">
        <v>41</v>
      </c>
      <c r="AB9" s="1" t="s">
        <v>41</v>
      </c>
      <c r="AC9" s="1" t="s">
        <v>41</v>
      </c>
      <c r="AD9" s="1" t="s">
        <v>41</v>
      </c>
      <c r="AE9" s="1" t="s">
        <v>41</v>
      </c>
      <c r="AF9" s="1" t="s">
        <v>41</v>
      </c>
      <c r="AG9" s="1" t="s">
        <v>41</v>
      </c>
      <c r="AH9" s="1" t="s">
        <v>41</v>
      </c>
      <c r="AI9" s="1" t="s">
        <v>41</v>
      </c>
      <c r="AJ9" s="1" t="s">
        <v>41</v>
      </c>
      <c r="AK9" s="1" t="s">
        <v>41</v>
      </c>
      <c r="AL9" s="1" t="s">
        <v>41</v>
      </c>
      <c r="AM9" s="1" t="s">
        <v>41</v>
      </c>
      <c r="AN9" s="1" t="s">
        <v>41</v>
      </c>
      <c r="AO9" s="1" t="s">
        <v>41</v>
      </c>
    </row>
    <row r="10" spans="1:41" x14ac:dyDescent="0.35">
      <c r="A10" s="1" t="s">
        <v>41</v>
      </c>
      <c r="B10" s="1" t="s">
        <v>41</v>
      </c>
      <c r="C10" s="1" t="s">
        <v>41</v>
      </c>
      <c r="D10" s="1" t="s">
        <v>41</v>
      </c>
      <c r="E10" s="1" t="s">
        <v>41</v>
      </c>
      <c r="F10" s="1" t="s">
        <v>41</v>
      </c>
      <c r="G10" s="1" t="s">
        <v>41</v>
      </c>
      <c r="H10" s="1" t="s">
        <v>41</v>
      </c>
      <c r="I10" s="1" t="s">
        <v>41</v>
      </c>
      <c r="J10" s="1" t="s">
        <v>41</v>
      </c>
      <c r="K10" s="1" t="s">
        <v>41</v>
      </c>
      <c r="L10" s="1" t="s">
        <v>41</v>
      </c>
      <c r="M10" s="1" t="s">
        <v>41</v>
      </c>
      <c r="N10" s="1" t="s">
        <v>41</v>
      </c>
      <c r="O10" s="1" t="s">
        <v>41</v>
      </c>
      <c r="P10" s="1" t="s">
        <v>41</v>
      </c>
      <c r="Q10" s="1" t="s">
        <v>41</v>
      </c>
      <c r="R10" s="1" t="s">
        <v>41</v>
      </c>
      <c r="S10" s="1" t="s">
        <v>41</v>
      </c>
      <c r="T10" s="1" t="s">
        <v>41</v>
      </c>
      <c r="U10" s="1" t="s">
        <v>41</v>
      </c>
      <c r="V10" s="1" t="s">
        <v>41</v>
      </c>
      <c r="W10" s="1" t="s">
        <v>41</v>
      </c>
      <c r="X10" s="1" t="s">
        <v>41</v>
      </c>
      <c r="Y10" s="1" t="s">
        <v>41</v>
      </c>
      <c r="Z10" s="1" t="s">
        <v>41</v>
      </c>
      <c r="AA10" s="1" t="s">
        <v>41</v>
      </c>
      <c r="AB10" s="1" t="s">
        <v>41</v>
      </c>
      <c r="AC10" s="1" t="s">
        <v>41</v>
      </c>
      <c r="AD10" s="1" t="s">
        <v>41</v>
      </c>
      <c r="AE10" s="1" t="s">
        <v>41</v>
      </c>
      <c r="AF10" s="1" t="s">
        <v>41</v>
      </c>
      <c r="AG10" s="1" t="s">
        <v>41</v>
      </c>
      <c r="AH10" s="1" t="s">
        <v>41</v>
      </c>
      <c r="AI10" s="1" t="s">
        <v>41</v>
      </c>
      <c r="AJ10" s="1" t="s">
        <v>41</v>
      </c>
      <c r="AK10" s="1" t="s">
        <v>41</v>
      </c>
      <c r="AL10" s="1" t="s">
        <v>41</v>
      </c>
      <c r="AM10" s="1" t="s">
        <v>41</v>
      </c>
      <c r="AN10" s="1" t="s">
        <v>41</v>
      </c>
      <c r="AO10" s="1" t="s">
        <v>41</v>
      </c>
    </row>
    <row r="11" spans="1:41" x14ac:dyDescent="0.35">
      <c r="A11" s="1" t="s">
        <v>41</v>
      </c>
      <c r="B11" s="1" t="s">
        <v>41</v>
      </c>
      <c r="C11" s="1" t="s">
        <v>41</v>
      </c>
      <c r="D11" s="1" t="s">
        <v>41</v>
      </c>
      <c r="E11" s="1" t="s">
        <v>41</v>
      </c>
      <c r="F11" s="1" t="s">
        <v>41</v>
      </c>
      <c r="G11" s="1" t="s">
        <v>41</v>
      </c>
      <c r="H11" s="1" t="s">
        <v>41</v>
      </c>
      <c r="I11" s="1" t="s">
        <v>41</v>
      </c>
      <c r="J11" s="1" t="s">
        <v>41</v>
      </c>
      <c r="K11" s="1" t="s">
        <v>41</v>
      </c>
      <c r="L11" s="1" t="s">
        <v>41</v>
      </c>
      <c r="M11" s="1" t="s">
        <v>41</v>
      </c>
      <c r="N11" s="1" t="s">
        <v>41</v>
      </c>
      <c r="O11" s="1" t="s">
        <v>41</v>
      </c>
      <c r="P11" s="1" t="s">
        <v>41</v>
      </c>
      <c r="Q11" s="1" t="s">
        <v>41</v>
      </c>
      <c r="R11" s="1" t="s">
        <v>41</v>
      </c>
      <c r="S11" s="1" t="s">
        <v>41</v>
      </c>
      <c r="T11" s="1" t="s">
        <v>41</v>
      </c>
      <c r="U11" s="1" t="s">
        <v>41</v>
      </c>
      <c r="V11" s="1" t="s">
        <v>41</v>
      </c>
      <c r="W11" s="1" t="s">
        <v>41</v>
      </c>
      <c r="X11" s="1" t="s">
        <v>41</v>
      </c>
      <c r="Y11" s="1" t="s">
        <v>41</v>
      </c>
      <c r="Z11" s="1" t="s">
        <v>41</v>
      </c>
      <c r="AA11" s="1" t="s">
        <v>41</v>
      </c>
      <c r="AB11" s="1" t="s">
        <v>41</v>
      </c>
      <c r="AC11" s="1" t="s">
        <v>41</v>
      </c>
      <c r="AD11" s="1" t="s">
        <v>41</v>
      </c>
      <c r="AE11" s="1" t="s">
        <v>41</v>
      </c>
      <c r="AF11" s="1" t="s">
        <v>41</v>
      </c>
      <c r="AG11" s="1" t="s">
        <v>41</v>
      </c>
      <c r="AH11" s="1" t="s">
        <v>41</v>
      </c>
      <c r="AI11" s="1" t="s">
        <v>41</v>
      </c>
      <c r="AJ11" s="1" t="s">
        <v>41</v>
      </c>
      <c r="AK11" s="1" t="s">
        <v>41</v>
      </c>
      <c r="AL11" s="1" t="s">
        <v>41</v>
      </c>
      <c r="AM11" s="1" t="s">
        <v>41</v>
      </c>
      <c r="AN11" s="1" t="s">
        <v>41</v>
      </c>
      <c r="AO11" s="1" t="s">
        <v>41</v>
      </c>
    </row>
    <row r="13" spans="1:41" x14ac:dyDescent="0.35">
      <c r="A13" s="2" t="s">
        <v>42</v>
      </c>
    </row>
    <row r="15" spans="1:41" x14ac:dyDescent="0.35">
      <c r="A15" s="2" t="s">
        <v>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52431-D979-4A40-92F9-E1F2CD142B3E}">
  <dimension ref="A1:AO15"/>
  <sheetViews>
    <sheetView workbookViewId="0">
      <selection activeCell="A15" sqref="A15"/>
    </sheetView>
  </sheetViews>
  <sheetFormatPr baseColWidth="10" defaultRowHeight="14.5" x14ac:dyDescent="0.35"/>
  <cols>
    <col min="1" max="1" width="7.453125" bestFit="1" customWidth="1"/>
    <col min="2" max="2" width="7.7265625" bestFit="1" customWidth="1"/>
    <col min="3" max="3" width="7.36328125" bestFit="1" customWidth="1"/>
    <col min="4" max="4" width="7.7265625" bestFit="1" customWidth="1"/>
    <col min="5" max="5" width="7.90625" bestFit="1" customWidth="1"/>
    <col min="6" max="6" width="6.36328125" bestFit="1" customWidth="1"/>
    <col min="7" max="7" width="7.453125" bestFit="1" customWidth="1"/>
    <col min="8" max="8" width="7.7265625" bestFit="1" customWidth="1"/>
    <col min="9" max="9" width="8" bestFit="1" customWidth="1"/>
    <col min="10" max="10" width="6.81640625" bestFit="1" customWidth="1"/>
    <col min="11" max="11" width="7.453125" bestFit="1" customWidth="1"/>
    <col min="12" max="12" width="7.6328125" bestFit="1" customWidth="1"/>
    <col min="13" max="13" width="9" bestFit="1" customWidth="1"/>
    <col min="14" max="15" width="7.90625" bestFit="1" customWidth="1"/>
    <col min="16" max="16" width="7.36328125" bestFit="1" customWidth="1"/>
    <col min="17" max="17" width="7.1796875" bestFit="1" customWidth="1"/>
    <col min="18" max="18" width="7.90625" bestFit="1" customWidth="1"/>
    <col min="19" max="19" width="6.90625" bestFit="1" customWidth="1"/>
    <col min="20" max="20" width="5.54296875" bestFit="1" customWidth="1"/>
    <col min="21" max="22" width="6.54296875" bestFit="1" customWidth="1"/>
    <col min="23" max="23" width="7.453125" bestFit="1" customWidth="1"/>
    <col min="24" max="24" width="6.54296875" bestFit="1" customWidth="1"/>
    <col min="25" max="25" width="7.6328125" bestFit="1" customWidth="1"/>
    <col min="26" max="26" width="7.453125" bestFit="1" customWidth="1"/>
    <col min="27" max="27" width="8" bestFit="1" customWidth="1"/>
    <col min="28" max="28" width="6.26953125" bestFit="1" customWidth="1"/>
    <col min="29" max="29" width="7.7265625" bestFit="1" customWidth="1"/>
    <col min="30" max="30" width="7.90625" bestFit="1" customWidth="1"/>
    <col min="31" max="32" width="7.6328125" bestFit="1" customWidth="1"/>
    <col min="33" max="33" width="5" bestFit="1" customWidth="1"/>
    <col min="34" max="34" width="7.90625" bestFit="1" customWidth="1"/>
    <col min="35" max="35" width="5.54296875" bestFit="1" customWidth="1"/>
    <col min="36" max="36" width="8.7265625" bestFit="1" customWidth="1"/>
    <col min="37" max="37" width="7.36328125" bestFit="1" customWidth="1"/>
    <col min="38" max="38" width="8.1796875" bestFit="1" customWidth="1"/>
    <col min="39" max="39" width="7.453125" bestFit="1" customWidth="1"/>
    <col min="40" max="40" width="7.1796875" bestFit="1" customWidth="1"/>
    <col min="41" max="41" width="9.08984375" bestFit="1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5">
      <c r="A2" s="1" t="s">
        <v>41</v>
      </c>
      <c r="B2" s="1" t="s">
        <v>41</v>
      </c>
      <c r="C2" s="1" t="s">
        <v>41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41</v>
      </c>
      <c r="J2" s="1" t="s">
        <v>41</v>
      </c>
      <c r="K2" s="1" t="s">
        <v>41</v>
      </c>
      <c r="L2" s="1" t="s">
        <v>41</v>
      </c>
      <c r="M2" s="1" t="s">
        <v>41</v>
      </c>
      <c r="N2" s="1" t="s">
        <v>41</v>
      </c>
      <c r="O2" s="1" t="s">
        <v>41</v>
      </c>
      <c r="P2" s="1" t="s">
        <v>41</v>
      </c>
      <c r="Q2" s="1" t="s">
        <v>41</v>
      </c>
      <c r="R2" s="1" t="s">
        <v>41</v>
      </c>
      <c r="S2" s="1" t="s">
        <v>41</v>
      </c>
      <c r="T2" s="1" t="s">
        <v>41</v>
      </c>
      <c r="U2" s="1" t="s">
        <v>41</v>
      </c>
      <c r="V2" s="1" t="s">
        <v>41</v>
      </c>
      <c r="W2" s="1" t="s">
        <v>41</v>
      </c>
      <c r="X2" s="1" t="s">
        <v>41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 t="s">
        <v>41</v>
      </c>
      <c r="AK2" s="1" t="s">
        <v>41</v>
      </c>
      <c r="AL2" s="1" t="s">
        <v>41</v>
      </c>
      <c r="AM2" s="1" t="s">
        <v>41</v>
      </c>
      <c r="AN2" s="1" t="s">
        <v>41</v>
      </c>
      <c r="AO2" s="1" t="s">
        <v>41</v>
      </c>
    </row>
    <row r="3" spans="1:41" x14ac:dyDescent="0.35">
      <c r="A3" s="1" t="s">
        <v>41</v>
      </c>
      <c r="B3" s="1" t="s">
        <v>41</v>
      </c>
      <c r="C3" s="1" t="s">
        <v>41</v>
      </c>
      <c r="D3" s="1" t="s">
        <v>41</v>
      </c>
      <c r="E3" s="1" t="s">
        <v>41</v>
      </c>
      <c r="F3" s="1" t="s">
        <v>41</v>
      </c>
      <c r="G3" s="1" t="s">
        <v>41</v>
      </c>
      <c r="H3" s="1" t="s">
        <v>41</v>
      </c>
      <c r="I3" s="1" t="s">
        <v>41</v>
      </c>
      <c r="J3" s="1" t="s">
        <v>41</v>
      </c>
      <c r="K3" s="1" t="s">
        <v>41</v>
      </c>
      <c r="L3" s="1" t="s">
        <v>41</v>
      </c>
      <c r="M3" s="1" t="s">
        <v>41</v>
      </c>
      <c r="N3" s="1" t="s">
        <v>41</v>
      </c>
      <c r="O3" s="1" t="s">
        <v>41</v>
      </c>
      <c r="P3" s="1" t="s">
        <v>41</v>
      </c>
      <c r="Q3" s="1" t="s">
        <v>41</v>
      </c>
      <c r="R3" s="1" t="s">
        <v>41</v>
      </c>
      <c r="S3" s="1" t="s">
        <v>41</v>
      </c>
      <c r="T3" s="1" t="s">
        <v>41</v>
      </c>
      <c r="U3" s="1" t="s">
        <v>41</v>
      </c>
      <c r="V3" s="1" t="s">
        <v>41</v>
      </c>
      <c r="W3" s="1" t="s">
        <v>41</v>
      </c>
      <c r="X3" s="1" t="s">
        <v>41</v>
      </c>
      <c r="Y3" s="1" t="s">
        <v>41</v>
      </c>
      <c r="Z3" s="1" t="s">
        <v>41</v>
      </c>
      <c r="AA3" s="1" t="s">
        <v>41</v>
      </c>
      <c r="AB3" s="1" t="s">
        <v>41</v>
      </c>
      <c r="AC3" s="1" t="s">
        <v>41</v>
      </c>
      <c r="AD3" s="1" t="s">
        <v>41</v>
      </c>
      <c r="AE3" s="1" t="s">
        <v>41</v>
      </c>
      <c r="AF3" s="1" t="s">
        <v>41</v>
      </c>
      <c r="AG3" s="1" t="s">
        <v>41</v>
      </c>
      <c r="AH3" s="1" t="s">
        <v>41</v>
      </c>
      <c r="AI3" s="1" t="s">
        <v>41</v>
      </c>
      <c r="AJ3" s="1" t="s">
        <v>41</v>
      </c>
      <c r="AK3" s="1" t="s">
        <v>41</v>
      </c>
      <c r="AL3" s="1" t="s">
        <v>41</v>
      </c>
      <c r="AM3" s="1" t="s">
        <v>41</v>
      </c>
      <c r="AN3" s="1" t="s">
        <v>41</v>
      </c>
      <c r="AO3" s="1" t="s">
        <v>41</v>
      </c>
    </row>
    <row r="4" spans="1:41" x14ac:dyDescent="0.35">
      <c r="A4" s="1" t="s">
        <v>41</v>
      </c>
      <c r="B4" s="1" t="s">
        <v>41</v>
      </c>
      <c r="C4" s="1" t="s">
        <v>41</v>
      </c>
      <c r="D4" s="1" t="s">
        <v>41</v>
      </c>
      <c r="E4" s="1" t="s">
        <v>41</v>
      </c>
      <c r="F4" s="1" t="s">
        <v>41</v>
      </c>
      <c r="G4" s="1" t="s">
        <v>41</v>
      </c>
      <c r="H4" s="1" t="s">
        <v>41</v>
      </c>
      <c r="I4" s="1" t="s">
        <v>41</v>
      </c>
      <c r="J4" s="1" t="s">
        <v>41</v>
      </c>
      <c r="K4" s="1" t="s">
        <v>41</v>
      </c>
      <c r="L4" s="1" t="s">
        <v>41</v>
      </c>
      <c r="M4" s="1" t="s">
        <v>41</v>
      </c>
      <c r="N4" s="1" t="s">
        <v>41</v>
      </c>
      <c r="O4" s="1" t="s">
        <v>41</v>
      </c>
      <c r="P4" s="1" t="s">
        <v>41</v>
      </c>
      <c r="Q4" s="1" t="s">
        <v>41</v>
      </c>
      <c r="R4" s="1" t="s">
        <v>41</v>
      </c>
      <c r="S4" s="1" t="s">
        <v>41</v>
      </c>
      <c r="T4" s="1" t="s">
        <v>41</v>
      </c>
      <c r="U4" s="1" t="s">
        <v>41</v>
      </c>
      <c r="V4" s="1" t="s">
        <v>41</v>
      </c>
      <c r="W4" s="1" t="s">
        <v>41</v>
      </c>
      <c r="X4" s="1" t="s">
        <v>41</v>
      </c>
      <c r="Y4" s="1" t="s">
        <v>41</v>
      </c>
      <c r="Z4" s="1" t="s">
        <v>41</v>
      </c>
      <c r="AA4" s="1" t="s">
        <v>41</v>
      </c>
      <c r="AB4" s="1" t="s">
        <v>41</v>
      </c>
      <c r="AC4" s="1" t="s">
        <v>41</v>
      </c>
      <c r="AD4" s="1" t="s">
        <v>41</v>
      </c>
      <c r="AE4" s="1" t="s">
        <v>41</v>
      </c>
      <c r="AF4" s="1" t="s">
        <v>41</v>
      </c>
      <c r="AG4" s="1" t="s">
        <v>41</v>
      </c>
      <c r="AH4" s="1" t="s">
        <v>41</v>
      </c>
      <c r="AI4" s="1" t="s">
        <v>41</v>
      </c>
      <c r="AJ4" s="1" t="s">
        <v>41</v>
      </c>
      <c r="AK4" s="1" t="s">
        <v>41</v>
      </c>
      <c r="AL4" s="1" t="s">
        <v>41</v>
      </c>
      <c r="AM4" s="1" t="s">
        <v>41</v>
      </c>
      <c r="AN4" s="1" t="s">
        <v>41</v>
      </c>
      <c r="AO4" s="1" t="s">
        <v>41</v>
      </c>
    </row>
    <row r="5" spans="1:41" x14ac:dyDescent="0.35">
      <c r="A5" s="1" t="s">
        <v>41</v>
      </c>
      <c r="B5" s="1" t="s">
        <v>41</v>
      </c>
      <c r="C5" s="1" t="s">
        <v>41</v>
      </c>
      <c r="D5" s="1" t="s">
        <v>41</v>
      </c>
      <c r="E5" s="1" t="s">
        <v>41</v>
      </c>
      <c r="F5" s="1" t="s">
        <v>41</v>
      </c>
      <c r="G5" s="1" t="s">
        <v>41</v>
      </c>
      <c r="H5" s="1" t="s">
        <v>41</v>
      </c>
      <c r="I5" s="1" t="s">
        <v>41</v>
      </c>
      <c r="J5" s="1" t="s">
        <v>41</v>
      </c>
      <c r="K5" s="1" t="s">
        <v>41</v>
      </c>
      <c r="L5" s="1" t="s">
        <v>41</v>
      </c>
      <c r="M5" s="1" t="s">
        <v>41</v>
      </c>
      <c r="N5" s="1" t="s">
        <v>41</v>
      </c>
      <c r="O5" s="1" t="s">
        <v>41</v>
      </c>
      <c r="P5" s="1" t="s">
        <v>41</v>
      </c>
      <c r="Q5" s="1" t="s">
        <v>41</v>
      </c>
      <c r="R5" s="1" t="s">
        <v>41</v>
      </c>
      <c r="S5" s="1" t="s">
        <v>41</v>
      </c>
      <c r="T5" s="1" t="s">
        <v>41</v>
      </c>
      <c r="U5" s="1" t="s">
        <v>41</v>
      </c>
      <c r="V5" s="1" t="s">
        <v>41</v>
      </c>
      <c r="W5" s="1" t="s">
        <v>41</v>
      </c>
      <c r="X5" s="1" t="s">
        <v>41</v>
      </c>
      <c r="Y5" s="1" t="s">
        <v>41</v>
      </c>
      <c r="Z5" s="1" t="s">
        <v>41</v>
      </c>
      <c r="AA5" s="1" t="s">
        <v>41</v>
      </c>
      <c r="AB5" s="1" t="s">
        <v>41</v>
      </c>
      <c r="AC5" s="1" t="s">
        <v>41</v>
      </c>
      <c r="AD5" s="1" t="s">
        <v>41</v>
      </c>
      <c r="AE5" s="1" t="s">
        <v>41</v>
      </c>
      <c r="AF5" s="1" t="s">
        <v>41</v>
      </c>
      <c r="AG5" s="1" t="s">
        <v>41</v>
      </c>
      <c r="AH5" s="1" t="s">
        <v>41</v>
      </c>
      <c r="AI5" s="1" t="s">
        <v>41</v>
      </c>
      <c r="AJ5" s="1" t="s">
        <v>41</v>
      </c>
      <c r="AK5" s="1" t="s">
        <v>41</v>
      </c>
      <c r="AL5" s="1" t="s">
        <v>41</v>
      </c>
      <c r="AM5" s="1" t="s">
        <v>41</v>
      </c>
      <c r="AN5" s="1" t="s">
        <v>41</v>
      </c>
      <c r="AO5" s="1" t="s">
        <v>41</v>
      </c>
    </row>
    <row r="6" spans="1:41" x14ac:dyDescent="0.35">
      <c r="A6" s="1" t="s">
        <v>41</v>
      </c>
      <c r="B6" s="1" t="s">
        <v>41</v>
      </c>
      <c r="C6" s="1" t="s">
        <v>41</v>
      </c>
      <c r="D6" s="1" t="s">
        <v>41</v>
      </c>
      <c r="E6" s="1" t="s">
        <v>41</v>
      </c>
      <c r="F6" s="1" t="s">
        <v>41</v>
      </c>
      <c r="G6" s="1" t="s">
        <v>41</v>
      </c>
      <c r="H6" s="1" t="s">
        <v>41</v>
      </c>
      <c r="I6" s="1" t="s">
        <v>41</v>
      </c>
      <c r="J6" s="1" t="s">
        <v>41</v>
      </c>
      <c r="K6" s="1" t="s">
        <v>41</v>
      </c>
      <c r="L6" s="1" t="s">
        <v>41</v>
      </c>
      <c r="M6" s="1" t="s">
        <v>41</v>
      </c>
      <c r="N6" s="1" t="s">
        <v>41</v>
      </c>
      <c r="O6" s="1" t="s">
        <v>41</v>
      </c>
      <c r="P6" s="1" t="s">
        <v>41</v>
      </c>
      <c r="Q6" s="1" t="s">
        <v>41</v>
      </c>
      <c r="R6" s="1" t="s">
        <v>41</v>
      </c>
      <c r="S6" s="1" t="s">
        <v>41</v>
      </c>
      <c r="T6" s="1" t="s">
        <v>41</v>
      </c>
      <c r="U6" s="1" t="s">
        <v>41</v>
      </c>
      <c r="V6" s="1" t="s">
        <v>41</v>
      </c>
      <c r="W6" s="1" t="s">
        <v>41</v>
      </c>
      <c r="X6" s="1" t="s">
        <v>41</v>
      </c>
      <c r="Y6" s="1" t="s">
        <v>41</v>
      </c>
      <c r="Z6" s="1" t="s">
        <v>41</v>
      </c>
      <c r="AA6" s="1" t="s">
        <v>41</v>
      </c>
      <c r="AB6" s="1" t="s">
        <v>41</v>
      </c>
      <c r="AC6" s="1" t="s">
        <v>41</v>
      </c>
      <c r="AD6" s="1" t="s">
        <v>41</v>
      </c>
      <c r="AE6" s="1" t="s">
        <v>41</v>
      </c>
      <c r="AF6" s="1" t="s">
        <v>41</v>
      </c>
      <c r="AG6" s="1" t="s">
        <v>41</v>
      </c>
      <c r="AH6" s="1" t="s">
        <v>41</v>
      </c>
      <c r="AI6" s="1" t="s">
        <v>41</v>
      </c>
      <c r="AJ6" s="1" t="s">
        <v>41</v>
      </c>
      <c r="AK6" s="1" t="s">
        <v>41</v>
      </c>
      <c r="AL6" s="1" t="s">
        <v>41</v>
      </c>
      <c r="AM6" s="1" t="s">
        <v>41</v>
      </c>
      <c r="AN6" s="1" t="s">
        <v>41</v>
      </c>
      <c r="AO6" s="1" t="s">
        <v>41</v>
      </c>
    </row>
    <row r="7" spans="1:41" x14ac:dyDescent="0.35">
      <c r="A7" s="1" t="s">
        <v>41</v>
      </c>
      <c r="B7" s="1" t="s">
        <v>41</v>
      </c>
      <c r="C7" s="1" t="s">
        <v>41</v>
      </c>
      <c r="D7" s="1" t="s">
        <v>41</v>
      </c>
      <c r="E7" s="1" t="s">
        <v>41</v>
      </c>
      <c r="F7" s="1" t="s">
        <v>41</v>
      </c>
      <c r="G7" s="1" t="s">
        <v>41</v>
      </c>
      <c r="H7" s="1" t="s">
        <v>41</v>
      </c>
      <c r="I7" s="1" t="s">
        <v>41</v>
      </c>
      <c r="J7" s="1" t="s">
        <v>41</v>
      </c>
      <c r="K7" s="1" t="s">
        <v>41</v>
      </c>
      <c r="L7" s="1" t="s">
        <v>41</v>
      </c>
      <c r="M7" s="1" t="s">
        <v>41</v>
      </c>
      <c r="N7" s="1" t="s">
        <v>41</v>
      </c>
      <c r="O7" s="1" t="s">
        <v>41</v>
      </c>
      <c r="P7" s="1" t="s">
        <v>41</v>
      </c>
      <c r="Q7" s="1" t="s">
        <v>41</v>
      </c>
      <c r="R7" s="1" t="s">
        <v>41</v>
      </c>
      <c r="S7" s="1" t="s">
        <v>41</v>
      </c>
      <c r="T7" s="1" t="s">
        <v>41</v>
      </c>
      <c r="U7" s="1" t="s">
        <v>41</v>
      </c>
      <c r="V7" s="1" t="s">
        <v>41</v>
      </c>
      <c r="W7" s="1" t="s">
        <v>41</v>
      </c>
      <c r="X7" s="1" t="s">
        <v>41</v>
      </c>
      <c r="Y7" s="1" t="s">
        <v>41</v>
      </c>
      <c r="Z7" s="1" t="s">
        <v>41</v>
      </c>
      <c r="AA7" s="1" t="s">
        <v>41</v>
      </c>
      <c r="AB7" s="1" t="s">
        <v>41</v>
      </c>
      <c r="AC7" s="1" t="s">
        <v>41</v>
      </c>
      <c r="AD7" s="1" t="s">
        <v>41</v>
      </c>
      <c r="AE7" s="1" t="s">
        <v>41</v>
      </c>
      <c r="AF7" s="1" t="s">
        <v>41</v>
      </c>
      <c r="AG7" s="1" t="s">
        <v>41</v>
      </c>
      <c r="AH7" s="1" t="s">
        <v>41</v>
      </c>
      <c r="AI7" s="1" t="s">
        <v>41</v>
      </c>
      <c r="AJ7" s="1" t="s">
        <v>41</v>
      </c>
      <c r="AK7" s="1" t="s">
        <v>41</v>
      </c>
      <c r="AL7" s="1" t="s">
        <v>41</v>
      </c>
      <c r="AM7" s="1" t="s">
        <v>41</v>
      </c>
      <c r="AN7" s="1" t="s">
        <v>41</v>
      </c>
      <c r="AO7" s="1" t="s">
        <v>41</v>
      </c>
    </row>
    <row r="8" spans="1:41" x14ac:dyDescent="0.35">
      <c r="A8" s="1" t="s">
        <v>41</v>
      </c>
      <c r="B8" s="1" t="s">
        <v>41</v>
      </c>
      <c r="C8" s="1" t="s">
        <v>41</v>
      </c>
      <c r="D8" s="1" t="s">
        <v>41</v>
      </c>
      <c r="E8" s="1" t="s">
        <v>41</v>
      </c>
      <c r="F8" s="1" t="s">
        <v>41</v>
      </c>
      <c r="G8" s="1" t="s">
        <v>41</v>
      </c>
      <c r="H8" s="1" t="s">
        <v>41</v>
      </c>
      <c r="I8" s="1" t="s">
        <v>41</v>
      </c>
      <c r="J8" s="1" t="s">
        <v>41</v>
      </c>
      <c r="K8" s="1" t="s">
        <v>41</v>
      </c>
      <c r="L8" s="1" t="s">
        <v>41</v>
      </c>
      <c r="M8" s="1" t="s">
        <v>41</v>
      </c>
      <c r="N8" s="1" t="s">
        <v>41</v>
      </c>
      <c r="O8" s="1" t="s">
        <v>41</v>
      </c>
      <c r="P8" s="1" t="s">
        <v>41</v>
      </c>
      <c r="Q8" s="1" t="s">
        <v>41</v>
      </c>
      <c r="R8" s="1" t="s">
        <v>41</v>
      </c>
      <c r="S8" s="1" t="s">
        <v>41</v>
      </c>
      <c r="T8" s="1" t="s">
        <v>41</v>
      </c>
      <c r="U8" s="1" t="s">
        <v>41</v>
      </c>
      <c r="V8" s="1" t="s">
        <v>41</v>
      </c>
      <c r="W8" s="1" t="s">
        <v>41</v>
      </c>
      <c r="X8" s="1" t="s">
        <v>41</v>
      </c>
      <c r="Y8" s="1" t="s">
        <v>41</v>
      </c>
      <c r="Z8" s="1" t="s">
        <v>41</v>
      </c>
      <c r="AA8" s="1" t="s">
        <v>41</v>
      </c>
      <c r="AB8" s="1" t="s">
        <v>41</v>
      </c>
      <c r="AC8" s="1" t="s">
        <v>41</v>
      </c>
      <c r="AD8" s="1" t="s">
        <v>41</v>
      </c>
      <c r="AE8" s="1" t="s">
        <v>41</v>
      </c>
      <c r="AF8" s="1" t="s">
        <v>41</v>
      </c>
      <c r="AG8" s="1" t="s">
        <v>41</v>
      </c>
      <c r="AH8" s="1" t="s">
        <v>41</v>
      </c>
      <c r="AI8" s="1" t="s">
        <v>41</v>
      </c>
      <c r="AJ8" s="1" t="s">
        <v>41</v>
      </c>
      <c r="AK8" s="1" t="s">
        <v>41</v>
      </c>
      <c r="AL8" s="1" t="s">
        <v>41</v>
      </c>
      <c r="AM8" s="1" t="s">
        <v>41</v>
      </c>
      <c r="AN8" s="1" t="s">
        <v>41</v>
      </c>
      <c r="AO8" s="1" t="s">
        <v>41</v>
      </c>
    </row>
    <row r="9" spans="1:41" x14ac:dyDescent="0.35">
      <c r="A9" s="1" t="s">
        <v>41</v>
      </c>
      <c r="B9" s="1" t="s">
        <v>41</v>
      </c>
      <c r="C9" s="1" t="s">
        <v>41</v>
      </c>
      <c r="D9" s="1" t="s">
        <v>41</v>
      </c>
      <c r="E9" s="1" t="s">
        <v>41</v>
      </c>
      <c r="F9" s="1" t="s">
        <v>41</v>
      </c>
      <c r="G9" s="1" t="s">
        <v>41</v>
      </c>
      <c r="H9" s="1" t="s">
        <v>41</v>
      </c>
      <c r="I9" s="1" t="s">
        <v>41</v>
      </c>
      <c r="J9" s="1" t="s">
        <v>41</v>
      </c>
      <c r="K9" s="1" t="s">
        <v>41</v>
      </c>
      <c r="L9" s="1" t="s">
        <v>41</v>
      </c>
      <c r="M9" s="1" t="s">
        <v>41</v>
      </c>
      <c r="N9" s="1" t="s">
        <v>41</v>
      </c>
      <c r="O9" s="1" t="s">
        <v>41</v>
      </c>
      <c r="P9" s="1" t="s">
        <v>41</v>
      </c>
      <c r="Q9" s="1" t="s">
        <v>41</v>
      </c>
      <c r="R9" s="1" t="s">
        <v>41</v>
      </c>
      <c r="S9" s="1" t="s">
        <v>41</v>
      </c>
      <c r="T9" s="1" t="s">
        <v>41</v>
      </c>
      <c r="U9" s="1" t="s">
        <v>41</v>
      </c>
      <c r="V9" s="1" t="s">
        <v>41</v>
      </c>
      <c r="W9" s="1" t="s">
        <v>41</v>
      </c>
      <c r="X9" s="1" t="s">
        <v>41</v>
      </c>
      <c r="Y9" s="1" t="s">
        <v>41</v>
      </c>
      <c r="Z9" s="1" t="s">
        <v>41</v>
      </c>
      <c r="AA9" s="1" t="s">
        <v>41</v>
      </c>
      <c r="AB9" s="1" t="s">
        <v>41</v>
      </c>
      <c r="AC9" s="1" t="s">
        <v>41</v>
      </c>
      <c r="AD9" s="1" t="s">
        <v>41</v>
      </c>
      <c r="AE9" s="1" t="s">
        <v>41</v>
      </c>
      <c r="AF9" s="1" t="s">
        <v>41</v>
      </c>
      <c r="AG9" s="1" t="s">
        <v>41</v>
      </c>
      <c r="AH9" s="1" t="s">
        <v>41</v>
      </c>
      <c r="AI9" s="1" t="s">
        <v>41</v>
      </c>
      <c r="AJ9" s="1" t="s">
        <v>41</v>
      </c>
      <c r="AK9" s="1" t="s">
        <v>41</v>
      </c>
      <c r="AL9" s="1" t="s">
        <v>41</v>
      </c>
      <c r="AM9" s="1" t="s">
        <v>41</v>
      </c>
      <c r="AN9" s="1" t="s">
        <v>41</v>
      </c>
      <c r="AO9" s="1" t="s">
        <v>41</v>
      </c>
    </row>
    <row r="10" spans="1:41" x14ac:dyDescent="0.35">
      <c r="A10" s="1" t="s">
        <v>41</v>
      </c>
      <c r="B10" s="1" t="s">
        <v>41</v>
      </c>
      <c r="C10" s="1" t="s">
        <v>41</v>
      </c>
      <c r="D10" s="1" t="s">
        <v>41</v>
      </c>
      <c r="E10" s="1" t="s">
        <v>41</v>
      </c>
      <c r="F10" s="1" t="s">
        <v>41</v>
      </c>
      <c r="G10" s="1" t="s">
        <v>41</v>
      </c>
      <c r="H10" s="1" t="s">
        <v>41</v>
      </c>
      <c r="I10" s="1" t="s">
        <v>41</v>
      </c>
      <c r="J10" s="1" t="s">
        <v>41</v>
      </c>
      <c r="K10" s="1" t="s">
        <v>41</v>
      </c>
      <c r="L10" s="1" t="s">
        <v>41</v>
      </c>
      <c r="M10" s="1" t="s">
        <v>41</v>
      </c>
      <c r="N10" s="1" t="s">
        <v>41</v>
      </c>
      <c r="O10" s="1" t="s">
        <v>41</v>
      </c>
      <c r="P10" s="1" t="s">
        <v>41</v>
      </c>
      <c r="Q10" s="1" t="s">
        <v>41</v>
      </c>
      <c r="R10" s="1" t="s">
        <v>41</v>
      </c>
      <c r="S10" s="1" t="s">
        <v>41</v>
      </c>
      <c r="T10" s="1" t="s">
        <v>41</v>
      </c>
      <c r="U10" s="1" t="s">
        <v>41</v>
      </c>
      <c r="V10" s="1" t="s">
        <v>41</v>
      </c>
      <c r="W10" s="1" t="s">
        <v>41</v>
      </c>
      <c r="X10" s="1" t="s">
        <v>41</v>
      </c>
      <c r="Y10" s="1" t="s">
        <v>41</v>
      </c>
      <c r="Z10" s="1" t="s">
        <v>41</v>
      </c>
      <c r="AA10" s="1" t="s">
        <v>41</v>
      </c>
      <c r="AB10" s="1" t="s">
        <v>41</v>
      </c>
      <c r="AC10" s="1" t="s">
        <v>41</v>
      </c>
      <c r="AD10" s="1" t="s">
        <v>41</v>
      </c>
      <c r="AE10" s="1" t="s">
        <v>41</v>
      </c>
      <c r="AF10" s="1" t="s">
        <v>41</v>
      </c>
      <c r="AG10" s="1" t="s">
        <v>41</v>
      </c>
      <c r="AH10" s="1" t="s">
        <v>41</v>
      </c>
      <c r="AI10" s="1" t="s">
        <v>41</v>
      </c>
      <c r="AJ10" s="1" t="s">
        <v>41</v>
      </c>
      <c r="AK10" s="1" t="s">
        <v>41</v>
      </c>
      <c r="AL10" s="1" t="s">
        <v>41</v>
      </c>
      <c r="AM10" s="1" t="s">
        <v>41</v>
      </c>
      <c r="AN10" s="1" t="s">
        <v>41</v>
      </c>
      <c r="AO10" s="1" t="s">
        <v>41</v>
      </c>
    </row>
    <row r="11" spans="1:41" x14ac:dyDescent="0.35">
      <c r="A11" s="1" t="s">
        <v>41</v>
      </c>
      <c r="B11" s="1" t="s">
        <v>41</v>
      </c>
      <c r="C11" s="1" t="s">
        <v>41</v>
      </c>
      <c r="D11" s="1" t="s">
        <v>41</v>
      </c>
      <c r="E11" s="1" t="s">
        <v>41</v>
      </c>
      <c r="F11" s="1" t="s">
        <v>41</v>
      </c>
      <c r="G11" s="1" t="s">
        <v>41</v>
      </c>
      <c r="H11" s="1" t="s">
        <v>41</v>
      </c>
      <c r="I11" s="1" t="s">
        <v>41</v>
      </c>
      <c r="J11" s="1" t="s">
        <v>41</v>
      </c>
      <c r="K11" s="1" t="s">
        <v>41</v>
      </c>
      <c r="L11" s="1" t="s">
        <v>41</v>
      </c>
      <c r="M11" s="1" t="s">
        <v>41</v>
      </c>
      <c r="N11" s="1" t="s">
        <v>41</v>
      </c>
      <c r="O11" s="1" t="s">
        <v>41</v>
      </c>
      <c r="P11" s="1" t="s">
        <v>41</v>
      </c>
      <c r="Q11" s="1" t="s">
        <v>41</v>
      </c>
      <c r="R11" s="1" t="s">
        <v>41</v>
      </c>
      <c r="S11" s="1" t="s">
        <v>41</v>
      </c>
      <c r="T11" s="1" t="s">
        <v>41</v>
      </c>
      <c r="U11" s="1" t="s">
        <v>41</v>
      </c>
      <c r="V11" s="1" t="s">
        <v>41</v>
      </c>
      <c r="W11" s="1" t="s">
        <v>41</v>
      </c>
      <c r="X11" s="1" t="s">
        <v>41</v>
      </c>
      <c r="Y11" s="1" t="s">
        <v>41</v>
      </c>
      <c r="Z11" s="1" t="s">
        <v>41</v>
      </c>
      <c r="AA11" s="1" t="s">
        <v>41</v>
      </c>
      <c r="AB11" s="1" t="s">
        <v>41</v>
      </c>
      <c r="AC11" s="1" t="s">
        <v>41</v>
      </c>
      <c r="AD11" s="1" t="s">
        <v>41</v>
      </c>
      <c r="AE11" s="1" t="s">
        <v>41</v>
      </c>
      <c r="AF11" s="1" t="s">
        <v>41</v>
      </c>
      <c r="AG11" s="1" t="s">
        <v>41</v>
      </c>
      <c r="AH11" s="1" t="s">
        <v>41</v>
      </c>
      <c r="AI11" s="1" t="s">
        <v>41</v>
      </c>
      <c r="AJ11" s="1" t="s">
        <v>41</v>
      </c>
      <c r="AK11" s="1" t="s">
        <v>41</v>
      </c>
      <c r="AL11" s="1" t="s">
        <v>41</v>
      </c>
      <c r="AM11" s="1" t="s">
        <v>41</v>
      </c>
      <c r="AN11" s="1" t="s">
        <v>41</v>
      </c>
      <c r="AO11" s="1" t="s">
        <v>41</v>
      </c>
    </row>
    <row r="13" spans="1:41" x14ac:dyDescent="0.35">
      <c r="A13" s="2" t="s">
        <v>42</v>
      </c>
    </row>
    <row r="15" spans="1:41" x14ac:dyDescent="0.35">
      <c r="A15" s="2" t="s">
        <v>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2289-6CFD-4023-AB47-5BC01F0A17B8}">
  <dimension ref="A1:AO15"/>
  <sheetViews>
    <sheetView tabSelected="1" workbookViewId="0">
      <selection activeCell="A15" sqref="A15"/>
    </sheetView>
  </sheetViews>
  <sheetFormatPr baseColWidth="10" defaultRowHeight="14.5" x14ac:dyDescent="0.35"/>
  <cols>
    <col min="1" max="1" width="7.453125" bestFit="1" customWidth="1"/>
    <col min="2" max="2" width="7.7265625" bestFit="1" customWidth="1"/>
    <col min="3" max="3" width="7.36328125" bestFit="1" customWidth="1"/>
    <col min="4" max="4" width="7.7265625" bestFit="1" customWidth="1"/>
    <col min="5" max="5" width="7.90625" bestFit="1" customWidth="1"/>
    <col min="6" max="6" width="6.36328125" bestFit="1" customWidth="1"/>
    <col min="7" max="7" width="7.453125" bestFit="1" customWidth="1"/>
    <col min="8" max="8" width="7.7265625" bestFit="1" customWidth="1"/>
    <col min="9" max="9" width="8" bestFit="1" customWidth="1"/>
    <col min="10" max="10" width="6.81640625" bestFit="1" customWidth="1"/>
    <col min="11" max="11" width="7.453125" bestFit="1" customWidth="1"/>
    <col min="12" max="12" width="7.6328125" bestFit="1" customWidth="1"/>
    <col min="13" max="13" width="9" bestFit="1" customWidth="1"/>
    <col min="14" max="15" width="7.90625" bestFit="1" customWidth="1"/>
    <col min="16" max="16" width="7.36328125" bestFit="1" customWidth="1"/>
    <col min="17" max="17" width="7.1796875" bestFit="1" customWidth="1"/>
    <col min="18" max="18" width="7.90625" bestFit="1" customWidth="1"/>
    <col min="19" max="19" width="6.90625" bestFit="1" customWidth="1"/>
    <col min="20" max="20" width="5.54296875" bestFit="1" customWidth="1"/>
    <col min="21" max="22" width="6.54296875" bestFit="1" customWidth="1"/>
    <col min="23" max="23" width="7.453125" bestFit="1" customWidth="1"/>
    <col min="24" max="24" width="6.54296875" bestFit="1" customWidth="1"/>
    <col min="25" max="25" width="7.6328125" bestFit="1" customWidth="1"/>
    <col min="26" max="26" width="7.453125" bestFit="1" customWidth="1"/>
    <col min="27" max="27" width="8" bestFit="1" customWidth="1"/>
    <col min="28" max="28" width="6.26953125" bestFit="1" customWidth="1"/>
    <col min="29" max="29" width="7.7265625" bestFit="1" customWidth="1"/>
    <col min="30" max="30" width="7.90625" bestFit="1" customWidth="1"/>
    <col min="31" max="32" width="7.6328125" bestFit="1" customWidth="1"/>
    <col min="33" max="33" width="5" bestFit="1" customWidth="1"/>
    <col min="34" max="34" width="7.90625" bestFit="1" customWidth="1"/>
    <col min="35" max="35" width="5.54296875" bestFit="1" customWidth="1"/>
    <col min="36" max="36" width="8.7265625" bestFit="1" customWidth="1"/>
    <col min="37" max="37" width="7.36328125" bestFit="1" customWidth="1"/>
    <col min="38" max="38" width="8.1796875" bestFit="1" customWidth="1"/>
    <col min="39" max="39" width="7.453125" bestFit="1" customWidth="1"/>
    <col min="40" max="40" width="7.1796875" bestFit="1" customWidth="1"/>
    <col min="41" max="41" width="9.08984375" bestFit="1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5">
      <c r="A2" s="1" t="s">
        <v>41</v>
      </c>
      <c r="B2" s="1" t="s">
        <v>41</v>
      </c>
      <c r="C2" s="1" t="s">
        <v>41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41</v>
      </c>
      <c r="J2" s="1" t="s">
        <v>41</v>
      </c>
      <c r="K2" s="1" t="s">
        <v>41</v>
      </c>
      <c r="L2" s="1" t="s">
        <v>41</v>
      </c>
      <c r="M2" s="1" t="s">
        <v>41</v>
      </c>
      <c r="N2" s="1" t="s">
        <v>41</v>
      </c>
      <c r="O2" s="1" t="s">
        <v>41</v>
      </c>
      <c r="P2" s="1" t="s">
        <v>41</v>
      </c>
      <c r="Q2" s="1" t="s">
        <v>41</v>
      </c>
      <c r="R2" s="1" t="s">
        <v>41</v>
      </c>
      <c r="S2" s="1" t="s">
        <v>41</v>
      </c>
      <c r="T2" s="1" t="s">
        <v>41</v>
      </c>
      <c r="U2" s="1" t="s">
        <v>41</v>
      </c>
      <c r="V2" s="1" t="s">
        <v>41</v>
      </c>
      <c r="W2" s="1" t="s">
        <v>41</v>
      </c>
      <c r="X2" s="1" t="s">
        <v>41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 t="s">
        <v>41</v>
      </c>
      <c r="AK2" s="1" t="s">
        <v>41</v>
      </c>
      <c r="AL2" s="1" t="s">
        <v>41</v>
      </c>
      <c r="AM2" s="1" t="s">
        <v>41</v>
      </c>
      <c r="AN2" s="1" t="s">
        <v>41</v>
      </c>
      <c r="AO2" s="1" t="s">
        <v>41</v>
      </c>
    </row>
    <row r="3" spans="1:41" x14ac:dyDescent="0.35">
      <c r="A3" s="1" t="s">
        <v>41</v>
      </c>
      <c r="B3" s="1" t="s">
        <v>41</v>
      </c>
      <c r="C3" s="1" t="s">
        <v>41</v>
      </c>
      <c r="D3" s="1" t="s">
        <v>41</v>
      </c>
      <c r="E3" s="1" t="s">
        <v>41</v>
      </c>
      <c r="F3" s="1" t="s">
        <v>41</v>
      </c>
      <c r="G3" s="1" t="s">
        <v>41</v>
      </c>
      <c r="H3" s="1" t="s">
        <v>41</v>
      </c>
      <c r="I3" s="1" t="s">
        <v>41</v>
      </c>
      <c r="J3" s="1" t="s">
        <v>41</v>
      </c>
      <c r="K3" s="1" t="s">
        <v>41</v>
      </c>
      <c r="L3" s="1" t="s">
        <v>41</v>
      </c>
      <c r="M3" s="1" t="s">
        <v>41</v>
      </c>
      <c r="N3" s="1" t="s">
        <v>41</v>
      </c>
      <c r="O3" s="1" t="s">
        <v>41</v>
      </c>
      <c r="P3" s="1" t="s">
        <v>41</v>
      </c>
      <c r="Q3" s="1" t="s">
        <v>41</v>
      </c>
      <c r="R3" s="1" t="s">
        <v>41</v>
      </c>
      <c r="S3" s="1" t="s">
        <v>41</v>
      </c>
      <c r="T3" s="1" t="s">
        <v>41</v>
      </c>
      <c r="U3" s="1" t="s">
        <v>41</v>
      </c>
      <c r="V3" s="1" t="s">
        <v>41</v>
      </c>
      <c r="W3" s="1" t="s">
        <v>41</v>
      </c>
      <c r="X3" s="1" t="s">
        <v>41</v>
      </c>
      <c r="Y3" s="1" t="s">
        <v>41</v>
      </c>
      <c r="Z3" s="1" t="s">
        <v>41</v>
      </c>
      <c r="AA3" s="1" t="s">
        <v>41</v>
      </c>
      <c r="AB3" s="1" t="s">
        <v>41</v>
      </c>
      <c r="AC3" s="1" t="s">
        <v>41</v>
      </c>
      <c r="AD3" s="1" t="s">
        <v>41</v>
      </c>
      <c r="AE3" s="1" t="s">
        <v>41</v>
      </c>
      <c r="AF3" s="1" t="s">
        <v>41</v>
      </c>
      <c r="AG3" s="1" t="s">
        <v>41</v>
      </c>
      <c r="AH3" s="1" t="s">
        <v>41</v>
      </c>
      <c r="AI3" s="1" t="s">
        <v>41</v>
      </c>
      <c r="AJ3" s="1" t="s">
        <v>41</v>
      </c>
      <c r="AK3" s="1" t="s">
        <v>41</v>
      </c>
      <c r="AL3" s="1" t="s">
        <v>41</v>
      </c>
      <c r="AM3" s="1" t="s">
        <v>41</v>
      </c>
      <c r="AN3" s="1" t="s">
        <v>41</v>
      </c>
      <c r="AO3" s="1" t="s">
        <v>41</v>
      </c>
    </row>
    <row r="4" spans="1:41" x14ac:dyDescent="0.35">
      <c r="A4" s="1" t="s">
        <v>41</v>
      </c>
      <c r="B4" s="1" t="s">
        <v>41</v>
      </c>
      <c r="C4" s="1" t="s">
        <v>41</v>
      </c>
      <c r="D4" s="1" t="s">
        <v>41</v>
      </c>
      <c r="E4" s="1" t="s">
        <v>41</v>
      </c>
      <c r="F4" s="1" t="s">
        <v>41</v>
      </c>
      <c r="G4" s="1" t="s">
        <v>41</v>
      </c>
      <c r="H4" s="1" t="s">
        <v>41</v>
      </c>
      <c r="I4" s="1" t="s">
        <v>41</v>
      </c>
      <c r="J4" s="1" t="s">
        <v>41</v>
      </c>
      <c r="K4" s="1" t="s">
        <v>41</v>
      </c>
      <c r="L4" s="1" t="s">
        <v>41</v>
      </c>
      <c r="M4" s="1" t="s">
        <v>41</v>
      </c>
      <c r="N4" s="1" t="s">
        <v>41</v>
      </c>
      <c r="O4" s="1" t="s">
        <v>41</v>
      </c>
      <c r="P4" s="1" t="s">
        <v>41</v>
      </c>
      <c r="Q4" s="1" t="s">
        <v>41</v>
      </c>
      <c r="R4" s="1" t="s">
        <v>41</v>
      </c>
      <c r="S4" s="1" t="s">
        <v>41</v>
      </c>
      <c r="T4" s="1" t="s">
        <v>41</v>
      </c>
      <c r="U4" s="1" t="s">
        <v>41</v>
      </c>
      <c r="V4" s="1" t="s">
        <v>41</v>
      </c>
      <c r="W4" s="1" t="s">
        <v>41</v>
      </c>
      <c r="X4" s="1" t="s">
        <v>41</v>
      </c>
      <c r="Y4" s="1" t="s">
        <v>41</v>
      </c>
      <c r="Z4" s="1" t="s">
        <v>41</v>
      </c>
      <c r="AA4" s="1" t="s">
        <v>41</v>
      </c>
      <c r="AB4" s="1" t="s">
        <v>41</v>
      </c>
      <c r="AC4" s="1" t="s">
        <v>41</v>
      </c>
      <c r="AD4" s="1" t="s">
        <v>41</v>
      </c>
      <c r="AE4" s="1" t="s">
        <v>41</v>
      </c>
      <c r="AF4" s="1" t="s">
        <v>41</v>
      </c>
      <c r="AG4" s="1" t="s">
        <v>41</v>
      </c>
      <c r="AH4" s="1" t="s">
        <v>41</v>
      </c>
      <c r="AI4" s="1" t="s">
        <v>41</v>
      </c>
      <c r="AJ4" s="1" t="s">
        <v>41</v>
      </c>
      <c r="AK4" s="1" t="s">
        <v>41</v>
      </c>
      <c r="AL4" s="1" t="s">
        <v>41</v>
      </c>
      <c r="AM4" s="1" t="s">
        <v>41</v>
      </c>
      <c r="AN4" s="1" t="s">
        <v>41</v>
      </c>
      <c r="AO4" s="1" t="s">
        <v>41</v>
      </c>
    </row>
    <row r="5" spans="1:41" x14ac:dyDescent="0.35">
      <c r="A5" s="1" t="s">
        <v>41</v>
      </c>
      <c r="B5" s="1" t="s">
        <v>41</v>
      </c>
      <c r="C5" s="1" t="s">
        <v>41</v>
      </c>
      <c r="D5" s="1" t="s">
        <v>41</v>
      </c>
      <c r="E5" s="1" t="s">
        <v>41</v>
      </c>
      <c r="F5" s="1" t="s">
        <v>41</v>
      </c>
      <c r="G5" s="1" t="s">
        <v>41</v>
      </c>
      <c r="H5" s="1" t="s">
        <v>41</v>
      </c>
      <c r="I5" s="1" t="s">
        <v>41</v>
      </c>
      <c r="J5" s="1" t="s">
        <v>41</v>
      </c>
      <c r="K5" s="1" t="s">
        <v>41</v>
      </c>
      <c r="L5" s="1" t="s">
        <v>41</v>
      </c>
      <c r="M5" s="1" t="s">
        <v>41</v>
      </c>
      <c r="N5" s="1" t="s">
        <v>41</v>
      </c>
      <c r="O5" s="1" t="s">
        <v>41</v>
      </c>
      <c r="P5" s="1" t="s">
        <v>41</v>
      </c>
      <c r="Q5" s="1" t="s">
        <v>41</v>
      </c>
      <c r="R5" s="1" t="s">
        <v>41</v>
      </c>
      <c r="S5" s="1" t="s">
        <v>41</v>
      </c>
      <c r="T5" s="1" t="s">
        <v>41</v>
      </c>
      <c r="U5" s="1" t="s">
        <v>41</v>
      </c>
      <c r="V5" s="1" t="s">
        <v>41</v>
      </c>
      <c r="W5" s="1" t="s">
        <v>41</v>
      </c>
      <c r="X5" s="1" t="s">
        <v>41</v>
      </c>
      <c r="Y5" s="1" t="s">
        <v>41</v>
      </c>
      <c r="Z5" s="1" t="s">
        <v>41</v>
      </c>
      <c r="AA5" s="1" t="s">
        <v>41</v>
      </c>
      <c r="AB5" s="1" t="s">
        <v>41</v>
      </c>
      <c r="AC5" s="1" t="s">
        <v>41</v>
      </c>
      <c r="AD5" s="1" t="s">
        <v>41</v>
      </c>
      <c r="AE5" s="1" t="s">
        <v>41</v>
      </c>
      <c r="AF5" s="1" t="s">
        <v>41</v>
      </c>
      <c r="AG5" s="1" t="s">
        <v>41</v>
      </c>
      <c r="AH5" s="1" t="s">
        <v>41</v>
      </c>
      <c r="AI5" s="1" t="s">
        <v>41</v>
      </c>
      <c r="AJ5" s="1" t="s">
        <v>41</v>
      </c>
      <c r="AK5" s="1" t="s">
        <v>41</v>
      </c>
      <c r="AL5" s="1" t="s">
        <v>41</v>
      </c>
      <c r="AM5" s="1" t="s">
        <v>41</v>
      </c>
      <c r="AN5" s="1" t="s">
        <v>41</v>
      </c>
      <c r="AO5" s="1" t="s">
        <v>41</v>
      </c>
    </row>
    <row r="6" spans="1:41" x14ac:dyDescent="0.35">
      <c r="A6" s="1" t="s">
        <v>41</v>
      </c>
      <c r="B6" s="1" t="s">
        <v>41</v>
      </c>
      <c r="C6" s="1" t="s">
        <v>41</v>
      </c>
      <c r="D6" s="1" t="s">
        <v>41</v>
      </c>
      <c r="E6" s="1" t="s">
        <v>41</v>
      </c>
      <c r="F6" s="1" t="s">
        <v>41</v>
      </c>
      <c r="G6" s="1" t="s">
        <v>41</v>
      </c>
      <c r="H6" s="1" t="s">
        <v>41</v>
      </c>
      <c r="I6" s="1" t="s">
        <v>41</v>
      </c>
      <c r="J6" s="1" t="s">
        <v>41</v>
      </c>
      <c r="K6" s="1" t="s">
        <v>41</v>
      </c>
      <c r="L6" s="1" t="s">
        <v>41</v>
      </c>
      <c r="M6" s="1" t="s">
        <v>41</v>
      </c>
      <c r="N6" s="1" t="s">
        <v>41</v>
      </c>
      <c r="O6" s="1" t="s">
        <v>41</v>
      </c>
      <c r="P6" s="1" t="s">
        <v>41</v>
      </c>
      <c r="Q6" s="1" t="s">
        <v>41</v>
      </c>
      <c r="R6" s="1" t="s">
        <v>41</v>
      </c>
      <c r="S6" s="1" t="s">
        <v>41</v>
      </c>
      <c r="T6" s="1" t="s">
        <v>41</v>
      </c>
      <c r="U6" s="1" t="s">
        <v>41</v>
      </c>
      <c r="V6" s="1" t="s">
        <v>41</v>
      </c>
      <c r="W6" s="1" t="s">
        <v>41</v>
      </c>
      <c r="X6" s="1" t="s">
        <v>41</v>
      </c>
      <c r="Y6" s="1" t="s">
        <v>41</v>
      </c>
      <c r="Z6" s="1" t="s">
        <v>41</v>
      </c>
      <c r="AA6" s="1" t="s">
        <v>41</v>
      </c>
      <c r="AB6" s="1" t="s">
        <v>41</v>
      </c>
      <c r="AC6" s="1" t="s">
        <v>41</v>
      </c>
      <c r="AD6" s="1" t="s">
        <v>41</v>
      </c>
      <c r="AE6" s="1" t="s">
        <v>41</v>
      </c>
      <c r="AF6" s="1" t="s">
        <v>41</v>
      </c>
      <c r="AG6" s="1" t="s">
        <v>41</v>
      </c>
      <c r="AH6" s="1" t="s">
        <v>41</v>
      </c>
      <c r="AI6" s="1" t="s">
        <v>41</v>
      </c>
      <c r="AJ6" s="1" t="s">
        <v>41</v>
      </c>
      <c r="AK6" s="1" t="s">
        <v>41</v>
      </c>
      <c r="AL6" s="1" t="s">
        <v>41</v>
      </c>
      <c r="AM6" s="1" t="s">
        <v>41</v>
      </c>
      <c r="AN6" s="1" t="s">
        <v>41</v>
      </c>
      <c r="AO6" s="1" t="s">
        <v>41</v>
      </c>
    </row>
    <row r="7" spans="1:41" x14ac:dyDescent="0.35">
      <c r="A7" s="1" t="s">
        <v>41</v>
      </c>
      <c r="B7" s="1" t="s">
        <v>41</v>
      </c>
      <c r="C7" s="1" t="s">
        <v>41</v>
      </c>
      <c r="D7" s="1" t="s">
        <v>41</v>
      </c>
      <c r="E7" s="1" t="s">
        <v>41</v>
      </c>
      <c r="F7" s="1" t="s">
        <v>41</v>
      </c>
      <c r="G7" s="1" t="s">
        <v>41</v>
      </c>
      <c r="H7" s="1" t="s">
        <v>41</v>
      </c>
      <c r="I7" s="1" t="s">
        <v>41</v>
      </c>
      <c r="J7" s="1" t="s">
        <v>41</v>
      </c>
      <c r="K7" s="1" t="s">
        <v>41</v>
      </c>
      <c r="L7" s="1" t="s">
        <v>41</v>
      </c>
      <c r="M7" s="1" t="s">
        <v>41</v>
      </c>
      <c r="N7" s="1" t="s">
        <v>41</v>
      </c>
      <c r="O7" s="1" t="s">
        <v>41</v>
      </c>
      <c r="P7" s="1" t="s">
        <v>41</v>
      </c>
      <c r="Q7" s="1" t="s">
        <v>41</v>
      </c>
      <c r="R7" s="1" t="s">
        <v>41</v>
      </c>
      <c r="S7" s="1" t="s">
        <v>41</v>
      </c>
      <c r="T7" s="1" t="s">
        <v>41</v>
      </c>
      <c r="U7" s="1" t="s">
        <v>41</v>
      </c>
      <c r="V7" s="1" t="s">
        <v>41</v>
      </c>
      <c r="W7" s="1" t="s">
        <v>41</v>
      </c>
      <c r="X7" s="1" t="s">
        <v>41</v>
      </c>
      <c r="Y7" s="1" t="s">
        <v>41</v>
      </c>
      <c r="Z7" s="1" t="s">
        <v>41</v>
      </c>
      <c r="AA7" s="1" t="s">
        <v>41</v>
      </c>
      <c r="AB7" s="1" t="s">
        <v>41</v>
      </c>
      <c r="AC7" s="1" t="s">
        <v>41</v>
      </c>
      <c r="AD7" s="1" t="s">
        <v>41</v>
      </c>
      <c r="AE7" s="1" t="s">
        <v>41</v>
      </c>
      <c r="AF7" s="1" t="s">
        <v>41</v>
      </c>
      <c r="AG7" s="1" t="s">
        <v>41</v>
      </c>
      <c r="AH7" s="1" t="s">
        <v>41</v>
      </c>
      <c r="AI7" s="1" t="s">
        <v>41</v>
      </c>
      <c r="AJ7" s="1" t="s">
        <v>41</v>
      </c>
      <c r="AK7" s="1" t="s">
        <v>41</v>
      </c>
      <c r="AL7" s="1" t="s">
        <v>41</v>
      </c>
      <c r="AM7" s="1" t="s">
        <v>41</v>
      </c>
      <c r="AN7" s="1" t="s">
        <v>41</v>
      </c>
      <c r="AO7" s="1" t="s">
        <v>41</v>
      </c>
    </row>
    <row r="8" spans="1:41" x14ac:dyDescent="0.35">
      <c r="A8" s="1" t="s">
        <v>41</v>
      </c>
      <c r="B8" s="1" t="s">
        <v>41</v>
      </c>
      <c r="C8" s="1" t="s">
        <v>41</v>
      </c>
      <c r="D8" s="1" t="s">
        <v>41</v>
      </c>
      <c r="E8" s="1" t="s">
        <v>41</v>
      </c>
      <c r="F8" s="1" t="s">
        <v>41</v>
      </c>
      <c r="G8" s="1" t="s">
        <v>41</v>
      </c>
      <c r="H8" s="1" t="s">
        <v>41</v>
      </c>
      <c r="I8" s="1" t="s">
        <v>41</v>
      </c>
      <c r="J8" s="1" t="s">
        <v>41</v>
      </c>
      <c r="K8" s="1" t="s">
        <v>41</v>
      </c>
      <c r="L8" s="1" t="s">
        <v>41</v>
      </c>
      <c r="M8" s="1" t="s">
        <v>41</v>
      </c>
      <c r="N8" s="1" t="s">
        <v>41</v>
      </c>
      <c r="O8" s="1" t="s">
        <v>41</v>
      </c>
      <c r="P8" s="1" t="s">
        <v>41</v>
      </c>
      <c r="Q8" s="1" t="s">
        <v>41</v>
      </c>
      <c r="R8" s="1" t="s">
        <v>41</v>
      </c>
      <c r="S8" s="1" t="s">
        <v>41</v>
      </c>
      <c r="T8" s="1" t="s">
        <v>41</v>
      </c>
      <c r="U8" s="1" t="s">
        <v>41</v>
      </c>
      <c r="V8" s="1" t="s">
        <v>41</v>
      </c>
      <c r="W8" s="1" t="s">
        <v>41</v>
      </c>
      <c r="X8" s="1" t="s">
        <v>41</v>
      </c>
      <c r="Y8" s="1" t="s">
        <v>41</v>
      </c>
      <c r="Z8" s="1" t="s">
        <v>41</v>
      </c>
      <c r="AA8" s="1" t="s">
        <v>41</v>
      </c>
      <c r="AB8" s="1" t="s">
        <v>41</v>
      </c>
      <c r="AC8" s="1" t="s">
        <v>41</v>
      </c>
      <c r="AD8" s="1" t="s">
        <v>41</v>
      </c>
      <c r="AE8" s="1" t="s">
        <v>41</v>
      </c>
      <c r="AF8" s="1" t="s">
        <v>41</v>
      </c>
      <c r="AG8" s="1" t="s">
        <v>41</v>
      </c>
      <c r="AH8" s="1" t="s">
        <v>41</v>
      </c>
      <c r="AI8" s="1" t="s">
        <v>41</v>
      </c>
      <c r="AJ8" s="1" t="s">
        <v>41</v>
      </c>
      <c r="AK8" s="1" t="s">
        <v>41</v>
      </c>
      <c r="AL8" s="1" t="s">
        <v>41</v>
      </c>
      <c r="AM8" s="1" t="s">
        <v>41</v>
      </c>
      <c r="AN8" s="1" t="s">
        <v>41</v>
      </c>
      <c r="AO8" s="1" t="s">
        <v>41</v>
      </c>
    </row>
    <row r="9" spans="1:41" x14ac:dyDescent="0.35">
      <c r="A9" s="1" t="s">
        <v>41</v>
      </c>
      <c r="B9" s="1" t="s">
        <v>41</v>
      </c>
      <c r="C9" s="1" t="s">
        <v>41</v>
      </c>
      <c r="D9" s="1" t="s">
        <v>41</v>
      </c>
      <c r="E9" s="1" t="s">
        <v>41</v>
      </c>
      <c r="F9" s="1" t="s">
        <v>41</v>
      </c>
      <c r="G9" s="1" t="s">
        <v>41</v>
      </c>
      <c r="H9" s="1" t="s">
        <v>41</v>
      </c>
      <c r="I9" s="1" t="s">
        <v>41</v>
      </c>
      <c r="J9" s="1" t="s">
        <v>41</v>
      </c>
      <c r="K9" s="1" t="s">
        <v>41</v>
      </c>
      <c r="L9" s="1" t="s">
        <v>41</v>
      </c>
      <c r="M9" s="1" t="s">
        <v>41</v>
      </c>
      <c r="N9" s="1" t="s">
        <v>41</v>
      </c>
      <c r="O9" s="1" t="s">
        <v>41</v>
      </c>
      <c r="P9" s="1" t="s">
        <v>41</v>
      </c>
      <c r="Q9" s="1" t="s">
        <v>41</v>
      </c>
      <c r="R9" s="1" t="s">
        <v>41</v>
      </c>
      <c r="S9" s="1" t="s">
        <v>41</v>
      </c>
      <c r="T9" s="1" t="s">
        <v>41</v>
      </c>
      <c r="U9" s="1" t="s">
        <v>41</v>
      </c>
      <c r="V9" s="1" t="s">
        <v>41</v>
      </c>
      <c r="W9" s="1" t="s">
        <v>41</v>
      </c>
      <c r="X9" s="1" t="s">
        <v>41</v>
      </c>
      <c r="Y9" s="1" t="s">
        <v>41</v>
      </c>
      <c r="Z9" s="1" t="s">
        <v>41</v>
      </c>
      <c r="AA9" s="1" t="s">
        <v>41</v>
      </c>
      <c r="AB9" s="1" t="s">
        <v>41</v>
      </c>
      <c r="AC9" s="1" t="s">
        <v>41</v>
      </c>
      <c r="AD9" s="1" t="s">
        <v>41</v>
      </c>
      <c r="AE9" s="1" t="s">
        <v>41</v>
      </c>
      <c r="AF9" s="1" t="s">
        <v>41</v>
      </c>
      <c r="AG9" s="1" t="s">
        <v>41</v>
      </c>
      <c r="AH9" s="1" t="s">
        <v>41</v>
      </c>
      <c r="AI9" s="1" t="s">
        <v>41</v>
      </c>
      <c r="AJ9" s="1" t="s">
        <v>41</v>
      </c>
      <c r="AK9" s="1" t="s">
        <v>41</v>
      </c>
      <c r="AL9" s="1" t="s">
        <v>41</v>
      </c>
      <c r="AM9" s="1" t="s">
        <v>41</v>
      </c>
      <c r="AN9" s="1" t="s">
        <v>41</v>
      </c>
      <c r="AO9" s="1" t="s">
        <v>41</v>
      </c>
    </row>
    <row r="10" spans="1:41" x14ac:dyDescent="0.35">
      <c r="A10" s="1" t="s">
        <v>41</v>
      </c>
      <c r="B10" s="1" t="s">
        <v>41</v>
      </c>
      <c r="C10" s="1" t="s">
        <v>41</v>
      </c>
      <c r="D10" s="1" t="s">
        <v>41</v>
      </c>
      <c r="E10" s="1" t="s">
        <v>41</v>
      </c>
      <c r="F10" s="1" t="s">
        <v>41</v>
      </c>
      <c r="G10" s="1" t="s">
        <v>41</v>
      </c>
      <c r="H10" s="1" t="s">
        <v>41</v>
      </c>
      <c r="I10" s="1" t="s">
        <v>41</v>
      </c>
      <c r="J10" s="1" t="s">
        <v>41</v>
      </c>
      <c r="K10" s="1" t="s">
        <v>41</v>
      </c>
      <c r="L10" s="1" t="s">
        <v>41</v>
      </c>
      <c r="M10" s="1" t="s">
        <v>41</v>
      </c>
      <c r="N10" s="1" t="s">
        <v>41</v>
      </c>
      <c r="O10" s="1" t="s">
        <v>41</v>
      </c>
      <c r="P10" s="1" t="s">
        <v>41</v>
      </c>
      <c r="Q10" s="1" t="s">
        <v>41</v>
      </c>
      <c r="R10" s="1" t="s">
        <v>41</v>
      </c>
      <c r="S10" s="1" t="s">
        <v>41</v>
      </c>
      <c r="T10" s="1" t="s">
        <v>41</v>
      </c>
      <c r="U10" s="1" t="s">
        <v>41</v>
      </c>
      <c r="V10" s="1" t="s">
        <v>41</v>
      </c>
      <c r="W10" s="1" t="s">
        <v>41</v>
      </c>
      <c r="X10" s="1" t="s">
        <v>41</v>
      </c>
      <c r="Y10" s="1" t="s">
        <v>41</v>
      </c>
      <c r="Z10" s="1" t="s">
        <v>41</v>
      </c>
      <c r="AA10" s="1" t="s">
        <v>41</v>
      </c>
      <c r="AB10" s="1" t="s">
        <v>41</v>
      </c>
      <c r="AC10" s="1" t="s">
        <v>41</v>
      </c>
      <c r="AD10" s="1" t="s">
        <v>41</v>
      </c>
      <c r="AE10" s="1" t="s">
        <v>41</v>
      </c>
      <c r="AF10" s="1" t="s">
        <v>41</v>
      </c>
      <c r="AG10" s="1" t="s">
        <v>41</v>
      </c>
      <c r="AH10" s="1" t="s">
        <v>41</v>
      </c>
      <c r="AI10" s="1" t="s">
        <v>41</v>
      </c>
      <c r="AJ10" s="1" t="s">
        <v>41</v>
      </c>
      <c r="AK10" s="1" t="s">
        <v>41</v>
      </c>
      <c r="AL10" s="1" t="s">
        <v>41</v>
      </c>
      <c r="AM10" s="1" t="s">
        <v>41</v>
      </c>
      <c r="AN10" s="1" t="s">
        <v>41</v>
      </c>
      <c r="AO10" s="1" t="s">
        <v>41</v>
      </c>
    </row>
    <row r="11" spans="1:41" x14ac:dyDescent="0.35">
      <c r="A11" s="1" t="s">
        <v>41</v>
      </c>
      <c r="B11" s="1" t="s">
        <v>41</v>
      </c>
      <c r="C11" s="1" t="s">
        <v>41</v>
      </c>
      <c r="D11" s="1" t="s">
        <v>41</v>
      </c>
      <c r="E11" s="1" t="s">
        <v>41</v>
      </c>
      <c r="F11" s="1" t="s">
        <v>41</v>
      </c>
      <c r="G11" s="1" t="s">
        <v>41</v>
      </c>
      <c r="H11" s="1" t="s">
        <v>41</v>
      </c>
      <c r="I11" s="1" t="s">
        <v>41</v>
      </c>
      <c r="J11" s="1" t="s">
        <v>41</v>
      </c>
      <c r="K11" s="1" t="s">
        <v>41</v>
      </c>
      <c r="L11" s="1" t="s">
        <v>41</v>
      </c>
      <c r="M11" s="1" t="s">
        <v>41</v>
      </c>
      <c r="N11" s="1" t="s">
        <v>41</v>
      </c>
      <c r="O11" s="1" t="s">
        <v>41</v>
      </c>
      <c r="P11" s="1" t="s">
        <v>41</v>
      </c>
      <c r="Q11" s="1" t="s">
        <v>41</v>
      </c>
      <c r="R11" s="1" t="s">
        <v>41</v>
      </c>
      <c r="S11" s="1" t="s">
        <v>41</v>
      </c>
      <c r="T11" s="1" t="s">
        <v>41</v>
      </c>
      <c r="U11" s="1" t="s">
        <v>41</v>
      </c>
      <c r="V11" s="1" t="s">
        <v>41</v>
      </c>
      <c r="W11" s="1" t="s">
        <v>41</v>
      </c>
      <c r="X11" s="1" t="s">
        <v>41</v>
      </c>
      <c r="Y11" s="1" t="s">
        <v>41</v>
      </c>
      <c r="Z11" s="1" t="s">
        <v>41</v>
      </c>
      <c r="AA11" s="1" t="s">
        <v>41</v>
      </c>
      <c r="AB11" s="1" t="s">
        <v>41</v>
      </c>
      <c r="AC11" s="1" t="s">
        <v>41</v>
      </c>
      <c r="AD11" s="1" t="s">
        <v>41</v>
      </c>
      <c r="AE11" s="1" t="s">
        <v>41</v>
      </c>
      <c r="AF11" s="1" t="s">
        <v>41</v>
      </c>
      <c r="AG11" s="1" t="s">
        <v>41</v>
      </c>
      <c r="AH11" s="1" t="s">
        <v>41</v>
      </c>
      <c r="AI11" s="1" t="s">
        <v>41</v>
      </c>
      <c r="AJ11" s="1" t="s">
        <v>41</v>
      </c>
      <c r="AK11" s="1" t="s">
        <v>41</v>
      </c>
      <c r="AL11" s="1" t="s">
        <v>41</v>
      </c>
      <c r="AM11" s="1" t="s">
        <v>41</v>
      </c>
      <c r="AN11" s="1" t="s">
        <v>41</v>
      </c>
      <c r="AO11" s="1" t="s">
        <v>41</v>
      </c>
    </row>
    <row r="13" spans="1:41" x14ac:dyDescent="0.35">
      <c r="A13" s="2" t="s">
        <v>42</v>
      </c>
    </row>
    <row r="15" spans="1:41" x14ac:dyDescent="0.35">
      <c r="A15" s="2" t="s">
        <v>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B b C 7 U t z + Y r m k A A A A 9 Q A A A B I A H A B D b 2 5 m a W c v U G F j a 2 F n Z S 5 4 b W w g o h g A K K A U A A A A A A A A A A A A A A A A A A A A A A A A A A A A h Y + x D o I w G I R f h X S n L Z V B y U 8 Z j J s k J i T G t S k V G q E Y W i z v 5 u A j + Q p i F H U z u e X u v u H u f r 1 B N r Z N c F G 9 1 Z 1 J U Y Q p C p S R X a l N l a L B H c M l y j j s h D y J S g U T b G w y 2 j J F t X P n h B D v P f Y L 3 P U V Y Z R G 5 J B v C 1 m r V q A P r P / D o T b W C S M V 4 r B / j e E M r y b F M a Z A 5 g x y b b 4 9 m + Y + 2 5 8 Q 1 k P j h l 5 x Z c N N A W S 2 Q N 4 X + A N Q S w M E F A A C A A g A B b C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w u 1 J M g Z d v b A I A A D U f A A A T A B w A R m 9 y b X V s Y X M v U 2 V j d G l v b j E u b S C i G A A o o B Q A A A A A A A A A A A A A A A A A A A A A A A A A A A D t m M 9 r 2 z A U x + + B / A / C u 6 T g h i Z 0 O 2 z k 4 D h x Y 5 p G n u M G 2 n o U 1 V Y 7 g S w F S Q 7 L Q v / 3 q U 1 H V 5 5 2 X E d A P v j H F 7 3 3 v u 9 Z / h y s a W W Y F G i 5 v w 6 + d D v d j v 5 O F K 1 R k t 7 i 4 v L 0 9 L b i R G s 0 Q p y a b g f Z A y v 2 Q I V V Y r 3 p T 2 T V N l S Y X s I 4 7 c d S G P u g e 0 H 8 u b z U V O m S C N K Q E g s 6 U W x D y 9 / r p S 6 H J 8 O T Y 3 s a l G t F r I G K 6 N I o I n T V K i 3 L m l G j T V t v b 2 0 K v t V U H z d E G 6 r K n O q W G 1 2 K 1 i h m c 1 F d J m n 5 1 n C / 0 p v g K L y Z U M 4 a Z q N G Q R i E K J a 8 b Y Q e n Q 5 C N B W V r J l 4 G A 2 G H 4 c h + t p K Q 5 d m y + n o 9 b a / k I J + O w r 3 n X 8 I b A y 5 o z 9 J L T V a K 9 n I D b O 3 g R 1 G Q e 7 s 8 u x J M 3 R G S W 2 b 7 + 1 H F a K b F z 3 i f F k R T p Q e G d X + m b h g a 4 k q 0 t w x m / s 1 X / E 0 j 3 u p m r 3 x Y r u m u v d X G + F u F 5 z H 0 d w 2 a u x K Z O g P 8 x i i X Z D l u A B i k U R Q j K N 8 D M Q L n C 6 B G M 1 j R 3 S S w D q z K Q b i 8 v I s B 2 K S j q e O n I 5 C a Y 4 X 0 G Z 0 B s V s h q H 3 D B c R t I Q n K R C v 0 4 W j T Z x l M H w 6 h + Z X M H g 1 H j i 0 I d A W a e Q K / g S n h u e w G V s F p l x F O V y Z T + E u G N t t A F + 4 S 4 z z K z i K + V U M 3 / j 8 G m Y s s K P F c 1 h k h h 2 z X b r 2 7 4 V L z F z i K i 0 m z k p v 9 9 D j U b f D h P s z d f K S 6 j W t G D 0 k Y r 5 Y 9 s z 0 z P T M 9 M x 8 f 2 b e k 4 b x 7 S E h c + / Y E 9 M T 0 x P T E / M / E J N x e V C 8 t H 4 9 L T 0 t P S 0 9 L d + f l v a D b w / q H + a z Y c 9 L z 0 v P S 8 / L 9 + e l V P U z H Q + G l 8 + G P S 8 9 L z 0 v P S / / L S 9 / A V B L A Q I t A B Q A A g A I A A W w u 1 L c / m K 5 p A A A A P U A A A A S A A A A A A A A A A A A A A A A A A A A A A B D b 2 5 m a W c v U G F j a 2 F n Z S 5 4 b W x Q S w E C L Q A U A A I A C A A F s L t S D 8 r p q 6 Q A A A D p A A A A E w A A A A A A A A A A A A A A A A D w A A A A W 0 N v b n R l b n R f V H l w Z X N d L n h t b F B L A Q I t A B Q A A g A I A A W w u 1 J M g Z d v b A I A A D U f A A A T A A A A A A A A A A A A A A A A A O E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5 A A A A A A A A t 7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P V F U 0 N F 9 j b G F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k l f T 1 R V N D R f Y 2 x h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d U M T k 6 N T g 6 M j I u O D c y M j U z N 1 o i I C 8 + P E V u d H J 5 I F R 5 c G U 9 I k Z p b G x D b 2 x 1 b W 5 U e X B l c y I g V m F s d W U 9 I n N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L Q 0 F M J n F 1 b 3 Q 7 L C Z x d W 9 0 O 1 B S T 1 Q m c X V v d D s s J n F 1 b 3 Q 7 V E Z B V C Z x d W 9 0 O y w m c X V v d D t D Q V J C J n F 1 b 3 Q 7 L C Z x d W 9 0 O 0 1 P S V M m c X V v d D s s J n F 1 b 3 Q 7 Q U x D J n F 1 b 3 Q 7 L C Z x d W 9 0 O 0 N B R k Y m c X V v d D s s J n F 1 b 3 Q 7 V E h F T y Z x d W 9 0 O y w m c X V v d D t T V U d S J n F 1 b 3 Q 7 L C Z x d W 9 0 O 0 Z J Q k U m c X V v d D s s J n F 1 b 3 Q 7 Q 0 F M Q y Z x d W 9 0 O y w m c X V v d D t J U k 9 O J n F 1 b 3 Q 7 L C Z x d W 9 0 O 0 1 B R 0 4 m c X V v d D s s J n F 1 b 3 Q 7 U E h P U y Z x d W 9 0 O y w m c X V v d D t Q T 1 R B J n F 1 b 3 Q 7 L C Z x d W 9 0 O 1 N P R E k m c X V v d D s s J n F 1 b 3 Q 7 W k l O Q y Z x d W 9 0 O y w m c X V v d D t D T 1 B Q J n F 1 b 3 Q 7 L C Z x d W 9 0 O 1 N F T E U m c X V v d D s s J n F 1 b 3 Q 7 V k M m c X V v d D s s J n F 1 b 3 Q 7 V k I x J n F 1 b 3 Q 7 L C Z x d W 9 0 O 1 Z C M i Z x d W 9 0 O y w m c X V v d D t O S U F D J n F 1 b 3 Q 7 L C Z x d W 9 0 O 1 Z C N i Z x d W 9 0 O y w m c X V v d D t G T 0 x B J n F 1 b 3 Q 7 L C Z x d W 9 0 O 1 Z C M T I m c X V v d D s s J n F 1 b 3 Q 7 V k F S Q S Z x d W 9 0 O y w m c X V v d D t S R V Q m c X V v d D s s J n F 1 b 3 Q 7 Q k N B U i Z x d W 9 0 O y w m c X V v d D t B Q 0 F S J n F 1 b 3 Q 7 L C Z x d W 9 0 O 0 N S W V A m c X V v d D s s J n F 1 b 3 Q 7 T F l D T y Z x d W 9 0 O y w m c X V v d D t M W i Z x d W 9 0 O y w m c X V v d D t B V E 9 D J n F 1 b 3 Q 7 L C Z x d W 9 0 O 1 Z L J n F 1 b 3 Q 7 L C Z x d W 9 0 O 0 N I T 0 x F J n F 1 b 3 Q 7 L C Z x d W 9 0 O 1 N G Q V Q m c X V v d D s s J n F 1 b 3 Q 7 T U Z B V C Z x d W 9 0 O y w m c X V v d D t Q R k F U J n F 1 b 3 Q 7 L C Z x d W 9 0 O 1 Z J V E Q m c X V v d D s s J n F 1 b 3 Q 7 Q 0 h P T E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f T 1 R V N D R f Y 2 x h c 3 M v Q X V 0 b 1 J l b W 9 2 Z W R D b 2 x 1 b W 5 z M S 5 7 S 0 N B T C w w f S Z x d W 9 0 O y w m c X V v d D t T Z W N 0 a W 9 u M S 9 G S V 9 P V F U 0 N F 9 j b G F z c y 9 B d X R v U m V t b 3 Z l Z E N v b H V t b n M x L n t Q U k 9 U L D F 9 J n F 1 b 3 Q 7 L C Z x d W 9 0 O 1 N l Y 3 R p b 2 4 x L 0 Z J X 0 9 U V T Q 0 X 2 N s Y X N z L 0 F 1 d G 9 S Z W 1 v d m V k Q 2 9 s d W 1 u c z E u e 1 R G Q V Q s M n 0 m c X V v d D s s J n F 1 b 3 Q 7 U 2 V j d G l v b j E v R k l f T 1 R V N D R f Y 2 x h c 3 M v Q X V 0 b 1 J l b W 9 2 Z W R D b 2 x 1 b W 5 z M S 5 7 Q 0 F S Q i w z f S Z x d W 9 0 O y w m c X V v d D t T Z W N 0 a W 9 u M S 9 G S V 9 P V F U 0 N F 9 j b G F z c y 9 B d X R v U m V t b 3 Z l Z E N v b H V t b n M x L n t N T 0 l T L D R 9 J n F 1 b 3 Q 7 L C Z x d W 9 0 O 1 N l Y 3 R p b 2 4 x L 0 Z J X 0 9 U V T Q 0 X 2 N s Y X N z L 0 F 1 d G 9 S Z W 1 v d m V k Q 2 9 s d W 1 u c z E u e 0 F M Q y w 1 f S Z x d W 9 0 O y w m c X V v d D t T Z W N 0 a W 9 u M S 9 G S V 9 P V F U 0 N F 9 j b G F z c y 9 B d X R v U m V t b 3 Z l Z E N v b H V t b n M x L n t D Q U Z G L D Z 9 J n F 1 b 3 Q 7 L C Z x d W 9 0 O 1 N l Y 3 R p b 2 4 x L 0 Z J X 0 9 U V T Q 0 X 2 N s Y X N z L 0 F 1 d G 9 S Z W 1 v d m V k Q 2 9 s d W 1 u c z E u e 1 R I R U 8 s N 3 0 m c X V v d D s s J n F 1 b 3 Q 7 U 2 V j d G l v b j E v R k l f T 1 R V N D R f Y 2 x h c 3 M v Q X V 0 b 1 J l b W 9 2 Z W R D b 2 x 1 b W 5 z M S 5 7 U 1 V H U i w 4 f S Z x d W 9 0 O y w m c X V v d D t T Z W N 0 a W 9 u M S 9 G S V 9 P V F U 0 N F 9 j b G F z c y 9 B d X R v U m V t b 3 Z l Z E N v b H V t b n M x L n t G S U J F L D l 9 J n F 1 b 3 Q 7 L C Z x d W 9 0 O 1 N l Y 3 R p b 2 4 x L 0 Z J X 0 9 U V T Q 0 X 2 N s Y X N z L 0 F 1 d G 9 S Z W 1 v d m V k Q 2 9 s d W 1 u c z E u e 0 N B T E M s M T B 9 J n F 1 b 3 Q 7 L C Z x d W 9 0 O 1 N l Y 3 R p b 2 4 x L 0 Z J X 0 9 U V T Q 0 X 2 N s Y X N z L 0 F 1 d G 9 S Z W 1 v d m V k Q 2 9 s d W 1 u c z E u e 0 l S T 0 4 s M T F 9 J n F 1 b 3 Q 7 L C Z x d W 9 0 O 1 N l Y 3 R p b 2 4 x L 0 Z J X 0 9 U V T Q 0 X 2 N s Y X N z L 0 F 1 d G 9 S Z W 1 v d m V k Q 2 9 s d W 1 u c z E u e 0 1 B R 0 4 s M T J 9 J n F 1 b 3 Q 7 L C Z x d W 9 0 O 1 N l Y 3 R p b 2 4 x L 0 Z J X 0 9 U V T Q 0 X 2 N s Y X N z L 0 F 1 d G 9 S Z W 1 v d m V k Q 2 9 s d W 1 u c z E u e 1 B I T 1 M s M T N 9 J n F 1 b 3 Q 7 L C Z x d W 9 0 O 1 N l Y 3 R p b 2 4 x L 0 Z J X 0 9 U V T Q 0 X 2 N s Y X N z L 0 F 1 d G 9 S Z W 1 v d m V k Q 2 9 s d W 1 u c z E u e 1 B P V E E s M T R 9 J n F 1 b 3 Q 7 L C Z x d W 9 0 O 1 N l Y 3 R p b 2 4 x L 0 Z J X 0 9 U V T Q 0 X 2 N s Y X N z L 0 F 1 d G 9 S Z W 1 v d m V k Q 2 9 s d W 1 u c z E u e 1 N P R E k s M T V 9 J n F 1 b 3 Q 7 L C Z x d W 9 0 O 1 N l Y 3 R p b 2 4 x L 0 Z J X 0 9 U V T Q 0 X 2 N s Y X N z L 0 F 1 d G 9 S Z W 1 v d m V k Q 2 9 s d W 1 u c z E u e 1 p J T k M s M T Z 9 J n F 1 b 3 Q 7 L C Z x d W 9 0 O 1 N l Y 3 R p b 2 4 x L 0 Z J X 0 9 U V T Q 0 X 2 N s Y X N z L 0 F 1 d G 9 S Z W 1 v d m V k Q 2 9 s d W 1 u c z E u e 0 N P U F A s M T d 9 J n F 1 b 3 Q 7 L C Z x d W 9 0 O 1 N l Y 3 R p b 2 4 x L 0 Z J X 0 9 U V T Q 0 X 2 N s Y X N z L 0 F 1 d G 9 S Z W 1 v d m V k Q 2 9 s d W 1 u c z E u e 1 N F T E U s M T h 9 J n F 1 b 3 Q 7 L C Z x d W 9 0 O 1 N l Y 3 R p b 2 4 x L 0 Z J X 0 9 U V T Q 0 X 2 N s Y X N z L 0 F 1 d G 9 S Z W 1 v d m V k Q 2 9 s d W 1 u c z E u e 1 Z D L D E 5 f S Z x d W 9 0 O y w m c X V v d D t T Z W N 0 a W 9 u M S 9 G S V 9 P V F U 0 N F 9 j b G F z c y 9 B d X R v U m V t b 3 Z l Z E N v b H V t b n M x L n t W Q j E s M j B 9 J n F 1 b 3 Q 7 L C Z x d W 9 0 O 1 N l Y 3 R p b 2 4 x L 0 Z J X 0 9 U V T Q 0 X 2 N s Y X N z L 0 F 1 d G 9 S Z W 1 v d m V k Q 2 9 s d W 1 u c z E u e 1 Z C M i w y M X 0 m c X V v d D s s J n F 1 b 3 Q 7 U 2 V j d G l v b j E v R k l f T 1 R V N D R f Y 2 x h c 3 M v Q X V 0 b 1 J l b W 9 2 Z W R D b 2 x 1 b W 5 z M S 5 7 T k l B Q y w y M n 0 m c X V v d D s s J n F 1 b 3 Q 7 U 2 V j d G l v b j E v R k l f T 1 R V N D R f Y 2 x h c 3 M v Q X V 0 b 1 J l b W 9 2 Z W R D b 2 x 1 b W 5 z M S 5 7 V k I 2 L D I z f S Z x d W 9 0 O y w m c X V v d D t T Z W N 0 a W 9 u M S 9 G S V 9 P V F U 0 N F 9 j b G F z c y 9 B d X R v U m V t b 3 Z l Z E N v b H V t b n M x L n t G T 0 x B L D I 0 f S Z x d W 9 0 O y w m c X V v d D t T Z W N 0 a W 9 u M S 9 G S V 9 P V F U 0 N F 9 j b G F z c y 9 B d X R v U m V t b 3 Z l Z E N v b H V t b n M x L n t W Q j E y L D I 1 f S Z x d W 9 0 O y w m c X V v d D t T Z W N 0 a W 9 u M S 9 G S V 9 P V F U 0 N F 9 j b G F z c y 9 B d X R v U m V t b 3 Z l Z E N v b H V t b n M x L n t W Q V J B L D I 2 f S Z x d W 9 0 O y w m c X V v d D t T Z W N 0 a W 9 u M S 9 G S V 9 P V F U 0 N F 9 j b G F z c y 9 B d X R v U m V t b 3 Z l Z E N v b H V t b n M x L n t S R V Q s M j d 9 J n F 1 b 3 Q 7 L C Z x d W 9 0 O 1 N l Y 3 R p b 2 4 x L 0 Z J X 0 9 U V T Q 0 X 2 N s Y X N z L 0 F 1 d G 9 S Z W 1 v d m V k Q 2 9 s d W 1 u c z E u e 0 J D Q V I s M j h 9 J n F 1 b 3 Q 7 L C Z x d W 9 0 O 1 N l Y 3 R p b 2 4 x L 0 Z J X 0 9 U V T Q 0 X 2 N s Y X N z L 0 F 1 d G 9 S Z W 1 v d m V k Q 2 9 s d W 1 u c z E u e 0 F D Q V I s M j l 9 J n F 1 b 3 Q 7 L C Z x d W 9 0 O 1 N l Y 3 R p b 2 4 x L 0 Z J X 0 9 U V T Q 0 X 2 N s Y X N z L 0 F 1 d G 9 S Z W 1 v d m V k Q 2 9 s d W 1 u c z E u e 0 N S W V A s M z B 9 J n F 1 b 3 Q 7 L C Z x d W 9 0 O 1 N l Y 3 R p b 2 4 x L 0 Z J X 0 9 U V T Q 0 X 2 N s Y X N z L 0 F 1 d G 9 S Z W 1 v d m V k Q 2 9 s d W 1 u c z E u e 0 x Z Q 0 8 s M z F 9 J n F 1 b 3 Q 7 L C Z x d W 9 0 O 1 N l Y 3 R p b 2 4 x L 0 Z J X 0 9 U V T Q 0 X 2 N s Y X N z L 0 F 1 d G 9 S Z W 1 v d m V k Q 2 9 s d W 1 u c z E u e 0 x a L D M y f S Z x d W 9 0 O y w m c X V v d D t T Z W N 0 a W 9 u M S 9 G S V 9 P V F U 0 N F 9 j b G F z c y 9 B d X R v U m V t b 3 Z l Z E N v b H V t b n M x L n t B V E 9 D L D M z f S Z x d W 9 0 O y w m c X V v d D t T Z W N 0 a W 9 u M S 9 G S V 9 P V F U 0 N F 9 j b G F z c y 9 B d X R v U m V t b 3 Z l Z E N v b H V t b n M x L n t W S y w z N H 0 m c X V v d D s s J n F 1 b 3 Q 7 U 2 V j d G l v b j E v R k l f T 1 R V N D R f Y 2 x h c 3 M v Q X V 0 b 1 J l b W 9 2 Z W R D b 2 x 1 b W 5 z M S 5 7 Q 0 h P T E U s M z V 9 J n F 1 b 3 Q 7 L C Z x d W 9 0 O 1 N l Y 3 R p b 2 4 x L 0 Z J X 0 9 U V T Q 0 X 2 N s Y X N z L 0 F 1 d G 9 S Z W 1 v d m V k Q 2 9 s d W 1 u c z E u e 1 N G Q V Q s M z Z 9 J n F 1 b 3 Q 7 L C Z x d W 9 0 O 1 N l Y 3 R p b 2 4 x L 0 Z J X 0 9 U V T Q 0 X 2 N s Y X N z L 0 F 1 d G 9 S Z W 1 v d m V k Q 2 9 s d W 1 u c z E u e 0 1 G Q V Q s M z d 9 J n F 1 b 3 Q 7 L C Z x d W 9 0 O 1 N l Y 3 R p b 2 4 x L 0 Z J X 0 9 U V T Q 0 X 2 N s Y X N z L 0 F 1 d G 9 S Z W 1 v d m V k Q 2 9 s d W 1 u c z E u e 1 B G Q V Q s M z h 9 J n F 1 b 3 Q 7 L C Z x d W 9 0 O 1 N l Y 3 R p b 2 4 x L 0 Z J X 0 9 U V T Q 0 X 2 N s Y X N z L 0 F 1 d G 9 S Z W 1 v d m V k Q 2 9 s d W 1 u c z E u e 1 Z J V E Q s M z l 9 J n F 1 b 3 Q 7 L C Z x d W 9 0 O 1 N l Y 3 R p b 2 4 x L 0 Z J X 0 9 U V T Q 0 X 2 N s Y X N z L 0 F 1 d G 9 S Z W 1 v d m V k Q 2 9 s d W 1 u c z E u e 0 N I T 0 x O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R k l f T 1 R V N D R f Y 2 x h c 3 M v Q X V 0 b 1 J l b W 9 2 Z W R D b 2 x 1 b W 5 z M S 5 7 S 0 N B T C w w f S Z x d W 9 0 O y w m c X V v d D t T Z W N 0 a W 9 u M S 9 G S V 9 P V F U 0 N F 9 j b G F z c y 9 B d X R v U m V t b 3 Z l Z E N v b H V t b n M x L n t Q U k 9 U L D F 9 J n F 1 b 3 Q 7 L C Z x d W 9 0 O 1 N l Y 3 R p b 2 4 x L 0 Z J X 0 9 U V T Q 0 X 2 N s Y X N z L 0 F 1 d G 9 S Z W 1 v d m V k Q 2 9 s d W 1 u c z E u e 1 R G Q V Q s M n 0 m c X V v d D s s J n F 1 b 3 Q 7 U 2 V j d G l v b j E v R k l f T 1 R V N D R f Y 2 x h c 3 M v Q X V 0 b 1 J l b W 9 2 Z W R D b 2 x 1 b W 5 z M S 5 7 Q 0 F S Q i w z f S Z x d W 9 0 O y w m c X V v d D t T Z W N 0 a W 9 u M S 9 G S V 9 P V F U 0 N F 9 j b G F z c y 9 B d X R v U m V t b 3 Z l Z E N v b H V t b n M x L n t N T 0 l T L D R 9 J n F 1 b 3 Q 7 L C Z x d W 9 0 O 1 N l Y 3 R p b 2 4 x L 0 Z J X 0 9 U V T Q 0 X 2 N s Y X N z L 0 F 1 d G 9 S Z W 1 v d m V k Q 2 9 s d W 1 u c z E u e 0 F M Q y w 1 f S Z x d W 9 0 O y w m c X V v d D t T Z W N 0 a W 9 u M S 9 G S V 9 P V F U 0 N F 9 j b G F z c y 9 B d X R v U m V t b 3 Z l Z E N v b H V t b n M x L n t D Q U Z G L D Z 9 J n F 1 b 3 Q 7 L C Z x d W 9 0 O 1 N l Y 3 R p b 2 4 x L 0 Z J X 0 9 U V T Q 0 X 2 N s Y X N z L 0 F 1 d G 9 S Z W 1 v d m V k Q 2 9 s d W 1 u c z E u e 1 R I R U 8 s N 3 0 m c X V v d D s s J n F 1 b 3 Q 7 U 2 V j d G l v b j E v R k l f T 1 R V N D R f Y 2 x h c 3 M v Q X V 0 b 1 J l b W 9 2 Z W R D b 2 x 1 b W 5 z M S 5 7 U 1 V H U i w 4 f S Z x d W 9 0 O y w m c X V v d D t T Z W N 0 a W 9 u M S 9 G S V 9 P V F U 0 N F 9 j b G F z c y 9 B d X R v U m V t b 3 Z l Z E N v b H V t b n M x L n t G S U J F L D l 9 J n F 1 b 3 Q 7 L C Z x d W 9 0 O 1 N l Y 3 R p b 2 4 x L 0 Z J X 0 9 U V T Q 0 X 2 N s Y X N z L 0 F 1 d G 9 S Z W 1 v d m V k Q 2 9 s d W 1 u c z E u e 0 N B T E M s M T B 9 J n F 1 b 3 Q 7 L C Z x d W 9 0 O 1 N l Y 3 R p b 2 4 x L 0 Z J X 0 9 U V T Q 0 X 2 N s Y X N z L 0 F 1 d G 9 S Z W 1 v d m V k Q 2 9 s d W 1 u c z E u e 0 l S T 0 4 s M T F 9 J n F 1 b 3 Q 7 L C Z x d W 9 0 O 1 N l Y 3 R p b 2 4 x L 0 Z J X 0 9 U V T Q 0 X 2 N s Y X N z L 0 F 1 d G 9 S Z W 1 v d m V k Q 2 9 s d W 1 u c z E u e 0 1 B R 0 4 s M T J 9 J n F 1 b 3 Q 7 L C Z x d W 9 0 O 1 N l Y 3 R p b 2 4 x L 0 Z J X 0 9 U V T Q 0 X 2 N s Y X N z L 0 F 1 d G 9 S Z W 1 v d m V k Q 2 9 s d W 1 u c z E u e 1 B I T 1 M s M T N 9 J n F 1 b 3 Q 7 L C Z x d W 9 0 O 1 N l Y 3 R p b 2 4 x L 0 Z J X 0 9 U V T Q 0 X 2 N s Y X N z L 0 F 1 d G 9 S Z W 1 v d m V k Q 2 9 s d W 1 u c z E u e 1 B P V E E s M T R 9 J n F 1 b 3 Q 7 L C Z x d W 9 0 O 1 N l Y 3 R p b 2 4 x L 0 Z J X 0 9 U V T Q 0 X 2 N s Y X N z L 0 F 1 d G 9 S Z W 1 v d m V k Q 2 9 s d W 1 u c z E u e 1 N P R E k s M T V 9 J n F 1 b 3 Q 7 L C Z x d W 9 0 O 1 N l Y 3 R p b 2 4 x L 0 Z J X 0 9 U V T Q 0 X 2 N s Y X N z L 0 F 1 d G 9 S Z W 1 v d m V k Q 2 9 s d W 1 u c z E u e 1 p J T k M s M T Z 9 J n F 1 b 3 Q 7 L C Z x d W 9 0 O 1 N l Y 3 R p b 2 4 x L 0 Z J X 0 9 U V T Q 0 X 2 N s Y X N z L 0 F 1 d G 9 S Z W 1 v d m V k Q 2 9 s d W 1 u c z E u e 0 N P U F A s M T d 9 J n F 1 b 3 Q 7 L C Z x d W 9 0 O 1 N l Y 3 R p b 2 4 x L 0 Z J X 0 9 U V T Q 0 X 2 N s Y X N z L 0 F 1 d G 9 S Z W 1 v d m V k Q 2 9 s d W 1 u c z E u e 1 N F T E U s M T h 9 J n F 1 b 3 Q 7 L C Z x d W 9 0 O 1 N l Y 3 R p b 2 4 x L 0 Z J X 0 9 U V T Q 0 X 2 N s Y X N z L 0 F 1 d G 9 S Z W 1 v d m V k Q 2 9 s d W 1 u c z E u e 1 Z D L D E 5 f S Z x d W 9 0 O y w m c X V v d D t T Z W N 0 a W 9 u M S 9 G S V 9 P V F U 0 N F 9 j b G F z c y 9 B d X R v U m V t b 3 Z l Z E N v b H V t b n M x L n t W Q j E s M j B 9 J n F 1 b 3 Q 7 L C Z x d W 9 0 O 1 N l Y 3 R p b 2 4 x L 0 Z J X 0 9 U V T Q 0 X 2 N s Y X N z L 0 F 1 d G 9 S Z W 1 v d m V k Q 2 9 s d W 1 u c z E u e 1 Z C M i w y M X 0 m c X V v d D s s J n F 1 b 3 Q 7 U 2 V j d G l v b j E v R k l f T 1 R V N D R f Y 2 x h c 3 M v Q X V 0 b 1 J l b W 9 2 Z W R D b 2 x 1 b W 5 z M S 5 7 T k l B Q y w y M n 0 m c X V v d D s s J n F 1 b 3 Q 7 U 2 V j d G l v b j E v R k l f T 1 R V N D R f Y 2 x h c 3 M v Q X V 0 b 1 J l b W 9 2 Z W R D b 2 x 1 b W 5 z M S 5 7 V k I 2 L D I z f S Z x d W 9 0 O y w m c X V v d D t T Z W N 0 a W 9 u M S 9 G S V 9 P V F U 0 N F 9 j b G F z c y 9 B d X R v U m V t b 3 Z l Z E N v b H V t b n M x L n t G T 0 x B L D I 0 f S Z x d W 9 0 O y w m c X V v d D t T Z W N 0 a W 9 u M S 9 G S V 9 P V F U 0 N F 9 j b G F z c y 9 B d X R v U m V t b 3 Z l Z E N v b H V t b n M x L n t W Q j E y L D I 1 f S Z x d W 9 0 O y w m c X V v d D t T Z W N 0 a W 9 u M S 9 G S V 9 P V F U 0 N F 9 j b G F z c y 9 B d X R v U m V t b 3 Z l Z E N v b H V t b n M x L n t W Q V J B L D I 2 f S Z x d W 9 0 O y w m c X V v d D t T Z W N 0 a W 9 u M S 9 G S V 9 P V F U 0 N F 9 j b G F z c y 9 B d X R v U m V t b 3 Z l Z E N v b H V t b n M x L n t S R V Q s M j d 9 J n F 1 b 3 Q 7 L C Z x d W 9 0 O 1 N l Y 3 R p b 2 4 x L 0 Z J X 0 9 U V T Q 0 X 2 N s Y X N z L 0 F 1 d G 9 S Z W 1 v d m V k Q 2 9 s d W 1 u c z E u e 0 J D Q V I s M j h 9 J n F 1 b 3 Q 7 L C Z x d W 9 0 O 1 N l Y 3 R p b 2 4 x L 0 Z J X 0 9 U V T Q 0 X 2 N s Y X N z L 0 F 1 d G 9 S Z W 1 v d m V k Q 2 9 s d W 1 u c z E u e 0 F D Q V I s M j l 9 J n F 1 b 3 Q 7 L C Z x d W 9 0 O 1 N l Y 3 R p b 2 4 x L 0 Z J X 0 9 U V T Q 0 X 2 N s Y X N z L 0 F 1 d G 9 S Z W 1 v d m V k Q 2 9 s d W 1 u c z E u e 0 N S W V A s M z B 9 J n F 1 b 3 Q 7 L C Z x d W 9 0 O 1 N l Y 3 R p b 2 4 x L 0 Z J X 0 9 U V T Q 0 X 2 N s Y X N z L 0 F 1 d G 9 S Z W 1 v d m V k Q 2 9 s d W 1 u c z E u e 0 x Z Q 0 8 s M z F 9 J n F 1 b 3 Q 7 L C Z x d W 9 0 O 1 N l Y 3 R p b 2 4 x L 0 Z J X 0 9 U V T Q 0 X 2 N s Y X N z L 0 F 1 d G 9 S Z W 1 v d m V k Q 2 9 s d W 1 u c z E u e 0 x a L D M y f S Z x d W 9 0 O y w m c X V v d D t T Z W N 0 a W 9 u M S 9 G S V 9 P V F U 0 N F 9 j b G F z c y 9 B d X R v U m V t b 3 Z l Z E N v b H V t b n M x L n t B V E 9 D L D M z f S Z x d W 9 0 O y w m c X V v d D t T Z W N 0 a W 9 u M S 9 G S V 9 P V F U 0 N F 9 j b G F z c y 9 B d X R v U m V t b 3 Z l Z E N v b H V t b n M x L n t W S y w z N H 0 m c X V v d D s s J n F 1 b 3 Q 7 U 2 V j d G l v b j E v R k l f T 1 R V N D R f Y 2 x h c 3 M v Q X V 0 b 1 J l b W 9 2 Z W R D b 2 x 1 b W 5 z M S 5 7 Q 0 h P T E U s M z V 9 J n F 1 b 3 Q 7 L C Z x d W 9 0 O 1 N l Y 3 R p b 2 4 x L 0 Z J X 0 9 U V T Q 0 X 2 N s Y X N z L 0 F 1 d G 9 S Z W 1 v d m V k Q 2 9 s d W 1 u c z E u e 1 N G Q V Q s M z Z 9 J n F 1 b 3 Q 7 L C Z x d W 9 0 O 1 N l Y 3 R p b 2 4 x L 0 Z J X 0 9 U V T Q 0 X 2 N s Y X N z L 0 F 1 d G 9 S Z W 1 v d m V k Q 2 9 s d W 1 u c z E u e 0 1 G Q V Q s M z d 9 J n F 1 b 3 Q 7 L C Z x d W 9 0 O 1 N l Y 3 R p b 2 4 x L 0 Z J X 0 9 U V T Q 0 X 2 N s Y X N z L 0 F 1 d G 9 S Z W 1 v d m V k Q 2 9 s d W 1 u c z E u e 1 B G Q V Q s M z h 9 J n F 1 b 3 Q 7 L C Z x d W 9 0 O 1 N l Y 3 R p b 2 4 x L 0 Z J X 0 9 U V T Q 0 X 2 N s Y X N z L 0 F 1 d G 9 S Z W 1 v d m V k Q 2 9 s d W 1 u c z E u e 1 Z J V E Q s M z l 9 J n F 1 b 3 Q 7 L C Z x d W 9 0 O 1 N l Y 3 R p b 2 4 x L 0 Z J X 0 9 U V T Q 0 X 2 N s Y X N z L 0 F 1 d G 9 S Z W 1 v d m V k Q 2 9 s d W 1 u c z E u e 0 N I T 0 x O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l f T 1 R V N D R f Y 2 x h c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T 1 R V N D R f Y 2 x h c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T 1 R V N D R f Y 2 x h c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T 1 R V N D R f Z X N w Z W N p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k l f T 1 R V N D R f Z X N w Z W N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N 1 Q x O T o 1 O D o 0 N y 4 w N j c z M T Q 4 W i I g L z 4 8 R W 5 0 c n k g V H l w Z T 0 i R m l s b E N v b H V t b l R 5 c G V z I i B W Y W x 1 Z T 0 i c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t D Q U w m c X V v d D s s J n F 1 b 3 Q 7 U F J P V C Z x d W 9 0 O y w m c X V v d D t U R k F U J n F 1 b 3 Q 7 L C Z x d W 9 0 O 0 N B U k I m c X V v d D s s J n F 1 b 3 Q 7 T U 9 J U y Z x d W 9 0 O y w m c X V v d D t B T E M m c X V v d D s s J n F 1 b 3 Q 7 Q 0 F G R i Z x d W 9 0 O y w m c X V v d D t U S E V P J n F 1 b 3 Q 7 L C Z x d W 9 0 O 1 N V R 1 I m c X V v d D s s J n F 1 b 3 Q 7 R k l C R S Z x d W 9 0 O y w m c X V v d D t D Q U x D J n F 1 b 3 Q 7 L C Z x d W 9 0 O 0 l S T 0 4 m c X V v d D s s J n F 1 b 3 Q 7 T U F H T i Z x d W 9 0 O y w m c X V v d D t Q S E 9 T J n F 1 b 3 Q 7 L C Z x d W 9 0 O 1 B P V E E m c X V v d D s s J n F 1 b 3 Q 7 U 0 9 E S S Z x d W 9 0 O y w m c X V v d D t a S U 5 D J n F 1 b 3 Q 7 L C Z x d W 9 0 O 0 N P U F A m c X V v d D s s J n F 1 b 3 Q 7 U 0 V M R S Z x d W 9 0 O y w m c X V v d D t W Q y Z x d W 9 0 O y w m c X V v d D t W Q j E m c X V v d D s s J n F 1 b 3 Q 7 V k I y J n F 1 b 3 Q 7 L C Z x d W 9 0 O 0 5 J Q U M m c X V v d D s s J n F 1 b 3 Q 7 V k I 2 J n F 1 b 3 Q 7 L C Z x d W 9 0 O 0 Z P T E E m c X V v d D s s J n F 1 b 3 Q 7 V k I x M i Z x d W 9 0 O y w m c X V v d D t W Q V J B J n F 1 b 3 Q 7 L C Z x d W 9 0 O 1 J F V C Z x d W 9 0 O y w m c X V v d D t C Q 0 F S J n F 1 b 3 Q 7 L C Z x d W 9 0 O 0 F D Q V I m c X V v d D s s J n F 1 b 3 Q 7 Q 1 J Z U C Z x d W 9 0 O y w m c X V v d D t M W U N P J n F 1 b 3 Q 7 L C Z x d W 9 0 O 0 x a J n F 1 b 3 Q 7 L C Z x d W 9 0 O 0 F U T 0 M m c X V v d D s s J n F 1 b 3 Q 7 V k s m c X V v d D s s J n F 1 b 3 Q 7 Q 0 h P T E U m c X V v d D s s J n F 1 b 3 Q 7 U 0 Z B V C Z x d W 9 0 O y w m c X V v d D t N R k F U J n F 1 b 3 Q 7 L C Z x d W 9 0 O 1 B G Q V Q m c X V v d D s s J n F 1 b 3 Q 7 V k l U R C Z x d W 9 0 O y w m c X V v d D t D S E 9 M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V 9 P V F U 0 N F 9 l c 3 B l Y 2 l l L 0 F 1 d G 9 S Z W 1 v d m V k Q 2 9 s d W 1 u c z E u e 0 t D Q U w s M H 0 m c X V v d D s s J n F 1 b 3 Q 7 U 2 V j d G l v b j E v R k l f T 1 R V N D R f Z X N w Z W N p Z S 9 B d X R v U m V t b 3 Z l Z E N v b H V t b n M x L n t Q U k 9 U L D F 9 J n F 1 b 3 Q 7 L C Z x d W 9 0 O 1 N l Y 3 R p b 2 4 x L 0 Z J X 0 9 U V T Q 0 X 2 V z c G V j a W U v Q X V 0 b 1 J l b W 9 2 Z W R D b 2 x 1 b W 5 z M S 5 7 V E Z B V C w y f S Z x d W 9 0 O y w m c X V v d D t T Z W N 0 a W 9 u M S 9 G S V 9 P V F U 0 N F 9 l c 3 B l Y 2 l l L 0 F 1 d G 9 S Z W 1 v d m V k Q 2 9 s d W 1 u c z E u e 0 N B U k I s M 3 0 m c X V v d D s s J n F 1 b 3 Q 7 U 2 V j d G l v b j E v R k l f T 1 R V N D R f Z X N w Z W N p Z S 9 B d X R v U m V t b 3 Z l Z E N v b H V t b n M x L n t N T 0 l T L D R 9 J n F 1 b 3 Q 7 L C Z x d W 9 0 O 1 N l Y 3 R p b 2 4 x L 0 Z J X 0 9 U V T Q 0 X 2 V z c G V j a W U v Q X V 0 b 1 J l b W 9 2 Z W R D b 2 x 1 b W 5 z M S 5 7 Q U x D L D V 9 J n F 1 b 3 Q 7 L C Z x d W 9 0 O 1 N l Y 3 R p b 2 4 x L 0 Z J X 0 9 U V T Q 0 X 2 V z c G V j a W U v Q X V 0 b 1 J l b W 9 2 Z W R D b 2 x 1 b W 5 z M S 5 7 Q 0 F G R i w 2 f S Z x d W 9 0 O y w m c X V v d D t T Z W N 0 a W 9 u M S 9 G S V 9 P V F U 0 N F 9 l c 3 B l Y 2 l l L 0 F 1 d G 9 S Z W 1 v d m V k Q 2 9 s d W 1 u c z E u e 1 R I R U 8 s N 3 0 m c X V v d D s s J n F 1 b 3 Q 7 U 2 V j d G l v b j E v R k l f T 1 R V N D R f Z X N w Z W N p Z S 9 B d X R v U m V t b 3 Z l Z E N v b H V t b n M x L n t T V U d S L D h 9 J n F 1 b 3 Q 7 L C Z x d W 9 0 O 1 N l Y 3 R p b 2 4 x L 0 Z J X 0 9 U V T Q 0 X 2 V z c G V j a W U v Q X V 0 b 1 J l b W 9 2 Z W R D b 2 x 1 b W 5 z M S 5 7 R k l C R S w 5 f S Z x d W 9 0 O y w m c X V v d D t T Z W N 0 a W 9 u M S 9 G S V 9 P V F U 0 N F 9 l c 3 B l Y 2 l l L 0 F 1 d G 9 S Z W 1 v d m V k Q 2 9 s d W 1 u c z E u e 0 N B T E M s M T B 9 J n F 1 b 3 Q 7 L C Z x d W 9 0 O 1 N l Y 3 R p b 2 4 x L 0 Z J X 0 9 U V T Q 0 X 2 V z c G V j a W U v Q X V 0 b 1 J l b W 9 2 Z W R D b 2 x 1 b W 5 z M S 5 7 S V J P T i w x M X 0 m c X V v d D s s J n F 1 b 3 Q 7 U 2 V j d G l v b j E v R k l f T 1 R V N D R f Z X N w Z W N p Z S 9 B d X R v U m V t b 3 Z l Z E N v b H V t b n M x L n t N Q U d O L D E y f S Z x d W 9 0 O y w m c X V v d D t T Z W N 0 a W 9 u M S 9 G S V 9 P V F U 0 N F 9 l c 3 B l Y 2 l l L 0 F 1 d G 9 S Z W 1 v d m V k Q 2 9 s d W 1 u c z E u e 1 B I T 1 M s M T N 9 J n F 1 b 3 Q 7 L C Z x d W 9 0 O 1 N l Y 3 R p b 2 4 x L 0 Z J X 0 9 U V T Q 0 X 2 V z c G V j a W U v Q X V 0 b 1 J l b W 9 2 Z W R D b 2 x 1 b W 5 z M S 5 7 U E 9 U Q S w x N H 0 m c X V v d D s s J n F 1 b 3 Q 7 U 2 V j d G l v b j E v R k l f T 1 R V N D R f Z X N w Z W N p Z S 9 B d X R v U m V t b 3 Z l Z E N v b H V t b n M x L n t T T 0 R J L D E 1 f S Z x d W 9 0 O y w m c X V v d D t T Z W N 0 a W 9 u M S 9 G S V 9 P V F U 0 N F 9 l c 3 B l Y 2 l l L 0 F 1 d G 9 S Z W 1 v d m V k Q 2 9 s d W 1 u c z E u e 1 p J T k M s M T Z 9 J n F 1 b 3 Q 7 L C Z x d W 9 0 O 1 N l Y 3 R p b 2 4 x L 0 Z J X 0 9 U V T Q 0 X 2 V z c G V j a W U v Q X V 0 b 1 J l b W 9 2 Z W R D b 2 x 1 b W 5 z M S 5 7 Q 0 9 Q U C w x N 3 0 m c X V v d D s s J n F 1 b 3 Q 7 U 2 V j d G l v b j E v R k l f T 1 R V N D R f Z X N w Z W N p Z S 9 B d X R v U m V t b 3 Z l Z E N v b H V t b n M x L n t T R U x F L D E 4 f S Z x d W 9 0 O y w m c X V v d D t T Z W N 0 a W 9 u M S 9 G S V 9 P V F U 0 N F 9 l c 3 B l Y 2 l l L 0 F 1 d G 9 S Z W 1 v d m V k Q 2 9 s d W 1 u c z E u e 1 Z D L D E 5 f S Z x d W 9 0 O y w m c X V v d D t T Z W N 0 a W 9 u M S 9 G S V 9 P V F U 0 N F 9 l c 3 B l Y 2 l l L 0 F 1 d G 9 S Z W 1 v d m V k Q 2 9 s d W 1 u c z E u e 1 Z C M S w y M H 0 m c X V v d D s s J n F 1 b 3 Q 7 U 2 V j d G l v b j E v R k l f T 1 R V N D R f Z X N w Z W N p Z S 9 B d X R v U m V t b 3 Z l Z E N v b H V t b n M x L n t W Q j I s M j F 9 J n F 1 b 3 Q 7 L C Z x d W 9 0 O 1 N l Y 3 R p b 2 4 x L 0 Z J X 0 9 U V T Q 0 X 2 V z c G V j a W U v Q X V 0 b 1 J l b W 9 2 Z W R D b 2 x 1 b W 5 z M S 5 7 T k l B Q y w y M n 0 m c X V v d D s s J n F 1 b 3 Q 7 U 2 V j d G l v b j E v R k l f T 1 R V N D R f Z X N w Z W N p Z S 9 B d X R v U m V t b 3 Z l Z E N v b H V t b n M x L n t W Q j Y s M j N 9 J n F 1 b 3 Q 7 L C Z x d W 9 0 O 1 N l Y 3 R p b 2 4 x L 0 Z J X 0 9 U V T Q 0 X 2 V z c G V j a W U v Q X V 0 b 1 J l b W 9 2 Z W R D b 2 x 1 b W 5 z M S 5 7 R k 9 M Q S w y N H 0 m c X V v d D s s J n F 1 b 3 Q 7 U 2 V j d G l v b j E v R k l f T 1 R V N D R f Z X N w Z W N p Z S 9 B d X R v U m V t b 3 Z l Z E N v b H V t b n M x L n t W Q j E y L D I 1 f S Z x d W 9 0 O y w m c X V v d D t T Z W N 0 a W 9 u M S 9 G S V 9 P V F U 0 N F 9 l c 3 B l Y 2 l l L 0 F 1 d G 9 S Z W 1 v d m V k Q 2 9 s d W 1 u c z E u e 1 Z B U k E s M j Z 9 J n F 1 b 3 Q 7 L C Z x d W 9 0 O 1 N l Y 3 R p b 2 4 x L 0 Z J X 0 9 U V T Q 0 X 2 V z c G V j a W U v Q X V 0 b 1 J l b W 9 2 Z W R D b 2 x 1 b W 5 z M S 5 7 U k V U L D I 3 f S Z x d W 9 0 O y w m c X V v d D t T Z W N 0 a W 9 u M S 9 G S V 9 P V F U 0 N F 9 l c 3 B l Y 2 l l L 0 F 1 d G 9 S Z W 1 v d m V k Q 2 9 s d W 1 u c z E u e 0 J D Q V I s M j h 9 J n F 1 b 3 Q 7 L C Z x d W 9 0 O 1 N l Y 3 R p b 2 4 x L 0 Z J X 0 9 U V T Q 0 X 2 V z c G V j a W U v Q X V 0 b 1 J l b W 9 2 Z W R D b 2 x 1 b W 5 z M S 5 7 Q U N B U i w y O X 0 m c X V v d D s s J n F 1 b 3 Q 7 U 2 V j d G l v b j E v R k l f T 1 R V N D R f Z X N w Z W N p Z S 9 B d X R v U m V t b 3 Z l Z E N v b H V t b n M x L n t D U l l Q L D M w f S Z x d W 9 0 O y w m c X V v d D t T Z W N 0 a W 9 u M S 9 G S V 9 P V F U 0 N F 9 l c 3 B l Y 2 l l L 0 F 1 d G 9 S Z W 1 v d m V k Q 2 9 s d W 1 u c z E u e 0 x Z Q 0 8 s M z F 9 J n F 1 b 3 Q 7 L C Z x d W 9 0 O 1 N l Y 3 R p b 2 4 x L 0 Z J X 0 9 U V T Q 0 X 2 V z c G V j a W U v Q X V 0 b 1 J l b W 9 2 Z W R D b 2 x 1 b W 5 z M S 5 7 T F o s M z J 9 J n F 1 b 3 Q 7 L C Z x d W 9 0 O 1 N l Y 3 R p b 2 4 x L 0 Z J X 0 9 U V T Q 0 X 2 V z c G V j a W U v Q X V 0 b 1 J l b W 9 2 Z W R D b 2 x 1 b W 5 z M S 5 7 Q V R P Q y w z M 3 0 m c X V v d D s s J n F 1 b 3 Q 7 U 2 V j d G l v b j E v R k l f T 1 R V N D R f Z X N w Z W N p Z S 9 B d X R v U m V t b 3 Z l Z E N v b H V t b n M x L n t W S y w z N H 0 m c X V v d D s s J n F 1 b 3 Q 7 U 2 V j d G l v b j E v R k l f T 1 R V N D R f Z X N w Z W N p Z S 9 B d X R v U m V t b 3 Z l Z E N v b H V t b n M x L n t D S E 9 M R S w z N X 0 m c X V v d D s s J n F 1 b 3 Q 7 U 2 V j d G l v b j E v R k l f T 1 R V N D R f Z X N w Z W N p Z S 9 B d X R v U m V t b 3 Z l Z E N v b H V t b n M x L n t T R k F U L D M 2 f S Z x d W 9 0 O y w m c X V v d D t T Z W N 0 a W 9 u M S 9 G S V 9 P V F U 0 N F 9 l c 3 B l Y 2 l l L 0 F 1 d G 9 S Z W 1 v d m V k Q 2 9 s d W 1 u c z E u e 0 1 G Q V Q s M z d 9 J n F 1 b 3 Q 7 L C Z x d W 9 0 O 1 N l Y 3 R p b 2 4 x L 0 Z J X 0 9 U V T Q 0 X 2 V z c G V j a W U v Q X V 0 b 1 J l b W 9 2 Z W R D b 2 x 1 b W 5 z M S 5 7 U E Z B V C w z O H 0 m c X V v d D s s J n F 1 b 3 Q 7 U 2 V j d G l v b j E v R k l f T 1 R V N D R f Z X N w Z W N p Z S 9 B d X R v U m V t b 3 Z l Z E N v b H V t b n M x L n t W S V R E L D M 5 f S Z x d W 9 0 O y w m c X V v d D t T Z W N 0 a W 9 u M S 9 G S V 9 P V F U 0 N F 9 l c 3 B l Y 2 l l L 0 F 1 d G 9 S Z W 1 v d m V k Q 2 9 s d W 1 u c z E u e 0 N I T 0 x O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R k l f T 1 R V N D R f Z X N w Z W N p Z S 9 B d X R v U m V t b 3 Z l Z E N v b H V t b n M x L n t L Q 0 F M L D B 9 J n F 1 b 3 Q 7 L C Z x d W 9 0 O 1 N l Y 3 R p b 2 4 x L 0 Z J X 0 9 U V T Q 0 X 2 V z c G V j a W U v Q X V 0 b 1 J l b W 9 2 Z W R D b 2 x 1 b W 5 z M S 5 7 U F J P V C w x f S Z x d W 9 0 O y w m c X V v d D t T Z W N 0 a W 9 u M S 9 G S V 9 P V F U 0 N F 9 l c 3 B l Y 2 l l L 0 F 1 d G 9 S Z W 1 v d m V k Q 2 9 s d W 1 u c z E u e 1 R G Q V Q s M n 0 m c X V v d D s s J n F 1 b 3 Q 7 U 2 V j d G l v b j E v R k l f T 1 R V N D R f Z X N w Z W N p Z S 9 B d X R v U m V t b 3 Z l Z E N v b H V t b n M x L n t D Q V J C L D N 9 J n F 1 b 3 Q 7 L C Z x d W 9 0 O 1 N l Y 3 R p b 2 4 x L 0 Z J X 0 9 U V T Q 0 X 2 V z c G V j a W U v Q X V 0 b 1 J l b W 9 2 Z W R D b 2 x 1 b W 5 z M S 5 7 T U 9 J U y w 0 f S Z x d W 9 0 O y w m c X V v d D t T Z W N 0 a W 9 u M S 9 G S V 9 P V F U 0 N F 9 l c 3 B l Y 2 l l L 0 F 1 d G 9 S Z W 1 v d m V k Q 2 9 s d W 1 u c z E u e 0 F M Q y w 1 f S Z x d W 9 0 O y w m c X V v d D t T Z W N 0 a W 9 u M S 9 G S V 9 P V F U 0 N F 9 l c 3 B l Y 2 l l L 0 F 1 d G 9 S Z W 1 v d m V k Q 2 9 s d W 1 u c z E u e 0 N B R k Y s N n 0 m c X V v d D s s J n F 1 b 3 Q 7 U 2 V j d G l v b j E v R k l f T 1 R V N D R f Z X N w Z W N p Z S 9 B d X R v U m V t b 3 Z l Z E N v b H V t b n M x L n t U S E V P L D d 9 J n F 1 b 3 Q 7 L C Z x d W 9 0 O 1 N l Y 3 R p b 2 4 x L 0 Z J X 0 9 U V T Q 0 X 2 V z c G V j a W U v Q X V 0 b 1 J l b W 9 2 Z W R D b 2 x 1 b W 5 z M S 5 7 U 1 V H U i w 4 f S Z x d W 9 0 O y w m c X V v d D t T Z W N 0 a W 9 u M S 9 G S V 9 P V F U 0 N F 9 l c 3 B l Y 2 l l L 0 F 1 d G 9 S Z W 1 v d m V k Q 2 9 s d W 1 u c z E u e 0 Z J Q k U s O X 0 m c X V v d D s s J n F 1 b 3 Q 7 U 2 V j d G l v b j E v R k l f T 1 R V N D R f Z X N w Z W N p Z S 9 B d X R v U m V t b 3 Z l Z E N v b H V t b n M x L n t D Q U x D L D E w f S Z x d W 9 0 O y w m c X V v d D t T Z W N 0 a W 9 u M S 9 G S V 9 P V F U 0 N F 9 l c 3 B l Y 2 l l L 0 F 1 d G 9 S Z W 1 v d m V k Q 2 9 s d W 1 u c z E u e 0 l S T 0 4 s M T F 9 J n F 1 b 3 Q 7 L C Z x d W 9 0 O 1 N l Y 3 R p b 2 4 x L 0 Z J X 0 9 U V T Q 0 X 2 V z c G V j a W U v Q X V 0 b 1 J l b W 9 2 Z W R D b 2 x 1 b W 5 z M S 5 7 T U F H T i w x M n 0 m c X V v d D s s J n F 1 b 3 Q 7 U 2 V j d G l v b j E v R k l f T 1 R V N D R f Z X N w Z W N p Z S 9 B d X R v U m V t b 3 Z l Z E N v b H V t b n M x L n t Q S E 9 T L D E z f S Z x d W 9 0 O y w m c X V v d D t T Z W N 0 a W 9 u M S 9 G S V 9 P V F U 0 N F 9 l c 3 B l Y 2 l l L 0 F 1 d G 9 S Z W 1 v d m V k Q 2 9 s d W 1 u c z E u e 1 B P V E E s M T R 9 J n F 1 b 3 Q 7 L C Z x d W 9 0 O 1 N l Y 3 R p b 2 4 x L 0 Z J X 0 9 U V T Q 0 X 2 V z c G V j a W U v Q X V 0 b 1 J l b W 9 2 Z W R D b 2 x 1 b W 5 z M S 5 7 U 0 9 E S S w x N X 0 m c X V v d D s s J n F 1 b 3 Q 7 U 2 V j d G l v b j E v R k l f T 1 R V N D R f Z X N w Z W N p Z S 9 B d X R v U m V t b 3 Z l Z E N v b H V t b n M x L n t a S U 5 D L D E 2 f S Z x d W 9 0 O y w m c X V v d D t T Z W N 0 a W 9 u M S 9 G S V 9 P V F U 0 N F 9 l c 3 B l Y 2 l l L 0 F 1 d G 9 S Z W 1 v d m V k Q 2 9 s d W 1 u c z E u e 0 N P U F A s M T d 9 J n F 1 b 3 Q 7 L C Z x d W 9 0 O 1 N l Y 3 R p b 2 4 x L 0 Z J X 0 9 U V T Q 0 X 2 V z c G V j a W U v Q X V 0 b 1 J l b W 9 2 Z W R D b 2 x 1 b W 5 z M S 5 7 U 0 V M R S w x O H 0 m c X V v d D s s J n F 1 b 3 Q 7 U 2 V j d G l v b j E v R k l f T 1 R V N D R f Z X N w Z W N p Z S 9 B d X R v U m V t b 3 Z l Z E N v b H V t b n M x L n t W Q y w x O X 0 m c X V v d D s s J n F 1 b 3 Q 7 U 2 V j d G l v b j E v R k l f T 1 R V N D R f Z X N w Z W N p Z S 9 B d X R v U m V t b 3 Z l Z E N v b H V t b n M x L n t W Q j E s M j B 9 J n F 1 b 3 Q 7 L C Z x d W 9 0 O 1 N l Y 3 R p b 2 4 x L 0 Z J X 0 9 U V T Q 0 X 2 V z c G V j a W U v Q X V 0 b 1 J l b W 9 2 Z W R D b 2 x 1 b W 5 z M S 5 7 V k I y L D I x f S Z x d W 9 0 O y w m c X V v d D t T Z W N 0 a W 9 u M S 9 G S V 9 P V F U 0 N F 9 l c 3 B l Y 2 l l L 0 F 1 d G 9 S Z W 1 v d m V k Q 2 9 s d W 1 u c z E u e 0 5 J Q U M s M j J 9 J n F 1 b 3 Q 7 L C Z x d W 9 0 O 1 N l Y 3 R p b 2 4 x L 0 Z J X 0 9 U V T Q 0 X 2 V z c G V j a W U v Q X V 0 b 1 J l b W 9 2 Z W R D b 2 x 1 b W 5 z M S 5 7 V k I 2 L D I z f S Z x d W 9 0 O y w m c X V v d D t T Z W N 0 a W 9 u M S 9 G S V 9 P V F U 0 N F 9 l c 3 B l Y 2 l l L 0 F 1 d G 9 S Z W 1 v d m V k Q 2 9 s d W 1 u c z E u e 0 Z P T E E s M j R 9 J n F 1 b 3 Q 7 L C Z x d W 9 0 O 1 N l Y 3 R p b 2 4 x L 0 Z J X 0 9 U V T Q 0 X 2 V z c G V j a W U v Q X V 0 b 1 J l b W 9 2 Z W R D b 2 x 1 b W 5 z M S 5 7 V k I x M i w y N X 0 m c X V v d D s s J n F 1 b 3 Q 7 U 2 V j d G l v b j E v R k l f T 1 R V N D R f Z X N w Z W N p Z S 9 B d X R v U m V t b 3 Z l Z E N v b H V t b n M x L n t W Q V J B L D I 2 f S Z x d W 9 0 O y w m c X V v d D t T Z W N 0 a W 9 u M S 9 G S V 9 P V F U 0 N F 9 l c 3 B l Y 2 l l L 0 F 1 d G 9 S Z W 1 v d m V k Q 2 9 s d W 1 u c z E u e 1 J F V C w y N 3 0 m c X V v d D s s J n F 1 b 3 Q 7 U 2 V j d G l v b j E v R k l f T 1 R V N D R f Z X N w Z W N p Z S 9 B d X R v U m V t b 3 Z l Z E N v b H V t b n M x L n t C Q 0 F S L D I 4 f S Z x d W 9 0 O y w m c X V v d D t T Z W N 0 a W 9 u M S 9 G S V 9 P V F U 0 N F 9 l c 3 B l Y 2 l l L 0 F 1 d G 9 S Z W 1 v d m V k Q 2 9 s d W 1 u c z E u e 0 F D Q V I s M j l 9 J n F 1 b 3 Q 7 L C Z x d W 9 0 O 1 N l Y 3 R p b 2 4 x L 0 Z J X 0 9 U V T Q 0 X 2 V z c G V j a W U v Q X V 0 b 1 J l b W 9 2 Z W R D b 2 x 1 b W 5 z M S 5 7 Q 1 J Z U C w z M H 0 m c X V v d D s s J n F 1 b 3 Q 7 U 2 V j d G l v b j E v R k l f T 1 R V N D R f Z X N w Z W N p Z S 9 B d X R v U m V t b 3 Z l Z E N v b H V t b n M x L n t M W U N P L D M x f S Z x d W 9 0 O y w m c X V v d D t T Z W N 0 a W 9 u M S 9 G S V 9 P V F U 0 N F 9 l c 3 B l Y 2 l l L 0 F 1 d G 9 S Z W 1 v d m V k Q 2 9 s d W 1 u c z E u e 0 x a L D M y f S Z x d W 9 0 O y w m c X V v d D t T Z W N 0 a W 9 u M S 9 G S V 9 P V F U 0 N F 9 l c 3 B l Y 2 l l L 0 F 1 d G 9 S Z W 1 v d m V k Q 2 9 s d W 1 u c z E u e 0 F U T 0 M s M z N 9 J n F 1 b 3 Q 7 L C Z x d W 9 0 O 1 N l Y 3 R p b 2 4 x L 0 Z J X 0 9 U V T Q 0 X 2 V z c G V j a W U v Q X V 0 b 1 J l b W 9 2 Z W R D b 2 x 1 b W 5 z M S 5 7 V k s s M z R 9 J n F 1 b 3 Q 7 L C Z x d W 9 0 O 1 N l Y 3 R p b 2 4 x L 0 Z J X 0 9 U V T Q 0 X 2 V z c G V j a W U v Q X V 0 b 1 J l b W 9 2 Z W R D b 2 x 1 b W 5 z M S 5 7 Q 0 h P T E U s M z V 9 J n F 1 b 3 Q 7 L C Z x d W 9 0 O 1 N l Y 3 R p b 2 4 x L 0 Z J X 0 9 U V T Q 0 X 2 V z c G V j a W U v Q X V 0 b 1 J l b W 9 2 Z W R D b 2 x 1 b W 5 z M S 5 7 U 0 Z B V C w z N n 0 m c X V v d D s s J n F 1 b 3 Q 7 U 2 V j d G l v b j E v R k l f T 1 R V N D R f Z X N w Z W N p Z S 9 B d X R v U m V t b 3 Z l Z E N v b H V t b n M x L n t N R k F U L D M 3 f S Z x d W 9 0 O y w m c X V v d D t T Z W N 0 a W 9 u M S 9 G S V 9 P V F U 0 N F 9 l c 3 B l Y 2 l l L 0 F 1 d G 9 S Z W 1 v d m V k Q 2 9 s d W 1 u c z E u e 1 B G Q V Q s M z h 9 J n F 1 b 3 Q 7 L C Z x d W 9 0 O 1 N l Y 3 R p b 2 4 x L 0 Z J X 0 9 U V T Q 0 X 2 V z c G V j a W U v Q X V 0 b 1 J l b W 9 2 Z W R D b 2 x 1 b W 5 z M S 5 7 V k l U R C w z O X 0 m c X V v d D s s J n F 1 b 3 Q 7 U 2 V j d G l v b j E v R k l f T 1 R V N D R f Z X N w Z W N p Z S 9 B d X R v U m V t b 3 Z l Z E N v b H V t b n M x L n t D S E 9 M T i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X 0 9 U V T Q 0 X 2 V z c G V j a W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T 1 R V N D R f Z X N w Z W N p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P V F U 0 N F 9 l c 3 B l Y 2 l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9 U V T Q 0 X 2 Z h b W l s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k l f T 1 R V N D R f Z m F t a W x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3 V D E 5 O j U 5 O j A 3 L j Q 4 N T I z O D h a I i A v P j x F b n R y e S B U e X B l P S J G a W x s Q 2 9 s d W 1 u V H l w Z X M i I F Z h b H V l P S J z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S 0 N B T C Z x d W 9 0 O y w m c X V v d D t Q U k 9 U J n F 1 b 3 Q 7 L C Z x d W 9 0 O 1 R G Q V Q m c X V v d D s s J n F 1 b 3 Q 7 Q 0 F S Q i Z x d W 9 0 O y w m c X V v d D t N T 0 l T J n F 1 b 3 Q 7 L C Z x d W 9 0 O 0 F M Q y Z x d W 9 0 O y w m c X V v d D t D Q U Z G J n F 1 b 3 Q 7 L C Z x d W 9 0 O 1 R I R U 8 m c X V v d D s s J n F 1 b 3 Q 7 U 1 V H U i Z x d W 9 0 O y w m c X V v d D t G S U J F J n F 1 b 3 Q 7 L C Z x d W 9 0 O 0 N B T E M m c X V v d D s s J n F 1 b 3 Q 7 S V J P T i Z x d W 9 0 O y w m c X V v d D t N Q U d O J n F 1 b 3 Q 7 L C Z x d W 9 0 O 1 B I T 1 M m c X V v d D s s J n F 1 b 3 Q 7 U E 9 U Q S Z x d W 9 0 O y w m c X V v d D t T T 0 R J J n F 1 b 3 Q 7 L C Z x d W 9 0 O 1 p J T k M m c X V v d D s s J n F 1 b 3 Q 7 Q 0 9 Q U C Z x d W 9 0 O y w m c X V v d D t T R U x F J n F 1 b 3 Q 7 L C Z x d W 9 0 O 1 Z D J n F 1 b 3 Q 7 L C Z x d W 9 0 O 1 Z C M S Z x d W 9 0 O y w m c X V v d D t W Q j I m c X V v d D s s J n F 1 b 3 Q 7 T k l B Q y Z x d W 9 0 O y w m c X V v d D t W Q j Y m c X V v d D s s J n F 1 b 3 Q 7 R k 9 M Q S Z x d W 9 0 O y w m c X V v d D t W Q j E y J n F 1 b 3 Q 7 L C Z x d W 9 0 O 1 Z B U k E m c X V v d D s s J n F 1 b 3 Q 7 U k V U J n F 1 b 3 Q 7 L C Z x d W 9 0 O 0 J D Q V I m c X V v d D s s J n F 1 b 3 Q 7 Q U N B U i Z x d W 9 0 O y w m c X V v d D t D U l l Q J n F 1 b 3 Q 7 L C Z x d W 9 0 O 0 x Z Q 0 8 m c X V v d D s s J n F 1 b 3 Q 7 T F o m c X V v d D s s J n F 1 b 3 Q 7 Q V R P Q y Z x d W 9 0 O y w m c X V v d D t W S y Z x d W 9 0 O y w m c X V v d D t D S E 9 M R S Z x d W 9 0 O y w m c X V v d D t T R k F U J n F 1 b 3 Q 7 L C Z x d W 9 0 O 0 1 G Q V Q m c X V v d D s s J n F 1 b 3 Q 7 U E Z B V C Z x d W 9 0 O y w m c X V v d D t W S V R E J n F 1 b 3 Q 7 L C Z x d W 9 0 O 0 N I T 0 x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X 0 9 U V T Q 0 X 2 Z h b W l s e S 9 B d X R v U m V t b 3 Z l Z E N v b H V t b n M x L n t L Q 0 F M L D B 9 J n F 1 b 3 Q 7 L C Z x d W 9 0 O 1 N l Y 3 R p b 2 4 x L 0 Z J X 0 9 U V T Q 0 X 2 Z h b W l s e S 9 B d X R v U m V t b 3 Z l Z E N v b H V t b n M x L n t Q U k 9 U L D F 9 J n F 1 b 3 Q 7 L C Z x d W 9 0 O 1 N l Y 3 R p b 2 4 x L 0 Z J X 0 9 U V T Q 0 X 2 Z h b W l s e S 9 B d X R v U m V t b 3 Z l Z E N v b H V t b n M x L n t U R k F U L D J 9 J n F 1 b 3 Q 7 L C Z x d W 9 0 O 1 N l Y 3 R p b 2 4 x L 0 Z J X 0 9 U V T Q 0 X 2 Z h b W l s e S 9 B d X R v U m V t b 3 Z l Z E N v b H V t b n M x L n t D Q V J C L D N 9 J n F 1 b 3 Q 7 L C Z x d W 9 0 O 1 N l Y 3 R p b 2 4 x L 0 Z J X 0 9 U V T Q 0 X 2 Z h b W l s e S 9 B d X R v U m V t b 3 Z l Z E N v b H V t b n M x L n t N T 0 l T L D R 9 J n F 1 b 3 Q 7 L C Z x d W 9 0 O 1 N l Y 3 R p b 2 4 x L 0 Z J X 0 9 U V T Q 0 X 2 Z h b W l s e S 9 B d X R v U m V t b 3 Z l Z E N v b H V t b n M x L n t B T E M s N X 0 m c X V v d D s s J n F 1 b 3 Q 7 U 2 V j d G l v b j E v R k l f T 1 R V N D R f Z m F t a W x 5 L 0 F 1 d G 9 S Z W 1 v d m V k Q 2 9 s d W 1 u c z E u e 0 N B R k Y s N n 0 m c X V v d D s s J n F 1 b 3 Q 7 U 2 V j d G l v b j E v R k l f T 1 R V N D R f Z m F t a W x 5 L 0 F 1 d G 9 S Z W 1 v d m V k Q 2 9 s d W 1 u c z E u e 1 R I R U 8 s N 3 0 m c X V v d D s s J n F 1 b 3 Q 7 U 2 V j d G l v b j E v R k l f T 1 R V N D R f Z m F t a W x 5 L 0 F 1 d G 9 S Z W 1 v d m V k Q 2 9 s d W 1 u c z E u e 1 N V R 1 I s O H 0 m c X V v d D s s J n F 1 b 3 Q 7 U 2 V j d G l v b j E v R k l f T 1 R V N D R f Z m F t a W x 5 L 0 F 1 d G 9 S Z W 1 v d m V k Q 2 9 s d W 1 u c z E u e 0 Z J Q k U s O X 0 m c X V v d D s s J n F 1 b 3 Q 7 U 2 V j d G l v b j E v R k l f T 1 R V N D R f Z m F t a W x 5 L 0 F 1 d G 9 S Z W 1 v d m V k Q 2 9 s d W 1 u c z E u e 0 N B T E M s M T B 9 J n F 1 b 3 Q 7 L C Z x d W 9 0 O 1 N l Y 3 R p b 2 4 x L 0 Z J X 0 9 U V T Q 0 X 2 Z h b W l s e S 9 B d X R v U m V t b 3 Z l Z E N v b H V t b n M x L n t J U k 9 O L D E x f S Z x d W 9 0 O y w m c X V v d D t T Z W N 0 a W 9 u M S 9 G S V 9 P V F U 0 N F 9 m Y W 1 p b H k v Q X V 0 b 1 J l b W 9 2 Z W R D b 2 x 1 b W 5 z M S 5 7 T U F H T i w x M n 0 m c X V v d D s s J n F 1 b 3 Q 7 U 2 V j d G l v b j E v R k l f T 1 R V N D R f Z m F t a W x 5 L 0 F 1 d G 9 S Z W 1 v d m V k Q 2 9 s d W 1 u c z E u e 1 B I T 1 M s M T N 9 J n F 1 b 3 Q 7 L C Z x d W 9 0 O 1 N l Y 3 R p b 2 4 x L 0 Z J X 0 9 U V T Q 0 X 2 Z h b W l s e S 9 B d X R v U m V t b 3 Z l Z E N v b H V t b n M x L n t Q T 1 R B L D E 0 f S Z x d W 9 0 O y w m c X V v d D t T Z W N 0 a W 9 u M S 9 G S V 9 P V F U 0 N F 9 m Y W 1 p b H k v Q X V 0 b 1 J l b W 9 2 Z W R D b 2 x 1 b W 5 z M S 5 7 U 0 9 E S S w x N X 0 m c X V v d D s s J n F 1 b 3 Q 7 U 2 V j d G l v b j E v R k l f T 1 R V N D R f Z m F t a W x 5 L 0 F 1 d G 9 S Z W 1 v d m V k Q 2 9 s d W 1 u c z E u e 1 p J T k M s M T Z 9 J n F 1 b 3 Q 7 L C Z x d W 9 0 O 1 N l Y 3 R p b 2 4 x L 0 Z J X 0 9 U V T Q 0 X 2 Z h b W l s e S 9 B d X R v U m V t b 3 Z l Z E N v b H V t b n M x L n t D T 1 B Q L D E 3 f S Z x d W 9 0 O y w m c X V v d D t T Z W N 0 a W 9 u M S 9 G S V 9 P V F U 0 N F 9 m Y W 1 p b H k v Q X V 0 b 1 J l b W 9 2 Z W R D b 2 x 1 b W 5 z M S 5 7 U 0 V M R S w x O H 0 m c X V v d D s s J n F 1 b 3 Q 7 U 2 V j d G l v b j E v R k l f T 1 R V N D R f Z m F t a W x 5 L 0 F 1 d G 9 S Z W 1 v d m V k Q 2 9 s d W 1 u c z E u e 1 Z D L D E 5 f S Z x d W 9 0 O y w m c X V v d D t T Z W N 0 a W 9 u M S 9 G S V 9 P V F U 0 N F 9 m Y W 1 p b H k v Q X V 0 b 1 J l b W 9 2 Z W R D b 2 x 1 b W 5 z M S 5 7 V k I x L D I w f S Z x d W 9 0 O y w m c X V v d D t T Z W N 0 a W 9 u M S 9 G S V 9 P V F U 0 N F 9 m Y W 1 p b H k v Q X V 0 b 1 J l b W 9 2 Z W R D b 2 x 1 b W 5 z M S 5 7 V k I y L D I x f S Z x d W 9 0 O y w m c X V v d D t T Z W N 0 a W 9 u M S 9 G S V 9 P V F U 0 N F 9 m Y W 1 p b H k v Q X V 0 b 1 J l b W 9 2 Z W R D b 2 x 1 b W 5 z M S 5 7 T k l B Q y w y M n 0 m c X V v d D s s J n F 1 b 3 Q 7 U 2 V j d G l v b j E v R k l f T 1 R V N D R f Z m F t a W x 5 L 0 F 1 d G 9 S Z W 1 v d m V k Q 2 9 s d W 1 u c z E u e 1 Z C N i w y M 3 0 m c X V v d D s s J n F 1 b 3 Q 7 U 2 V j d G l v b j E v R k l f T 1 R V N D R f Z m F t a W x 5 L 0 F 1 d G 9 S Z W 1 v d m V k Q 2 9 s d W 1 u c z E u e 0 Z P T E E s M j R 9 J n F 1 b 3 Q 7 L C Z x d W 9 0 O 1 N l Y 3 R p b 2 4 x L 0 Z J X 0 9 U V T Q 0 X 2 Z h b W l s e S 9 B d X R v U m V t b 3 Z l Z E N v b H V t b n M x L n t W Q j E y L D I 1 f S Z x d W 9 0 O y w m c X V v d D t T Z W N 0 a W 9 u M S 9 G S V 9 P V F U 0 N F 9 m Y W 1 p b H k v Q X V 0 b 1 J l b W 9 2 Z W R D b 2 x 1 b W 5 z M S 5 7 V k F S Q S w y N n 0 m c X V v d D s s J n F 1 b 3 Q 7 U 2 V j d G l v b j E v R k l f T 1 R V N D R f Z m F t a W x 5 L 0 F 1 d G 9 S Z W 1 v d m V k Q 2 9 s d W 1 u c z E u e 1 J F V C w y N 3 0 m c X V v d D s s J n F 1 b 3 Q 7 U 2 V j d G l v b j E v R k l f T 1 R V N D R f Z m F t a W x 5 L 0 F 1 d G 9 S Z W 1 v d m V k Q 2 9 s d W 1 u c z E u e 0 J D Q V I s M j h 9 J n F 1 b 3 Q 7 L C Z x d W 9 0 O 1 N l Y 3 R p b 2 4 x L 0 Z J X 0 9 U V T Q 0 X 2 Z h b W l s e S 9 B d X R v U m V t b 3 Z l Z E N v b H V t b n M x L n t B Q 0 F S L D I 5 f S Z x d W 9 0 O y w m c X V v d D t T Z W N 0 a W 9 u M S 9 G S V 9 P V F U 0 N F 9 m Y W 1 p b H k v Q X V 0 b 1 J l b W 9 2 Z W R D b 2 x 1 b W 5 z M S 5 7 Q 1 J Z U C w z M H 0 m c X V v d D s s J n F 1 b 3 Q 7 U 2 V j d G l v b j E v R k l f T 1 R V N D R f Z m F t a W x 5 L 0 F 1 d G 9 S Z W 1 v d m V k Q 2 9 s d W 1 u c z E u e 0 x Z Q 0 8 s M z F 9 J n F 1 b 3 Q 7 L C Z x d W 9 0 O 1 N l Y 3 R p b 2 4 x L 0 Z J X 0 9 U V T Q 0 X 2 Z h b W l s e S 9 B d X R v U m V t b 3 Z l Z E N v b H V t b n M x L n t M W i w z M n 0 m c X V v d D s s J n F 1 b 3 Q 7 U 2 V j d G l v b j E v R k l f T 1 R V N D R f Z m F t a W x 5 L 0 F 1 d G 9 S Z W 1 v d m V k Q 2 9 s d W 1 u c z E u e 0 F U T 0 M s M z N 9 J n F 1 b 3 Q 7 L C Z x d W 9 0 O 1 N l Y 3 R p b 2 4 x L 0 Z J X 0 9 U V T Q 0 X 2 Z h b W l s e S 9 B d X R v U m V t b 3 Z l Z E N v b H V t b n M x L n t W S y w z N H 0 m c X V v d D s s J n F 1 b 3 Q 7 U 2 V j d G l v b j E v R k l f T 1 R V N D R f Z m F t a W x 5 L 0 F 1 d G 9 S Z W 1 v d m V k Q 2 9 s d W 1 u c z E u e 0 N I T 0 x F L D M 1 f S Z x d W 9 0 O y w m c X V v d D t T Z W N 0 a W 9 u M S 9 G S V 9 P V F U 0 N F 9 m Y W 1 p b H k v Q X V 0 b 1 J l b W 9 2 Z W R D b 2 x 1 b W 5 z M S 5 7 U 0 Z B V C w z N n 0 m c X V v d D s s J n F 1 b 3 Q 7 U 2 V j d G l v b j E v R k l f T 1 R V N D R f Z m F t a W x 5 L 0 F 1 d G 9 S Z W 1 v d m V k Q 2 9 s d W 1 u c z E u e 0 1 G Q V Q s M z d 9 J n F 1 b 3 Q 7 L C Z x d W 9 0 O 1 N l Y 3 R p b 2 4 x L 0 Z J X 0 9 U V T Q 0 X 2 Z h b W l s e S 9 B d X R v U m V t b 3 Z l Z E N v b H V t b n M x L n t Q R k F U L D M 4 f S Z x d W 9 0 O y w m c X V v d D t T Z W N 0 a W 9 u M S 9 G S V 9 P V F U 0 N F 9 m Y W 1 p b H k v Q X V 0 b 1 J l b W 9 2 Z W R D b 2 x 1 b W 5 z M S 5 7 V k l U R C w z O X 0 m c X V v d D s s J n F 1 b 3 Q 7 U 2 V j d G l v b j E v R k l f T 1 R V N D R f Z m F t a W x 5 L 0 F 1 d G 9 S Z W 1 v d m V k Q 2 9 s d W 1 u c z E u e 0 N I T 0 x O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R k l f T 1 R V N D R f Z m F t a W x 5 L 0 F 1 d G 9 S Z W 1 v d m V k Q 2 9 s d W 1 u c z E u e 0 t D Q U w s M H 0 m c X V v d D s s J n F 1 b 3 Q 7 U 2 V j d G l v b j E v R k l f T 1 R V N D R f Z m F t a W x 5 L 0 F 1 d G 9 S Z W 1 v d m V k Q 2 9 s d W 1 u c z E u e 1 B S T 1 Q s M X 0 m c X V v d D s s J n F 1 b 3 Q 7 U 2 V j d G l v b j E v R k l f T 1 R V N D R f Z m F t a W x 5 L 0 F 1 d G 9 S Z W 1 v d m V k Q 2 9 s d W 1 u c z E u e 1 R G Q V Q s M n 0 m c X V v d D s s J n F 1 b 3 Q 7 U 2 V j d G l v b j E v R k l f T 1 R V N D R f Z m F t a W x 5 L 0 F 1 d G 9 S Z W 1 v d m V k Q 2 9 s d W 1 u c z E u e 0 N B U k I s M 3 0 m c X V v d D s s J n F 1 b 3 Q 7 U 2 V j d G l v b j E v R k l f T 1 R V N D R f Z m F t a W x 5 L 0 F 1 d G 9 S Z W 1 v d m V k Q 2 9 s d W 1 u c z E u e 0 1 P S V M s N H 0 m c X V v d D s s J n F 1 b 3 Q 7 U 2 V j d G l v b j E v R k l f T 1 R V N D R f Z m F t a W x 5 L 0 F 1 d G 9 S Z W 1 v d m V k Q 2 9 s d W 1 u c z E u e 0 F M Q y w 1 f S Z x d W 9 0 O y w m c X V v d D t T Z W N 0 a W 9 u M S 9 G S V 9 P V F U 0 N F 9 m Y W 1 p b H k v Q X V 0 b 1 J l b W 9 2 Z W R D b 2 x 1 b W 5 z M S 5 7 Q 0 F G R i w 2 f S Z x d W 9 0 O y w m c X V v d D t T Z W N 0 a W 9 u M S 9 G S V 9 P V F U 0 N F 9 m Y W 1 p b H k v Q X V 0 b 1 J l b W 9 2 Z W R D b 2 x 1 b W 5 z M S 5 7 V E h F T y w 3 f S Z x d W 9 0 O y w m c X V v d D t T Z W N 0 a W 9 u M S 9 G S V 9 P V F U 0 N F 9 m Y W 1 p b H k v Q X V 0 b 1 J l b W 9 2 Z W R D b 2 x 1 b W 5 z M S 5 7 U 1 V H U i w 4 f S Z x d W 9 0 O y w m c X V v d D t T Z W N 0 a W 9 u M S 9 G S V 9 P V F U 0 N F 9 m Y W 1 p b H k v Q X V 0 b 1 J l b W 9 2 Z W R D b 2 x 1 b W 5 z M S 5 7 R k l C R S w 5 f S Z x d W 9 0 O y w m c X V v d D t T Z W N 0 a W 9 u M S 9 G S V 9 P V F U 0 N F 9 m Y W 1 p b H k v Q X V 0 b 1 J l b W 9 2 Z W R D b 2 x 1 b W 5 z M S 5 7 Q 0 F M Q y w x M H 0 m c X V v d D s s J n F 1 b 3 Q 7 U 2 V j d G l v b j E v R k l f T 1 R V N D R f Z m F t a W x 5 L 0 F 1 d G 9 S Z W 1 v d m V k Q 2 9 s d W 1 u c z E u e 0 l S T 0 4 s M T F 9 J n F 1 b 3 Q 7 L C Z x d W 9 0 O 1 N l Y 3 R p b 2 4 x L 0 Z J X 0 9 U V T Q 0 X 2 Z h b W l s e S 9 B d X R v U m V t b 3 Z l Z E N v b H V t b n M x L n t N Q U d O L D E y f S Z x d W 9 0 O y w m c X V v d D t T Z W N 0 a W 9 u M S 9 G S V 9 P V F U 0 N F 9 m Y W 1 p b H k v Q X V 0 b 1 J l b W 9 2 Z W R D b 2 x 1 b W 5 z M S 5 7 U E h P U y w x M 3 0 m c X V v d D s s J n F 1 b 3 Q 7 U 2 V j d G l v b j E v R k l f T 1 R V N D R f Z m F t a W x 5 L 0 F 1 d G 9 S Z W 1 v d m V k Q 2 9 s d W 1 u c z E u e 1 B P V E E s M T R 9 J n F 1 b 3 Q 7 L C Z x d W 9 0 O 1 N l Y 3 R p b 2 4 x L 0 Z J X 0 9 U V T Q 0 X 2 Z h b W l s e S 9 B d X R v U m V t b 3 Z l Z E N v b H V t b n M x L n t T T 0 R J L D E 1 f S Z x d W 9 0 O y w m c X V v d D t T Z W N 0 a W 9 u M S 9 G S V 9 P V F U 0 N F 9 m Y W 1 p b H k v Q X V 0 b 1 J l b W 9 2 Z W R D b 2 x 1 b W 5 z M S 5 7 W k l O Q y w x N n 0 m c X V v d D s s J n F 1 b 3 Q 7 U 2 V j d G l v b j E v R k l f T 1 R V N D R f Z m F t a W x 5 L 0 F 1 d G 9 S Z W 1 v d m V k Q 2 9 s d W 1 u c z E u e 0 N P U F A s M T d 9 J n F 1 b 3 Q 7 L C Z x d W 9 0 O 1 N l Y 3 R p b 2 4 x L 0 Z J X 0 9 U V T Q 0 X 2 Z h b W l s e S 9 B d X R v U m V t b 3 Z l Z E N v b H V t b n M x L n t T R U x F L D E 4 f S Z x d W 9 0 O y w m c X V v d D t T Z W N 0 a W 9 u M S 9 G S V 9 P V F U 0 N F 9 m Y W 1 p b H k v Q X V 0 b 1 J l b W 9 2 Z W R D b 2 x 1 b W 5 z M S 5 7 V k M s M T l 9 J n F 1 b 3 Q 7 L C Z x d W 9 0 O 1 N l Y 3 R p b 2 4 x L 0 Z J X 0 9 U V T Q 0 X 2 Z h b W l s e S 9 B d X R v U m V t b 3 Z l Z E N v b H V t b n M x L n t W Q j E s M j B 9 J n F 1 b 3 Q 7 L C Z x d W 9 0 O 1 N l Y 3 R p b 2 4 x L 0 Z J X 0 9 U V T Q 0 X 2 Z h b W l s e S 9 B d X R v U m V t b 3 Z l Z E N v b H V t b n M x L n t W Q j I s M j F 9 J n F 1 b 3 Q 7 L C Z x d W 9 0 O 1 N l Y 3 R p b 2 4 x L 0 Z J X 0 9 U V T Q 0 X 2 Z h b W l s e S 9 B d X R v U m V t b 3 Z l Z E N v b H V t b n M x L n t O S U F D L D I y f S Z x d W 9 0 O y w m c X V v d D t T Z W N 0 a W 9 u M S 9 G S V 9 P V F U 0 N F 9 m Y W 1 p b H k v Q X V 0 b 1 J l b W 9 2 Z W R D b 2 x 1 b W 5 z M S 5 7 V k I 2 L D I z f S Z x d W 9 0 O y w m c X V v d D t T Z W N 0 a W 9 u M S 9 G S V 9 P V F U 0 N F 9 m Y W 1 p b H k v Q X V 0 b 1 J l b W 9 2 Z W R D b 2 x 1 b W 5 z M S 5 7 R k 9 M Q S w y N H 0 m c X V v d D s s J n F 1 b 3 Q 7 U 2 V j d G l v b j E v R k l f T 1 R V N D R f Z m F t a W x 5 L 0 F 1 d G 9 S Z W 1 v d m V k Q 2 9 s d W 1 u c z E u e 1 Z C M T I s M j V 9 J n F 1 b 3 Q 7 L C Z x d W 9 0 O 1 N l Y 3 R p b 2 4 x L 0 Z J X 0 9 U V T Q 0 X 2 Z h b W l s e S 9 B d X R v U m V t b 3 Z l Z E N v b H V t b n M x L n t W Q V J B L D I 2 f S Z x d W 9 0 O y w m c X V v d D t T Z W N 0 a W 9 u M S 9 G S V 9 P V F U 0 N F 9 m Y W 1 p b H k v Q X V 0 b 1 J l b W 9 2 Z W R D b 2 x 1 b W 5 z M S 5 7 U k V U L D I 3 f S Z x d W 9 0 O y w m c X V v d D t T Z W N 0 a W 9 u M S 9 G S V 9 P V F U 0 N F 9 m Y W 1 p b H k v Q X V 0 b 1 J l b W 9 2 Z W R D b 2 x 1 b W 5 z M S 5 7 Q k N B U i w y O H 0 m c X V v d D s s J n F 1 b 3 Q 7 U 2 V j d G l v b j E v R k l f T 1 R V N D R f Z m F t a W x 5 L 0 F 1 d G 9 S Z W 1 v d m V k Q 2 9 s d W 1 u c z E u e 0 F D Q V I s M j l 9 J n F 1 b 3 Q 7 L C Z x d W 9 0 O 1 N l Y 3 R p b 2 4 x L 0 Z J X 0 9 U V T Q 0 X 2 Z h b W l s e S 9 B d X R v U m V t b 3 Z l Z E N v b H V t b n M x L n t D U l l Q L D M w f S Z x d W 9 0 O y w m c X V v d D t T Z W N 0 a W 9 u M S 9 G S V 9 P V F U 0 N F 9 m Y W 1 p b H k v Q X V 0 b 1 J l b W 9 2 Z W R D b 2 x 1 b W 5 z M S 5 7 T F l D T y w z M X 0 m c X V v d D s s J n F 1 b 3 Q 7 U 2 V j d G l v b j E v R k l f T 1 R V N D R f Z m F t a W x 5 L 0 F 1 d G 9 S Z W 1 v d m V k Q 2 9 s d W 1 u c z E u e 0 x a L D M y f S Z x d W 9 0 O y w m c X V v d D t T Z W N 0 a W 9 u M S 9 G S V 9 P V F U 0 N F 9 m Y W 1 p b H k v Q X V 0 b 1 J l b W 9 2 Z W R D b 2 x 1 b W 5 z M S 5 7 Q V R P Q y w z M 3 0 m c X V v d D s s J n F 1 b 3 Q 7 U 2 V j d G l v b j E v R k l f T 1 R V N D R f Z m F t a W x 5 L 0 F 1 d G 9 S Z W 1 v d m V k Q 2 9 s d W 1 u c z E u e 1 Z L L D M 0 f S Z x d W 9 0 O y w m c X V v d D t T Z W N 0 a W 9 u M S 9 G S V 9 P V F U 0 N F 9 m Y W 1 p b H k v Q X V 0 b 1 J l b W 9 2 Z W R D b 2 x 1 b W 5 z M S 5 7 Q 0 h P T E U s M z V 9 J n F 1 b 3 Q 7 L C Z x d W 9 0 O 1 N l Y 3 R p b 2 4 x L 0 Z J X 0 9 U V T Q 0 X 2 Z h b W l s e S 9 B d X R v U m V t b 3 Z l Z E N v b H V t b n M x L n t T R k F U L D M 2 f S Z x d W 9 0 O y w m c X V v d D t T Z W N 0 a W 9 u M S 9 G S V 9 P V F U 0 N F 9 m Y W 1 p b H k v Q X V 0 b 1 J l b W 9 2 Z W R D b 2 x 1 b W 5 z M S 5 7 T U Z B V C w z N 3 0 m c X V v d D s s J n F 1 b 3 Q 7 U 2 V j d G l v b j E v R k l f T 1 R V N D R f Z m F t a W x 5 L 0 F 1 d G 9 S Z W 1 v d m V k Q 2 9 s d W 1 u c z E u e 1 B G Q V Q s M z h 9 J n F 1 b 3 Q 7 L C Z x d W 9 0 O 1 N l Y 3 R p b 2 4 x L 0 Z J X 0 9 U V T Q 0 X 2 Z h b W l s e S 9 B d X R v U m V t b 3 Z l Z E N v b H V t b n M x L n t W S V R E L D M 5 f S Z x d W 9 0 O y w m c X V v d D t T Z W N 0 a W 9 u M S 9 G S V 9 P V F U 0 N F 9 m Y W 1 p b H k v Q X V 0 b 1 J l b W 9 2 Z W R D b 2 x 1 b W 5 z M S 5 7 Q 0 h P T E 4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S V 9 P V F U 0 N F 9 m Y W 1 p b H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T 1 R V N D R f Z m F t a W x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9 U V T Q 0 X 2 Z h b W l s e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P V F U 0 N F 9 m a W x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G S V 9 P V F U 0 N F 9 m a W x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3 V D E 5 O j U 5 O j M w L j M 2 M T A 2 N T d a I i A v P j x F b n R y e S B U e X B l P S J G a W x s Q 2 9 s d W 1 u V H l w Z X M i I F Z h b H V l P S J z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S 0 N B T C Z x d W 9 0 O y w m c X V v d D t Q U k 9 U J n F 1 b 3 Q 7 L C Z x d W 9 0 O 1 R G Q V Q m c X V v d D s s J n F 1 b 3 Q 7 Q 0 F S Q i Z x d W 9 0 O y w m c X V v d D t N T 0 l T J n F 1 b 3 Q 7 L C Z x d W 9 0 O 0 F M Q y Z x d W 9 0 O y w m c X V v d D t D Q U Z G J n F 1 b 3 Q 7 L C Z x d W 9 0 O 1 R I R U 8 m c X V v d D s s J n F 1 b 3 Q 7 U 1 V H U i Z x d W 9 0 O y w m c X V v d D t G S U J F J n F 1 b 3 Q 7 L C Z x d W 9 0 O 0 N B T E M m c X V v d D s s J n F 1 b 3 Q 7 S V J P T i Z x d W 9 0 O y w m c X V v d D t N Q U d O J n F 1 b 3 Q 7 L C Z x d W 9 0 O 1 B I T 1 M m c X V v d D s s J n F 1 b 3 Q 7 U E 9 U Q S Z x d W 9 0 O y w m c X V v d D t T T 0 R J J n F 1 b 3 Q 7 L C Z x d W 9 0 O 1 p J T k M m c X V v d D s s J n F 1 b 3 Q 7 Q 0 9 Q U C Z x d W 9 0 O y w m c X V v d D t T R U x F J n F 1 b 3 Q 7 L C Z x d W 9 0 O 1 Z D J n F 1 b 3 Q 7 L C Z x d W 9 0 O 1 Z C M S Z x d W 9 0 O y w m c X V v d D t W Q j I m c X V v d D s s J n F 1 b 3 Q 7 T k l B Q y Z x d W 9 0 O y w m c X V v d D t W Q j Y m c X V v d D s s J n F 1 b 3 Q 7 R k 9 M Q S Z x d W 9 0 O y w m c X V v d D t W Q j E y J n F 1 b 3 Q 7 L C Z x d W 9 0 O 1 Z B U k E m c X V v d D s s J n F 1 b 3 Q 7 U k V U J n F 1 b 3 Q 7 L C Z x d W 9 0 O 0 J D Q V I m c X V v d D s s J n F 1 b 3 Q 7 Q U N B U i Z x d W 9 0 O y w m c X V v d D t D U l l Q J n F 1 b 3 Q 7 L C Z x d W 9 0 O 0 x Z Q 0 8 m c X V v d D s s J n F 1 b 3 Q 7 T F o m c X V v d D s s J n F 1 b 3 Q 7 Q V R P Q y Z x d W 9 0 O y w m c X V v d D t W S y Z x d W 9 0 O y w m c X V v d D t D S E 9 M R S Z x d W 9 0 O y w m c X V v d D t T R k F U J n F 1 b 3 Q 7 L C Z x d W 9 0 O 0 1 G Q V Q m c X V v d D s s J n F 1 b 3 Q 7 U E Z B V C Z x d W 9 0 O y w m c X V v d D t W S V R E J n F 1 b 3 Q 7 L C Z x d W 9 0 O 0 N I T 0 x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X 0 9 U V T Q 0 X 2 Z p b G 8 v Q X V 0 b 1 J l b W 9 2 Z W R D b 2 x 1 b W 5 z M S 5 7 S 0 N B T C w w f S Z x d W 9 0 O y w m c X V v d D t T Z W N 0 a W 9 u M S 9 G S V 9 P V F U 0 N F 9 m a W x v L 0 F 1 d G 9 S Z W 1 v d m V k Q 2 9 s d W 1 u c z E u e 1 B S T 1 Q s M X 0 m c X V v d D s s J n F 1 b 3 Q 7 U 2 V j d G l v b j E v R k l f T 1 R V N D R f Z m l s b y 9 B d X R v U m V t b 3 Z l Z E N v b H V t b n M x L n t U R k F U L D J 9 J n F 1 b 3 Q 7 L C Z x d W 9 0 O 1 N l Y 3 R p b 2 4 x L 0 Z J X 0 9 U V T Q 0 X 2 Z p b G 8 v Q X V 0 b 1 J l b W 9 2 Z W R D b 2 x 1 b W 5 z M S 5 7 Q 0 F S Q i w z f S Z x d W 9 0 O y w m c X V v d D t T Z W N 0 a W 9 u M S 9 G S V 9 P V F U 0 N F 9 m a W x v L 0 F 1 d G 9 S Z W 1 v d m V k Q 2 9 s d W 1 u c z E u e 0 1 P S V M s N H 0 m c X V v d D s s J n F 1 b 3 Q 7 U 2 V j d G l v b j E v R k l f T 1 R V N D R f Z m l s b y 9 B d X R v U m V t b 3 Z l Z E N v b H V t b n M x L n t B T E M s N X 0 m c X V v d D s s J n F 1 b 3 Q 7 U 2 V j d G l v b j E v R k l f T 1 R V N D R f Z m l s b y 9 B d X R v U m V t b 3 Z l Z E N v b H V t b n M x L n t D Q U Z G L D Z 9 J n F 1 b 3 Q 7 L C Z x d W 9 0 O 1 N l Y 3 R p b 2 4 x L 0 Z J X 0 9 U V T Q 0 X 2 Z p b G 8 v Q X V 0 b 1 J l b W 9 2 Z W R D b 2 x 1 b W 5 z M S 5 7 V E h F T y w 3 f S Z x d W 9 0 O y w m c X V v d D t T Z W N 0 a W 9 u M S 9 G S V 9 P V F U 0 N F 9 m a W x v L 0 F 1 d G 9 S Z W 1 v d m V k Q 2 9 s d W 1 u c z E u e 1 N V R 1 I s O H 0 m c X V v d D s s J n F 1 b 3 Q 7 U 2 V j d G l v b j E v R k l f T 1 R V N D R f Z m l s b y 9 B d X R v U m V t b 3 Z l Z E N v b H V t b n M x L n t G S U J F L D l 9 J n F 1 b 3 Q 7 L C Z x d W 9 0 O 1 N l Y 3 R p b 2 4 x L 0 Z J X 0 9 U V T Q 0 X 2 Z p b G 8 v Q X V 0 b 1 J l b W 9 2 Z W R D b 2 x 1 b W 5 z M S 5 7 Q 0 F M Q y w x M H 0 m c X V v d D s s J n F 1 b 3 Q 7 U 2 V j d G l v b j E v R k l f T 1 R V N D R f Z m l s b y 9 B d X R v U m V t b 3 Z l Z E N v b H V t b n M x L n t J U k 9 O L D E x f S Z x d W 9 0 O y w m c X V v d D t T Z W N 0 a W 9 u M S 9 G S V 9 P V F U 0 N F 9 m a W x v L 0 F 1 d G 9 S Z W 1 v d m V k Q 2 9 s d W 1 u c z E u e 0 1 B R 0 4 s M T J 9 J n F 1 b 3 Q 7 L C Z x d W 9 0 O 1 N l Y 3 R p b 2 4 x L 0 Z J X 0 9 U V T Q 0 X 2 Z p b G 8 v Q X V 0 b 1 J l b W 9 2 Z W R D b 2 x 1 b W 5 z M S 5 7 U E h P U y w x M 3 0 m c X V v d D s s J n F 1 b 3 Q 7 U 2 V j d G l v b j E v R k l f T 1 R V N D R f Z m l s b y 9 B d X R v U m V t b 3 Z l Z E N v b H V t b n M x L n t Q T 1 R B L D E 0 f S Z x d W 9 0 O y w m c X V v d D t T Z W N 0 a W 9 u M S 9 G S V 9 P V F U 0 N F 9 m a W x v L 0 F 1 d G 9 S Z W 1 v d m V k Q 2 9 s d W 1 u c z E u e 1 N P R E k s M T V 9 J n F 1 b 3 Q 7 L C Z x d W 9 0 O 1 N l Y 3 R p b 2 4 x L 0 Z J X 0 9 U V T Q 0 X 2 Z p b G 8 v Q X V 0 b 1 J l b W 9 2 Z W R D b 2 x 1 b W 5 z M S 5 7 W k l O Q y w x N n 0 m c X V v d D s s J n F 1 b 3 Q 7 U 2 V j d G l v b j E v R k l f T 1 R V N D R f Z m l s b y 9 B d X R v U m V t b 3 Z l Z E N v b H V t b n M x L n t D T 1 B Q L D E 3 f S Z x d W 9 0 O y w m c X V v d D t T Z W N 0 a W 9 u M S 9 G S V 9 P V F U 0 N F 9 m a W x v L 0 F 1 d G 9 S Z W 1 v d m V k Q 2 9 s d W 1 u c z E u e 1 N F T E U s M T h 9 J n F 1 b 3 Q 7 L C Z x d W 9 0 O 1 N l Y 3 R p b 2 4 x L 0 Z J X 0 9 U V T Q 0 X 2 Z p b G 8 v Q X V 0 b 1 J l b W 9 2 Z W R D b 2 x 1 b W 5 z M S 5 7 V k M s M T l 9 J n F 1 b 3 Q 7 L C Z x d W 9 0 O 1 N l Y 3 R p b 2 4 x L 0 Z J X 0 9 U V T Q 0 X 2 Z p b G 8 v Q X V 0 b 1 J l b W 9 2 Z W R D b 2 x 1 b W 5 z M S 5 7 V k I x L D I w f S Z x d W 9 0 O y w m c X V v d D t T Z W N 0 a W 9 u M S 9 G S V 9 P V F U 0 N F 9 m a W x v L 0 F 1 d G 9 S Z W 1 v d m V k Q 2 9 s d W 1 u c z E u e 1 Z C M i w y M X 0 m c X V v d D s s J n F 1 b 3 Q 7 U 2 V j d G l v b j E v R k l f T 1 R V N D R f Z m l s b y 9 B d X R v U m V t b 3 Z l Z E N v b H V t b n M x L n t O S U F D L D I y f S Z x d W 9 0 O y w m c X V v d D t T Z W N 0 a W 9 u M S 9 G S V 9 P V F U 0 N F 9 m a W x v L 0 F 1 d G 9 S Z W 1 v d m V k Q 2 9 s d W 1 u c z E u e 1 Z C N i w y M 3 0 m c X V v d D s s J n F 1 b 3 Q 7 U 2 V j d G l v b j E v R k l f T 1 R V N D R f Z m l s b y 9 B d X R v U m V t b 3 Z l Z E N v b H V t b n M x L n t G T 0 x B L D I 0 f S Z x d W 9 0 O y w m c X V v d D t T Z W N 0 a W 9 u M S 9 G S V 9 P V F U 0 N F 9 m a W x v L 0 F 1 d G 9 S Z W 1 v d m V k Q 2 9 s d W 1 u c z E u e 1 Z C M T I s M j V 9 J n F 1 b 3 Q 7 L C Z x d W 9 0 O 1 N l Y 3 R p b 2 4 x L 0 Z J X 0 9 U V T Q 0 X 2 Z p b G 8 v Q X V 0 b 1 J l b W 9 2 Z W R D b 2 x 1 b W 5 z M S 5 7 V k F S Q S w y N n 0 m c X V v d D s s J n F 1 b 3 Q 7 U 2 V j d G l v b j E v R k l f T 1 R V N D R f Z m l s b y 9 B d X R v U m V t b 3 Z l Z E N v b H V t b n M x L n t S R V Q s M j d 9 J n F 1 b 3 Q 7 L C Z x d W 9 0 O 1 N l Y 3 R p b 2 4 x L 0 Z J X 0 9 U V T Q 0 X 2 Z p b G 8 v Q X V 0 b 1 J l b W 9 2 Z W R D b 2 x 1 b W 5 z M S 5 7 Q k N B U i w y O H 0 m c X V v d D s s J n F 1 b 3 Q 7 U 2 V j d G l v b j E v R k l f T 1 R V N D R f Z m l s b y 9 B d X R v U m V t b 3 Z l Z E N v b H V t b n M x L n t B Q 0 F S L D I 5 f S Z x d W 9 0 O y w m c X V v d D t T Z W N 0 a W 9 u M S 9 G S V 9 P V F U 0 N F 9 m a W x v L 0 F 1 d G 9 S Z W 1 v d m V k Q 2 9 s d W 1 u c z E u e 0 N S W V A s M z B 9 J n F 1 b 3 Q 7 L C Z x d W 9 0 O 1 N l Y 3 R p b 2 4 x L 0 Z J X 0 9 U V T Q 0 X 2 Z p b G 8 v Q X V 0 b 1 J l b W 9 2 Z W R D b 2 x 1 b W 5 z M S 5 7 T F l D T y w z M X 0 m c X V v d D s s J n F 1 b 3 Q 7 U 2 V j d G l v b j E v R k l f T 1 R V N D R f Z m l s b y 9 B d X R v U m V t b 3 Z l Z E N v b H V t b n M x L n t M W i w z M n 0 m c X V v d D s s J n F 1 b 3 Q 7 U 2 V j d G l v b j E v R k l f T 1 R V N D R f Z m l s b y 9 B d X R v U m V t b 3 Z l Z E N v b H V t b n M x L n t B V E 9 D L D M z f S Z x d W 9 0 O y w m c X V v d D t T Z W N 0 a W 9 u M S 9 G S V 9 P V F U 0 N F 9 m a W x v L 0 F 1 d G 9 S Z W 1 v d m V k Q 2 9 s d W 1 u c z E u e 1 Z L L D M 0 f S Z x d W 9 0 O y w m c X V v d D t T Z W N 0 a W 9 u M S 9 G S V 9 P V F U 0 N F 9 m a W x v L 0 F 1 d G 9 S Z W 1 v d m V k Q 2 9 s d W 1 u c z E u e 0 N I T 0 x F L D M 1 f S Z x d W 9 0 O y w m c X V v d D t T Z W N 0 a W 9 u M S 9 G S V 9 P V F U 0 N F 9 m a W x v L 0 F 1 d G 9 S Z W 1 v d m V k Q 2 9 s d W 1 u c z E u e 1 N G Q V Q s M z Z 9 J n F 1 b 3 Q 7 L C Z x d W 9 0 O 1 N l Y 3 R p b 2 4 x L 0 Z J X 0 9 U V T Q 0 X 2 Z p b G 8 v Q X V 0 b 1 J l b W 9 2 Z W R D b 2 x 1 b W 5 z M S 5 7 T U Z B V C w z N 3 0 m c X V v d D s s J n F 1 b 3 Q 7 U 2 V j d G l v b j E v R k l f T 1 R V N D R f Z m l s b y 9 B d X R v U m V t b 3 Z l Z E N v b H V t b n M x L n t Q R k F U L D M 4 f S Z x d W 9 0 O y w m c X V v d D t T Z W N 0 a W 9 u M S 9 G S V 9 P V F U 0 N F 9 m a W x v L 0 F 1 d G 9 S Z W 1 v d m V k Q 2 9 s d W 1 u c z E u e 1 Z J V E Q s M z l 9 J n F 1 b 3 Q 7 L C Z x d W 9 0 O 1 N l Y 3 R p b 2 4 x L 0 Z J X 0 9 U V T Q 0 X 2 Z p b G 8 v Q X V 0 b 1 J l b W 9 2 Z W R D b 2 x 1 b W 5 z M S 5 7 Q 0 h P T E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G S V 9 P V F U 0 N F 9 m a W x v L 0 F 1 d G 9 S Z W 1 v d m V k Q 2 9 s d W 1 u c z E u e 0 t D Q U w s M H 0 m c X V v d D s s J n F 1 b 3 Q 7 U 2 V j d G l v b j E v R k l f T 1 R V N D R f Z m l s b y 9 B d X R v U m V t b 3 Z l Z E N v b H V t b n M x L n t Q U k 9 U L D F 9 J n F 1 b 3 Q 7 L C Z x d W 9 0 O 1 N l Y 3 R p b 2 4 x L 0 Z J X 0 9 U V T Q 0 X 2 Z p b G 8 v Q X V 0 b 1 J l b W 9 2 Z W R D b 2 x 1 b W 5 z M S 5 7 V E Z B V C w y f S Z x d W 9 0 O y w m c X V v d D t T Z W N 0 a W 9 u M S 9 G S V 9 P V F U 0 N F 9 m a W x v L 0 F 1 d G 9 S Z W 1 v d m V k Q 2 9 s d W 1 u c z E u e 0 N B U k I s M 3 0 m c X V v d D s s J n F 1 b 3 Q 7 U 2 V j d G l v b j E v R k l f T 1 R V N D R f Z m l s b y 9 B d X R v U m V t b 3 Z l Z E N v b H V t b n M x L n t N T 0 l T L D R 9 J n F 1 b 3 Q 7 L C Z x d W 9 0 O 1 N l Y 3 R p b 2 4 x L 0 Z J X 0 9 U V T Q 0 X 2 Z p b G 8 v Q X V 0 b 1 J l b W 9 2 Z W R D b 2 x 1 b W 5 z M S 5 7 Q U x D L D V 9 J n F 1 b 3 Q 7 L C Z x d W 9 0 O 1 N l Y 3 R p b 2 4 x L 0 Z J X 0 9 U V T Q 0 X 2 Z p b G 8 v Q X V 0 b 1 J l b W 9 2 Z W R D b 2 x 1 b W 5 z M S 5 7 Q 0 F G R i w 2 f S Z x d W 9 0 O y w m c X V v d D t T Z W N 0 a W 9 u M S 9 G S V 9 P V F U 0 N F 9 m a W x v L 0 F 1 d G 9 S Z W 1 v d m V k Q 2 9 s d W 1 u c z E u e 1 R I R U 8 s N 3 0 m c X V v d D s s J n F 1 b 3 Q 7 U 2 V j d G l v b j E v R k l f T 1 R V N D R f Z m l s b y 9 B d X R v U m V t b 3 Z l Z E N v b H V t b n M x L n t T V U d S L D h 9 J n F 1 b 3 Q 7 L C Z x d W 9 0 O 1 N l Y 3 R p b 2 4 x L 0 Z J X 0 9 U V T Q 0 X 2 Z p b G 8 v Q X V 0 b 1 J l b W 9 2 Z W R D b 2 x 1 b W 5 z M S 5 7 R k l C R S w 5 f S Z x d W 9 0 O y w m c X V v d D t T Z W N 0 a W 9 u M S 9 G S V 9 P V F U 0 N F 9 m a W x v L 0 F 1 d G 9 S Z W 1 v d m V k Q 2 9 s d W 1 u c z E u e 0 N B T E M s M T B 9 J n F 1 b 3 Q 7 L C Z x d W 9 0 O 1 N l Y 3 R p b 2 4 x L 0 Z J X 0 9 U V T Q 0 X 2 Z p b G 8 v Q X V 0 b 1 J l b W 9 2 Z W R D b 2 x 1 b W 5 z M S 5 7 S V J P T i w x M X 0 m c X V v d D s s J n F 1 b 3 Q 7 U 2 V j d G l v b j E v R k l f T 1 R V N D R f Z m l s b y 9 B d X R v U m V t b 3 Z l Z E N v b H V t b n M x L n t N Q U d O L D E y f S Z x d W 9 0 O y w m c X V v d D t T Z W N 0 a W 9 u M S 9 G S V 9 P V F U 0 N F 9 m a W x v L 0 F 1 d G 9 S Z W 1 v d m V k Q 2 9 s d W 1 u c z E u e 1 B I T 1 M s M T N 9 J n F 1 b 3 Q 7 L C Z x d W 9 0 O 1 N l Y 3 R p b 2 4 x L 0 Z J X 0 9 U V T Q 0 X 2 Z p b G 8 v Q X V 0 b 1 J l b W 9 2 Z W R D b 2 x 1 b W 5 z M S 5 7 U E 9 U Q S w x N H 0 m c X V v d D s s J n F 1 b 3 Q 7 U 2 V j d G l v b j E v R k l f T 1 R V N D R f Z m l s b y 9 B d X R v U m V t b 3 Z l Z E N v b H V t b n M x L n t T T 0 R J L D E 1 f S Z x d W 9 0 O y w m c X V v d D t T Z W N 0 a W 9 u M S 9 G S V 9 P V F U 0 N F 9 m a W x v L 0 F 1 d G 9 S Z W 1 v d m V k Q 2 9 s d W 1 u c z E u e 1 p J T k M s M T Z 9 J n F 1 b 3 Q 7 L C Z x d W 9 0 O 1 N l Y 3 R p b 2 4 x L 0 Z J X 0 9 U V T Q 0 X 2 Z p b G 8 v Q X V 0 b 1 J l b W 9 2 Z W R D b 2 x 1 b W 5 z M S 5 7 Q 0 9 Q U C w x N 3 0 m c X V v d D s s J n F 1 b 3 Q 7 U 2 V j d G l v b j E v R k l f T 1 R V N D R f Z m l s b y 9 B d X R v U m V t b 3 Z l Z E N v b H V t b n M x L n t T R U x F L D E 4 f S Z x d W 9 0 O y w m c X V v d D t T Z W N 0 a W 9 u M S 9 G S V 9 P V F U 0 N F 9 m a W x v L 0 F 1 d G 9 S Z W 1 v d m V k Q 2 9 s d W 1 u c z E u e 1 Z D L D E 5 f S Z x d W 9 0 O y w m c X V v d D t T Z W N 0 a W 9 u M S 9 G S V 9 P V F U 0 N F 9 m a W x v L 0 F 1 d G 9 S Z W 1 v d m V k Q 2 9 s d W 1 u c z E u e 1 Z C M S w y M H 0 m c X V v d D s s J n F 1 b 3 Q 7 U 2 V j d G l v b j E v R k l f T 1 R V N D R f Z m l s b y 9 B d X R v U m V t b 3 Z l Z E N v b H V t b n M x L n t W Q j I s M j F 9 J n F 1 b 3 Q 7 L C Z x d W 9 0 O 1 N l Y 3 R p b 2 4 x L 0 Z J X 0 9 U V T Q 0 X 2 Z p b G 8 v Q X V 0 b 1 J l b W 9 2 Z W R D b 2 x 1 b W 5 z M S 5 7 T k l B Q y w y M n 0 m c X V v d D s s J n F 1 b 3 Q 7 U 2 V j d G l v b j E v R k l f T 1 R V N D R f Z m l s b y 9 B d X R v U m V t b 3 Z l Z E N v b H V t b n M x L n t W Q j Y s M j N 9 J n F 1 b 3 Q 7 L C Z x d W 9 0 O 1 N l Y 3 R p b 2 4 x L 0 Z J X 0 9 U V T Q 0 X 2 Z p b G 8 v Q X V 0 b 1 J l b W 9 2 Z W R D b 2 x 1 b W 5 z M S 5 7 R k 9 M Q S w y N H 0 m c X V v d D s s J n F 1 b 3 Q 7 U 2 V j d G l v b j E v R k l f T 1 R V N D R f Z m l s b y 9 B d X R v U m V t b 3 Z l Z E N v b H V t b n M x L n t W Q j E y L D I 1 f S Z x d W 9 0 O y w m c X V v d D t T Z W N 0 a W 9 u M S 9 G S V 9 P V F U 0 N F 9 m a W x v L 0 F 1 d G 9 S Z W 1 v d m V k Q 2 9 s d W 1 u c z E u e 1 Z B U k E s M j Z 9 J n F 1 b 3 Q 7 L C Z x d W 9 0 O 1 N l Y 3 R p b 2 4 x L 0 Z J X 0 9 U V T Q 0 X 2 Z p b G 8 v Q X V 0 b 1 J l b W 9 2 Z W R D b 2 x 1 b W 5 z M S 5 7 U k V U L D I 3 f S Z x d W 9 0 O y w m c X V v d D t T Z W N 0 a W 9 u M S 9 G S V 9 P V F U 0 N F 9 m a W x v L 0 F 1 d G 9 S Z W 1 v d m V k Q 2 9 s d W 1 u c z E u e 0 J D Q V I s M j h 9 J n F 1 b 3 Q 7 L C Z x d W 9 0 O 1 N l Y 3 R p b 2 4 x L 0 Z J X 0 9 U V T Q 0 X 2 Z p b G 8 v Q X V 0 b 1 J l b W 9 2 Z W R D b 2 x 1 b W 5 z M S 5 7 Q U N B U i w y O X 0 m c X V v d D s s J n F 1 b 3 Q 7 U 2 V j d G l v b j E v R k l f T 1 R V N D R f Z m l s b y 9 B d X R v U m V t b 3 Z l Z E N v b H V t b n M x L n t D U l l Q L D M w f S Z x d W 9 0 O y w m c X V v d D t T Z W N 0 a W 9 u M S 9 G S V 9 P V F U 0 N F 9 m a W x v L 0 F 1 d G 9 S Z W 1 v d m V k Q 2 9 s d W 1 u c z E u e 0 x Z Q 0 8 s M z F 9 J n F 1 b 3 Q 7 L C Z x d W 9 0 O 1 N l Y 3 R p b 2 4 x L 0 Z J X 0 9 U V T Q 0 X 2 Z p b G 8 v Q X V 0 b 1 J l b W 9 2 Z W R D b 2 x 1 b W 5 z M S 5 7 T F o s M z J 9 J n F 1 b 3 Q 7 L C Z x d W 9 0 O 1 N l Y 3 R p b 2 4 x L 0 Z J X 0 9 U V T Q 0 X 2 Z p b G 8 v Q X V 0 b 1 J l b W 9 2 Z W R D b 2 x 1 b W 5 z M S 5 7 Q V R P Q y w z M 3 0 m c X V v d D s s J n F 1 b 3 Q 7 U 2 V j d G l v b j E v R k l f T 1 R V N D R f Z m l s b y 9 B d X R v U m V t b 3 Z l Z E N v b H V t b n M x L n t W S y w z N H 0 m c X V v d D s s J n F 1 b 3 Q 7 U 2 V j d G l v b j E v R k l f T 1 R V N D R f Z m l s b y 9 B d X R v U m V t b 3 Z l Z E N v b H V t b n M x L n t D S E 9 M R S w z N X 0 m c X V v d D s s J n F 1 b 3 Q 7 U 2 V j d G l v b j E v R k l f T 1 R V N D R f Z m l s b y 9 B d X R v U m V t b 3 Z l Z E N v b H V t b n M x L n t T R k F U L D M 2 f S Z x d W 9 0 O y w m c X V v d D t T Z W N 0 a W 9 u M S 9 G S V 9 P V F U 0 N F 9 m a W x v L 0 F 1 d G 9 S Z W 1 v d m V k Q 2 9 s d W 1 u c z E u e 0 1 G Q V Q s M z d 9 J n F 1 b 3 Q 7 L C Z x d W 9 0 O 1 N l Y 3 R p b 2 4 x L 0 Z J X 0 9 U V T Q 0 X 2 Z p b G 8 v Q X V 0 b 1 J l b W 9 2 Z W R D b 2 x 1 b W 5 z M S 5 7 U E Z B V C w z O H 0 m c X V v d D s s J n F 1 b 3 Q 7 U 2 V j d G l v b j E v R k l f T 1 R V N D R f Z m l s b y 9 B d X R v U m V t b 3 Z l Z E N v b H V t b n M x L n t W S V R E L D M 5 f S Z x d W 9 0 O y w m c X V v d D t T Z W N 0 a W 9 u M S 9 G S V 9 P V F U 0 N F 9 m a W x v L 0 F 1 d G 9 S Z W 1 v d m V k Q 2 9 s d W 1 u c z E u e 0 N I T 0 x O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l f T 1 R V N D R f Z m l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P V F U 0 N F 9 m a W x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9 U V T Q 0 X 2 Z p b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T 1 R V N D R f Z 2 V u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Z J X 0 9 U V T Q 0 X 2 d l b n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3 V D E 5 O j U 5 O j U w L j M 4 N T c z O T d a I i A v P j x F b n R y e S B U e X B l P S J G a W x s Q 2 9 s d W 1 u V H l w Z X M i I F Z h b H V l P S J z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S 0 N B T C Z x d W 9 0 O y w m c X V v d D t Q U k 9 U J n F 1 b 3 Q 7 L C Z x d W 9 0 O 1 R G Q V Q m c X V v d D s s J n F 1 b 3 Q 7 Q 0 F S Q i Z x d W 9 0 O y w m c X V v d D t N T 0 l T J n F 1 b 3 Q 7 L C Z x d W 9 0 O 0 F M Q y Z x d W 9 0 O y w m c X V v d D t D Q U Z G J n F 1 b 3 Q 7 L C Z x d W 9 0 O 1 R I R U 8 m c X V v d D s s J n F 1 b 3 Q 7 U 1 V H U i Z x d W 9 0 O y w m c X V v d D t G S U J F J n F 1 b 3 Q 7 L C Z x d W 9 0 O 0 N B T E M m c X V v d D s s J n F 1 b 3 Q 7 S V J P T i Z x d W 9 0 O y w m c X V v d D t N Q U d O J n F 1 b 3 Q 7 L C Z x d W 9 0 O 1 B I T 1 M m c X V v d D s s J n F 1 b 3 Q 7 U E 9 U Q S Z x d W 9 0 O y w m c X V v d D t T T 0 R J J n F 1 b 3 Q 7 L C Z x d W 9 0 O 1 p J T k M m c X V v d D s s J n F 1 b 3 Q 7 Q 0 9 Q U C Z x d W 9 0 O y w m c X V v d D t T R U x F J n F 1 b 3 Q 7 L C Z x d W 9 0 O 1 Z D J n F 1 b 3 Q 7 L C Z x d W 9 0 O 1 Z C M S Z x d W 9 0 O y w m c X V v d D t W Q j I m c X V v d D s s J n F 1 b 3 Q 7 T k l B Q y Z x d W 9 0 O y w m c X V v d D t W Q j Y m c X V v d D s s J n F 1 b 3 Q 7 R k 9 M Q S Z x d W 9 0 O y w m c X V v d D t W Q j E y J n F 1 b 3 Q 7 L C Z x d W 9 0 O 1 Z B U k E m c X V v d D s s J n F 1 b 3 Q 7 U k V U J n F 1 b 3 Q 7 L C Z x d W 9 0 O 0 J D Q V I m c X V v d D s s J n F 1 b 3 Q 7 Q U N B U i Z x d W 9 0 O y w m c X V v d D t D U l l Q J n F 1 b 3 Q 7 L C Z x d W 9 0 O 0 x Z Q 0 8 m c X V v d D s s J n F 1 b 3 Q 7 T F o m c X V v d D s s J n F 1 b 3 Q 7 Q V R P Q y Z x d W 9 0 O y w m c X V v d D t W S y Z x d W 9 0 O y w m c X V v d D t D S E 9 M R S Z x d W 9 0 O y w m c X V v d D t T R k F U J n F 1 b 3 Q 7 L C Z x d W 9 0 O 0 1 G Q V Q m c X V v d D s s J n F 1 b 3 Q 7 U E Z B V C Z x d W 9 0 O y w m c X V v d D t W S V R E J n F 1 b 3 Q 7 L C Z x d W 9 0 O 0 N I T 0 x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X 0 9 U V T Q 0 X 2 d l b n V z L 0 F 1 d G 9 S Z W 1 v d m V k Q 2 9 s d W 1 u c z E u e 0 t D Q U w s M H 0 m c X V v d D s s J n F 1 b 3 Q 7 U 2 V j d G l v b j E v R k l f T 1 R V N D R f Z 2 V u d X M v Q X V 0 b 1 J l b W 9 2 Z W R D b 2 x 1 b W 5 z M S 5 7 U F J P V C w x f S Z x d W 9 0 O y w m c X V v d D t T Z W N 0 a W 9 u M S 9 G S V 9 P V F U 0 N F 9 n Z W 5 1 c y 9 B d X R v U m V t b 3 Z l Z E N v b H V t b n M x L n t U R k F U L D J 9 J n F 1 b 3 Q 7 L C Z x d W 9 0 O 1 N l Y 3 R p b 2 4 x L 0 Z J X 0 9 U V T Q 0 X 2 d l b n V z L 0 F 1 d G 9 S Z W 1 v d m V k Q 2 9 s d W 1 u c z E u e 0 N B U k I s M 3 0 m c X V v d D s s J n F 1 b 3 Q 7 U 2 V j d G l v b j E v R k l f T 1 R V N D R f Z 2 V u d X M v Q X V 0 b 1 J l b W 9 2 Z W R D b 2 x 1 b W 5 z M S 5 7 T U 9 J U y w 0 f S Z x d W 9 0 O y w m c X V v d D t T Z W N 0 a W 9 u M S 9 G S V 9 P V F U 0 N F 9 n Z W 5 1 c y 9 B d X R v U m V t b 3 Z l Z E N v b H V t b n M x L n t B T E M s N X 0 m c X V v d D s s J n F 1 b 3 Q 7 U 2 V j d G l v b j E v R k l f T 1 R V N D R f Z 2 V u d X M v Q X V 0 b 1 J l b W 9 2 Z W R D b 2 x 1 b W 5 z M S 5 7 Q 0 F G R i w 2 f S Z x d W 9 0 O y w m c X V v d D t T Z W N 0 a W 9 u M S 9 G S V 9 P V F U 0 N F 9 n Z W 5 1 c y 9 B d X R v U m V t b 3 Z l Z E N v b H V t b n M x L n t U S E V P L D d 9 J n F 1 b 3 Q 7 L C Z x d W 9 0 O 1 N l Y 3 R p b 2 4 x L 0 Z J X 0 9 U V T Q 0 X 2 d l b n V z L 0 F 1 d G 9 S Z W 1 v d m V k Q 2 9 s d W 1 u c z E u e 1 N V R 1 I s O H 0 m c X V v d D s s J n F 1 b 3 Q 7 U 2 V j d G l v b j E v R k l f T 1 R V N D R f Z 2 V u d X M v Q X V 0 b 1 J l b W 9 2 Z W R D b 2 x 1 b W 5 z M S 5 7 R k l C R S w 5 f S Z x d W 9 0 O y w m c X V v d D t T Z W N 0 a W 9 u M S 9 G S V 9 P V F U 0 N F 9 n Z W 5 1 c y 9 B d X R v U m V t b 3 Z l Z E N v b H V t b n M x L n t D Q U x D L D E w f S Z x d W 9 0 O y w m c X V v d D t T Z W N 0 a W 9 u M S 9 G S V 9 P V F U 0 N F 9 n Z W 5 1 c y 9 B d X R v U m V t b 3 Z l Z E N v b H V t b n M x L n t J U k 9 O L D E x f S Z x d W 9 0 O y w m c X V v d D t T Z W N 0 a W 9 u M S 9 G S V 9 P V F U 0 N F 9 n Z W 5 1 c y 9 B d X R v U m V t b 3 Z l Z E N v b H V t b n M x L n t N Q U d O L D E y f S Z x d W 9 0 O y w m c X V v d D t T Z W N 0 a W 9 u M S 9 G S V 9 P V F U 0 N F 9 n Z W 5 1 c y 9 B d X R v U m V t b 3 Z l Z E N v b H V t b n M x L n t Q S E 9 T L D E z f S Z x d W 9 0 O y w m c X V v d D t T Z W N 0 a W 9 u M S 9 G S V 9 P V F U 0 N F 9 n Z W 5 1 c y 9 B d X R v U m V t b 3 Z l Z E N v b H V t b n M x L n t Q T 1 R B L D E 0 f S Z x d W 9 0 O y w m c X V v d D t T Z W N 0 a W 9 u M S 9 G S V 9 P V F U 0 N F 9 n Z W 5 1 c y 9 B d X R v U m V t b 3 Z l Z E N v b H V t b n M x L n t T T 0 R J L D E 1 f S Z x d W 9 0 O y w m c X V v d D t T Z W N 0 a W 9 u M S 9 G S V 9 P V F U 0 N F 9 n Z W 5 1 c y 9 B d X R v U m V t b 3 Z l Z E N v b H V t b n M x L n t a S U 5 D L D E 2 f S Z x d W 9 0 O y w m c X V v d D t T Z W N 0 a W 9 u M S 9 G S V 9 P V F U 0 N F 9 n Z W 5 1 c y 9 B d X R v U m V t b 3 Z l Z E N v b H V t b n M x L n t D T 1 B Q L D E 3 f S Z x d W 9 0 O y w m c X V v d D t T Z W N 0 a W 9 u M S 9 G S V 9 P V F U 0 N F 9 n Z W 5 1 c y 9 B d X R v U m V t b 3 Z l Z E N v b H V t b n M x L n t T R U x F L D E 4 f S Z x d W 9 0 O y w m c X V v d D t T Z W N 0 a W 9 u M S 9 G S V 9 P V F U 0 N F 9 n Z W 5 1 c y 9 B d X R v U m V t b 3 Z l Z E N v b H V t b n M x L n t W Q y w x O X 0 m c X V v d D s s J n F 1 b 3 Q 7 U 2 V j d G l v b j E v R k l f T 1 R V N D R f Z 2 V u d X M v Q X V 0 b 1 J l b W 9 2 Z W R D b 2 x 1 b W 5 z M S 5 7 V k I x L D I w f S Z x d W 9 0 O y w m c X V v d D t T Z W N 0 a W 9 u M S 9 G S V 9 P V F U 0 N F 9 n Z W 5 1 c y 9 B d X R v U m V t b 3 Z l Z E N v b H V t b n M x L n t W Q j I s M j F 9 J n F 1 b 3 Q 7 L C Z x d W 9 0 O 1 N l Y 3 R p b 2 4 x L 0 Z J X 0 9 U V T Q 0 X 2 d l b n V z L 0 F 1 d G 9 S Z W 1 v d m V k Q 2 9 s d W 1 u c z E u e 0 5 J Q U M s M j J 9 J n F 1 b 3 Q 7 L C Z x d W 9 0 O 1 N l Y 3 R p b 2 4 x L 0 Z J X 0 9 U V T Q 0 X 2 d l b n V z L 0 F 1 d G 9 S Z W 1 v d m V k Q 2 9 s d W 1 u c z E u e 1 Z C N i w y M 3 0 m c X V v d D s s J n F 1 b 3 Q 7 U 2 V j d G l v b j E v R k l f T 1 R V N D R f Z 2 V u d X M v Q X V 0 b 1 J l b W 9 2 Z W R D b 2 x 1 b W 5 z M S 5 7 R k 9 M Q S w y N H 0 m c X V v d D s s J n F 1 b 3 Q 7 U 2 V j d G l v b j E v R k l f T 1 R V N D R f Z 2 V u d X M v Q X V 0 b 1 J l b W 9 2 Z W R D b 2 x 1 b W 5 z M S 5 7 V k I x M i w y N X 0 m c X V v d D s s J n F 1 b 3 Q 7 U 2 V j d G l v b j E v R k l f T 1 R V N D R f Z 2 V u d X M v Q X V 0 b 1 J l b W 9 2 Z W R D b 2 x 1 b W 5 z M S 5 7 V k F S Q S w y N n 0 m c X V v d D s s J n F 1 b 3 Q 7 U 2 V j d G l v b j E v R k l f T 1 R V N D R f Z 2 V u d X M v Q X V 0 b 1 J l b W 9 2 Z W R D b 2 x 1 b W 5 z M S 5 7 U k V U L D I 3 f S Z x d W 9 0 O y w m c X V v d D t T Z W N 0 a W 9 u M S 9 G S V 9 P V F U 0 N F 9 n Z W 5 1 c y 9 B d X R v U m V t b 3 Z l Z E N v b H V t b n M x L n t C Q 0 F S L D I 4 f S Z x d W 9 0 O y w m c X V v d D t T Z W N 0 a W 9 u M S 9 G S V 9 P V F U 0 N F 9 n Z W 5 1 c y 9 B d X R v U m V t b 3 Z l Z E N v b H V t b n M x L n t B Q 0 F S L D I 5 f S Z x d W 9 0 O y w m c X V v d D t T Z W N 0 a W 9 u M S 9 G S V 9 P V F U 0 N F 9 n Z W 5 1 c y 9 B d X R v U m V t b 3 Z l Z E N v b H V t b n M x L n t D U l l Q L D M w f S Z x d W 9 0 O y w m c X V v d D t T Z W N 0 a W 9 u M S 9 G S V 9 P V F U 0 N F 9 n Z W 5 1 c y 9 B d X R v U m V t b 3 Z l Z E N v b H V t b n M x L n t M W U N P L D M x f S Z x d W 9 0 O y w m c X V v d D t T Z W N 0 a W 9 u M S 9 G S V 9 P V F U 0 N F 9 n Z W 5 1 c y 9 B d X R v U m V t b 3 Z l Z E N v b H V t b n M x L n t M W i w z M n 0 m c X V v d D s s J n F 1 b 3 Q 7 U 2 V j d G l v b j E v R k l f T 1 R V N D R f Z 2 V u d X M v Q X V 0 b 1 J l b W 9 2 Z W R D b 2 x 1 b W 5 z M S 5 7 Q V R P Q y w z M 3 0 m c X V v d D s s J n F 1 b 3 Q 7 U 2 V j d G l v b j E v R k l f T 1 R V N D R f Z 2 V u d X M v Q X V 0 b 1 J l b W 9 2 Z W R D b 2 x 1 b W 5 z M S 5 7 V k s s M z R 9 J n F 1 b 3 Q 7 L C Z x d W 9 0 O 1 N l Y 3 R p b 2 4 x L 0 Z J X 0 9 U V T Q 0 X 2 d l b n V z L 0 F 1 d G 9 S Z W 1 v d m V k Q 2 9 s d W 1 u c z E u e 0 N I T 0 x F L D M 1 f S Z x d W 9 0 O y w m c X V v d D t T Z W N 0 a W 9 u M S 9 G S V 9 P V F U 0 N F 9 n Z W 5 1 c y 9 B d X R v U m V t b 3 Z l Z E N v b H V t b n M x L n t T R k F U L D M 2 f S Z x d W 9 0 O y w m c X V v d D t T Z W N 0 a W 9 u M S 9 G S V 9 P V F U 0 N F 9 n Z W 5 1 c y 9 B d X R v U m V t b 3 Z l Z E N v b H V t b n M x L n t N R k F U L D M 3 f S Z x d W 9 0 O y w m c X V v d D t T Z W N 0 a W 9 u M S 9 G S V 9 P V F U 0 N F 9 n Z W 5 1 c y 9 B d X R v U m V t b 3 Z l Z E N v b H V t b n M x L n t Q R k F U L D M 4 f S Z x d W 9 0 O y w m c X V v d D t T Z W N 0 a W 9 u M S 9 G S V 9 P V F U 0 N F 9 n Z W 5 1 c y 9 B d X R v U m V t b 3 Z l Z E N v b H V t b n M x L n t W S V R E L D M 5 f S Z x d W 9 0 O y w m c X V v d D t T Z W N 0 a W 9 u M S 9 G S V 9 P V F U 0 N F 9 n Z W 5 1 c y 9 B d X R v U m V t b 3 Z l Z E N v b H V t b n M x L n t D S E 9 M T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Z J X 0 9 U V T Q 0 X 2 d l b n V z L 0 F 1 d G 9 S Z W 1 v d m V k Q 2 9 s d W 1 u c z E u e 0 t D Q U w s M H 0 m c X V v d D s s J n F 1 b 3 Q 7 U 2 V j d G l v b j E v R k l f T 1 R V N D R f Z 2 V u d X M v Q X V 0 b 1 J l b W 9 2 Z W R D b 2 x 1 b W 5 z M S 5 7 U F J P V C w x f S Z x d W 9 0 O y w m c X V v d D t T Z W N 0 a W 9 u M S 9 G S V 9 P V F U 0 N F 9 n Z W 5 1 c y 9 B d X R v U m V t b 3 Z l Z E N v b H V t b n M x L n t U R k F U L D J 9 J n F 1 b 3 Q 7 L C Z x d W 9 0 O 1 N l Y 3 R p b 2 4 x L 0 Z J X 0 9 U V T Q 0 X 2 d l b n V z L 0 F 1 d G 9 S Z W 1 v d m V k Q 2 9 s d W 1 u c z E u e 0 N B U k I s M 3 0 m c X V v d D s s J n F 1 b 3 Q 7 U 2 V j d G l v b j E v R k l f T 1 R V N D R f Z 2 V u d X M v Q X V 0 b 1 J l b W 9 2 Z W R D b 2 x 1 b W 5 z M S 5 7 T U 9 J U y w 0 f S Z x d W 9 0 O y w m c X V v d D t T Z W N 0 a W 9 u M S 9 G S V 9 P V F U 0 N F 9 n Z W 5 1 c y 9 B d X R v U m V t b 3 Z l Z E N v b H V t b n M x L n t B T E M s N X 0 m c X V v d D s s J n F 1 b 3 Q 7 U 2 V j d G l v b j E v R k l f T 1 R V N D R f Z 2 V u d X M v Q X V 0 b 1 J l b W 9 2 Z W R D b 2 x 1 b W 5 z M S 5 7 Q 0 F G R i w 2 f S Z x d W 9 0 O y w m c X V v d D t T Z W N 0 a W 9 u M S 9 G S V 9 P V F U 0 N F 9 n Z W 5 1 c y 9 B d X R v U m V t b 3 Z l Z E N v b H V t b n M x L n t U S E V P L D d 9 J n F 1 b 3 Q 7 L C Z x d W 9 0 O 1 N l Y 3 R p b 2 4 x L 0 Z J X 0 9 U V T Q 0 X 2 d l b n V z L 0 F 1 d G 9 S Z W 1 v d m V k Q 2 9 s d W 1 u c z E u e 1 N V R 1 I s O H 0 m c X V v d D s s J n F 1 b 3 Q 7 U 2 V j d G l v b j E v R k l f T 1 R V N D R f Z 2 V u d X M v Q X V 0 b 1 J l b W 9 2 Z W R D b 2 x 1 b W 5 z M S 5 7 R k l C R S w 5 f S Z x d W 9 0 O y w m c X V v d D t T Z W N 0 a W 9 u M S 9 G S V 9 P V F U 0 N F 9 n Z W 5 1 c y 9 B d X R v U m V t b 3 Z l Z E N v b H V t b n M x L n t D Q U x D L D E w f S Z x d W 9 0 O y w m c X V v d D t T Z W N 0 a W 9 u M S 9 G S V 9 P V F U 0 N F 9 n Z W 5 1 c y 9 B d X R v U m V t b 3 Z l Z E N v b H V t b n M x L n t J U k 9 O L D E x f S Z x d W 9 0 O y w m c X V v d D t T Z W N 0 a W 9 u M S 9 G S V 9 P V F U 0 N F 9 n Z W 5 1 c y 9 B d X R v U m V t b 3 Z l Z E N v b H V t b n M x L n t N Q U d O L D E y f S Z x d W 9 0 O y w m c X V v d D t T Z W N 0 a W 9 u M S 9 G S V 9 P V F U 0 N F 9 n Z W 5 1 c y 9 B d X R v U m V t b 3 Z l Z E N v b H V t b n M x L n t Q S E 9 T L D E z f S Z x d W 9 0 O y w m c X V v d D t T Z W N 0 a W 9 u M S 9 G S V 9 P V F U 0 N F 9 n Z W 5 1 c y 9 B d X R v U m V t b 3 Z l Z E N v b H V t b n M x L n t Q T 1 R B L D E 0 f S Z x d W 9 0 O y w m c X V v d D t T Z W N 0 a W 9 u M S 9 G S V 9 P V F U 0 N F 9 n Z W 5 1 c y 9 B d X R v U m V t b 3 Z l Z E N v b H V t b n M x L n t T T 0 R J L D E 1 f S Z x d W 9 0 O y w m c X V v d D t T Z W N 0 a W 9 u M S 9 G S V 9 P V F U 0 N F 9 n Z W 5 1 c y 9 B d X R v U m V t b 3 Z l Z E N v b H V t b n M x L n t a S U 5 D L D E 2 f S Z x d W 9 0 O y w m c X V v d D t T Z W N 0 a W 9 u M S 9 G S V 9 P V F U 0 N F 9 n Z W 5 1 c y 9 B d X R v U m V t b 3 Z l Z E N v b H V t b n M x L n t D T 1 B Q L D E 3 f S Z x d W 9 0 O y w m c X V v d D t T Z W N 0 a W 9 u M S 9 G S V 9 P V F U 0 N F 9 n Z W 5 1 c y 9 B d X R v U m V t b 3 Z l Z E N v b H V t b n M x L n t T R U x F L D E 4 f S Z x d W 9 0 O y w m c X V v d D t T Z W N 0 a W 9 u M S 9 G S V 9 P V F U 0 N F 9 n Z W 5 1 c y 9 B d X R v U m V t b 3 Z l Z E N v b H V t b n M x L n t W Q y w x O X 0 m c X V v d D s s J n F 1 b 3 Q 7 U 2 V j d G l v b j E v R k l f T 1 R V N D R f Z 2 V u d X M v Q X V 0 b 1 J l b W 9 2 Z W R D b 2 x 1 b W 5 z M S 5 7 V k I x L D I w f S Z x d W 9 0 O y w m c X V v d D t T Z W N 0 a W 9 u M S 9 G S V 9 P V F U 0 N F 9 n Z W 5 1 c y 9 B d X R v U m V t b 3 Z l Z E N v b H V t b n M x L n t W Q j I s M j F 9 J n F 1 b 3 Q 7 L C Z x d W 9 0 O 1 N l Y 3 R p b 2 4 x L 0 Z J X 0 9 U V T Q 0 X 2 d l b n V z L 0 F 1 d G 9 S Z W 1 v d m V k Q 2 9 s d W 1 u c z E u e 0 5 J Q U M s M j J 9 J n F 1 b 3 Q 7 L C Z x d W 9 0 O 1 N l Y 3 R p b 2 4 x L 0 Z J X 0 9 U V T Q 0 X 2 d l b n V z L 0 F 1 d G 9 S Z W 1 v d m V k Q 2 9 s d W 1 u c z E u e 1 Z C N i w y M 3 0 m c X V v d D s s J n F 1 b 3 Q 7 U 2 V j d G l v b j E v R k l f T 1 R V N D R f Z 2 V u d X M v Q X V 0 b 1 J l b W 9 2 Z W R D b 2 x 1 b W 5 z M S 5 7 R k 9 M Q S w y N H 0 m c X V v d D s s J n F 1 b 3 Q 7 U 2 V j d G l v b j E v R k l f T 1 R V N D R f Z 2 V u d X M v Q X V 0 b 1 J l b W 9 2 Z W R D b 2 x 1 b W 5 z M S 5 7 V k I x M i w y N X 0 m c X V v d D s s J n F 1 b 3 Q 7 U 2 V j d G l v b j E v R k l f T 1 R V N D R f Z 2 V u d X M v Q X V 0 b 1 J l b W 9 2 Z W R D b 2 x 1 b W 5 z M S 5 7 V k F S Q S w y N n 0 m c X V v d D s s J n F 1 b 3 Q 7 U 2 V j d G l v b j E v R k l f T 1 R V N D R f Z 2 V u d X M v Q X V 0 b 1 J l b W 9 2 Z W R D b 2 x 1 b W 5 z M S 5 7 U k V U L D I 3 f S Z x d W 9 0 O y w m c X V v d D t T Z W N 0 a W 9 u M S 9 G S V 9 P V F U 0 N F 9 n Z W 5 1 c y 9 B d X R v U m V t b 3 Z l Z E N v b H V t b n M x L n t C Q 0 F S L D I 4 f S Z x d W 9 0 O y w m c X V v d D t T Z W N 0 a W 9 u M S 9 G S V 9 P V F U 0 N F 9 n Z W 5 1 c y 9 B d X R v U m V t b 3 Z l Z E N v b H V t b n M x L n t B Q 0 F S L D I 5 f S Z x d W 9 0 O y w m c X V v d D t T Z W N 0 a W 9 u M S 9 G S V 9 P V F U 0 N F 9 n Z W 5 1 c y 9 B d X R v U m V t b 3 Z l Z E N v b H V t b n M x L n t D U l l Q L D M w f S Z x d W 9 0 O y w m c X V v d D t T Z W N 0 a W 9 u M S 9 G S V 9 P V F U 0 N F 9 n Z W 5 1 c y 9 B d X R v U m V t b 3 Z l Z E N v b H V t b n M x L n t M W U N P L D M x f S Z x d W 9 0 O y w m c X V v d D t T Z W N 0 a W 9 u M S 9 G S V 9 P V F U 0 N F 9 n Z W 5 1 c y 9 B d X R v U m V t b 3 Z l Z E N v b H V t b n M x L n t M W i w z M n 0 m c X V v d D s s J n F 1 b 3 Q 7 U 2 V j d G l v b j E v R k l f T 1 R V N D R f Z 2 V u d X M v Q X V 0 b 1 J l b W 9 2 Z W R D b 2 x 1 b W 5 z M S 5 7 Q V R P Q y w z M 3 0 m c X V v d D s s J n F 1 b 3 Q 7 U 2 V j d G l v b j E v R k l f T 1 R V N D R f Z 2 V u d X M v Q X V 0 b 1 J l b W 9 2 Z W R D b 2 x 1 b W 5 z M S 5 7 V k s s M z R 9 J n F 1 b 3 Q 7 L C Z x d W 9 0 O 1 N l Y 3 R p b 2 4 x L 0 Z J X 0 9 U V T Q 0 X 2 d l b n V z L 0 F 1 d G 9 S Z W 1 v d m V k Q 2 9 s d W 1 u c z E u e 0 N I T 0 x F L D M 1 f S Z x d W 9 0 O y w m c X V v d D t T Z W N 0 a W 9 u M S 9 G S V 9 P V F U 0 N F 9 n Z W 5 1 c y 9 B d X R v U m V t b 3 Z l Z E N v b H V t b n M x L n t T R k F U L D M 2 f S Z x d W 9 0 O y w m c X V v d D t T Z W N 0 a W 9 u M S 9 G S V 9 P V F U 0 N F 9 n Z W 5 1 c y 9 B d X R v U m V t b 3 Z l Z E N v b H V t b n M x L n t N R k F U L D M 3 f S Z x d W 9 0 O y w m c X V v d D t T Z W N 0 a W 9 u M S 9 G S V 9 P V F U 0 N F 9 n Z W 5 1 c y 9 B d X R v U m V t b 3 Z l Z E N v b H V t b n M x L n t Q R k F U L D M 4 f S Z x d W 9 0 O y w m c X V v d D t T Z W N 0 a W 9 u M S 9 G S V 9 P V F U 0 N F 9 n Z W 5 1 c y 9 B d X R v U m V t b 3 Z l Z E N v b H V t b n M x L n t W S V R E L D M 5 f S Z x d W 9 0 O y w m c X V v d D t T Z W N 0 a W 9 u M S 9 G S V 9 P V F U 0 N F 9 n Z W 5 1 c y 9 B d X R v U m V t b 3 Z l Z E N v b H V t b n M x L n t D S E 9 M T i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X 0 9 U V T Q 0 X 2 d l b n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9 U V T Q 0 X 2 d l b n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9 U V T Q 0 X 2 d l b n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9 U V T Q 0 X 2 9 y Z G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G S V 9 P V F U 0 N F 9 v c m R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N 1 Q y M D o w M D o x M C 4 z N D Q z M D U 0 W i I g L z 4 8 R W 5 0 c n k g V H l w Z T 0 i R m l s b E N v b H V t b l R 5 c G V z I i B W Y W x 1 Z T 0 i c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t D Q U w m c X V v d D s s J n F 1 b 3 Q 7 U F J P V C Z x d W 9 0 O y w m c X V v d D t U R k F U J n F 1 b 3 Q 7 L C Z x d W 9 0 O 0 N B U k I m c X V v d D s s J n F 1 b 3 Q 7 T U 9 J U y Z x d W 9 0 O y w m c X V v d D t B T E M m c X V v d D s s J n F 1 b 3 Q 7 Q 0 F G R i Z x d W 9 0 O y w m c X V v d D t U S E V P J n F 1 b 3 Q 7 L C Z x d W 9 0 O 1 N V R 1 I m c X V v d D s s J n F 1 b 3 Q 7 R k l C R S Z x d W 9 0 O y w m c X V v d D t D Q U x D J n F 1 b 3 Q 7 L C Z x d W 9 0 O 0 l S T 0 4 m c X V v d D s s J n F 1 b 3 Q 7 T U F H T i Z x d W 9 0 O y w m c X V v d D t Q S E 9 T J n F 1 b 3 Q 7 L C Z x d W 9 0 O 1 B P V E E m c X V v d D s s J n F 1 b 3 Q 7 U 0 9 E S S Z x d W 9 0 O y w m c X V v d D t a S U 5 D J n F 1 b 3 Q 7 L C Z x d W 9 0 O 0 N P U F A m c X V v d D s s J n F 1 b 3 Q 7 U 0 V M R S Z x d W 9 0 O y w m c X V v d D t W Q y Z x d W 9 0 O y w m c X V v d D t W Q j E m c X V v d D s s J n F 1 b 3 Q 7 V k I y J n F 1 b 3 Q 7 L C Z x d W 9 0 O 0 5 J Q U M m c X V v d D s s J n F 1 b 3 Q 7 V k I 2 J n F 1 b 3 Q 7 L C Z x d W 9 0 O 0 Z P T E E m c X V v d D s s J n F 1 b 3 Q 7 V k I x M i Z x d W 9 0 O y w m c X V v d D t W Q V J B J n F 1 b 3 Q 7 L C Z x d W 9 0 O 1 J F V C Z x d W 9 0 O y w m c X V v d D t C Q 0 F S J n F 1 b 3 Q 7 L C Z x d W 9 0 O 0 F D Q V I m c X V v d D s s J n F 1 b 3 Q 7 Q 1 J Z U C Z x d W 9 0 O y w m c X V v d D t M W U N P J n F 1 b 3 Q 7 L C Z x d W 9 0 O 0 x a J n F 1 b 3 Q 7 L C Z x d W 9 0 O 0 F U T 0 M m c X V v d D s s J n F 1 b 3 Q 7 V k s m c X V v d D s s J n F 1 b 3 Q 7 Q 0 h P T E U m c X V v d D s s J n F 1 b 3 Q 7 U 0 Z B V C Z x d W 9 0 O y w m c X V v d D t N R k F U J n F 1 b 3 Q 7 L C Z x d W 9 0 O 1 B G Q V Q m c X V v d D s s J n F 1 b 3 Q 7 V k l U R C Z x d W 9 0 O y w m c X V v d D t D S E 9 M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V 9 P V F U 0 N F 9 v c m R l b i 9 B d X R v U m V t b 3 Z l Z E N v b H V t b n M x L n t L Q 0 F M L D B 9 J n F 1 b 3 Q 7 L C Z x d W 9 0 O 1 N l Y 3 R p b 2 4 x L 0 Z J X 0 9 U V T Q 0 X 2 9 y Z G V u L 0 F 1 d G 9 S Z W 1 v d m V k Q 2 9 s d W 1 u c z E u e 1 B S T 1 Q s M X 0 m c X V v d D s s J n F 1 b 3 Q 7 U 2 V j d G l v b j E v R k l f T 1 R V N D R f b 3 J k Z W 4 v Q X V 0 b 1 J l b W 9 2 Z W R D b 2 x 1 b W 5 z M S 5 7 V E Z B V C w y f S Z x d W 9 0 O y w m c X V v d D t T Z W N 0 a W 9 u M S 9 G S V 9 P V F U 0 N F 9 v c m R l b i 9 B d X R v U m V t b 3 Z l Z E N v b H V t b n M x L n t D Q V J C L D N 9 J n F 1 b 3 Q 7 L C Z x d W 9 0 O 1 N l Y 3 R p b 2 4 x L 0 Z J X 0 9 U V T Q 0 X 2 9 y Z G V u L 0 F 1 d G 9 S Z W 1 v d m V k Q 2 9 s d W 1 u c z E u e 0 1 P S V M s N H 0 m c X V v d D s s J n F 1 b 3 Q 7 U 2 V j d G l v b j E v R k l f T 1 R V N D R f b 3 J k Z W 4 v Q X V 0 b 1 J l b W 9 2 Z W R D b 2 x 1 b W 5 z M S 5 7 Q U x D L D V 9 J n F 1 b 3 Q 7 L C Z x d W 9 0 O 1 N l Y 3 R p b 2 4 x L 0 Z J X 0 9 U V T Q 0 X 2 9 y Z G V u L 0 F 1 d G 9 S Z W 1 v d m V k Q 2 9 s d W 1 u c z E u e 0 N B R k Y s N n 0 m c X V v d D s s J n F 1 b 3 Q 7 U 2 V j d G l v b j E v R k l f T 1 R V N D R f b 3 J k Z W 4 v Q X V 0 b 1 J l b W 9 2 Z W R D b 2 x 1 b W 5 z M S 5 7 V E h F T y w 3 f S Z x d W 9 0 O y w m c X V v d D t T Z W N 0 a W 9 u M S 9 G S V 9 P V F U 0 N F 9 v c m R l b i 9 B d X R v U m V t b 3 Z l Z E N v b H V t b n M x L n t T V U d S L D h 9 J n F 1 b 3 Q 7 L C Z x d W 9 0 O 1 N l Y 3 R p b 2 4 x L 0 Z J X 0 9 U V T Q 0 X 2 9 y Z G V u L 0 F 1 d G 9 S Z W 1 v d m V k Q 2 9 s d W 1 u c z E u e 0 Z J Q k U s O X 0 m c X V v d D s s J n F 1 b 3 Q 7 U 2 V j d G l v b j E v R k l f T 1 R V N D R f b 3 J k Z W 4 v Q X V 0 b 1 J l b W 9 2 Z W R D b 2 x 1 b W 5 z M S 5 7 Q 0 F M Q y w x M H 0 m c X V v d D s s J n F 1 b 3 Q 7 U 2 V j d G l v b j E v R k l f T 1 R V N D R f b 3 J k Z W 4 v Q X V 0 b 1 J l b W 9 2 Z W R D b 2 x 1 b W 5 z M S 5 7 S V J P T i w x M X 0 m c X V v d D s s J n F 1 b 3 Q 7 U 2 V j d G l v b j E v R k l f T 1 R V N D R f b 3 J k Z W 4 v Q X V 0 b 1 J l b W 9 2 Z W R D b 2 x 1 b W 5 z M S 5 7 T U F H T i w x M n 0 m c X V v d D s s J n F 1 b 3 Q 7 U 2 V j d G l v b j E v R k l f T 1 R V N D R f b 3 J k Z W 4 v Q X V 0 b 1 J l b W 9 2 Z W R D b 2 x 1 b W 5 z M S 5 7 U E h P U y w x M 3 0 m c X V v d D s s J n F 1 b 3 Q 7 U 2 V j d G l v b j E v R k l f T 1 R V N D R f b 3 J k Z W 4 v Q X V 0 b 1 J l b W 9 2 Z W R D b 2 x 1 b W 5 z M S 5 7 U E 9 U Q S w x N H 0 m c X V v d D s s J n F 1 b 3 Q 7 U 2 V j d G l v b j E v R k l f T 1 R V N D R f b 3 J k Z W 4 v Q X V 0 b 1 J l b W 9 2 Z W R D b 2 x 1 b W 5 z M S 5 7 U 0 9 E S S w x N X 0 m c X V v d D s s J n F 1 b 3 Q 7 U 2 V j d G l v b j E v R k l f T 1 R V N D R f b 3 J k Z W 4 v Q X V 0 b 1 J l b W 9 2 Z W R D b 2 x 1 b W 5 z M S 5 7 W k l O Q y w x N n 0 m c X V v d D s s J n F 1 b 3 Q 7 U 2 V j d G l v b j E v R k l f T 1 R V N D R f b 3 J k Z W 4 v Q X V 0 b 1 J l b W 9 2 Z W R D b 2 x 1 b W 5 z M S 5 7 Q 0 9 Q U C w x N 3 0 m c X V v d D s s J n F 1 b 3 Q 7 U 2 V j d G l v b j E v R k l f T 1 R V N D R f b 3 J k Z W 4 v Q X V 0 b 1 J l b W 9 2 Z W R D b 2 x 1 b W 5 z M S 5 7 U 0 V M R S w x O H 0 m c X V v d D s s J n F 1 b 3 Q 7 U 2 V j d G l v b j E v R k l f T 1 R V N D R f b 3 J k Z W 4 v Q X V 0 b 1 J l b W 9 2 Z W R D b 2 x 1 b W 5 z M S 5 7 V k M s M T l 9 J n F 1 b 3 Q 7 L C Z x d W 9 0 O 1 N l Y 3 R p b 2 4 x L 0 Z J X 0 9 U V T Q 0 X 2 9 y Z G V u L 0 F 1 d G 9 S Z W 1 v d m V k Q 2 9 s d W 1 u c z E u e 1 Z C M S w y M H 0 m c X V v d D s s J n F 1 b 3 Q 7 U 2 V j d G l v b j E v R k l f T 1 R V N D R f b 3 J k Z W 4 v Q X V 0 b 1 J l b W 9 2 Z W R D b 2 x 1 b W 5 z M S 5 7 V k I y L D I x f S Z x d W 9 0 O y w m c X V v d D t T Z W N 0 a W 9 u M S 9 G S V 9 P V F U 0 N F 9 v c m R l b i 9 B d X R v U m V t b 3 Z l Z E N v b H V t b n M x L n t O S U F D L D I y f S Z x d W 9 0 O y w m c X V v d D t T Z W N 0 a W 9 u M S 9 G S V 9 P V F U 0 N F 9 v c m R l b i 9 B d X R v U m V t b 3 Z l Z E N v b H V t b n M x L n t W Q j Y s M j N 9 J n F 1 b 3 Q 7 L C Z x d W 9 0 O 1 N l Y 3 R p b 2 4 x L 0 Z J X 0 9 U V T Q 0 X 2 9 y Z G V u L 0 F 1 d G 9 S Z W 1 v d m V k Q 2 9 s d W 1 u c z E u e 0 Z P T E E s M j R 9 J n F 1 b 3 Q 7 L C Z x d W 9 0 O 1 N l Y 3 R p b 2 4 x L 0 Z J X 0 9 U V T Q 0 X 2 9 y Z G V u L 0 F 1 d G 9 S Z W 1 v d m V k Q 2 9 s d W 1 u c z E u e 1 Z C M T I s M j V 9 J n F 1 b 3 Q 7 L C Z x d W 9 0 O 1 N l Y 3 R p b 2 4 x L 0 Z J X 0 9 U V T Q 0 X 2 9 y Z G V u L 0 F 1 d G 9 S Z W 1 v d m V k Q 2 9 s d W 1 u c z E u e 1 Z B U k E s M j Z 9 J n F 1 b 3 Q 7 L C Z x d W 9 0 O 1 N l Y 3 R p b 2 4 x L 0 Z J X 0 9 U V T Q 0 X 2 9 y Z G V u L 0 F 1 d G 9 S Z W 1 v d m V k Q 2 9 s d W 1 u c z E u e 1 J F V C w y N 3 0 m c X V v d D s s J n F 1 b 3 Q 7 U 2 V j d G l v b j E v R k l f T 1 R V N D R f b 3 J k Z W 4 v Q X V 0 b 1 J l b W 9 2 Z W R D b 2 x 1 b W 5 z M S 5 7 Q k N B U i w y O H 0 m c X V v d D s s J n F 1 b 3 Q 7 U 2 V j d G l v b j E v R k l f T 1 R V N D R f b 3 J k Z W 4 v Q X V 0 b 1 J l b W 9 2 Z W R D b 2 x 1 b W 5 z M S 5 7 Q U N B U i w y O X 0 m c X V v d D s s J n F 1 b 3 Q 7 U 2 V j d G l v b j E v R k l f T 1 R V N D R f b 3 J k Z W 4 v Q X V 0 b 1 J l b W 9 2 Z W R D b 2 x 1 b W 5 z M S 5 7 Q 1 J Z U C w z M H 0 m c X V v d D s s J n F 1 b 3 Q 7 U 2 V j d G l v b j E v R k l f T 1 R V N D R f b 3 J k Z W 4 v Q X V 0 b 1 J l b W 9 2 Z W R D b 2 x 1 b W 5 z M S 5 7 T F l D T y w z M X 0 m c X V v d D s s J n F 1 b 3 Q 7 U 2 V j d G l v b j E v R k l f T 1 R V N D R f b 3 J k Z W 4 v Q X V 0 b 1 J l b W 9 2 Z W R D b 2 x 1 b W 5 z M S 5 7 T F o s M z J 9 J n F 1 b 3 Q 7 L C Z x d W 9 0 O 1 N l Y 3 R p b 2 4 x L 0 Z J X 0 9 U V T Q 0 X 2 9 y Z G V u L 0 F 1 d G 9 S Z W 1 v d m V k Q 2 9 s d W 1 u c z E u e 0 F U T 0 M s M z N 9 J n F 1 b 3 Q 7 L C Z x d W 9 0 O 1 N l Y 3 R p b 2 4 x L 0 Z J X 0 9 U V T Q 0 X 2 9 y Z G V u L 0 F 1 d G 9 S Z W 1 v d m V k Q 2 9 s d W 1 u c z E u e 1 Z L L D M 0 f S Z x d W 9 0 O y w m c X V v d D t T Z W N 0 a W 9 u M S 9 G S V 9 P V F U 0 N F 9 v c m R l b i 9 B d X R v U m V t b 3 Z l Z E N v b H V t b n M x L n t D S E 9 M R S w z N X 0 m c X V v d D s s J n F 1 b 3 Q 7 U 2 V j d G l v b j E v R k l f T 1 R V N D R f b 3 J k Z W 4 v Q X V 0 b 1 J l b W 9 2 Z W R D b 2 x 1 b W 5 z M S 5 7 U 0 Z B V C w z N n 0 m c X V v d D s s J n F 1 b 3 Q 7 U 2 V j d G l v b j E v R k l f T 1 R V N D R f b 3 J k Z W 4 v Q X V 0 b 1 J l b W 9 2 Z W R D b 2 x 1 b W 5 z M S 5 7 T U Z B V C w z N 3 0 m c X V v d D s s J n F 1 b 3 Q 7 U 2 V j d G l v b j E v R k l f T 1 R V N D R f b 3 J k Z W 4 v Q X V 0 b 1 J l b W 9 2 Z W R D b 2 x 1 b W 5 z M S 5 7 U E Z B V C w z O H 0 m c X V v d D s s J n F 1 b 3 Q 7 U 2 V j d G l v b j E v R k l f T 1 R V N D R f b 3 J k Z W 4 v Q X V 0 b 1 J l b W 9 2 Z W R D b 2 x 1 b W 5 z M S 5 7 V k l U R C w z O X 0 m c X V v d D s s J n F 1 b 3 Q 7 U 2 V j d G l v b j E v R k l f T 1 R V N D R f b 3 J k Z W 4 v Q X V 0 b 1 J l b W 9 2 Z W R D b 2 x 1 b W 5 z M S 5 7 Q 0 h P T E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G S V 9 P V F U 0 N F 9 v c m R l b i 9 B d X R v U m V t b 3 Z l Z E N v b H V t b n M x L n t L Q 0 F M L D B 9 J n F 1 b 3 Q 7 L C Z x d W 9 0 O 1 N l Y 3 R p b 2 4 x L 0 Z J X 0 9 U V T Q 0 X 2 9 y Z G V u L 0 F 1 d G 9 S Z W 1 v d m V k Q 2 9 s d W 1 u c z E u e 1 B S T 1 Q s M X 0 m c X V v d D s s J n F 1 b 3 Q 7 U 2 V j d G l v b j E v R k l f T 1 R V N D R f b 3 J k Z W 4 v Q X V 0 b 1 J l b W 9 2 Z W R D b 2 x 1 b W 5 z M S 5 7 V E Z B V C w y f S Z x d W 9 0 O y w m c X V v d D t T Z W N 0 a W 9 u M S 9 G S V 9 P V F U 0 N F 9 v c m R l b i 9 B d X R v U m V t b 3 Z l Z E N v b H V t b n M x L n t D Q V J C L D N 9 J n F 1 b 3 Q 7 L C Z x d W 9 0 O 1 N l Y 3 R p b 2 4 x L 0 Z J X 0 9 U V T Q 0 X 2 9 y Z G V u L 0 F 1 d G 9 S Z W 1 v d m V k Q 2 9 s d W 1 u c z E u e 0 1 P S V M s N H 0 m c X V v d D s s J n F 1 b 3 Q 7 U 2 V j d G l v b j E v R k l f T 1 R V N D R f b 3 J k Z W 4 v Q X V 0 b 1 J l b W 9 2 Z W R D b 2 x 1 b W 5 z M S 5 7 Q U x D L D V 9 J n F 1 b 3 Q 7 L C Z x d W 9 0 O 1 N l Y 3 R p b 2 4 x L 0 Z J X 0 9 U V T Q 0 X 2 9 y Z G V u L 0 F 1 d G 9 S Z W 1 v d m V k Q 2 9 s d W 1 u c z E u e 0 N B R k Y s N n 0 m c X V v d D s s J n F 1 b 3 Q 7 U 2 V j d G l v b j E v R k l f T 1 R V N D R f b 3 J k Z W 4 v Q X V 0 b 1 J l b W 9 2 Z W R D b 2 x 1 b W 5 z M S 5 7 V E h F T y w 3 f S Z x d W 9 0 O y w m c X V v d D t T Z W N 0 a W 9 u M S 9 G S V 9 P V F U 0 N F 9 v c m R l b i 9 B d X R v U m V t b 3 Z l Z E N v b H V t b n M x L n t T V U d S L D h 9 J n F 1 b 3 Q 7 L C Z x d W 9 0 O 1 N l Y 3 R p b 2 4 x L 0 Z J X 0 9 U V T Q 0 X 2 9 y Z G V u L 0 F 1 d G 9 S Z W 1 v d m V k Q 2 9 s d W 1 u c z E u e 0 Z J Q k U s O X 0 m c X V v d D s s J n F 1 b 3 Q 7 U 2 V j d G l v b j E v R k l f T 1 R V N D R f b 3 J k Z W 4 v Q X V 0 b 1 J l b W 9 2 Z W R D b 2 x 1 b W 5 z M S 5 7 Q 0 F M Q y w x M H 0 m c X V v d D s s J n F 1 b 3 Q 7 U 2 V j d G l v b j E v R k l f T 1 R V N D R f b 3 J k Z W 4 v Q X V 0 b 1 J l b W 9 2 Z W R D b 2 x 1 b W 5 z M S 5 7 S V J P T i w x M X 0 m c X V v d D s s J n F 1 b 3 Q 7 U 2 V j d G l v b j E v R k l f T 1 R V N D R f b 3 J k Z W 4 v Q X V 0 b 1 J l b W 9 2 Z W R D b 2 x 1 b W 5 z M S 5 7 T U F H T i w x M n 0 m c X V v d D s s J n F 1 b 3 Q 7 U 2 V j d G l v b j E v R k l f T 1 R V N D R f b 3 J k Z W 4 v Q X V 0 b 1 J l b W 9 2 Z W R D b 2 x 1 b W 5 z M S 5 7 U E h P U y w x M 3 0 m c X V v d D s s J n F 1 b 3 Q 7 U 2 V j d G l v b j E v R k l f T 1 R V N D R f b 3 J k Z W 4 v Q X V 0 b 1 J l b W 9 2 Z W R D b 2 x 1 b W 5 z M S 5 7 U E 9 U Q S w x N H 0 m c X V v d D s s J n F 1 b 3 Q 7 U 2 V j d G l v b j E v R k l f T 1 R V N D R f b 3 J k Z W 4 v Q X V 0 b 1 J l b W 9 2 Z W R D b 2 x 1 b W 5 z M S 5 7 U 0 9 E S S w x N X 0 m c X V v d D s s J n F 1 b 3 Q 7 U 2 V j d G l v b j E v R k l f T 1 R V N D R f b 3 J k Z W 4 v Q X V 0 b 1 J l b W 9 2 Z W R D b 2 x 1 b W 5 z M S 5 7 W k l O Q y w x N n 0 m c X V v d D s s J n F 1 b 3 Q 7 U 2 V j d G l v b j E v R k l f T 1 R V N D R f b 3 J k Z W 4 v Q X V 0 b 1 J l b W 9 2 Z W R D b 2 x 1 b W 5 z M S 5 7 Q 0 9 Q U C w x N 3 0 m c X V v d D s s J n F 1 b 3 Q 7 U 2 V j d G l v b j E v R k l f T 1 R V N D R f b 3 J k Z W 4 v Q X V 0 b 1 J l b W 9 2 Z W R D b 2 x 1 b W 5 z M S 5 7 U 0 V M R S w x O H 0 m c X V v d D s s J n F 1 b 3 Q 7 U 2 V j d G l v b j E v R k l f T 1 R V N D R f b 3 J k Z W 4 v Q X V 0 b 1 J l b W 9 2 Z W R D b 2 x 1 b W 5 z M S 5 7 V k M s M T l 9 J n F 1 b 3 Q 7 L C Z x d W 9 0 O 1 N l Y 3 R p b 2 4 x L 0 Z J X 0 9 U V T Q 0 X 2 9 y Z G V u L 0 F 1 d G 9 S Z W 1 v d m V k Q 2 9 s d W 1 u c z E u e 1 Z C M S w y M H 0 m c X V v d D s s J n F 1 b 3 Q 7 U 2 V j d G l v b j E v R k l f T 1 R V N D R f b 3 J k Z W 4 v Q X V 0 b 1 J l b W 9 2 Z W R D b 2 x 1 b W 5 z M S 5 7 V k I y L D I x f S Z x d W 9 0 O y w m c X V v d D t T Z W N 0 a W 9 u M S 9 G S V 9 P V F U 0 N F 9 v c m R l b i 9 B d X R v U m V t b 3 Z l Z E N v b H V t b n M x L n t O S U F D L D I y f S Z x d W 9 0 O y w m c X V v d D t T Z W N 0 a W 9 u M S 9 G S V 9 P V F U 0 N F 9 v c m R l b i 9 B d X R v U m V t b 3 Z l Z E N v b H V t b n M x L n t W Q j Y s M j N 9 J n F 1 b 3 Q 7 L C Z x d W 9 0 O 1 N l Y 3 R p b 2 4 x L 0 Z J X 0 9 U V T Q 0 X 2 9 y Z G V u L 0 F 1 d G 9 S Z W 1 v d m V k Q 2 9 s d W 1 u c z E u e 0 Z P T E E s M j R 9 J n F 1 b 3 Q 7 L C Z x d W 9 0 O 1 N l Y 3 R p b 2 4 x L 0 Z J X 0 9 U V T Q 0 X 2 9 y Z G V u L 0 F 1 d G 9 S Z W 1 v d m V k Q 2 9 s d W 1 u c z E u e 1 Z C M T I s M j V 9 J n F 1 b 3 Q 7 L C Z x d W 9 0 O 1 N l Y 3 R p b 2 4 x L 0 Z J X 0 9 U V T Q 0 X 2 9 y Z G V u L 0 F 1 d G 9 S Z W 1 v d m V k Q 2 9 s d W 1 u c z E u e 1 Z B U k E s M j Z 9 J n F 1 b 3 Q 7 L C Z x d W 9 0 O 1 N l Y 3 R p b 2 4 x L 0 Z J X 0 9 U V T Q 0 X 2 9 y Z G V u L 0 F 1 d G 9 S Z W 1 v d m V k Q 2 9 s d W 1 u c z E u e 1 J F V C w y N 3 0 m c X V v d D s s J n F 1 b 3 Q 7 U 2 V j d G l v b j E v R k l f T 1 R V N D R f b 3 J k Z W 4 v Q X V 0 b 1 J l b W 9 2 Z W R D b 2 x 1 b W 5 z M S 5 7 Q k N B U i w y O H 0 m c X V v d D s s J n F 1 b 3 Q 7 U 2 V j d G l v b j E v R k l f T 1 R V N D R f b 3 J k Z W 4 v Q X V 0 b 1 J l b W 9 2 Z W R D b 2 x 1 b W 5 z M S 5 7 Q U N B U i w y O X 0 m c X V v d D s s J n F 1 b 3 Q 7 U 2 V j d G l v b j E v R k l f T 1 R V N D R f b 3 J k Z W 4 v Q X V 0 b 1 J l b W 9 2 Z W R D b 2 x 1 b W 5 z M S 5 7 Q 1 J Z U C w z M H 0 m c X V v d D s s J n F 1 b 3 Q 7 U 2 V j d G l v b j E v R k l f T 1 R V N D R f b 3 J k Z W 4 v Q X V 0 b 1 J l b W 9 2 Z W R D b 2 x 1 b W 5 z M S 5 7 T F l D T y w z M X 0 m c X V v d D s s J n F 1 b 3 Q 7 U 2 V j d G l v b j E v R k l f T 1 R V N D R f b 3 J k Z W 4 v Q X V 0 b 1 J l b W 9 2 Z W R D b 2 x 1 b W 5 z M S 5 7 T F o s M z J 9 J n F 1 b 3 Q 7 L C Z x d W 9 0 O 1 N l Y 3 R p b 2 4 x L 0 Z J X 0 9 U V T Q 0 X 2 9 y Z G V u L 0 F 1 d G 9 S Z W 1 v d m V k Q 2 9 s d W 1 u c z E u e 0 F U T 0 M s M z N 9 J n F 1 b 3 Q 7 L C Z x d W 9 0 O 1 N l Y 3 R p b 2 4 x L 0 Z J X 0 9 U V T Q 0 X 2 9 y Z G V u L 0 F 1 d G 9 S Z W 1 v d m V k Q 2 9 s d W 1 u c z E u e 1 Z L L D M 0 f S Z x d W 9 0 O y w m c X V v d D t T Z W N 0 a W 9 u M S 9 G S V 9 P V F U 0 N F 9 v c m R l b i 9 B d X R v U m V t b 3 Z l Z E N v b H V t b n M x L n t D S E 9 M R S w z N X 0 m c X V v d D s s J n F 1 b 3 Q 7 U 2 V j d G l v b j E v R k l f T 1 R V N D R f b 3 J k Z W 4 v Q X V 0 b 1 J l b W 9 2 Z W R D b 2 x 1 b W 5 z M S 5 7 U 0 Z B V C w z N n 0 m c X V v d D s s J n F 1 b 3 Q 7 U 2 V j d G l v b j E v R k l f T 1 R V N D R f b 3 J k Z W 4 v Q X V 0 b 1 J l b W 9 2 Z W R D b 2 x 1 b W 5 z M S 5 7 T U Z B V C w z N 3 0 m c X V v d D s s J n F 1 b 3 Q 7 U 2 V j d G l v b j E v R k l f T 1 R V N D R f b 3 J k Z W 4 v Q X V 0 b 1 J l b W 9 2 Z W R D b 2 x 1 b W 5 z M S 5 7 U E Z B V C w z O H 0 m c X V v d D s s J n F 1 b 3 Q 7 U 2 V j d G l v b j E v R k l f T 1 R V N D R f b 3 J k Z W 4 v Q X V 0 b 1 J l b W 9 2 Z W R D b 2 x 1 b W 5 z M S 5 7 V k l U R C w z O X 0 m c X V v d D s s J n F 1 b 3 Q 7 U 2 V j d G l v b j E v R k l f T 1 R V N D R f b 3 J k Z W 4 v Q X V 0 b 1 J l b W 9 2 Z W R D b 2 x 1 b W 5 z M S 5 7 Q 0 h P T E 4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S V 9 P V F U 0 N F 9 v c m R l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P V F U 0 N F 9 v c m R l b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P V F U 0 N F 9 v c m R l b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P / E Q D j 3 P 0 a m 0 W M i y V u 0 2 A A A A A A C A A A A A A A Q Z g A A A A E A A C A A A A B i Z 8 G J O C F o h Q Q 8 X N Z I 3 C U a I u k I c I y Y T s C v u m p + / D x I e A A A A A A O g A A A A A I A A C A A A A B v 3 t x i t 3 j y 8 2 d z / z D 6 + D C 4 9 0 t n z J 5 / d Y C X Q O L D h r U p c l A A A A D Z j n c 9 W A R R 5 q 5 G q D a S a l j P 3 P g O Y F U K Q z 5 b H m K d O f s S Y B b J p J F q E e y s 3 g w d S 1 H + t T m t A b m 6 R t H m X 3 v 9 o b N k 2 U l x 2 Y F Q h o n h W b W m O L M u f 1 Q Y k k A A A A D W w l 8 s u X P E O S K l 2 9 Z i Y S x b G k m u W x v k I a A L P P x 8 + o 4 j p x 6 Q 8 x c C I S V F J 8 G L O q a y c F G v n m q 7 5 d t B m c n S V A n o 8 1 F Q < / D a t a M a s h u p > 
</file>

<file path=customXml/itemProps1.xml><?xml version="1.0" encoding="utf-8"?>
<ds:datastoreItem xmlns:ds="http://schemas.openxmlformats.org/officeDocument/2006/customXml" ds:itemID="{2D964777-3181-48AE-BE48-F5910BFF9E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FI_OTU44_class</vt:lpstr>
      <vt:lpstr>FI_OTU44_especie</vt:lpstr>
      <vt:lpstr>FI_OTU44_family</vt:lpstr>
      <vt:lpstr>FI_OTU44_genus</vt:lpstr>
      <vt:lpstr>FI_OTU44_filo</vt:lpstr>
      <vt:lpstr>FI_OTU44_orden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María Anhel Valdés</dc:creator>
  <cp:lastModifiedBy>Ana María Anhel Valdés</cp:lastModifiedBy>
  <dcterms:created xsi:type="dcterms:W3CDTF">2021-05-27T19:57:57Z</dcterms:created>
  <dcterms:modified xsi:type="dcterms:W3CDTF">2021-05-27T20:41:31Z</dcterms:modified>
</cp:coreProperties>
</file>