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s\"/>
    </mc:Choice>
  </mc:AlternateContent>
  <xr:revisionPtr revIDLastSave="0" documentId="13_ncr:1_{BDAC976D-46A4-4A3A-BC21-D4C2CDA02E8F}" xr6:coauthVersionLast="46" xr6:coauthVersionMax="46" xr10:uidLastSave="{00000000-0000-0000-0000-000000000000}"/>
  <bookViews>
    <workbookView xWindow="28680" yWindow="-120" windowWidth="29040" windowHeight="16440" activeTab="5" xr2:uid="{6AC77C44-65A0-4DC0-9158-3001390CFEBD}"/>
  </bookViews>
  <sheets>
    <sheet name="FI_Combined_clase" sheetId="2" r:id="rId1"/>
    <sheet name="FI_Combined_especie" sheetId="3" r:id="rId2"/>
    <sheet name="FI_Combined_familia" sheetId="4" r:id="rId3"/>
    <sheet name="FI_Combined_filo" sheetId="5" r:id="rId4"/>
    <sheet name="FI_Combined_genus" sheetId="6" r:id="rId5"/>
    <sheet name="FI_Combined_orden" sheetId="7" r:id="rId6"/>
  </sheets>
  <definedNames>
    <definedName name="DatosExternos_1" localSheetId="0" hidden="1">FI_Combined_clase!$A$1:$AK$11</definedName>
    <definedName name="DatosExternos_1" localSheetId="1" hidden="1">FI_Combined_especie!$A$1:$AK$11</definedName>
    <definedName name="DatosExternos_1" localSheetId="3" hidden="1">FI_Combined_filo!$A$1:$AK$11</definedName>
    <definedName name="DatosExternos_1" localSheetId="4" hidden="1">FI_Combined_genus!$A$1:$AK$11</definedName>
    <definedName name="DatosExternos_1" localSheetId="5" hidden="1">FI_Combined_orden!$A$1:$AK$11</definedName>
    <definedName name="DatosExternos_2" localSheetId="2" hidden="1">FI_Combined_familia!$A$1:$AK$11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16" i="7"/>
  <c r="A14" i="7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16" i="6"/>
  <c r="A14" i="6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16" i="5"/>
  <c r="A14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6" i="4"/>
  <c r="A14" i="4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16" i="3"/>
  <c r="A14" i="3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16" i="2"/>
  <c r="A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2F26F-694F-4C57-B6E5-5A2A61AAEC93}" keepAlive="1" name="Consulta - FI_Combined_clase" description="Conexión a la consulta 'FI_Combined_clase' en el libro." type="5" refreshedVersion="7" background="1" saveData="1">
    <dbPr connection="Provider=Microsoft.Mashup.OleDb.1;Data Source=$Workbook$;Location=FI_Combined_clase;Extended Properties=&quot;&quot;" command="SELECT * FROM [FI_Combined_clase]"/>
  </connection>
  <connection id="2" xr16:uid="{95A13B35-3CCE-4AE9-A47A-9809F54EF40A}" keepAlive="1" name="Consulta - FI_Combined_especie" description="Conexión a la consulta 'FI_Combined_especie' en el libro." type="5" refreshedVersion="7" background="1" saveData="1">
    <dbPr connection="Provider=Microsoft.Mashup.OleDb.1;Data Source=$Workbook$;Location=FI_Combined_especie;Extended Properties=&quot;&quot;" command="SELECT * FROM [FI_Combined_especie]"/>
  </connection>
  <connection id="3" xr16:uid="{19ABD8EE-9C5F-4A7B-B8D1-18BF93967F25}" keepAlive="1" name="Consulta - FI_Combined_familia" description="Conexión a la consulta 'FI_Combined_familia' en el libro." type="5" refreshedVersion="7" background="1" saveData="1">
    <dbPr connection="Provider=Microsoft.Mashup.OleDb.1;Data Source=$Workbook$;Location=FI_Combined_familia;Extended Properties=&quot;&quot;" command="SELECT * FROM [FI_Combined_familia]"/>
  </connection>
  <connection id="4" xr16:uid="{AF62E391-30C7-4215-AF66-EE028073741E}" keepAlive="1" name="Consulta - FI_Combined_filo" description="Conexión a la consulta 'FI_Combined_filo' en el libro." type="5" refreshedVersion="7" background="1" saveData="1">
    <dbPr connection="Provider=Microsoft.Mashup.OleDb.1;Data Source=$Workbook$;Location=FI_Combined_filo;Extended Properties=&quot;&quot;" command="SELECT * FROM [FI_Combined_filo]"/>
  </connection>
  <connection id="5" xr16:uid="{E6FEBF70-744D-492C-89DA-A4696040FE51}" keepAlive="1" name="Consulta - FI_Combined_genus" description="Conexión a la consulta 'FI_Combined_genus' en el libro." type="5" refreshedVersion="7" background="1" saveData="1">
    <dbPr connection="Provider=Microsoft.Mashup.OleDb.1;Data Source=$Workbook$;Location=FI_Combined_genus;Extended Properties=&quot;&quot;" command="SELECT * FROM [FI_Combined_genus]"/>
  </connection>
  <connection id="6" xr16:uid="{5B6297EE-55FB-451D-AC92-0EA0ACF0512C}" keepAlive="1" name="Consulta - FI_Combined_orden" description="Conexión a la consulta 'FI_Combined_orden' en el libro." type="5" refreshedVersion="7" background="1" saveData="1">
    <dbPr connection="Provider=Microsoft.Mashup.OleDb.1;Data Source=$Workbook$;Location=FI_Combined_orden;Extended Properties=&quot;&quot;" command="SELECT * FROM [FI_Combined_orden]"/>
  </connection>
</connections>
</file>

<file path=xl/sharedStrings.xml><?xml version="1.0" encoding="utf-8"?>
<sst xmlns="http://schemas.openxmlformats.org/spreadsheetml/2006/main" count="234" uniqueCount="39">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</sst>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0" xfId="1" applyNumberFormat="1"/>
  </cellXfs>
  <cellStyles count="2">
    <cellStyle name="Neutral" xfId="1" builtinId="28"/>
    <cellStyle name="Normal" xfId="0" builtinId="0"/>
  </cellStyles>
  <dxfs count="234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531E39-95A6-4971-B766-EDB59FC1209B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094C881-FA37-46FA-B84F-B4656F3479D6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F5260A9D-C9AA-4972-BAAE-99E846F449DE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35136E33-1388-4E12-BE36-4C18E10B62CF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B8A67A8-776F-4056-9F1C-E6CB50037369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570B2BC-8011-4913-B634-B38799D0B7F2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4CAC-FE10-42A8-9A7A-A9601002EE26}" name="FI_Combined_clase" displayName="FI_Combined_clase" ref="A1:AK11" tableType="queryTable" totalsRowShown="0" headerRowDxfId="196" dataDxfId="195">
  <autoFilter ref="A1:AK11" xr:uid="{BD500B90-EC8D-4956-B260-FE5618547C34}"/>
  <tableColumns count="37">
    <tableColumn id="1" xr3:uid="{BC13C478-D4EF-4406-B7F1-C9989C14EF13}" uniqueName="1" name="F_TOTAL" queryTableFieldId="1" dataDxfId="233"/>
    <tableColumn id="2" xr3:uid="{E0D96D9C-D5F0-4C42-8965-DB8B8DD01A64}" uniqueName="2" name="F_CITMLB" queryTableFieldId="2" dataDxfId="232"/>
    <tableColumn id="3" xr3:uid="{4E22D705-5C4A-4C96-817F-61B913648CD1}" uniqueName="3" name="F_OTHER" queryTableFieldId="3" dataDxfId="231"/>
    <tableColumn id="4" xr3:uid="{4B84731A-0AA7-4F2E-A00F-FA0EED83ED77}" uniqueName="4" name="F_JUICE" queryTableFieldId="4" dataDxfId="230"/>
    <tableColumn id="5" xr3:uid="{9E576D3D-48FB-4BBA-9118-2C2363CDE955}" uniqueName="5" name="V_TOTAL" queryTableFieldId="5" dataDxfId="229"/>
    <tableColumn id="6" xr3:uid="{BE80242F-4108-4B30-923D-BF5ABD6F6E8F}" uniqueName="6" name="V_DRKGR" queryTableFieldId="6" dataDxfId="228"/>
    <tableColumn id="7" xr3:uid="{495DE8B8-1205-46D4-9B87-5DCBC66B1007}" uniqueName="7" name="V_REDOR_TOTAL" queryTableFieldId="7" dataDxfId="227"/>
    <tableColumn id="8" xr3:uid="{800A7142-01E1-4693-860B-534886CF614D}" uniqueName="8" name="V_REDOR_TOMATO" queryTableFieldId="8" dataDxfId="226"/>
    <tableColumn id="9" xr3:uid="{A65D2A8D-68D7-4790-87B9-47052603015A}" uniqueName="9" name="V_REDOR_OTHER" queryTableFieldId="9" dataDxfId="225"/>
    <tableColumn id="10" xr3:uid="{04777F48-D42F-4902-BCBB-3659E9213D8F}" uniqueName="10" name="V_STARCHY_TOTAL" queryTableFieldId="10" dataDxfId="224"/>
    <tableColumn id="11" xr3:uid="{092B67C2-38F5-4E50-BDB9-8D695F82D2E4}" uniqueName="11" name="V_STARCHY_POTATO" queryTableFieldId="11" dataDxfId="223"/>
    <tableColumn id="12" xr3:uid="{5E07431B-8E21-4BCD-822F-CCCE871F2231}" uniqueName="12" name="V_STARCHY_OTHER" queryTableFieldId="12" dataDxfId="222"/>
    <tableColumn id="13" xr3:uid="{57B1D671-CDF5-4927-8279-F27D89BC475D}" uniqueName="13" name="V_OTHER" queryTableFieldId="13" dataDxfId="221"/>
    <tableColumn id="14" xr3:uid="{BED8C63B-4C2D-497C-A916-385CF460E446}" uniqueName="14" name="V_LEGUMES" queryTableFieldId="14" dataDxfId="220"/>
    <tableColumn id="15" xr3:uid="{4B40D105-30A6-48A2-A4A4-5A99C4C1BC90}" uniqueName="15" name="G_TOTAL" queryTableFieldId="15" dataDxfId="219"/>
    <tableColumn id="16" xr3:uid="{382CDC24-7374-423F-952E-BA2BC2BB7312}" uniqueName="16" name="G_WHOLE" queryTableFieldId="16" dataDxfId="218"/>
    <tableColumn id="17" xr3:uid="{E832E6D7-58EA-49DA-848D-478D804CC3AF}" uniqueName="17" name="G_REFINED" queryTableFieldId="17" dataDxfId="217"/>
    <tableColumn id="18" xr3:uid="{1E00B036-94FB-404F-91F0-D140D2F8B3A5}" uniqueName="18" name="PF_TOTAL" queryTableFieldId="18" dataDxfId="216"/>
    <tableColumn id="19" xr3:uid="{30060ECF-18DB-4E3E-9340-B9641A0780DB}" uniqueName="19" name="PF_MPS_TOTAL" queryTableFieldId="19" dataDxfId="215"/>
    <tableColumn id="20" xr3:uid="{8530E2AD-38F3-4B77-A32C-E8B86BA0CC28}" uniqueName="20" name="PF_MEAT" queryTableFieldId="20" dataDxfId="214"/>
    <tableColumn id="21" xr3:uid="{D8748BB0-E962-4129-B572-B4A4B0F7C1B5}" uniqueName="21" name="PF_CUREDMEAT" queryTableFieldId="21" dataDxfId="213"/>
    <tableColumn id="22" xr3:uid="{3DB7BD84-578D-4E2F-BC3E-E4A1F24B4FAF}" uniqueName="22" name="PF_ORGAN" queryTableFieldId="22" dataDxfId="212"/>
    <tableColumn id="23" xr3:uid="{F61A37EB-C64D-4BEE-A0B0-7D19C53FF1AB}" uniqueName="23" name="PF_POULT" queryTableFieldId="23" dataDxfId="211"/>
    <tableColumn id="24" xr3:uid="{32346720-90B4-49CD-905A-5EE0B75A5627}" uniqueName="24" name="PF_SEAFD_HI" queryTableFieldId="24" dataDxfId="210"/>
    <tableColumn id="25" xr3:uid="{551A037D-1E88-4C8D-9410-D9B0F6536276}" uniqueName="25" name="PF_SEAFD_LOW" queryTableFieldId="25" dataDxfId="209"/>
    <tableColumn id="26" xr3:uid="{C033AC1D-D32C-4D40-9FA4-F5AAAE37A3C8}" uniqueName="26" name="PF_EGGS" queryTableFieldId="26" dataDxfId="208"/>
    <tableColumn id="27" xr3:uid="{476FE62D-5A22-4052-9B48-9EDC80F7F5B0}" uniqueName="27" name="PF_SOY" queryTableFieldId="27" dataDxfId="207"/>
    <tableColumn id="28" xr3:uid="{9C36560F-7B5E-4F84-95B6-6628B44CED25}" uniqueName="28" name="PF_NUTSDS" queryTableFieldId="28" dataDxfId="206"/>
    <tableColumn id="29" xr3:uid="{3CA1B00F-BA4C-4C28-8EFF-442CDEFDDBC9}" uniqueName="29" name="PF_LEGUMES" queryTableFieldId="29" dataDxfId="205"/>
    <tableColumn id="30" xr3:uid="{259F8291-A15A-4414-AFEB-183260EF6B4D}" uniqueName="30" name="D_TOTAL" queryTableFieldId="30" dataDxfId="204"/>
    <tableColumn id="31" xr3:uid="{0597CD33-1481-407F-B06E-6DAFCE535ED8}" uniqueName="31" name="D_MILK" queryTableFieldId="31" dataDxfId="203"/>
    <tableColumn id="32" xr3:uid="{41A6FEC0-5D19-4B24-8D1B-349887FD937A}" uniqueName="32" name="D_YOGURT" queryTableFieldId="32" dataDxfId="202"/>
    <tableColumn id="33" xr3:uid="{F6019074-2E61-487B-B552-933C546E606E}" uniqueName="33" name="D_CHEESE" queryTableFieldId="33" dataDxfId="201"/>
    <tableColumn id="34" xr3:uid="{BA563275-1FDC-4DCE-B315-EF5966B50158}" uniqueName="34" name="OILS" queryTableFieldId="34" dataDxfId="200"/>
    <tableColumn id="35" xr3:uid="{A04B944B-C05A-4812-A369-D2FB05B35E76}" uniqueName="35" name="SOLID_FATS" queryTableFieldId="35" dataDxfId="199"/>
    <tableColumn id="36" xr3:uid="{F624E9FF-6AA7-493D-AC0C-31145726D953}" uniqueName="36" name="ADD_SUGARS" queryTableFieldId="36" dataDxfId="198"/>
    <tableColumn id="37" xr3:uid="{7D44EB1F-0819-485D-8BBC-93A182FBF455}" uniqueName="37" name="A_DRINKS" queryTableFieldId="37" dataDxfId="19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1EB5CA-6644-4F74-BD98-AA5B16743671}" name="FI_Combined_especie" displayName="FI_Combined_especie" ref="A1:AK11" tableType="queryTable" totalsRowShown="0" headerRowDxfId="157" dataDxfId="156">
  <autoFilter ref="A1:AK11" xr:uid="{FEB7BC54-2EE9-437A-A93F-0BED7A1AF7C4}"/>
  <tableColumns count="37">
    <tableColumn id="1" xr3:uid="{9BD1EBF6-CF63-46DF-BD73-1F9624524B16}" uniqueName="1" name="F_TOTAL" queryTableFieldId="1" dataDxfId="194"/>
    <tableColumn id="2" xr3:uid="{DE23DEE2-1C64-40B2-9001-8F339243C425}" uniqueName="2" name="F_CITMLB" queryTableFieldId="2" dataDxfId="193"/>
    <tableColumn id="3" xr3:uid="{3CB4800F-AAEF-4DFB-9AD3-08094CAEDFBD}" uniqueName="3" name="F_OTHER" queryTableFieldId="3" dataDxfId="192"/>
    <tableColumn id="4" xr3:uid="{515889BB-1421-4593-8F53-2D4AB7326144}" uniqueName="4" name="F_JUICE" queryTableFieldId="4" dataDxfId="191"/>
    <tableColumn id="5" xr3:uid="{A1EBE1BC-5E5F-4031-ABCB-55E891C01891}" uniqueName="5" name="V_TOTAL" queryTableFieldId="5" dataDxfId="190"/>
    <tableColumn id="6" xr3:uid="{74304CDB-DAB1-4B76-8CA3-B174D005D67D}" uniqueName="6" name="V_DRKGR" queryTableFieldId="6" dataDxfId="189"/>
    <tableColumn id="7" xr3:uid="{4A200CC3-2375-47F7-AF69-4D41DB5FB8D8}" uniqueName="7" name="V_REDOR_TOTAL" queryTableFieldId="7" dataDxfId="188"/>
    <tableColumn id="8" xr3:uid="{B34D0C9D-399B-4D99-BA14-8960524B1F2E}" uniqueName="8" name="V_REDOR_TOMATO" queryTableFieldId="8" dataDxfId="187"/>
    <tableColumn id="9" xr3:uid="{C7865CF4-3BB3-430A-8C1E-5ACBA3C9EE7A}" uniqueName="9" name="V_REDOR_OTHER" queryTableFieldId="9" dataDxfId="186"/>
    <tableColumn id="10" xr3:uid="{58E40937-9B30-4999-9726-968CD80B3B29}" uniqueName="10" name="V_STARCHY_TOTAL" queryTableFieldId="10" dataDxfId="185"/>
    <tableColumn id="11" xr3:uid="{2695F338-4E1D-4834-940C-C7DF096A6378}" uniqueName="11" name="V_STARCHY_POTATO" queryTableFieldId="11" dataDxfId="184"/>
    <tableColumn id="12" xr3:uid="{49043AE4-5DF6-4F8C-BDB0-151B4F55D365}" uniqueName="12" name="V_STARCHY_OTHER" queryTableFieldId="12" dataDxfId="183"/>
    <tableColumn id="13" xr3:uid="{2278EBC4-BBE5-4BE0-80F7-A5648FCECAB2}" uniqueName="13" name="V_OTHER" queryTableFieldId="13" dataDxfId="182"/>
    <tableColumn id="14" xr3:uid="{38BC4AE2-6D58-4496-B396-716A86698FD5}" uniqueName="14" name="V_LEGUMES" queryTableFieldId="14" dataDxfId="181"/>
    <tableColumn id="15" xr3:uid="{D2DA2D30-AD3D-43E6-89B5-3B242DE8AAFD}" uniqueName="15" name="G_TOTAL" queryTableFieldId="15" dataDxfId="180"/>
    <tableColumn id="16" xr3:uid="{11360988-B95B-49B3-A281-6C85565D72BD}" uniqueName="16" name="G_WHOLE" queryTableFieldId="16" dataDxfId="179"/>
    <tableColumn id="17" xr3:uid="{63E0ADE7-1993-49B2-8276-F38779E8DAD9}" uniqueName="17" name="G_REFINED" queryTableFieldId="17" dataDxfId="178"/>
    <tableColumn id="18" xr3:uid="{21B93E5A-717B-494E-886A-E220DAF67E98}" uniqueName="18" name="PF_TOTAL" queryTableFieldId="18" dataDxfId="177"/>
    <tableColumn id="19" xr3:uid="{EB047BF8-1921-4E22-91BE-BFD6EC58599E}" uniqueName="19" name="PF_MPS_TOTAL" queryTableFieldId="19" dataDxfId="176"/>
    <tableColumn id="20" xr3:uid="{E4D3F97E-DFE8-4F58-A259-EA533515270D}" uniqueName="20" name="PF_MEAT" queryTableFieldId="20" dataDxfId="175"/>
    <tableColumn id="21" xr3:uid="{ACA66CBE-DB61-4B92-AE7B-6A2CC387B1C3}" uniqueName="21" name="PF_CUREDMEAT" queryTableFieldId="21" dataDxfId="174"/>
    <tableColumn id="22" xr3:uid="{9302CBBF-33D2-47B4-9151-463A7F77B3D5}" uniqueName="22" name="PF_ORGAN" queryTableFieldId="22" dataDxfId="173"/>
    <tableColumn id="23" xr3:uid="{03B74B76-CB31-466B-A0B8-85B11FD868C8}" uniqueName="23" name="PF_POULT" queryTableFieldId="23" dataDxfId="172"/>
    <tableColumn id="24" xr3:uid="{C8CD29C3-89F2-4D39-8B0A-F808C9239F85}" uniqueName="24" name="PF_SEAFD_HI" queryTableFieldId="24" dataDxfId="171"/>
    <tableColumn id="25" xr3:uid="{F7003E7E-1A1D-4B2F-9E05-FBC972E87974}" uniqueName="25" name="PF_SEAFD_LOW" queryTableFieldId="25" dataDxfId="170"/>
    <tableColumn id="26" xr3:uid="{17676F2A-31D3-4C12-B855-BC56A219C1EA}" uniqueName="26" name="PF_EGGS" queryTableFieldId="26" dataDxfId="169"/>
    <tableColumn id="27" xr3:uid="{C6AE36F9-5615-43ED-AB24-0951784A1999}" uniqueName="27" name="PF_SOY" queryTableFieldId="27" dataDxfId="168"/>
    <tableColumn id="28" xr3:uid="{2EE1A5A6-B4A2-4E28-9189-C693FAEB3D0D}" uniqueName="28" name="PF_NUTSDS" queryTableFieldId="28" dataDxfId="167"/>
    <tableColumn id="29" xr3:uid="{F2B95E2C-ABC8-417B-969B-51947D9DA956}" uniqueName="29" name="PF_LEGUMES" queryTableFieldId="29" dataDxfId="166"/>
    <tableColumn id="30" xr3:uid="{373F38F1-7920-44BF-ADB8-340AE5C13058}" uniqueName="30" name="D_TOTAL" queryTableFieldId="30" dataDxfId="165"/>
    <tableColumn id="31" xr3:uid="{402E2DC6-CED9-40B8-A5A5-CFFBAE96B273}" uniqueName="31" name="D_MILK" queryTableFieldId="31" dataDxfId="164"/>
    <tableColumn id="32" xr3:uid="{16B3E2FD-5574-4C89-82F6-0E8328AC2625}" uniqueName="32" name="D_YOGURT" queryTableFieldId="32" dataDxfId="163"/>
    <tableColumn id="33" xr3:uid="{84C1C1D7-4E26-4961-B297-546A88CD5936}" uniqueName="33" name="D_CHEESE" queryTableFieldId="33" dataDxfId="162"/>
    <tableColumn id="34" xr3:uid="{CC40B608-1B33-4B88-BAAD-E41B595091AD}" uniqueName="34" name="OILS" queryTableFieldId="34" dataDxfId="161"/>
    <tableColumn id="35" xr3:uid="{8903CE4D-7198-4618-8A9D-5AFE92C565ED}" uniqueName="35" name="SOLID_FATS" queryTableFieldId="35" dataDxfId="160"/>
    <tableColumn id="36" xr3:uid="{A780E946-38A0-411E-AF74-2A5B285F5D40}" uniqueName="36" name="ADD_SUGARS" queryTableFieldId="36" dataDxfId="159"/>
    <tableColumn id="37" xr3:uid="{CEBFBACA-4457-484B-801D-794086F1CB00}" uniqueName="37" name="A_DRINKS" queryTableFieldId="37" dataDxfId="1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9E6B4-FE4D-4E6E-B867-13C46E2D548B}" name="FI_Combined_familia" displayName="FI_Combined_familia" ref="A1:AK11" tableType="queryTable" totalsRowShown="0" headerRowDxfId="118" dataDxfId="117">
  <autoFilter ref="A1:AK11" xr:uid="{80CBBE68-2BC3-4C97-A176-E63B2D5F1DBE}"/>
  <tableColumns count="37">
    <tableColumn id="1" xr3:uid="{3586D494-7361-473C-A972-AC7FBD586875}" uniqueName="1" name="F_TOTAL" queryTableFieldId="1" dataDxfId="155"/>
    <tableColumn id="2" xr3:uid="{2B664BBD-CF02-47B7-A0D8-A7080CF8DE73}" uniqueName="2" name="F_CITMLB" queryTableFieldId="2" dataDxfId="154"/>
    <tableColumn id="3" xr3:uid="{C0693942-EAB7-4109-AB23-0F6DAB579AEE}" uniqueName="3" name="F_OTHER" queryTableFieldId="3" dataDxfId="153"/>
    <tableColumn id="4" xr3:uid="{68B050C3-0928-4799-9BCA-6BB9A2794474}" uniqueName="4" name="F_JUICE" queryTableFieldId="4" dataDxfId="152"/>
    <tableColumn id="5" xr3:uid="{05CDD9C4-0089-4E07-B4E0-2594DB6EA6DA}" uniqueName="5" name="V_TOTAL" queryTableFieldId="5" dataDxfId="151"/>
    <tableColumn id="6" xr3:uid="{8150CD73-4EAB-48E1-B5D4-ACC2DF2445B3}" uniqueName="6" name="V_DRKGR" queryTableFieldId="6" dataDxfId="150"/>
    <tableColumn id="7" xr3:uid="{0A09F2EC-C998-4887-AB67-14311258C8EA}" uniqueName="7" name="V_REDOR_TOTAL" queryTableFieldId="7" dataDxfId="149"/>
    <tableColumn id="8" xr3:uid="{C685AEEC-18DB-4740-A5C1-268FF6F04FF1}" uniqueName="8" name="V_REDOR_TOMATO" queryTableFieldId="8" dataDxfId="148"/>
    <tableColumn id="9" xr3:uid="{351BFDA3-C4E5-4BA0-B083-9D7BA6F8F540}" uniqueName="9" name="V_REDOR_OTHER" queryTableFieldId="9" dataDxfId="147"/>
    <tableColumn id="10" xr3:uid="{37E95F76-E82A-476E-9288-3839AB541486}" uniqueName="10" name="V_STARCHY_TOTAL" queryTableFieldId="10" dataDxfId="146"/>
    <tableColumn id="11" xr3:uid="{DD001F26-2A18-4861-8892-2B9D76ACEC51}" uniqueName="11" name="V_STARCHY_POTATO" queryTableFieldId="11" dataDxfId="145"/>
    <tableColumn id="12" xr3:uid="{DBFEAD82-E583-4889-B43F-8805BC37C92A}" uniqueName="12" name="V_STARCHY_OTHER" queryTableFieldId="12" dataDxfId="144"/>
    <tableColumn id="13" xr3:uid="{098E0375-8ED6-4FA5-862E-FD26B65ECDA8}" uniqueName="13" name="V_OTHER" queryTableFieldId="13" dataDxfId="143"/>
    <tableColumn id="14" xr3:uid="{D6EF67C7-A71F-447B-AEA6-BD92AC93D7A8}" uniqueName="14" name="V_LEGUMES" queryTableFieldId="14" dataDxfId="142"/>
    <tableColumn id="15" xr3:uid="{6C1E0D0C-C9FC-411B-BDC0-F560730A9D36}" uniqueName="15" name="G_TOTAL" queryTableFieldId="15" dataDxfId="141"/>
    <tableColumn id="16" xr3:uid="{21E5EEA3-E3EE-4DD4-9F34-271FD7761DB2}" uniqueName="16" name="G_WHOLE" queryTableFieldId="16" dataDxfId="140"/>
    <tableColumn id="17" xr3:uid="{43B04D90-8289-495E-8B59-E717BE9BE300}" uniqueName="17" name="G_REFINED" queryTableFieldId="17" dataDxfId="139"/>
    <tableColumn id="18" xr3:uid="{76E08AC9-0411-4AF9-9D13-75F07F5F9FB1}" uniqueName="18" name="PF_TOTAL" queryTableFieldId="18" dataDxfId="138"/>
    <tableColumn id="19" xr3:uid="{758CE58B-ECEF-4C34-9218-77B1D3A29A79}" uniqueName="19" name="PF_MPS_TOTAL" queryTableFieldId="19" dataDxfId="137"/>
    <tableColumn id="20" xr3:uid="{7E73477B-93CA-46F5-8536-269BCA24850C}" uniqueName="20" name="PF_MEAT" queryTableFieldId="20" dataDxfId="136"/>
    <tableColumn id="21" xr3:uid="{A5141C8A-15D6-41F2-9570-66D435C7A5D0}" uniqueName="21" name="PF_CUREDMEAT" queryTableFieldId="21" dataDxfId="135"/>
    <tableColumn id="22" xr3:uid="{2C64366F-EA09-41CD-99B7-3BE000D5D180}" uniqueName="22" name="PF_ORGAN" queryTableFieldId="22" dataDxfId="134"/>
    <tableColumn id="23" xr3:uid="{48E4EE5B-9436-4D81-91B6-577C41DBF096}" uniqueName="23" name="PF_POULT" queryTableFieldId="23" dataDxfId="133"/>
    <tableColumn id="24" xr3:uid="{78DEDF76-3438-440F-8CCD-0BB94DE44245}" uniqueName="24" name="PF_SEAFD_HI" queryTableFieldId="24" dataDxfId="132"/>
    <tableColumn id="25" xr3:uid="{AF061DF9-3285-4A95-92F0-0927D760E64A}" uniqueName="25" name="PF_SEAFD_LOW" queryTableFieldId="25" dataDxfId="131"/>
    <tableColumn id="26" xr3:uid="{7D1EEBB2-2502-428A-86DC-707C51F78BD8}" uniqueName="26" name="PF_EGGS" queryTableFieldId="26" dataDxfId="130"/>
    <tableColumn id="27" xr3:uid="{DA61F5DF-5F22-4D8A-8090-5F232F9D9A46}" uniqueName="27" name="PF_SOY" queryTableFieldId="27" dataDxfId="129"/>
    <tableColumn id="28" xr3:uid="{E6C05537-D26F-4F7A-B0D8-99B76E9FB9CD}" uniqueName="28" name="PF_NUTSDS" queryTableFieldId="28" dataDxfId="128"/>
    <tableColumn id="29" xr3:uid="{6EA5B32B-4808-4DA2-AC93-979FDF02899F}" uniqueName="29" name="PF_LEGUMES" queryTableFieldId="29" dataDxfId="127"/>
    <tableColumn id="30" xr3:uid="{BBF17755-A2A8-4E18-8F8F-4D968A4CDA9F}" uniqueName="30" name="D_TOTAL" queryTableFieldId="30" dataDxfId="126"/>
    <tableColumn id="31" xr3:uid="{E1ED869A-2034-46F3-B59D-2D4F6DB74FCC}" uniqueName="31" name="D_MILK" queryTableFieldId="31" dataDxfId="125"/>
    <tableColumn id="32" xr3:uid="{794AEC33-FFAE-4B86-BCBE-7F9144B39197}" uniqueName="32" name="D_YOGURT" queryTableFieldId="32" dataDxfId="124"/>
    <tableColumn id="33" xr3:uid="{61791B39-EC99-4D3C-814D-0DDEE035BBF7}" uniqueName="33" name="D_CHEESE" queryTableFieldId="33" dataDxfId="123"/>
    <tableColumn id="34" xr3:uid="{60DBFC84-55D0-4AC3-B834-D3D9C7EC9866}" uniqueName="34" name="OILS" queryTableFieldId="34" dataDxfId="122"/>
    <tableColumn id="35" xr3:uid="{9F08F3D8-F590-481D-9DC0-65AF4AF08C1B}" uniqueName="35" name="SOLID_FATS" queryTableFieldId="35" dataDxfId="121"/>
    <tableColumn id="36" xr3:uid="{7E185DCA-C738-42BE-9A62-F898B021CF00}" uniqueName="36" name="ADD_SUGARS" queryTableFieldId="36" dataDxfId="120"/>
    <tableColumn id="37" xr3:uid="{97A34103-A414-48BF-9C82-5E65DFCD2AF8}" uniqueName="37" name="A_DRINKS" queryTableFieldId="37" dataDxfId="1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C744C-28A6-4399-97D7-6588E2D1D326}" name="FI_Combined_filo" displayName="FI_Combined_filo" ref="A1:AK11" tableType="queryTable" totalsRowShown="0" headerRowDxfId="79" dataDxfId="78">
  <autoFilter ref="A1:AK11" xr:uid="{17B560CE-9672-4022-8322-4AB016E02FEA}"/>
  <tableColumns count="37">
    <tableColumn id="1" xr3:uid="{DFCEF419-69AB-4367-B0A0-1B55B30C92E4}" uniqueName="1" name="F_TOTAL" queryTableFieldId="1" dataDxfId="116"/>
    <tableColumn id="2" xr3:uid="{11A00449-DC26-439B-9D02-C8B580689946}" uniqueName="2" name="F_CITMLB" queryTableFieldId="2" dataDxfId="115"/>
    <tableColumn id="3" xr3:uid="{1FDC0BE2-5DB3-4AD9-9DA7-7B89B9E1AF41}" uniqueName="3" name="F_OTHER" queryTableFieldId="3" dataDxfId="114"/>
    <tableColumn id="4" xr3:uid="{DEE04A15-B08B-49B3-8248-DAC005ED3718}" uniqueName="4" name="F_JUICE" queryTableFieldId="4" dataDxfId="113"/>
    <tableColumn id="5" xr3:uid="{98351A48-09F5-4E15-946B-C95A62E0AF1C}" uniqueName="5" name="V_TOTAL" queryTableFieldId="5" dataDxfId="112"/>
    <tableColumn id="6" xr3:uid="{F5CE0377-3524-4557-A495-B3351319F655}" uniqueName="6" name="V_DRKGR" queryTableFieldId="6" dataDxfId="111"/>
    <tableColumn id="7" xr3:uid="{2509E285-26D3-47F3-81CC-C0F1C0BD5D5B}" uniqueName="7" name="V_REDOR_TOTAL" queryTableFieldId="7" dataDxfId="110"/>
    <tableColumn id="8" xr3:uid="{2CCA2755-382C-4FDC-B488-C07FAA2D25DA}" uniqueName="8" name="V_REDOR_TOMATO" queryTableFieldId="8" dataDxfId="109"/>
    <tableColumn id="9" xr3:uid="{CB4D5D2D-7BDA-4583-9765-A405AF529AE3}" uniqueName="9" name="V_REDOR_OTHER" queryTableFieldId="9" dataDxfId="108"/>
    <tableColumn id="10" xr3:uid="{8E1EF5CB-0F0F-4BA4-B76E-350EFE94CC5B}" uniqueName="10" name="V_STARCHY_TOTAL" queryTableFieldId="10" dataDxfId="107"/>
    <tableColumn id="11" xr3:uid="{032F0F9E-0ECE-422F-AD84-D823584EFB01}" uniqueName="11" name="V_STARCHY_POTATO" queryTableFieldId="11" dataDxfId="106"/>
    <tableColumn id="12" xr3:uid="{365A72A5-C242-450E-91D1-82D77C88EE37}" uniqueName="12" name="V_STARCHY_OTHER" queryTableFieldId="12" dataDxfId="105"/>
    <tableColumn id="13" xr3:uid="{92F101BD-A663-4EE0-BF4A-957B0C9A4270}" uniqueName="13" name="V_OTHER" queryTableFieldId="13" dataDxfId="104"/>
    <tableColumn id="14" xr3:uid="{C51F6016-1B4A-4DE3-8BC6-138E9F0662BC}" uniqueName="14" name="V_LEGUMES" queryTableFieldId="14" dataDxfId="103"/>
    <tableColumn id="15" xr3:uid="{74EC1832-3347-4E74-8F42-9BBDA6B35B94}" uniqueName="15" name="G_TOTAL" queryTableFieldId="15" dataDxfId="102"/>
    <tableColumn id="16" xr3:uid="{55B349B1-1C41-4E15-9C5B-67AB6BAC65EE}" uniqueName="16" name="G_WHOLE" queryTableFieldId="16" dataDxfId="101"/>
    <tableColumn id="17" xr3:uid="{6C059E75-8C4D-40AD-9379-98D6774AB1A2}" uniqueName="17" name="G_REFINED" queryTableFieldId="17" dataDxfId="100"/>
    <tableColumn id="18" xr3:uid="{3B78FE86-6984-4601-AB55-C567772C0631}" uniqueName="18" name="PF_TOTAL" queryTableFieldId="18" dataDxfId="99"/>
    <tableColumn id="19" xr3:uid="{8204DF6E-5E48-4FE9-9487-BC219774506D}" uniqueName="19" name="PF_MPS_TOTAL" queryTableFieldId="19" dataDxfId="98"/>
    <tableColumn id="20" xr3:uid="{DDB30300-9020-4100-95D2-CF2C3FB3798F}" uniqueName="20" name="PF_MEAT" queryTableFieldId="20" dataDxfId="97"/>
    <tableColumn id="21" xr3:uid="{8F54970A-F657-4613-B14D-556F26EA1DB8}" uniqueName="21" name="PF_CUREDMEAT" queryTableFieldId="21" dataDxfId="96"/>
    <tableColumn id="22" xr3:uid="{09861B8A-D80A-4A6F-BE30-E7F696D45AEF}" uniqueName="22" name="PF_ORGAN" queryTableFieldId="22" dataDxfId="95"/>
    <tableColumn id="23" xr3:uid="{4D321780-DF67-46AA-8D35-91B8F012E23F}" uniqueName="23" name="PF_POULT" queryTableFieldId="23" dataDxfId="94"/>
    <tableColumn id="24" xr3:uid="{303614A2-9371-4F7A-BBF1-E60DB1C931A4}" uniqueName="24" name="PF_SEAFD_HI" queryTableFieldId="24" dataDxfId="93"/>
    <tableColumn id="25" xr3:uid="{F8203C25-116C-48C6-994E-853ABC7A417B}" uniqueName="25" name="PF_SEAFD_LOW" queryTableFieldId="25" dataDxfId="92"/>
    <tableColumn id="26" xr3:uid="{C952BA20-6CDD-49F6-93C6-80D5A36F09C6}" uniqueName="26" name="PF_EGGS" queryTableFieldId="26" dataDxfId="91"/>
    <tableColumn id="27" xr3:uid="{6DBC0975-A232-45B8-8408-D9DD0F25CEE3}" uniqueName="27" name="PF_SOY" queryTableFieldId="27" dataDxfId="90"/>
    <tableColumn id="28" xr3:uid="{A272D36C-5902-469E-B5F1-E314C206B52B}" uniqueName="28" name="PF_NUTSDS" queryTableFieldId="28" dataDxfId="89"/>
    <tableColumn id="29" xr3:uid="{48778A35-53AE-4EB4-AE57-CA21C1A8040D}" uniqueName="29" name="PF_LEGUMES" queryTableFieldId="29" dataDxfId="88"/>
    <tableColumn id="30" xr3:uid="{1748F91A-7ABB-48ED-B926-A64C99187BB1}" uniqueName="30" name="D_TOTAL" queryTableFieldId="30" dataDxfId="87"/>
    <tableColumn id="31" xr3:uid="{B08E23E5-5F45-4BC2-ADEA-0A28459974E3}" uniqueName="31" name="D_MILK" queryTableFieldId="31" dataDxfId="86"/>
    <tableColumn id="32" xr3:uid="{023AA979-2D35-46FD-93FD-B2B190E73740}" uniqueName="32" name="D_YOGURT" queryTableFieldId="32" dataDxfId="85"/>
    <tableColumn id="33" xr3:uid="{D70FAAAB-8762-4CD4-8D4B-40D6437BDDB7}" uniqueName="33" name="D_CHEESE" queryTableFieldId="33" dataDxfId="84"/>
    <tableColumn id="34" xr3:uid="{9220606B-7202-49BE-BC54-B83B5C76D449}" uniqueName="34" name="OILS" queryTableFieldId="34" dataDxfId="83"/>
    <tableColumn id="35" xr3:uid="{93BC028B-659A-4067-9EA7-471284DAA548}" uniqueName="35" name="SOLID_FATS" queryTableFieldId="35" dataDxfId="82"/>
    <tableColumn id="36" xr3:uid="{2EAB9CC5-FF7C-41AD-9B58-9B1FC0285D9A}" uniqueName="36" name="ADD_SUGARS" queryTableFieldId="36" dataDxfId="81"/>
    <tableColumn id="37" xr3:uid="{88C790BE-2B34-4D2E-891C-CAF39C4AB7D2}" uniqueName="37" name="A_DRINKS" queryTableFieldId="37" dataDxfId="8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2F33-9A41-494F-8A94-C85FBA809DC2}" name="FI_Combined_genus" displayName="FI_Combined_genus" ref="A1:AK11" tableType="queryTable" totalsRowShown="0" headerRowDxfId="77" dataDxfId="76">
  <autoFilter ref="A1:AK11" xr:uid="{3A5A949D-3CC4-4878-A85B-80C08C5DCB98}"/>
  <tableColumns count="37">
    <tableColumn id="1" xr3:uid="{42D9F8DE-2457-44AF-91E5-300F87C2E2C8}" uniqueName="1" name="F_TOTAL" queryTableFieldId="1" dataDxfId="75"/>
    <tableColumn id="2" xr3:uid="{B0DDD60C-698E-4F1E-BFB0-CEFB718CD582}" uniqueName="2" name="F_CITMLB" queryTableFieldId="2" dataDxfId="74"/>
    <tableColumn id="3" xr3:uid="{648531CD-C6C6-4C74-814C-CC0AE51A12F7}" uniqueName="3" name="F_OTHER" queryTableFieldId="3" dataDxfId="73"/>
    <tableColumn id="4" xr3:uid="{348C5552-08B1-4833-B9EA-DEA5286D411A}" uniqueName="4" name="F_JUICE" queryTableFieldId="4" dataDxfId="72"/>
    <tableColumn id="5" xr3:uid="{4EBDBAC7-0961-45C4-B035-7A5D923C3F04}" uniqueName="5" name="V_TOTAL" queryTableFieldId="5" dataDxfId="71"/>
    <tableColumn id="6" xr3:uid="{6BB66227-B7C3-495A-B0FD-DE9FB9D9F6E9}" uniqueName="6" name="V_DRKGR" queryTableFieldId="6" dataDxfId="70"/>
    <tableColumn id="7" xr3:uid="{0E5014ED-6A50-4179-B5F2-07D56D64589F}" uniqueName="7" name="V_REDOR_TOTAL" queryTableFieldId="7" dataDxfId="69"/>
    <tableColumn id="8" xr3:uid="{50976B68-0797-412D-8F1A-B821F6FEE8DC}" uniqueName="8" name="V_REDOR_TOMATO" queryTableFieldId="8" dataDxfId="68"/>
    <tableColumn id="9" xr3:uid="{B94E1803-3D94-4CB6-994B-93CE2F3F53EB}" uniqueName="9" name="V_REDOR_OTHER" queryTableFieldId="9" dataDxfId="67"/>
    <tableColumn id="10" xr3:uid="{7941E003-2AC7-4C39-B0BD-849FA6E37080}" uniqueName="10" name="V_STARCHY_TOTAL" queryTableFieldId="10" dataDxfId="66"/>
    <tableColumn id="11" xr3:uid="{AEED096E-1694-40D0-AA49-977FA4592F26}" uniqueName="11" name="V_STARCHY_POTATO" queryTableFieldId="11" dataDxfId="65"/>
    <tableColumn id="12" xr3:uid="{2F4B6566-6873-425A-A0D4-ED646816ED83}" uniqueName="12" name="V_STARCHY_OTHER" queryTableFieldId="12" dataDxfId="64"/>
    <tableColumn id="13" xr3:uid="{BD98F95F-4311-4C51-9039-3C25E99FA6D2}" uniqueName="13" name="V_OTHER" queryTableFieldId="13" dataDxfId="63"/>
    <tableColumn id="14" xr3:uid="{87173E4E-9C34-4690-A089-819480336BB1}" uniqueName="14" name="V_LEGUMES" queryTableFieldId="14" dataDxfId="62"/>
    <tableColumn id="15" xr3:uid="{BE64C81B-BFB9-4D3F-B148-930FE8CD001D}" uniqueName="15" name="G_TOTAL" queryTableFieldId="15" dataDxfId="61"/>
    <tableColumn id="16" xr3:uid="{6A81A4BE-35B3-4DE3-A0F4-81F971319FE9}" uniqueName="16" name="G_WHOLE" queryTableFieldId="16" dataDxfId="60"/>
    <tableColumn id="17" xr3:uid="{EF51EDEE-16E0-4DB6-8828-6690B06B88EE}" uniqueName="17" name="G_REFINED" queryTableFieldId="17" dataDxfId="59"/>
    <tableColumn id="18" xr3:uid="{D11DFCD7-0A3F-4575-8F67-7A42F344A48F}" uniqueName="18" name="PF_TOTAL" queryTableFieldId="18" dataDxfId="58"/>
    <tableColumn id="19" xr3:uid="{01587045-E7B1-43DB-8EDB-D170AB66FD84}" uniqueName="19" name="PF_MPS_TOTAL" queryTableFieldId="19" dataDxfId="57"/>
    <tableColumn id="20" xr3:uid="{685C1691-9AFD-4A7B-9843-23D3D4F746AF}" uniqueName="20" name="PF_MEAT" queryTableFieldId="20" dataDxfId="56"/>
    <tableColumn id="21" xr3:uid="{6AD121F7-3629-45ED-8209-FD56ABD17848}" uniqueName="21" name="PF_CUREDMEAT" queryTableFieldId="21" dataDxfId="55"/>
    <tableColumn id="22" xr3:uid="{67EE372A-1D1E-4EEE-AE72-03E2519881E8}" uniqueName="22" name="PF_ORGAN" queryTableFieldId="22" dataDxfId="54"/>
    <tableColumn id="23" xr3:uid="{68B43EC8-50A9-4883-B6CD-FA850B9569B3}" uniqueName="23" name="PF_POULT" queryTableFieldId="23" dataDxfId="53"/>
    <tableColumn id="24" xr3:uid="{6E4C0287-6746-42CE-903C-75FD56E75729}" uniqueName="24" name="PF_SEAFD_HI" queryTableFieldId="24" dataDxfId="52"/>
    <tableColumn id="25" xr3:uid="{471DF708-3C30-4586-887F-702ADB619751}" uniqueName="25" name="PF_SEAFD_LOW" queryTableFieldId="25" dataDxfId="51"/>
    <tableColumn id="26" xr3:uid="{1C984AA3-B77D-4AF3-A900-DEC27ADDE606}" uniqueName="26" name="PF_EGGS" queryTableFieldId="26" dataDxfId="50"/>
    <tableColumn id="27" xr3:uid="{104B6280-B5B6-4487-9570-8632BE4789DF}" uniqueName="27" name="PF_SOY" queryTableFieldId="27" dataDxfId="49"/>
    <tableColumn id="28" xr3:uid="{05F5F7C5-6B49-4D42-8174-AB7170CFB998}" uniqueName="28" name="PF_NUTSDS" queryTableFieldId="28" dataDxfId="48"/>
    <tableColumn id="29" xr3:uid="{065DBD1A-14EB-4204-A985-5AB31C48A76F}" uniqueName="29" name="PF_LEGUMES" queryTableFieldId="29" dataDxfId="47"/>
    <tableColumn id="30" xr3:uid="{BC7552D1-771D-4A9B-AAEC-ACC6371B2152}" uniqueName="30" name="D_TOTAL" queryTableFieldId="30" dataDxfId="46"/>
    <tableColumn id="31" xr3:uid="{84B119C1-AC11-45A5-BDB0-BD841BC85AA0}" uniqueName="31" name="D_MILK" queryTableFieldId="31" dataDxfId="45"/>
    <tableColumn id="32" xr3:uid="{DFE209C8-470A-461E-869D-B2F3F0519AC9}" uniqueName="32" name="D_YOGURT" queryTableFieldId="32" dataDxfId="44"/>
    <tableColumn id="33" xr3:uid="{09FC250E-71E0-4468-8275-D469C5F6B05E}" uniqueName="33" name="D_CHEESE" queryTableFieldId="33" dataDxfId="43"/>
    <tableColumn id="34" xr3:uid="{8A573142-3FEB-4191-BBFC-24DCB0E041AB}" uniqueName="34" name="OILS" queryTableFieldId="34" dataDxfId="42"/>
    <tableColumn id="35" xr3:uid="{FEB67572-8B1C-4E6D-9C41-FBCCEB3D3D10}" uniqueName="35" name="SOLID_FATS" queryTableFieldId="35" dataDxfId="41"/>
    <tableColumn id="36" xr3:uid="{4A31975B-1348-450C-93A9-A4A2005C9437}" uniqueName="36" name="ADD_SUGARS" queryTableFieldId="36" dataDxfId="40"/>
    <tableColumn id="37" xr3:uid="{7ADEF79F-1462-43F0-877C-E23EB32BA623}" uniqueName="37" name="A_DRINKS" queryTableFieldId="37" dataDxfId="3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2B9A8B-E981-4146-AC2A-8D3EAE7C1886}" name="FI_Combined_orden" displayName="FI_Combined_orden" ref="A1:AK11" tableType="queryTable" totalsRowShown="0" headerRowDxfId="1" dataDxfId="0">
  <autoFilter ref="A1:AK11" xr:uid="{F11F2A00-499E-4AEC-9BF9-6368E971C598}"/>
  <tableColumns count="37">
    <tableColumn id="1" xr3:uid="{19375FFA-1D3D-41F3-8043-661231A0F7E0}" uniqueName="1" name="F_TOTAL" queryTableFieldId="1" dataDxfId="38"/>
    <tableColumn id="2" xr3:uid="{D05AB5D6-0466-4825-B5DF-CF2B3AA40BE2}" uniqueName="2" name="F_CITMLB" queryTableFieldId="2" dataDxfId="37"/>
    <tableColumn id="3" xr3:uid="{AF5E561D-AAD6-464B-B825-098A0BA17A69}" uniqueName="3" name="F_OTHER" queryTableFieldId="3" dataDxfId="36"/>
    <tableColumn id="4" xr3:uid="{3B0A2E3E-F05D-403A-8571-479C016C1052}" uniqueName="4" name="F_JUICE" queryTableFieldId="4" dataDxfId="35"/>
    <tableColumn id="5" xr3:uid="{4D3B5DD4-D19B-4558-B6D3-DD036BDC88C4}" uniqueName="5" name="V_TOTAL" queryTableFieldId="5" dataDxfId="34"/>
    <tableColumn id="6" xr3:uid="{11204E99-CBA9-489C-B7C5-C13C841962CF}" uniqueName="6" name="V_DRKGR" queryTableFieldId="6" dataDxfId="33"/>
    <tableColumn id="7" xr3:uid="{77BA294B-86EC-4ACF-A5D6-39CB2EBE8955}" uniqueName="7" name="V_REDOR_TOTAL" queryTableFieldId="7" dataDxfId="32"/>
    <tableColumn id="8" xr3:uid="{3E305E96-B19D-460C-A2C4-680F9FD337BE}" uniqueName="8" name="V_REDOR_TOMATO" queryTableFieldId="8" dataDxfId="31"/>
    <tableColumn id="9" xr3:uid="{C69B78C1-0BF5-4719-B83E-7A09CF54F50F}" uniqueName="9" name="V_REDOR_OTHER" queryTableFieldId="9" dataDxfId="30"/>
    <tableColumn id="10" xr3:uid="{BAA73D3D-5BB5-404D-98F2-9BDA68AB4658}" uniqueName="10" name="V_STARCHY_TOTAL" queryTableFieldId="10" dataDxfId="29"/>
    <tableColumn id="11" xr3:uid="{623B2D29-6360-4D98-BEA2-A82A4FFF129B}" uniqueName="11" name="V_STARCHY_POTATO" queryTableFieldId="11" dataDxfId="28"/>
    <tableColumn id="12" xr3:uid="{C13E494C-FA8E-43E7-99DE-1989C7B07DF6}" uniqueName="12" name="V_STARCHY_OTHER" queryTableFieldId="12" dataDxfId="27"/>
    <tableColumn id="13" xr3:uid="{98CB707B-EAAA-4CF2-88C8-B9613EF8F7CE}" uniqueName="13" name="V_OTHER" queryTableFieldId="13" dataDxfId="26"/>
    <tableColumn id="14" xr3:uid="{544823C3-18CE-4065-B31A-A4299EC071BE}" uniqueName="14" name="V_LEGUMES" queryTableFieldId="14" dataDxfId="25"/>
    <tableColumn id="15" xr3:uid="{4415C3AF-047C-48A7-BB83-AB58D489FB50}" uniqueName="15" name="G_TOTAL" queryTableFieldId="15" dataDxfId="24"/>
    <tableColumn id="16" xr3:uid="{9FF0CD75-E3EB-4151-96E9-71325B88E4B1}" uniqueName="16" name="G_WHOLE" queryTableFieldId="16" dataDxfId="23"/>
    <tableColumn id="17" xr3:uid="{F2F9EDA6-1D58-4A6F-8BDF-B93ED4CE5562}" uniqueName="17" name="G_REFINED" queryTableFieldId="17" dataDxfId="22"/>
    <tableColumn id="18" xr3:uid="{663A29C9-A8B1-49AE-8F40-8257CF4325FA}" uniqueName="18" name="PF_TOTAL" queryTableFieldId="18" dataDxfId="21"/>
    <tableColumn id="19" xr3:uid="{21760500-C9B4-4321-92C9-03224D1F4A77}" uniqueName="19" name="PF_MPS_TOTAL" queryTableFieldId="19" dataDxfId="20"/>
    <tableColumn id="20" xr3:uid="{83605FD3-18CD-4F4F-8375-61B7DB5A6A4E}" uniqueName="20" name="PF_MEAT" queryTableFieldId="20" dataDxfId="19"/>
    <tableColumn id="21" xr3:uid="{5C326B45-71C3-4641-ABE3-87F9EC3FD2C6}" uniqueName="21" name="PF_CUREDMEAT" queryTableFieldId="21" dataDxfId="18"/>
    <tableColumn id="22" xr3:uid="{AD9A1752-C93C-4062-8906-2C636F685D9D}" uniqueName="22" name="PF_ORGAN" queryTableFieldId="22" dataDxfId="17"/>
    <tableColumn id="23" xr3:uid="{E0972496-3EF8-4AFE-B8F7-1AEB29A1D1C9}" uniqueName="23" name="PF_POULT" queryTableFieldId="23" dataDxfId="16"/>
    <tableColumn id="24" xr3:uid="{95C1CC89-F24C-4A1D-8AC6-53FCC82D29CD}" uniqueName="24" name="PF_SEAFD_HI" queryTableFieldId="24" dataDxfId="15"/>
    <tableColumn id="25" xr3:uid="{21D9D173-B89F-4820-ADCE-B36A25827626}" uniqueName="25" name="PF_SEAFD_LOW" queryTableFieldId="25" dataDxfId="14"/>
    <tableColumn id="26" xr3:uid="{A16D2C22-20CA-47E5-8A30-8FE48FF276DB}" uniqueName="26" name="PF_EGGS" queryTableFieldId="26" dataDxfId="13"/>
    <tableColumn id="27" xr3:uid="{30803671-77B9-4BB2-B32F-D129BB4DEC91}" uniqueName="27" name="PF_SOY" queryTableFieldId="27" dataDxfId="12"/>
    <tableColumn id="28" xr3:uid="{5D30BC9E-1320-415A-A50E-49DA8960EAFB}" uniqueName="28" name="PF_NUTSDS" queryTableFieldId="28" dataDxfId="11"/>
    <tableColumn id="29" xr3:uid="{C79982F2-9BF6-432F-8243-5D2C631F08E4}" uniqueName="29" name="PF_LEGUMES" queryTableFieldId="29" dataDxfId="10"/>
    <tableColumn id="30" xr3:uid="{AA3D8F9C-48F8-4E4D-B902-70D74629BD97}" uniqueName="30" name="D_TOTAL" queryTableFieldId="30" dataDxfId="9"/>
    <tableColumn id="31" xr3:uid="{7BE451B3-4485-407A-B9B9-B9DDC307571D}" uniqueName="31" name="D_MILK" queryTableFieldId="31" dataDxfId="8"/>
    <tableColumn id="32" xr3:uid="{E5B085C9-96E7-466E-A647-8261B15900F2}" uniqueName="32" name="D_YOGURT" queryTableFieldId="32" dataDxfId="7"/>
    <tableColumn id="33" xr3:uid="{6CA9AD08-8265-49B3-A9E7-2F3772E97EBE}" uniqueName="33" name="D_CHEESE" queryTableFieldId="33" dataDxfId="6"/>
    <tableColumn id="34" xr3:uid="{247C91AF-035E-4A98-B1EE-A19B051985AD}" uniqueName="34" name="OILS" queryTableFieldId="34" dataDxfId="5"/>
    <tableColumn id="35" xr3:uid="{E9B31157-89EB-4C53-B52B-8B6237AFCDEC}" uniqueName="35" name="SOLID_FATS" queryTableFieldId="35" dataDxfId="4"/>
    <tableColumn id="36" xr3:uid="{072EF282-BC88-407B-AA09-2E216C6AF70D}" uniqueName="36" name="ADD_SUGARS" queryTableFieldId="36" dataDxfId="3"/>
    <tableColumn id="37" xr3:uid="{D2A7B5CE-4DB6-44FB-9C30-5FF8E208C4B0}" uniqueName="37" name="A_DRINKS" queryTableFieldId="3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84EA-1490-4F75-BCC1-E31ECCB847E7}">
  <dimension ref="A1:AK16"/>
  <sheetViews>
    <sheetView topLeftCell="AA1" workbookViewId="0">
      <selection activeCell="A16" sqref="A16:AK16"/>
    </sheetView>
  </sheetViews>
  <sheetFormatPr baseColWidth="10" defaultRowHeight="14.5" x14ac:dyDescent="0.35"/>
  <cols>
    <col min="1" max="1" width="23.1796875" style="1" bestFit="1" customWidth="1"/>
    <col min="2" max="5" width="22.1796875" style="1" bestFit="1" customWidth="1"/>
    <col min="6" max="9" width="21.1796875" style="1" bestFit="1" customWidth="1"/>
    <col min="10" max="12" width="22.1796875" style="1" bestFit="1" customWidth="1"/>
    <col min="13" max="14" width="21.1796875" style="1" bestFit="1" customWidth="1"/>
    <col min="15" max="15" width="22.1796875" style="1" bestFit="1" customWidth="1"/>
    <col min="16" max="16" width="21.1796875" style="1" bestFit="1" customWidth="1"/>
    <col min="17" max="21" width="22.1796875" style="1" bestFit="1" customWidth="1"/>
    <col min="22" max="22" width="21.1796875" style="1" bestFit="1" customWidth="1"/>
    <col min="23" max="23" width="22.1796875" style="1" bestFit="1" customWidth="1"/>
    <col min="24" max="30" width="21.1796875" style="1" bestFit="1" customWidth="1"/>
    <col min="31" max="31" width="21.54296875" style="1" bestFit="1" customWidth="1"/>
    <col min="32" max="32" width="21.1796875" style="1" bestFit="1" customWidth="1"/>
    <col min="33" max="34" width="22.1796875" style="1" bestFit="1" customWidth="1"/>
    <col min="35" max="35" width="23.1796875" style="1" bestFit="1" customWidth="1"/>
    <col min="36" max="36" width="22.1796875" style="1" bestFit="1" customWidth="1"/>
    <col min="37" max="37" width="21.179687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-3.18914651870727E-4</v>
      </c>
      <c r="B2" s="1">
        <v>-1.0735988616943301E-3</v>
      </c>
      <c r="C2" s="1">
        <v>-2.88648903369903E-3</v>
      </c>
      <c r="D2" s="1">
        <v>-1.6853660345077499E-3</v>
      </c>
      <c r="E2" s="1">
        <v>-4.14146482944488E-3</v>
      </c>
      <c r="F2" s="1">
        <v>-5.3700506687164298E-3</v>
      </c>
      <c r="G2" s="1">
        <v>-9.5746740698814392E-3</v>
      </c>
      <c r="H2" s="1">
        <v>-9.8894685506820592E-3</v>
      </c>
      <c r="I2" s="1">
        <v>-9.0215802192687902E-3</v>
      </c>
      <c r="J2" s="1">
        <v>-8.3567202091217006E-3</v>
      </c>
      <c r="K2" s="1">
        <v>-6.9352090358734096E-3</v>
      </c>
      <c r="L2" s="1">
        <v>-6.5155923366546596E-3</v>
      </c>
      <c r="M2" s="1">
        <v>-1.0874472558498299E-2</v>
      </c>
      <c r="N2" s="1">
        <v>-6.0464888811111398E-3</v>
      </c>
      <c r="O2" s="1">
        <v>-9.4949528574943508E-3</v>
      </c>
      <c r="P2" s="1">
        <v>-7.4081271886825501E-3</v>
      </c>
      <c r="Q2" s="1">
        <v>-3.4776926040649401E-3</v>
      </c>
      <c r="R2" s="1">
        <v>-5.2325278520584098E-3</v>
      </c>
      <c r="S2" s="1">
        <v>-3.06682288646698E-3</v>
      </c>
      <c r="T2" s="1">
        <v>-8.2151293754577602E-3</v>
      </c>
      <c r="U2" s="1">
        <v>-5.5928677320480303E-3</v>
      </c>
      <c r="V2" s="1">
        <v>-6.5823197364807103E-3</v>
      </c>
      <c r="W2" s="1">
        <v>-7.7204108238220197E-3</v>
      </c>
      <c r="X2" s="1">
        <v>-1.20035335421562E-2</v>
      </c>
      <c r="Y2" s="1">
        <v>-1.14506930112838E-2</v>
      </c>
      <c r="Z2" s="1">
        <v>-1.20823383331298E-2</v>
      </c>
      <c r="AA2" s="1">
        <v>-7.2377473115921003E-3</v>
      </c>
      <c r="AB2" s="1">
        <v>-7.1328729391097996E-3</v>
      </c>
      <c r="AC2" s="1">
        <v>-1.4057368040084801E-2</v>
      </c>
      <c r="AD2" s="1">
        <v>-1.0109856724739E-2</v>
      </c>
      <c r="AE2" s="1">
        <v>-7.6924413442611599E-3</v>
      </c>
      <c r="AF2" s="1">
        <v>-8.7233334779739293E-3</v>
      </c>
      <c r="AG2" s="1">
        <v>-7.43141770362854E-3</v>
      </c>
      <c r="AH2" s="1">
        <v>-1.47919505834579E-2</v>
      </c>
      <c r="AI2" s="1">
        <v>-3.36119532585144E-3</v>
      </c>
      <c r="AJ2" s="1">
        <v>-1.33782997727394E-2</v>
      </c>
      <c r="AK2" s="1">
        <v>-1.3032585382461499E-2</v>
      </c>
    </row>
    <row r="3" spans="1:37" x14ac:dyDescent="0.35">
      <c r="A3" s="1">
        <v>-5.3750872611999503E-3</v>
      </c>
      <c r="B3" s="1">
        <v>-2.1083801984786901E-3</v>
      </c>
      <c r="C3" s="1">
        <v>-1.7135739326477001E-3</v>
      </c>
      <c r="D3" s="1">
        <v>-1.3249218463897701E-3</v>
      </c>
      <c r="E3" s="1">
        <v>-2.1140575408935499E-3</v>
      </c>
      <c r="F3" s="1">
        <v>-1.08555704355239E-2</v>
      </c>
      <c r="G3" s="1">
        <v>-9.6956565976142797E-3</v>
      </c>
      <c r="H3" s="1">
        <v>-9.4543918967246992E-3</v>
      </c>
      <c r="I3" s="1">
        <v>-7.50832259654998E-3</v>
      </c>
      <c r="J3" s="1">
        <v>-8.0327987670898403E-3</v>
      </c>
      <c r="K3" s="1">
        <v>-7.2546005249023403E-3</v>
      </c>
      <c r="L3" s="1">
        <v>-6.3955038785934396E-3</v>
      </c>
      <c r="M3" s="1">
        <v>-8.0068856477737392E-3</v>
      </c>
      <c r="N3" s="1">
        <v>-6.3358545303344701E-3</v>
      </c>
      <c r="O3" s="1">
        <v>-7.1372985839843698E-3</v>
      </c>
      <c r="P3" s="1">
        <v>-6.5561980009078901E-3</v>
      </c>
      <c r="Q3" s="1">
        <v>-7.7056288719177203E-3</v>
      </c>
      <c r="R3" s="1">
        <v>-4.9050450325012198E-3</v>
      </c>
      <c r="S3" s="1">
        <v>-7.6137930154800398E-3</v>
      </c>
      <c r="T3" s="1">
        <v>-5.9322714805603001E-3</v>
      </c>
      <c r="U3" s="1">
        <v>-4.5033842325210502E-3</v>
      </c>
      <c r="V3" s="1">
        <v>-6.5823197364807103E-3</v>
      </c>
      <c r="W3" s="1">
        <v>-8.8620632886886597E-3</v>
      </c>
      <c r="X3" s="1">
        <v>-9.7630769014358503E-3</v>
      </c>
      <c r="Y3" s="1">
        <v>-1.16510987281799E-2</v>
      </c>
      <c r="Z3" s="1">
        <v>-1.06357261538505E-2</v>
      </c>
      <c r="AA3" s="1">
        <v>-8.3758682012557897E-3</v>
      </c>
      <c r="AB3" s="1">
        <v>-6.7579448223113996E-3</v>
      </c>
      <c r="AC3" s="1">
        <v>-1.37420669198036E-2</v>
      </c>
      <c r="AD3" s="1">
        <v>-9.5776692032814009E-3</v>
      </c>
      <c r="AE3" s="1">
        <v>2.7529001235961901E-3</v>
      </c>
      <c r="AF3" s="1">
        <v>-1.09806954860687E-2</v>
      </c>
      <c r="AG3" s="1">
        <v>-7.1710497140884399E-3</v>
      </c>
      <c r="AH3" s="1">
        <v>-9.0256333351135202E-3</v>
      </c>
      <c r="AI3" s="1">
        <v>-3.44932079315185E-4</v>
      </c>
      <c r="AJ3" s="1">
        <v>-1.10871419310569E-2</v>
      </c>
      <c r="AK3" s="1">
        <v>-1.417076587677E-2</v>
      </c>
    </row>
    <row r="4" spans="1:37" x14ac:dyDescent="0.35">
      <c r="A4" s="1">
        <v>-4.2708218097686698E-3</v>
      </c>
      <c r="B4" s="1">
        <v>-1.84562802314758E-3</v>
      </c>
      <c r="C4" s="1">
        <v>-1.9738972187042202E-3</v>
      </c>
      <c r="D4" s="1">
        <v>-2.6267617940902701E-3</v>
      </c>
      <c r="E4" s="1">
        <v>-3.3973753452300999E-3</v>
      </c>
      <c r="F4" s="1">
        <v>-6.5405219793319702E-3</v>
      </c>
      <c r="G4" s="1">
        <v>-1.0299809277057599E-2</v>
      </c>
      <c r="H4" s="1">
        <v>-1.06374844908714E-2</v>
      </c>
      <c r="I4" s="1">
        <v>-8.9324414730072004E-3</v>
      </c>
      <c r="J4" s="1">
        <v>-8.8905692100524902E-3</v>
      </c>
      <c r="K4" s="1">
        <v>-7.7652931213378898E-3</v>
      </c>
      <c r="L4" s="1">
        <v>-6.4834654331207197E-3</v>
      </c>
      <c r="M4" s="1">
        <v>-7.0869475603103603E-3</v>
      </c>
      <c r="N4" s="1">
        <v>-6.3981413841247498E-3</v>
      </c>
      <c r="O4" s="1">
        <v>-1.0587282478809299E-2</v>
      </c>
      <c r="P4" s="1">
        <v>-3.1605362892150801E-3</v>
      </c>
      <c r="Q4" s="1">
        <v>-3.0366778373718201E-3</v>
      </c>
      <c r="R4" s="1">
        <v>-8.6151212453842094E-3</v>
      </c>
      <c r="S4" s="1">
        <v>-1.01303607225418E-2</v>
      </c>
      <c r="T4" s="1">
        <v>-4.3911337852478001E-3</v>
      </c>
      <c r="U4" s="1">
        <v>-3.3489614725112902E-3</v>
      </c>
      <c r="V4" s="1">
        <v>-6.5823197364807103E-3</v>
      </c>
      <c r="W4" s="1">
        <v>-8.2841664552688599E-3</v>
      </c>
      <c r="X4" s="1">
        <v>-9.6484720706939697E-3</v>
      </c>
      <c r="Y4" s="1">
        <v>-1.0481707751750899E-2</v>
      </c>
      <c r="Z4" s="1">
        <v>-7.7527761459350499E-3</v>
      </c>
      <c r="AA4" s="1">
        <v>-7.6344162225723197E-3</v>
      </c>
      <c r="AB4" s="1">
        <v>-7.7995657920837402E-3</v>
      </c>
      <c r="AC4" s="1">
        <v>-1.4858290553092899E-2</v>
      </c>
      <c r="AD4" s="1">
        <v>-9.50236618518829E-3</v>
      </c>
      <c r="AE4" s="1">
        <v>4.3234229087829498E-4</v>
      </c>
      <c r="AF4" s="1">
        <v>-9.6388682723045297E-3</v>
      </c>
      <c r="AG4" s="1">
        <v>-1.0140873491763999E-2</v>
      </c>
      <c r="AH4" s="1">
        <v>-6.3736587762832598E-3</v>
      </c>
      <c r="AI4" s="1">
        <v>-3.3671259880065901E-3</v>
      </c>
      <c r="AJ4" s="1">
        <v>-1.33063942193984E-2</v>
      </c>
      <c r="AK4" s="1">
        <v>-1.27097740769386E-2</v>
      </c>
    </row>
    <row r="5" spans="1:37" x14ac:dyDescent="0.35">
      <c r="A5" s="1">
        <v>-8.4671378135681098E-4</v>
      </c>
      <c r="B5" s="1">
        <v>-1.6178488731384199E-3</v>
      </c>
      <c r="C5" s="1">
        <v>-2.0789206027984602E-3</v>
      </c>
      <c r="D5" s="1">
        <v>-1.4533698558807299E-3</v>
      </c>
      <c r="E5" s="1">
        <v>-5.14161586761474E-3</v>
      </c>
      <c r="F5" s="1">
        <v>-9.4903931021690299E-3</v>
      </c>
      <c r="G5" s="1">
        <v>-9.7519531846046396E-3</v>
      </c>
      <c r="H5" s="1">
        <v>-7.7691823244094797E-3</v>
      </c>
      <c r="I5" s="1">
        <v>-8.9353322982787999E-3</v>
      </c>
      <c r="J5" s="1">
        <v>-7.5974613428115801E-3</v>
      </c>
      <c r="K5" s="1">
        <v>-6.9405585527420001E-3</v>
      </c>
      <c r="L5" s="1">
        <v>-7.7589750289916897E-3</v>
      </c>
      <c r="M5" s="1">
        <v>-8.4048062562942505E-3</v>
      </c>
      <c r="N5" s="1">
        <v>-5.9743970632553101E-3</v>
      </c>
      <c r="O5" s="1">
        <v>-6.0568004846572798E-3</v>
      </c>
      <c r="P5" s="1">
        <v>-5.4499655961990296E-3</v>
      </c>
      <c r="Q5" s="1">
        <v>-3.82173061370849E-3</v>
      </c>
      <c r="R5" s="1">
        <v>-8.6111128330230696E-3</v>
      </c>
      <c r="S5" s="1">
        <v>-4.4324696063995301E-3</v>
      </c>
      <c r="T5" s="1">
        <v>-6.0111433267593297E-3</v>
      </c>
      <c r="U5" s="1">
        <v>-5.2330791950225804E-3</v>
      </c>
      <c r="V5" s="1">
        <v>-6.5823197364807103E-3</v>
      </c>
      <c r="W5" s="1">
        <v>-8.8502466678619298E-3</v>
      </c>
      <c r="X5" s="1">
        <v>-1.9374541938304901E-2</v>
      </c>
      <c r="Y5" s="1">
        <v>-1.1699721217155399E-2</v>
      </c>
      <c r="Z5" s="1">
        <v>-1.16603896021842E-2</v>
      </c>
      <c r="AA5" s="1">
        <v>-8.3707273006439192E-3</v>
      </c>
      <c r="AB5" s="1">
        <v>-5.4425746202468803E-3</v>
      </c>
      <c r="AC5" s="1">
        <v>-1.2987710535526199E-2</v>
      </c>
      <c r="AD5" s="1">
        <v>-7.7096968889236398E-3</v>
      </c>
      <c r="AE5" s="1">
        <v>-7.6013207435607901E-3</v>
      </c>
      <c r="AF5" s="1">
        <v>-1.01147517561912E-2</v>
      </c>
      <c r="AG5" s="1">
        <v>-4.9555152654647801E-3</v>
      </c>
      <c r="AH5" s="1">
        <v>-3.1551271677017199E-3</v>
      </c>
      <c r="AI5" s="1">
        <v>-9.4275474548339792E-3</v>
      </c>
      <c r="AJ5" s="1">
        <v>-1.5034563839435499E-2</v>
      </c>
      <c r="AK5" s="1">
        <v>-1.12547203898429E-2</v>
      </c>
    </row>
    <row r="6" spans="1:37" x14ac:dyDescent="0.35">
      <c r="A6" s="1">
        <v>-1.32723152637481E-3</v>
      </c>
      <c r="B6" s="1">
        <v>-2.2180974483489899E-3</v>
      </c>
      <c r="C6" s="1">
        <v>-1.6668438911437899E-3</v>
      </c>
      <c r="D6" s="1">
        <v>-1.0281503200530999E-3</v>
      </c>
      <c r="E6" s="1">
        <v>-1.43541395664215E-3</v>
      </c>
      <c r="F6" s="1">
        <v>-4.8746764659881496E-3</v>
      </c>
      <c r="G6" s="1">
        <v>-7.2067677974700902E-3</v>
      </c>
      <c r="H6" s="1">
        <v>-1.01148784160614E-2</v>
      </c>
      <c r="I6" s="1">
        <v>-8.7046027183532697E-3</v>
      </c>
      <c r="J6" s="1">
        <v>-8.7120383977889997E-3</v>
      </c>
      <c r="K6" s="1">
        <v>-7.0960074663162197E-3</v>
      </c>
      <c r="L6" s="1">
        <v>-6.4444243907928397E-3</v>
      </c>
      <c r="M6" s="1">
        <v>-8.9379996061325004E-3</v>
      </c>
      <c r="N6" s="1">
        <v>-6.1260461807250898E-3</v>
      </c>
      <c r="O6" s="1">
        <v>-1.4905482530593801E-3</v>
      </c>
      <c r="P6" s="1">
        <v>-9.1129243373870798E-3</v>
      </c>
      <c r="Q6" s="1">
        <v>-7.3364228010177604E-3</v>
      </c>
      <c r="R6" s="1">
        <v>-5.4812431335449201E-3</v>
      </c>
      <c r="S6" s="1">
        <v>-6.5810978412628096E-3</v>
      </c>
      <c r="T6" s="1">
        <v>-4.5560896396636902E-3</v>
      </c>
      <c r="U6" s="1">
        <v>-5.78081607818603E-3</v>
      </c>
      <c r="V6" s="1">
        <v>-6.5823197364807103E-3</v>
      </c>
      <c r="W6" s="1">
        <v>-6.2492191791534398E-3</v>
      </c>
      <c r="X6" s="1">
        <v>-1.2578010559082E-2</v>
      </c>
      <c r="Y6" s="1">
        <v>-1.16048231720924E-2</v>
      </c>
      <c r="Z6" s="1">
        <v>-9.9870860576629604E-3</v>
      </c>
      <c r="AA6" s="1">
        <v>-7.4595957994460999E-3</v>
      </c>
      <c r="AB6" s="1">
        <v>-7.5341612100601196E-3</v>
      </c>
      <c r="AC6" s="1">
        <v>-1.3559266924858E-2</v>
      </c>
      <c r="AD6" s="1">
        <v>-4.3037980794906599E-3</v>
      </c>
      <c r="AE6" s="1">
        <v>4.2333900928497297E-3</v>
      </c>
      <c r="AF6" s="1">
        <v>-8.6634755134582502E-3</v>
      </c>
      <c r="AG6" s="1">
        <v>-2.8598606586456299E-3</v>
      </c>
      <c r="AH6" s="1">
        <v>-5.2550435066223101E-3</v>
      </c>
      <c r="AI6" s="1">
        <v>-1.35245099663734E-2</v>
      </c>
      <c r="AJ6" s="1">
        <v>-1.33813768625259E-2</v>
      </c>
      <c r="AK6" s="1">
        <v>-1.6824148595333099E-2</v>
      </c>
    </row>
    <row r="7" spans="1:37" x14ac:dyDescent="0.35">
      <c r="A7" s="1">
        <v>-1.7034709453582701E-3</v>
      </c>
      <c r="B7" s="1">
        <v>-1.6074925661086999E-3</v>
      </c>
      <c r="C7" s="1">
        <v>-2.2338181734085001E-3</v>
      </c>
      <c r="D7" s="1">
        <v>-2.4464279413223202E-3</v>
      </c>
      <c r="E7" s="1">
        <v>-2.77701020240783E-3</v>
      </c>
      <c r="F7" s="1">
        <v>-5.61405718326568E-3</v>
      </c>
      <c r="G7" s="1">
        <v>-1.08725875616073E-2</v>
      </c>
      <c r="H7" s="1">
        <v>-1.06911361217498E-2</v>
      </c>
      <c r="I7" s="1">
        <v>-7.8547149896621704E-3</v>
      </c>
      <c r="J7" s="1">
        <v>-1.05693787336349E-2</v>
      </c>
      <c r="K7" s="1">
        <v>-6.9534033536911002E-3</v>
      </c>
      <c r="L7" s="1">
        <v>-6.9042593240737898E-3</v>
      </c>
      <c r="M7" s="1">
        <v>-7.7642500400543204E-3</v>
      </c>
      <c r="N7" s="1">
        <v>-6.4373612403869603E-3</v>
      </c>
      <c r="O7" s="1">
        <v>-7.2594285011291504E-3</v>
      </c>
      <c r="P7" s="1">
        <v>-5.8888047933578396E-3</v>
      </c>
      <c r="Q7" s="1">
        <v>-3.8176178932189898E-3</v>
      </c>
      <c r="R7" s="1">
        <v>-4.9485862255096401E-3</v>
      </c>
      <c r="S7" s="1">
        <v>-8.4465444087982108E-3</v>
      </c>
      <c r="T7" s="1">
        <v>-6.82295858860015E-3</v>
      </c>
      <c r="U7" s="1">
        <v>-4.9953609704971296E-3</v>
      </c>
      <c r="V7" s="1">
        <v>-6.5823197364807103E-3</v>
      </c>
      <c r="W7" s="1">
        <v>-8.7428241968154907E-3</v>
      </c>
      <c r="X7" s="1">
        <v>-1.7245769500732401E-2</v>
      </c>
      <c r="Y7" s="1">
        <v>-1.0482393205165801E-2</v>
      </c>
      <c r="Z7" s="1">
        <v>-1.08354836702346E-2</v>
      </c>
      <c r="AA7" s="1">
        <v>-7.5512975454330401E-3</v>
      </c>
      <c r="AB7" s="1">
        <v>-7.9140067100524902E-3</v>
      </c>
      <c r="AC7" s="1">
        <v>-1.35211125016212E-2</v>
      </c>
      <c r="AD7" s="1">
        <v>-1.0708175599574999E-2</v>
      </c>
      <c r="AE7" s="1">
        <v>-8.8826715946197492E-3</v>
      </c>
      <c r="AF7" s="1">
        <v>-1.0629124939441599E-2</v>
      </c>
      <c r="AG7" s="1">
        <v>-3.0880421400070099E-3</v>
      </c>
      <c r="AH7" s="1">
        <v>-8.5493773221969604E-3</v>
      </c>
      <c r="AI7" s="1">
        <v>1.5051066875457701E-3</v>
      </c>
      <c r="AJ7" s="1">
        <v>-1.6140155494213101E-2</v>
      </c>
      <c r="AK7" s="1">
        <v>-1.23576447367668E-2</v>
      </c>
    </row>
    <row r="8" spans="1:37" x14ac:dyDescent="0.35">
      <c r="A8" s="1">
        <v>-8.2221627235412598E-4</v>
      </c>
      <c r="B8" s="1">
        <v>-3.0140280723571699E-3</v>
      </c>
      <c r="C8" s="1">
        <v>-1.77949666976928E-3</v>
      </c>
      <c r="D8" s="1">
        <v>-2.3004561662673898E-3</v>
      </c>
      <c r="E8" s="1">
        <v>-2.9133558273315399E-3</v>
      </c>
      <c r="F8" s="1">
        <v>-4.3979883193969701E-3</v>
      </c>
      <c r="G8" s="1">
        <v>-1.09595209360122E-2</v>
      </c>
      <c r="H8" s="1">
        <v>-1.0798148810863399E-2</v>
      </c>
      <c r="I8" s="1">
        <v>-7.6442360877990697E-3</v>
      </c>
      <c r="J8" s="1">
        <v>-8.6834728717803903E-3</v>
      </c>
      <c r="K8" s="1">
        <v>-7.0298165082931501E-3</v>
      </c>
      <c r="L8" s="1">
        <v>-6.3567161560058498E-3</v>
      </c>
      <c r="M8" s="1">
        <v>-8.3321928977966309E-3</v>
      </c>
      <c r="N8" s="1">
        <v>-6.0503333806991499E-3</v>
      </c>
      <c r="O8" s="1">
        <v>-8.4828287363052299E-3</v>
      </c>
      <c r="P8" s="1">
        <v>-4.5300871133804304E-3</v>
      </c>
      <c r="Q8" s="1">
        <v>-1.0248467326164201E-2</v>
      </c>
      <c r="R8" s="1">
        <v>-7.2917640209197998E-3</v>
      </c>
      <c r="S8" s="1">
        <v>-4.15821373462677E-3</v>
      </c>
      <c r="T8" s="1">
        <v>-2.8039366006851101E-3</v>
      </c>
      <c r="U8" s="1">
        <v>-6.1646997928619298E-3</v>
      </c>
      <c r="V8" s="1">
        <v>-6.5823197364807103E-3</v>
      </c>
      <c r="W8" s="1">
        <v>-5.63059747219085E-3</v>
      </c>
      <c r="X8" s="1">
        <v>-1.0011851787567101E-2</v>
      </c>
      <c r="Y8" s="1">
        <v>-1.01918056607246E-2</v>
      </c>
      <c r="Z8" s="1">
        <v>-1.13111212849617E-2</v>
      </c>
      <c r="AA8" s="1">
        <v>-1.14083439111709E-2</v>
      </c>
      <c r="AB8" s="1">
        <v>-8.0040544271469099E-3</v>
      </c>
      <c r="AC8" s="1">
        <v>-1.34535282850265E-2</v>
      </c>
      <c r="AD8" s="1">
        <v>-9.3796998262405396E-3</v>
      </c>
      <c r="AE8" s="1">
        <v>-8.9171528816223092E-3</v>
      </c>
      <c r="AF8" s="1">
        <v>-9.7346976399421692E-3</v>
      </c>
      <c r="AG8" s="1">
        <v>1.23834609985351E-3</v>
      </c>
      <c r="AH8" s="1">
        <v>8.29637050628662E-4</v>
      </c>
      <c r="AI8" s="1">
        <v>-8.2962661981582607E-3</v>
      </c>
      <c r="AJ8" s="1">
        <v>-5.6130290031433097E-3</v>
      </c>
      <c r="AK8" s="1">
        <v>-1.51526778936386E-2</v>
      </c>
    </row>
    <row r="9" spans="1:37" x14ac:dyDescent="0.35">
      <c r="A9" s="1">
        <v>6.7220628261566097E-4</v>
      </c>
      <c r="B9" s="1">
        <v>-2.30160355567932E-3</v>
      </c>
      <c r="C9" s="1">
        <v>-1.31487846374511E-3</v>
      </c>
      <c r="D9" s="1">
        <v>-3.2676756381988499E-3</v>
      </c>
      <c r="E9" s="1">
        <v>-3.5350620746612501E-3</v>
      </c>
      <c r="F9" s="1">
        <v>-8.1736892461776699E-3</v>
      </c>
      <c r="G9" s="1">
        <v>-8.3740651607513393E-3</v>
      </c>
      <c r="H9" s="1">
        <v>-9.9102258682250907E-3</v>
      </c>
      <c r="I9" s="1">
        <v>-8.0766677856445295E-3</v>
      </c>
      <c r="J9" s="1">
        <v>-6.6336840391158997E-3</v>
      </c>
      <c r="K9" s="1">
        <v>-6.73180818557739E-3</v>
      </c>
      <c r="L9" s="1">
        <v>-6.1008036136627197E-3</v>
      </c>
      <c r="M9" s="1">
        <v>-9.2256814241409302E-3</v>
      </c>
      <c r="N9" s="1">
        <v>-6.0800015926360997E-3</v>
      </c>
      <c r="O9" s="1">
        <v>-3.3840537071228001E-3</v>
      </c>
      <c r="P9" s="1">
        <v>-5.3286850452423096E-3</v>
      </c>
      <c r="Q9" s="1">
        <v>-1.1423997581004999E-2</v>
      </c>
      <c r="R9" s="1">
        <v>-5.5035352706909102E-3</v>
      </c>
      <c r="S9" s="1">
        <v>-7.5303018093109098E-4</v>
      </c>
      <c r="T9" s="1">
        <v>-6.3127577304840001E-3</v>
      </c>
      <c r="U9" s="1">
        <v>-4.7306418418884199E-3</v>
      </c>
      <c r="V9" s="1">
        <v>-6.5823197364807103E-3</v>
      </c>
      <c r="W9" s="1">
        <v>-6.7340880632400504E-3</v>
      </c>
      <c r="X9" s="1">
        <v>-1.1316344141960101E-2</v>
      </c>
      <c r="Y9" s="1">
        <v>-1.14799961447715E-2</v>
      </c>
      <c r="Z9" s="1">
        <v>-1.1101946234703E-2</v>
      </c>
      <c r="AA9" s="1">
        <v>-8.7020546197891201E-3</v>
      </c>
      <c r="AB9" s="1">
        <v>-8.9071542024612392E-3</v>
      </c>
      <c r="AC9" s="1">
        <v>-1.4766596257686599E-2</v>
      </c>
      <c r="AD9" s="1">
        <v>-1.21693685650825E-2</v>
      </c>
      <c r="AE9" s="1">
        <v>-4.7011822462081901E-3</v>
      </c>
      <c r="AF9" s="1">
        <v>-8.8134706020355207E-3</v>
      </c>
      <c r="AG9" s="1">
        <v>-4.5479536056518503E-3</v>
      </c>
      <c r="AH9" s="1">
        <v>-1.2295089662074999E-2</v>
      </c>
      <c r="AI9" s="1">
        <v>-2.9654204845428402E-3</v>
      </c>
      <c r="AJ9" s="1">
        <v>-1.5984676778316401E-2</v>
      </c>
      <c r="AK9" s="1">
        <v>-1.0642096400260899E-2</v>
      </c>
    </row>
    <row r="10" spans="1:37" x14ac:dyDescent="0.35">
      <c r="A10" s="1">
        <v>-2.4791806936263999E-3</v>
      </c>
      <c r="B10" s="1">
        <v>-1.6827136278152401E-3</v>
      </c>
      <c r="C10" s="1">
        <v>-1.6651600599288899E-3</v>
      </c>
      <c r="D10" s="1">
        <v>-3.3610463142394998E-3</v>
      </c>
      <c r="E10" s="1">
        <v>-3.8968771696090698E-3</v>
      </c>
      <c r="F10" s="1">
        <v>-6.8875104188918998E-3</v>
      </c>
      <c r="G10" s="1">
        <v>-9.7246021032333305E-3</v>
      </c>
      <c r="H10" s="1">
        <v>-9.8533332347869804E-3</v>
      </c>
      <c r="I10" s="1">
        <v>-7.18669593334198E-3</v>
      </c>
      <c r="J10" s="1">
        <v>-7.0772022008895796E-3</v>
      </c>
      <c r="K10" s="1">
        <v>-7.46531784534454E-3</v>
      </c>
      <c r="L10" s="1">
        <v>-5.7835280895233102E-3</v>
      </c>
      <c r="M10" s="1">
        <v>-9.4175711274146999E-3</v>
      </c>
      <c r="N10" s="1">
        <v>-5.93040883541107E-3</v>
      </c>
      <c r="O10" s="1">
        <v>-4.21223044395446E-3</v>
      </c>
      <c r="P10" s="1">
        <v>-4.2628794908523499E-3</v>
      </c>
      <c r="Q10" s="1">
        <v>-1.1854819953441601E-2</v>
      </c>
      <c r="R10" s="1">
        <v>-5.1951557397842399E-3</v>
      </c>
      <c r="S10" s="1">
        <v>-7.0443749427795401E-3</v>
      </c>
      <c r="T10" s="1">
        <v>-6.4673125743865897E-3</v>
      </c>
      <c r="U10" s="1">
        <v>-6.2407404184341396E-3</v>
      </c>
      <c r="V10" s="1">
        <v>-6.5823197364807103E-3</v>
      </c>
      <c r="W10" s="1">
        <v>-6.9182962179183899E-3</v>
      </c>
      <c r="X10" s="1">
        <v>-1.0931193828582699E-2</v>
      </c>
      <c r="Y10" s="1">
        <v>-1.26425325870513E-2</v>
      </c>
      <c r="Z10" s="1">
        <v>-1.16744637489318E-2</v>
      </c>
      <c r="AA10" s="1">
        <v>-8.5459202527999809E-3</v>
      </c>
      <c r="AB10" s="1">
        <v>-4.1446089744567802E-3</v>
      </c>
      <c r="AC10" s="1">
        <v>-1.32217705249786E-2</v>
      </c>
      <c r="AD10" s="1">
        <v>-6.9917440414428702E-3</v>
      </c>
      <c r="AE10" s="1">
        <v>9.1433525085449197E-4</v>
      </c>
      <c r="AF10" s="1">
        <v>-1.10520049929618E-2</v>
      </c>
      <c r="AG10" s="1">
        <v>-5.5518001317977897E-3</v>
      </c>
      <c r="AH10" s="1">
        <v>-6.38782978057861E-4</v>
      </c>
      <c r="AI10" s="1">
        <v>-8.0474317073822004E-3</v>
      </c>
      <c r="AJ10" s="1">
        <v>-9.5461755990982004E-3</v>
      </c>
      <c r="AK10" s="1">
        <v>-1.39663219451904E-2</v>
      </c>
    </row>
    <row r="11" spans="1:37" x14ac:dyDescent="0.35">
      <c r="A11" s="1">
        <v>-2.3806989192962599E-3</v>
      </c>
      <c r="B11" s="1">
        <v>-1.7224997282028101E-3</v>
      </c>
      <c r="C11" s="1">
        <v>-2.1806955337524401E-3</v>
      </c>
      <c r="D11" s="1">
        <v>-2.2637695074081399E-3</v>
      </c>
      <c r="E11" s="1">
        <v>-3.4666061401367101E-3</v>
      </c>
      <c r="F11" s="1">
        <v>-9.9432393908500602E-3</v>
      </c>
      <c r="G11" s="1">
        <v>-1.00587233901023E-2</v>
      </c>
      <c r="H11" s="1">
        <v>-8.1494748592376692E-3</v>
      </c>
      <c r="I11" s="1">
        <v>-8.2466006278991699E-3</v>
      </c>
      <c r="J11" s="1">
        <v>-7.3669403791427604E-3</v>
      </c>
      <c r="K11" s="1">
        <v>-6.2454938888549796E-3</v>
      </c>
      <c r="L11" s="1">
        <v>-7.0780813694000201E-3</v>
      </c>
      <c r="M11" s="1">
        <v>-5.8928281068801802E-3</v>
      </c>
      <c r="N11" s="1">
        <v>-6.9726854562759399E-3</v>
      </c>
      <c r="O11" s="1">
        <v>-8.4353685379028303E-3</v>
      </c>
      <c r="P11" s="1">
        <v>-4.4806897640228202E-3</v>
      </c>
      <c r="Q11" s="1">
        <v>-4.6060383319854702E-3</v>
      </c>
      <c r="R11" s="1">
        <v>-3.7476867437362602E-3</v>
      </c>
      <c r="S11" s="1">
        <v>-3.86741757392883E-3</v>
      </c>
      <c r="T11" s="1">
        <v>-6.1263740062713597E-3</v>
      </c>
      <c r="U11" s="1">
        <v>-6.5823197364807103E-3</v>
      </c>
      <c r="V11" s="1">
        <v>-6.5823197364807103E-3</v>
      </c>
      <c r="W11" s="1">
        <v>-1.07542797923088E-2</v>
      </c>
      <c r="X11" s="1">
        <v>-1.0431036353111199E-2</v>
      </c>
      <c r="Y11" s="1">
        <v>-1.06286779046058E-2</v>
      </c>
      <c r="Z11" s="1">
        <v>-1.0341204702854099E-2</v>
      </c>
      <c r="AA11" s="1">
        <v>-8.5283368825912406E-3</v>
      </c>
      <c r="AB11" s="1">
        <v>-1.2546375393867401E-2</v>
      </c>
      <c r="AC11" s="1">
        <v>-1.24638825654983E-2</v>
      </c>
      <c r="AD11" s="1">
        <v>-8.4325820207595808E-3</v>
      </c>
      <c r="AE11" s="1">
        <v>-8.7585151195526106E-3</v>
      </c>
      <c r="AF11" s="1">
        <v>-9.3334764242172207E-3</v>
      </c>
      <c r="AG11" s="1">
        <v>-5.0331205129623396E-3</v>
      </c>
      <c r="AH11" s="1">
        <v>-1.6031406819820401E-2</v>
      </c>
      <c r="AI11" s="1">
        <v>-1.4668554067611601E-2</v>
      </c>
      <c r="AJ11" s="1">
        <v>-1.18134170770645E-2</v>
      </c>
      <c r="AK11" s="1">
        <v>-1.4820590615272499E-2</v>
      </c>
    </row>
    <row r="13" spans="1:37" x14ac:dyDescent="0.35">
      <c r="A13" s="2" t="s">
        <v>37</v>
      </c>
    </row>
    <row r="14" spans="1:37" x14ac:dyDescent="0.35">
      <c r="A14" s="1">
        <f>AVERAGE(FI_Combined_clase[F_TOTAL])</f>
        <v>-1.8852129578590363E-3</v>
      </c>
      <c r="B14" s="1">
        <f>AVERAGE(FI_Combined_clase[F_CITMLB])</f>
        <v>-1.9191890954971251E-3</v>
      </c>
      <c r="C14" s="1">
        <f>AVERAGE(FI_Combined_clase[F_OTHER])</f>
        <v>-1.9493773579597421E-3</v>
      </c>
      <c r="D14" s="1">
        <f>AVERAGE(FI_Combined_clase[F_JUICE])</f>
        <v>-2.175794541835782E-3</v>
      </c>
      <c r="E14" s="1">
        <f>AVERAGE(FI_Combined_clase[V_TOTAL])</f>
        <v>-3.2818838953971819E-3</v>
      </c>
      <c r="F14" s="1">
        <f>AVERAGE(FI_Combined_clase[V_DRKGR])</f>
        <v>-7.2147697210311768E-3</v>
      </c>
      <c r="G14" s="1">
        <f>AVERAGE(FI_Combined_clase[V_REDOR_TOTAL])</f>
        <v>-9.6518360078334531E-3</v>
      </c>
      <c r="H14" s="1">
        <f>AVERAGE(FI_Combined_clase[V_REDOR_TOMATO])</f>
        <v>-9.7267724573611991E-3</v>
      </c>
      <c r="I14" s="1">
        <f>AVERAGE(FI_Combined_clase[V_REDOR_OTHER])</f>
        <v>-8.2111194729804961E-3</v>
      </c>
      <c r="J14" s="1">
        <f>AVERAGE(FI_Combined_clase[V_STARCHY_TOTAL])</f>
        <v>-8.1920266151428132E-3</v>
      </c>
      <c r="K14" s="1">
        <f>AVERAGE(FI_Combined_clase[V_STARCHY_POTATO])</f>
        <v>-7.0417508482933031E-3</v>
      </c>
      <c r="L14" s="1">
        <f>AVERAGE(FI_Combined_clase[V_STARCHY_OTHER])</f>
        <v>-6.5821349620819036E-3</v>
      </c>
      <c r="M14" s="1">
        <f>AVERAGE(FI_Combined_clase[V_OTHER])</f>
        <v>-8.3943635225295909E-3</v>
      </c>
      <c r="N14" s="1">
        <f>AVERAGE(FI_Combined_clase[V_LEGUMES])</f>
        <v>-6.2351718544959986E-3</v>
      </c>
      <c r="O14" s="1">
        <f>AVERAGE(FI_Combined_clase[G_TOTAL])</f>
        <v>-6.6540792584419157E-3</v>
      </c>
      <c r="P14" s="1">
        <f>AVERAGE(FI_Combined_clase[G_WHOLE])</f>
        <v>-5.6178897619247378E-3</v>
      </c>
      <c r="Q14" s="1">
        <f>AVERAGE(FI_Combined_clase[G_REFINED])</f>
        <v>-6.7329093813896001E-3</v>
      </c>
      <c r="R14" s="1">
        <f>AVERAGE(FI_Combined_clase[PF_TOTAL])</f>
        <v>-5.9531778097152684E-3</v>
      </c>
      <c r="S14" s="1">
        <f>AVERAGE(FI_Combined_clase[PF_MPS_TOTAL])</f>
        <v>-5.6094124913215601E-3</v>
      </c>
      <c r="T14" s="1">
        <f>AVERAGE(FI_Combined_clase[PF_MEAT])</f>
        <v>-5.7639107108116098E-3</v>
      </c>
      <c r="U14" s="1">
        <f>AVERAGE(FI_Combined_clase[PF_CUREDMEAT])</f>
        <v>-5.3172871470451317E-3</v>
      </c>
      <c r="V14" s="1">
        <f>AVERAGE(FI_Combined_clase[PF_ORGAN])</f>
        <v>-6.5823197364807112E-3</v>
      </c>
      <c r="W14" s="1">
        <f>AVERAGE(FI_Combined_clase[PF_POULT])</f>
        <v>-7.8746192157268489E-3</v>
      </c>
      <c r="X14" s="1">
        <f>AVERAGE(FI_Combined_clase[PF_SEAFD_HI])</f>
        <v>-1.233038306236264E-2</v>
      </c>
      <c r="Y14" s="1">
        <f>AVERAGE(FI_Combined_clase[PF_SEAFD_LOW])</f>
        <v>-1.123134493827814E-2</v>
      </c>
      <c r="Z14" s="1">
        <f>AVERAGE(FI_Combined_clase[PF_EGGS])</f>
        <v>-1.073825359344477E-2</v>
      </c>
      <c r="AA14" s="1">
        <f>AVERAGE(FI_Combined_clase[PF_SOY])</f>
        <v>-8.3814308047294502E-3</v>
      </c>
      <c r="AB14" s="1">
        <f>AVERAGE(FI_Combined_clase[PF_NUTSDS])</f>
        <v>-7.618331909179675E-3</v>
      </c>
      <c r="AC14" s="1">
        <f>AVERAGE(FI_Combined_clase[PF_LEGUMES])</f>
        <v>-1.3663159310817671E-2</v>
      </c>
      <c r="AD14" s="1">
        <f>AVERAGE(FI_Combined_clase[D_TOTAL])</f>
        <v>-8.8884957134723486E-3</v>
      </c>
      <c r="AE14" s="1">
        <f>AVERAGE(FI_Combined_clase[D_MILK])</f>
        <v>-3.8220316171646103E-3</v>
      </c>
      <c r="AF14" s="1">
        <f>AVERAGE(FI_Combined_clase[D_YOGURT])</f>
        <v>-9.7683899104594914E-3</v>
      </c>
      <c r="AG14" s="1">
        <f>AVERAGE(FI_Combined_clase[D_CHEESE])</f>
        <v>-4.9541287124156876E-3</v>
      </c>
      <c r="AH14" s="1">
        <f>AVERAGE(FI_Combined_clase[OILS])</f>
        <v>-7.5286433100700267E-3</v>
      </c>
      <c r="AI14" s="1">
        <f>AVERAGE(FI_Combined_clase[SOLID_FATS])</f>
        <v>-6.2497876584529741E-3</v>
      </c>
      <c r="AJ14" s="1">
        <f>AVERAGE(FI_Combined_clase[ADD_SUGARS])</f>
        <v>-1.2528523057699161E-2</v>
      </c>
      <c r="AK14" s="1">
        <f>AVERAGE(FI_Combined_clase[A_DRINKS])</f>
        <v>-1.3493132591247532E-2</v>
      </c>
    </row>
    <row r="15" spans="1:37" x14ac:dyDescent="0.35">
      <c r="A15" s="2" t="s">
        <v>38</v>
      </c>
    </row>
    <row r="16" spans="1:37" x14ac:dyDescent="0.35">
      <c r="A16" s="1">
        <f>STDEV(FI_Combined_clase[F_TOTAL])</f>
        <v>1.8262029746448133E-3</v>
      </c>
      <c r="B16" s="1">
        <f>STDEV(FI_Combined_clase[F_CITMLB])</f>
        <v>5.2419830496930721E-4</v>
      </c>
      <c r="C16" s="1">
        <f>STDEV(FI_Combined_clase[F_OTHER])</f>
        <v>4.3174475836050424E-4</v>
      </c>
      <c r="D16" s="1">
        <f>STDEV(FI_Combined_clase[F_JUICE])</f>
        <v>7.9585099516891382E-4</v>
      </c>
      <c r="E16" s="1">
        <f>STDEV(FI_Combined_clase[V_TOTAL])</f>
        <v>1.0462227775807026E-3</v>
      </c>
      <c r="F16" s="1">
        <f>STDEV(FI_Combined_clase[V_DRKGR])</f>
        <v>2.2787724910990226E-3</v>
      </c>
      <c r="G16" s="1">
        <f>STDEV(FI_Combined_clase[V_REDOR_TOTAL])</f>
        <v>1.1264472360464316E-3</v>
      </c>
      <c r="H16" s="1">
        <f>STDEV(FI_Combined_clase[V_REDOR_TOMATO])</f>
        <v>1.0289275984574366E-3</v>
      </c>
      <c r="I16" s="1">
        <f>STDEV(FI_Combined_clase[V_REDOR_OTHER])</f>
        <v>6.6301048370954682E-4</v>
      </c>
      <c r="J16" s="1">
        <f>STDEV(FI_Combined_clase[V_STARCHY_TOTAL])</f>
        <v>1.1259422836856585E-3</v>
      </c>
      <c r="K16" s="1">
        <f>STDEV(FI_Combined_clase[V_STARCHY_POTATO])</f>
        <v>4.0971528511030462E-4</v>
      </c>
      <c r="L16" s="1">
        <f>STDEV(FI_Combined_clase[V_STARCHY_OTHER])</f>
        <v>5.5004089628956667E-4</v>
      </c>
      <c r="M16" s="1">
        <f>STDEV(FI_Combined_clase[V_OTHER])</f>
        <v>1.3622977547522602E-3</v>
      </c>
      <c r="N16" s="1">
        <f>STDEV(FI_Combined_clase[V_LEGUMES])</f>
        <v>3.1413720774522616E-4</v>
      </c>
      <c r="O16" s="1">
        <f>STDEV(FI_Combined_clase[G_TOTAL])</f>
        <v>2.8738747028061676E-3</v>
      </c>
      <c r="P16" s="1">
        <f>STDEV(FI_Combined_clase[G_WHOLE])</f>
        <v>1.7268162512099729E-3</v>
      </c>
      <c r="Q16" s="1">
        <f>STDEV(FI_Combined_clase[G_REFINED])</f>
        <v>3.4587387931990462E-3</v>
      </c>
      <c r="R16" s="1">
        <f>STDEV(FI_Combined_clase[PF_TOTAL])</f>
        <v>1.6476645583282815E-3</v>
      </c>
      <c r="S16" s="1">
        <f>STDEV(FI_Combined_clase[PF_MPS_TOTAL])</f>
        <v>2.8300775625405665E-3</v>
      </c>
      <c r="T16" s="1">
        <f>STDEV(FI_Combined_clase[PF_MEAT])</f>
        <v>1.5000632022857071E-3</v>
      </c>
      <c r="U16" s="1">
        <f>STDEV(FI_Combined_clase[PF_CUREDMEAT])</f>
        <v>9.6916971278348987E-4</v>
      </c>
      <c r="V16" s="1">
        <f>STDEV(FI_Combined_clase[PF_ORGAN])</f>
        <v>9.1427954910851594E-19</v>
      </c>
      <c r="W16" s="1">
        <f>STDEV(FI_Combined_clase[PF_POULT])</f>
        <v>1.5296169697719963E-3</v>
      </c>
      <c r="X16" s="1">
        <f>STDEV(FI_Combined_clase[PF_SEAFD_HI])</f>
        <v>3.3283657355015709E-3</v>
      </c>
      <c r="Y16" s="1">
        <f>STDEV(FI_Combined_clase[PF_SEAFD_LOW])</f>
        <v>7.6034942453855774E-4</v>
      </c>
      <c r="Z16" s="1">
        <f>STDEV(FI_Combined_clase[PF_EGGS])</f>
        <v>1.231475151200457E-3</v>
      </c>
      <c r="AA16" s="1">
        <f>STDEV(FI_Combined_clase[PF_SOY])</f>
        <v>1.1887776163453188E-3</v>
      </c>
      <c r="AB16" s="1">
        <f>STDEV(FI_Combined_clase[PF_NUTSDS])</f>
        <v>2.2110685834055848E-3</v>
      </c>
      <c r="AC16" s="1">
        <f>STDEV(FI_Combined_clase[PF_LEGUMES])</f>
        <v>7.4324921990261768E-4</v>
      </c>
      <c r="AD16" s="1">
        <f>STDEV(FI_Combined_clase[D_TOTAL])</f>
        <v>2.1826259942251628E-3</v>
      </c>
      <c r="AE16" s="1">
        <f>STDEV(FI_Combined_clase[D_MILK])</f>
        <v>5.3190185541557942E-3</v>
      </c>
      <c r="AF16" s="1">
        <f>STDEV(FI_Combined_clase[D_YOGURT])</f>
        <v>9.0738294186666515E-4</v>
      </c>
      <c r="AG16" s="1">
        <f>STDEV(FI_Combined_clase[D_CHEESE])</f>
        <v>3.0677069599128019E-3</v>
      </c>
      <c r="AH16" s="1">
        <f>STDEV(FI_Combined_clase[OILS])</f>
        <v>5.7156356942579716E-3</v>
      </c>
      <c r="AI16" s="1">
        <f>STDEV(FI_Combined_clase[SOLID_FATS])</f>
        <v>5.413578050752617E-3</v>
      </c>
      <c r="AJ16" s="1">
        <f>STDEV(FI_Combined_clase[ADD_SUGARS])</f>
        <v>3.2081684272247915E-3</v>
      </c>
      <c r="AK16" s="1">
        <f>STDEV(FI_Combined_clase[A_DRINKS])</f>
        <v>1.8722826702803903E-3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9B78-1CBC-4A12-BD53-56E00CF522C5}">
  <dimension ref="A1:AK16"/>
  <sheetViews>
    <sheetView workbookViewId="0">
      <selection activeCell="A16" sqref="A16:AK16"/>
    </sheetView>
  </sheetViews>
  <sheetFormatPr baseColWidth="10" defaultRowHeight="14.5" x14ac:dyDescent="0.35"/>
  <cols>
    <col min="1" max="10" width="20.453125" style="1" bestFit="1" customWidth="1"/>
    <col min="11" max="11" width="21.08984375" style="1" bestFit="1" customWidth="1"/>
    <col min="12" max="21" width="20.453125" style="1" bestFit="1" customWidth="1"/>
    <col min="22" max="22" width="19.453125" style="1" bestFit="1" customWidth="1"/>
    <col min="23" max="32" width="20.453125" style="1" bestFit="1" customWidth="1"/>
    <col min="33" max="34" width="19.453125" style="1" bestFit="1" customWidth="1"/>
    <col min="35" max="35" width="20.453125" style="1" bestFit="1" customWidth="1"/>
    <col min="36" max="37" width="19.45312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5.49442172050476E-2</v>
      </c>
      <c r="B2" s="1">
        <v>4.7885984182357698E-2</v>
      </c>
      <c r="C2" s="1">
        <v>5.2531063556671101E-2</v>
      </c>
      <c r="D2" s="1">
        <v>5.0594598054885802E-2</v>
      </c>
      <c r="E2" s="1">
        <v>4.75620627403259E-2</v>
      </c>
      <c r="F2" s="1">
        <v>4.9596816301345797E-2</v>
      </c>
      <c r="G2" s="1">
        <v>4.9636304378509501E-2</v>
      </c>
      <c r="H2" s="1">
        <v>5.1851630210876402E-2</v>
      </c>
      <c r="I2" s="1">
        <v>4.96720671653747E-2</v>
      </c>
      <c r="J2" s="1">
        <v>4.5951098203659002E-2</v>
      </c>
      <c r="K2" s="1">
        <v>5.0004333257675102E-2</v>
      </c>
      <c r="L2" s="1">
        <v>4.9580395221710198E-2</v>
      </c>
      <c r="M2" s="1">
        <v>5.1093578338622998E-2</v>
      </c>
      <c r="N2" s="1">
        <v>5.1896959543228101E-2</v>
      </c>
      <c r="O2" s="1">
        <v>5.2964866161346401E-2</v>
      </c>
      <c r="P2" s="1">
        <v>5.9825003147125203E-2</v>
      </c>
      <c r="Q2" s="1">
        <v>5.9236854314804001E-2</v>
      </c>
      <c r="R2" s="1">
        <v>5.2694320678710903E-2</v>
      </c>
      <c r="S2" s="1">
        <v>5.7961553335189799E-2</v>
      </c>
      <c r="T2" s="1">
        <v>5.82165718078613E-2</v>
      </c>
      <c r="U2" s="1">
        <v>5.7902097702026298E-2</v>
      </c>
      <c r="V2" s="1">
        <v>5.5680483579635599E-2</v>
      </c>
      <c r="W2" s="1">
        <v>6.2161713838577201E-2</v>
      </c>
      <c r="X2" s="1">
        <v>5.8093339204788201E-2</v>
      </c>
      <c r="Y2" s="1">
        <v>6.0901969671249299E-2</v>
      </c>
      <c r="Z2" s="1">
        <v>5.7009786367416299E-2</v>
      </c>
      <c r="AA2" s="1">
        <v>6.3394993543624795E-2</v>
      </c>
      <c r="AB2" s="1">
        <v>5.8867543935775701E-2</v>
      </c>
      <c r="AC2" s="1">
        <v>5.8800309896469102E-2</v>
      </c>
      <c r="AD2" s="1">
        <v>6.09946250915527E-2</v>
      </c>
      <c r="AE2" s="1">
        <v>5.24101555347442E-2</v>
      </c>
      <c r="AF2" s="1">
        <v>5.99806606769561E-2</v>
      </c>
      <c r="AG2" s="1">
        <v>6.4573973417282104E-2</v>
      </c>
      <c r="AH2" s="1">
        <v>5.22181391716003E-2</v>
      </c>
      <c r="AI2" s="1">
        <v>5.02195656299591E-2</v>
      </c>
      <c r="AJ2" s="1">
        <v>6.8582803010940496E-2</v>
      </c>
      <c r="AK2" s="1">
        <v>6.56261146068573E-2</v>
      </c>
    </row>
    <row r="3" spans="1:37" x14ac:dyDescent="0.35">
      <c r="A3" s="1">
        <v>5.6318193674087497E-2</v>
      </c>
      <c r="B3" s="1">
        <v>5.0685554742813103E-2</v>
      </c>
      <c r="C3" s="1">
        <v>5.0615459680557202E-2</v>
      </c>
      <c r="D3" s="1">
        <v>4.8008054494857698E-2</v>
      </c>
      <c r="E3" s="1">
        <v>4.37238216400146E-2</v>
      </c>
      <c r="F3" s="1">
        <v>4.9393147230148302E-2</v>
      </c>
      <c r="G3" s="1">
        <v>4.8900187015533399E-2</v>
      </c>
      <c r="H3" s="1">
        <v>5.0113111734390203E-2</v>
      </c>
      <c r="I3" s="1">
        <v>5.0970792770385701E-2</v>
      </c>
      <c r="J3" s="1">
        <v>5.1195740699767997E-2</v>
      </c>
      <c r="K3" s="1">
        <v>5.0117522478103603E-2</v>
      </c>
      <c r="L3" s="1">
        <v>5.0114125013351399E-2</v>
      </c>
      <c r="M3" s="1">
        <v>4.8406064510345397E-2</v>
      </c>
      <c r="N3" s="1">
        <v>5.17497360706329E-2</v>
      </c>
      <c r="O3" s="1">
        <v>5.4082959890365601E-2</v>
      </c>
      <c r="P3" s="1">
        <v>5.6640863418579102E-2</v>
      </c>
      <c r="Q3" s="1">
        <v>6.6508382558822604E-2</v>
      </c>
      <c r="R3" s="1">
        <v>4.96017038822174E-2</v>
      </c>
      <c r="S3" s="1">
        <v>5.8298140764236402E-2</v>
      </c>
      <c r="T3" s="1">
        <v>5.5421650409698403E-2</v>
      </c>
      <c r="U3" s="1">
        <v>5.8647036552429199E-2</v>
      </c>
      <c r="V3" s="1">
        <v>5.5680483579635599E-2</v>
      </c>
      <c r="W3" s="1">
        <v>5.62184154987335E-2</v>
      </c>
      <c r="X3" s="1">
        <v>5.8242380619049003E-2</v>
      </c>
      <c r="Y3" s="1">
        <v>6.1722725629806498E-2</v>
      </c>
      <c r="Z3" s="1">
        <v>5.6549757719039903E-2</v>
      </c>
      <c r="AA3" s="1">
        <v>6.00437521934509E-2</v>
      </c>
      <c r="AB3" s="1">
        <v>5.4872184991836499E-2</v>
      </c>
      <c r="AC3" s="1">
        <v>5.8851897716522203E-2</v>
      </c>
      <c r="AD3" s="1">
        <v>5.7113885879516602E-2</v>
      </c>
      <c r="AE3" s="1">
        <v>5.25154471397399E-2</v>
      </c>
      <c r="AF3" s="1">
        <v>6.2416553497314398E-2</v>
      </c>
      <c r="AG3" s="1">
        <v>6.5291494131088201E-2</v>
      </c>
      <c r="AH3" s="1">
        <v>6.6104680299758897E-2</v>
      </c>
      <c r="AI3" s="1">
        <v>6.2443584203720003E-2</v>
      </c>
      <c r="AJ3" s="1">
        <v>6.6837817430496202E-2</v>
      </c>
      <c r="AK3" s="1">
        <v>6.59160315990448E-2</v>
      </c>
    </row>
    <row r="4" spans="1:37" x14ac:dyDescent="0.35">
      <c r="A4" s="1">
        <v>5.59504032135009E-2</v>
      </c>
      <c r="B4" s="1">
        <v>5.2336394786834703E-2</v>
      </c>
      <c r="C4" s="1">
        <v>4.9585223197936998E-2</v>
      </c>
      <c r="D4" s="1">
        <v>4.9577683210372897E-2</v>
      </c>
      <c r="E4" s="1">
        <v>4.98057305812835E-2</v>
      </c>
      <c r="F4" s="1">
        <v>4.9503773450851399E-2</v>
      </c>
      <c r="G4" s="1">
        <v>4.8552453517913798E-2</v>
      </c>
      <c r="H4" s="1">
        <v>5.1636546850204398E-2</v>
      </c>
      <c r="I4" s="1">
        <v>5.0196677446365301E-2</v>
      </c>
      <c r="J4" s="1">
        <v>5.0209522247314398E-2</v>
      </c>
      <c r="K4" s="1">
        <v>4.9744635820388697E-2</v>
      </c>
      <c r="L4" s="1">
        <v>5.0382941961288397E-2</v>
      </c>
      <c r="M4" s="1">
        <v>5.0629824399948099E-2</v>
      </c>
      <c r="N4" s="1">
        <v>5.2344918251037598E-2</v>
      </c>
      <c r="O4" s="1">
        <v>4.7479391098022398E-2</v>
      </c>
      <c r="P4" s="1">
        <v>5.8247983455657897E-2</v>
      </c>
      <c r="Q4" s="1">
        <v>5.0260245800018297E-2</v>
      </c>
      <c r="R4" s="1">
        <v>5.5252224206924397E-2</v>
      </c>
      <c r="S4" s="1">
        <v>6.0479581356048501E-2</v>
      </c>
      <c r="T4" s="1">
        <v>5.3574949502944898E-2</v>
      </c>
      <c r="U4" s="1">
        <v>5.2671253681182799E-2</v>
      </c>
      <c r="V4" s="1">
        <v>5.5680483579635599E-2</v>
      </c>
      <c r="W4" s="1">
        <v>6.1075121164321899E-2</v>
      </c>
      <c r="X4" s="1">
        <v>5.8058202266693101E-2</v>
      </c>
      <c r="Y4" s="1">
        <v>6.0109347105026197E-2</v>
      </c>
      <c r="Z4" s="1">
        <v>5.8992713689804001E-2</v>
      </c>
      <c r="AA4" s="1">
        <v>6.2216907739639199E-2</v>
      </c>
      <c r="AB4" s="1">
        <v>5.9846788644790601E-2</v>
      </c>
      <c r="AC4" s="1">
        <v>6.23746812343597E-2</v>
      </c>
      <c r="AD4" s="1">
        <v>5.9137374162673902E-2</v>
      </c>
      <c r="AE4" s="1">
        <v>5.2641361951828003E-2</v>
      </c>
      <c r="AF4" s="1">
        <v>6.10573887825012E-2</v>
      </c>
      <c r="AG4" s="1">
        <v>6.4259588718414307E-2</v>
      </c>
      <c r="AH4" s="1">
        <v>6.3331067562103202E-2</v>
      </c>
      <c r="AI4" s="1">
        <v>5.9736788272857597E-2</v>
      </c>
      <c r="AJ4" s="1">
        <v>6.9910973310470498E-2</v>
      </c>
      <c r="AK4" s="1">
        <v>7.0787221193313599E-2</v>
      </c>
    </row>
    <row r="5" spans="1:37" x14ac:dyDescent="0.35">
      <c r="A5" s="1">
        <v>5.5192917585372897E-2</v>
      </c>
      <c r="B5" s="1">
        <v>4.9088984727859497E-2</v>
      </c>
      <c r="C5" s="1">
        <v>4.9799531698226901E-2</v>
      </c>
      <c r="D5" s="1">
        <v>4.8430949449539101E-2</v>
      </c>
      <c r="E5" s="1">
        <v>4.9578934907913201E-2</v>
      </c>
      <c r="F5" s="1">
        <v>4.8557281494140597E-2</v>
      </c>
      <c r="G5" s="1">
        <v>4.9094408750534002E-2</v>
      </c>
      <c r="H5" s="1">
        <v>5.0998598337173399E-2</v>
      </c>
      <c r="I5" s="1">
        <v>5.0368249416351298E-2</v>
      </c>
      <c r="J5" s="1">
        <v>5.1104754209518398E-2</v>
      </c>
      <c r="K5" s="1">
        <v>5.0435692071914603E-2</v>
      </c>
      <c r="L5" s="1">
        <v>4.9822211265563902E-2</v>
      </c>
      <c r="M5" s="1">
        <v>4.65987026691436E-2</v>
      </c>
      <c r="N5" s="1">
        <v>5.1426708698272698E-2</v>
      </c>
      <c r="O5" s="1">
        <v>6.2265276908874498E-2</v>
      </c>
      <c r="P5" s="1">
        <v>6.08662068843841E-2</v>
      </c>
      <c r="Q5" s="1">
        <v>5.4811447858810397E-2</v>
      </c>
      <c r="R5" s="1">
        <v>5.8883637189865098E-2</v>
      </c>
      <c r="S5" s="1">
        <v>4.9136459827422999E-2</v>
      </c>
      <c r="T5" s="1">
        <v>4.8761606216430602E-2</v>
      </c>
      <c r="U5" s="1">
        <v>5.2530765533447203E-2</v>
      </c>
      <c r="V5" s="1">
        <v>5.5680483579635599E-2</v>
      </c>
      <c r="W5" s="1">
        <v>5.8699905872344901E-2</v>
      </c>
      <c r="X5" s="1">
        <v>5.6351423263549798E-2</v>
      </c>
      <c r="Y5" s="1">
        <v>5.6714206933975199E-2</v>
      </c>
      <c r="Z5" s="1">
        <v>6.0175061225891099E-2</v>
      </c>
      <c r="AA5" s="1">
        <v>6.1477094888687099E-2</v>
      </c>
      <c r="AB5" s="1">
        <v>6.16133511066436E-2</v>
      </c>
      <c r="AC5" s="1">
        <v>5.6475788354873602E-2</v>
      </c>
      <c r="AD5" s="1">
        <v>5.8334499597549397E-2</v>
      </c>
      <c r="AE5" s="1">
        <v>5.2103698253631502E-2</v>
      </c>
      <c r="AF5" s="1">
        <v>6.0429781675338697E-2</v>
      </c>
      <c r="AG5" s="1">
        <v>6.6176384687423706E-2</v>
      </c>
      <c r="AH5" s="1">
        <v>6.40856027603149E-2</v>
      </c>
      <c r="AI5" s="1">
        <v>4.7175109386444002E-2</v>
      </c>
      <c r="AJ5" s="1">
        <v>5.9589624404907199E-2</v>
      </c>
      <c r="AK5" s="1">
        <v>7.5169116258621202E-2</v>
      </c>
    </row>
    <row r="6" spans="1:37" x14ac:dyDescent="0.35">
      <c r="A6" s="1">
        <v>5.5831134319305399E-2</v>
      </c>
      <c r="B6" s="1">
        <v>4.9772620201110798E-2</v>
      </c>
      <c r="C6" s="1">
        <v>5.1602065563201897E-2</v>
      </c>
      <c r="D6" s="1">
        <v>5.0137281417846603E-2</v>
      </c>
      <c r="E6" s="1">
        <v>4.9085617065429597E-2</v>
      </c>
      <c r="F6" s="1">
        <v>4.8395425081253003E-2</v>
      </c>
      <c r="G6" s="1">
        <v>4.8545718193054199E-2</v>
      </c>
      <c r="H6" s="1">
        <v>5.0217002630233702E-2</v>
      </c>
      <c r="I6" s="1">
        <v>5.0031125545501702E-2</v>
      </c>
      <c r="J6" s="1">
        <v>4.9350976943969699E-2</v>
      </c>
      <c r="K6" s="1">
        <v>4.9947828054428101E-2</v>
      </c>
      <c r="L6" s="1">
        <v>4.9737572669982903E-2</v>
      </c>
      <c r="M6" s="1">
        <v>4.8971265554428101E-2</v>
      </c>
      <c r="N6" s="1">
        <v>5.2548706531524603E-2</v>
      </c>
      <c r="O6" s="1">
        <v>4.8483461141586297E-2</v>
      </c>
      <c r="P6" s="1">
        <v>5.5757850408554001E-2</v>
      </c>
      <c r="Q6" s="1">
        <v>5.2919745445251402E-2</v>
      </c>
      <c r="R6" s="1">
        <v>5.0973355770111001E-2</v>
      </c>
      <c r="S6" s="1">
        <v>5.6758642196655197E-2</v>
      </c>
      <c r="T6" s="1">
        <v>5.5541574954986503E-2</v>
      </c>
      <c r="U6" s="1">
        <v>5.1244974136352497E-2</v>
      </c>
      <c r="V6" s="1">
        <v>5.5680483579635599E-2</v>
      </c>
      <c r="W6" s="1">
        <v>5.8264791965484598E-2</v>
      </c>
      <c r="X6" s="1">
        <v>5.8261007070541299E-2</v>
      </c>
      <c r="Y6" s="1">
        <v>5.8973878622054998E-2</v>
      </c>
      <c r="Z6" s="1">
        <v>5.5530220270156798E-2</v>
      </c>
      <c r="AA6" s="1">
        <v>6.1412274837493799E-2</v>
      </c>
      <c r="AB6" s="1">
        <v>5.6277155876159599E-2</v>
      </c>
      <c r="AC6" s="1">
        <v>5.6643784046172999E-2</v>
      </c>
      <c r="AD6" s="1">
        <v>5.8276832103729199E-2</v>
      </c>
      <c r="AE6" s="1">
        <v>5.0140500068664502E-2</v>
      </c>
      <c r="AF6" s="1">
        <v>6.1516016721725401E-2</v>
      </c>
      <c r="AG6" s="1">
        <v>6.8597644567489596E-2</v>
      </c>
      <c r="AH6" s="1">
        <v>6.1036854982376099E-2</v>
      </c>
      <c r="AI6" s="1">
        <v>6.6360622644424397E-2</v>
      </c>
      <c r="AJ6" s="1">
        <v>6.1711609363555901E-2</v>
      </c>
      <c r="AK6" s="1">
        <v>7.9948395490646307E-2</v>
      </c>
    </row>
    <row r="7" spans="1:37" x14ac:dyDescent="0.35">
      <c r="A7" s="1">
        <v>5.45697212219238E-2</v>
      </c>
      <c r="B7" s="1">
        <v>5.1679730415344197E-2</v>
      </c>
      <c r="C7" s="1">
        <v>4.98686134815216E-2</v>
      </c>
      <c r="D7" s="1">
        <v>4.5816570520401001E-2</v>
      </c>
      <c r="E7" s="1">
        <v>4.9839824438095003E-2</v>
      </c>
      <c r="F7" s="1">
        <v>4.8848479986190699E-2</v>
      </c>
      <c r="G7" s="1">
        <v>4.96104061603546E-2</v>
      </c>
      <c r="H7" s="1">
        <v>5.0564736127853303E-2</v>
      </c>
      <c r="I7" s="1">
        <v>5.0306975841522203E-2</v>
      </c>
      <c r="J7" s="1">
        <v>4.7657668590545599E-2</v>
      </c>
      <c r="K7" s="1">
        <v>4.9578636884689303E-2</v>
      </c>
      <c r="L7" s="1">
        <v>4.8973441123962402E-2</v>
      </c>
      <c r="M7" s="1">
        <v>5.1239997148513697E-2</v>
      </c>
      <c r="N7" s="1">
        <v>5.2387595176696701E-2</v>
      </c>
      <c r="O7" s="1">
        <v>5.07646799087524E-2</v>
      </c>
      <c r="P7" s="1">
        <v>5.4404854774475098E-2</v>
      </c>
      <c r="Q7" s="1">
        <v>5.0002068281173699E-2</v>
      </c>
      <c r="R7" s="1">
        <v>5.2363991737365702E-2</v>
      </c>
      <c r="S7" s="1">
        <v>5.4817646741867003E-2</v>
      </c>
      <c r="T7" s="1">
        <v>5.3849041461944497E-2</v>
      </c>
      <c r="U7" s="1">
        <v>5.0111770629882799E-2</v>
      </c>
      <c r="V7" s="1">
        <v>5.5680483579635599E-2</v>
      </c>
      <c r="W7" s="1">
        <v>5.4149150848388602E-2</v>
      </c>
      <c r="X7" s="1">
        <v>5.8978289365768398E-2</v>
      </c>
      <c r="Y7" s="1">
        <v>5.8580935001373201E-2</v>
      </c>
      <c r="Z7" s="1">
        <v>6.1229407787322998E-2</v>
      </c>
      <c r="AA7" s="1">
        <v>6.0536265373229897E-2</v>
      </c>
      <c r="AB7" s="1">
        <v>5.2432328462600701E-2</v>
      </c>
      <c r="AC7" s="1">
        <v>6.02970123291015E-2</v>
      </c>
      <c r="AD7" s="1">
        <v>5.89132905006408E-2</v>
      </c>
      <c r="AE7" s="1">
        <v>5.9278130531311E-2</v>
      </c>
      <c r="AF7" s="1">
        <v>6.3533574342727606E-2</v>
      </c>
      <c r="AG7" s="1">
        <v>6.47698938846588E-2</v>
      </c>
      <c r="AH7" s="1">
        <v>4.9113988876342697E-2</v>
      </c>
      <c r="AI7" s="1">
        <v>6.4163237810134804E-2</v>
      </c>
      <c r="AJ7" s="1">
        <v>6.3798576593399006E-2</v>
      </c>
      <c r="AK7" s="1">
        <v>7.2363168001174899E-2</v>
      </c>
    </row>
    <row r="8" spans="1:37" x14ac:dyDescent="0.35">
      <c r="A8" s="1">
        <v>5.3653299808502197E-2</v>
      </c>
      <c r="B8" s="1">
        <v>4.9780696630477898E-2</v>
      </c>
      <c r="C8" s="1">
        <v>4.9461483955383301E-2</v>
      </c>
      <c r="D8" s="1">
        <v>4.91466224193573E-2</v>
      </c>
      <c r="E8" s="1">
        <v>4.8723012208938599E-2</v>
      </c>
      <c r="F8" s="1">
        <v>4.79507148265838E-2</v>
      </c>
      <c r="G8" s="1">
        <v>4.8734456300735397E-2</v>
      </c>
      <c r="H8" s="1">
        <v>5.3055822849273598E-2</v>
      </c>
      <c r="I8" s="1">
        <v>4.9227476119995103E-2</v>
      </c>
      <c r="J8" s="1">
        <v>5.1547676324844298E-2</v>
      </c>
      <c r="K8" s="1">
        <v>4.9412101507186799E-2</v>
      </c>
      <c r="L8" s="1">
        <v>4.9168348312377902E-2</v>
      </c>
      <c r="M8" s="1">
        <v>5.0424218177795403E-2</v>
      </c>
      <c r="N8" s="1">
        <v>5.2550822496414101E-2</v>
      </c>
      <c r="O8" s="1">
        <v>4.9945414066314697E-2</v>
      </c>
      <c r="P8" s="1">
        <v>5.3705662488937302E-2</v>
      </c>
      <c r="Q8" s="1">
        <v>5.4494857788085903E-2</v>
      </c>
      <c r="R8" s="1">
        <v>5.1368355751037598E-2</v>
      </c>
      <c r="S8" s="1">
        <v>5.2837848663330002E-2</v>
      </c>
      <c r="T8" s="1">
        <v>5.3593844175338697E-2</v>
      </c>
      <c r="U8" s="1">
        <v>5.5473148822784403E-2</v>
      </c>
      <c r="V8" s="1">
        <v>5.5680483579635599E-2</v>
      </c>
      <c r="W8" s="1">
        <v>5.58896958827972E-2</v>
      </c>
      <c r="X8" s="1">
        <v>5.6158483028411803E-2</v>
      </c>
      <c r="Y8" s="1">
        <v>5.83824813365936E-2</v>
      </c>
      <c r="Z8" s="1">
        <v>5.8930933475494301E-2</v>
      </c>
      <c r="AA8" s="1">
        <v>5.9117347002029398E-2</v>
      </c>
      <c r="AB8" s="1">
        <v>5.69224655628204E-2</v>
      </c>
      <c r="AC8" s="1">
        <v>6.3397914171218803E-2</v>
      </c>
      <c r="AD8" s="1">
        <v>5.6296080350875799E-2</v>
      </c>
      <c r="AE8" s="1">
        <v>5.2859127521514802E-2</v>
      </c>
      <c r="AF8" s="1">
        <v>6.2262237071990897E-2</v>
      </c>
      <c r="AG8" s="1">
        <v>6.4024388790130601E-2</v>
      </c>
      <c r="AH8" s="1">
        <v>6.0829818248748703E-2</v>
      </c>
      <c r="AI8" s="1">
        <v>5.9842973947524997E-2</v>
      </c>
      <c r="AJ8" s="1">
        <v>6.36009871959686E-2</v>
      </c>
      <c r="AK8" s="1">
        <v>7.2594135999679496E-2</v>
      </c>
    </row>
    <row r="9" spans="1:37" x14ac:dyDescent="0.35">
      <c r="A9" s="1">
        <v>5.5138111114501898E-2</v>
      </c>
      <c r="B9" s="1">
        <v>5.2399486303329398E-2</v>
      </c>
      <c r="C9" s="1">
        <v>4.8869311809539698E-2</v>
      </c>
      <c r="D9" s="1">
        <v>4.9929022789001402E-2</v>
      </c>
      <c r="E9" s="1">
        <v>4.7163546085357597E-2</v>
      </c>
      <c r="F9" s="1">
        <v>5.0539493560791002E-2</v>
      </c>
      <c r="G9" s="1">
        <v>4.97270822525024E-2</v>
      </c>
      <c r="H9" s="1">
        <v>5.0769954919815001E-2</v>
      </c>
      <c r="I9" s="1">
        <v>5.0722330808639499E-2</v>
      </c>
      <c r="J9" s="1">
        <v>5.0730466842651298E-2</v>
      </c>
      <c r="K9" s="1">
        <v>4.8333674669265698E-2</v>
      </c>
      <c r="L9" s="1">
        <v>4.9598217010497998E-2</v>
      </c>
      <c r="M9" s="1">
        <v>4.8701792955398497E-2</v>
      </c>
      <c r="N9" s="1">
        <v>5.1628381013870198E-2</v>
      </c>
      <c r="O9" s="1">
        <v>4.8745453357696499E-2</v>
      </c>
      <c r="P9" s="1">
        <v>5.3781270980834898E-2</v>
      </c>
      <c r="Q9" s="1">
        <v>5.6771993637084898E-2</v>
      </c>
      <c r="R9" s="1">
        <v>5.19888401031494E-2</v>
      </c>
      <c r="S9" s="1">
        <v>5.6659251451492303E-2</v>
      </c>
      <c r="T9" s="1">
        <v>5.8664411306381198E-2</v>
      </c>
      <c r="U9" s="1">
        <v>6.0667067766189499E-2</v>
      </c>
      <c r="V9" s="1">
        <v>5.5680483579635599E-2</v>
      </c>
      <c r="W9" s="1">
        <v>5.0112903118133503E-2</v>
      </c>
      <c r="X9" s="1">
        <v>4.7675907611846903E-2</v>
      </c>
      <c r="Y9" s="1">
        <v>6.0537219047546303E-2</v>
      </c>
      <c r="Z9" s="1">
        <v>5.8198124170303303E-2</v>
      </c>
      <c r="AA9" s="1">
        <v>6.0025632381439202E-2</v>
      </c>
      <c r="AB9" s="1">
        <v>5.3260445594787598E-2</v>
      </c>
      <c r="AC9" s="1">
        <v>6.01005852222442E-2</v>
      </c>
      <c r="AD9" s="1">
        <v>5.5383801460266099E-2</v>
      </c>
      <c r="AE9" s="1">
        <v>5.9549361467361402E-2</v>
      </c>
      <c r="AF9" s="1">
        <v>6.0736149549484197E-2</v>
      </c>
      <c r="AG9" s="1">
        <v>6.5916568040847695E-2</v>
      </c>
      <c r="AH9" s="1">
        <v>6.0235232114791801E-2</v>
      </c>
      <c r="AI9" s="1">
        <v>5.5200695991516099E-2</v>
      </c>
      <c r="AJ9" s="1">
        <v>7.0543974637985202E-2</v>
      </c>
      <c r="AK9" s="1">
        <v>6.7615002393722506E-2</v>
      </c>
    </row>
    <row r="10" spans="1:37" x14ac:dyDescent="0.35">
      <c r="A10" s="1">
        <v>5.6203544139861998E-2</v>
      </c>
      <c r="B10" s="1">
        <v>5.0636857748031602E-2</v>
      </c>
      <c r="C10" s="1">
        <v>5.1342219114303499E-2</v>
      </c>
      <c r="D10" s="1">
        <v>5.0948441028594901E-2</v>
      </c>
      <c r="E10" s="1">
        <v>4.9967408180236803E-2</v>
      </c>
      <c r="F10" s="1">
        <v>4.8182874917984002E-2</v>
      </c>
      <c r="G10" s="1">
        <v>4.9173116683959898E-2</v>
      </c>
      <c r="H10" s="1">
        <v>5.0339430570602403E-2</v>
      </c>
      <c r="I10" s="1">
        <v>5.0121307373046799E-2</v>
      </c>
      <c r="J10" s="1">
        <v>4.9586027860641403E-2</v>
      </c>
      <c r="K10" s="1">
        <v>4.8970550298690699E-2</v>
      </c>
      <c r="L10" s="1">
        <v>4.9311727285385097E-2</v>
      </c>
      <c r="M10" s="1">
        <v>4.88598942756652E-2</v>
      </c>
      <c r="N10" s="1">
        <v>5.1928579807281397E-2</v>
      </c>
      <c r="O10" s="1">
        <v>5.2278280258178697E-2</v>
      </c>
      <c r="P10" s="1">
        <v>5.4411292076110798E-2</v>
      </c>
      <c r="Q10" s="1">
        <v>4.8416167497634797E-2</v>
      </c>
      <c r="R10" s="1">
        <v>4.7521024942398002E-2</v>
      </c>
      <c r="S10" s="1">
        <v>5.4648280143737703E-2</v>
      </c>
      <c r="T10" s="1">
        <v>5.2250564098358099E-2</v>
      </c>
      <c r="U10" s="1">
        <v>5.1479756832122803E-2</v>
      </c>
      <c r="V10" s="1">
        <v>5.5680483579635599E-2</v>
      </c>
      <c r="W10" s="1">
        <v>5.9852808713912901E-2</v>
      </c>
      <c r="X10" s="1">
        <v>5.44629096984863E-2</v>
      </c>
      <c r="Y10" s="1">
        <v>6.0194551944732597E-2</v>
      </c>
      <c r="Z10" s="1">
        <v>6.0307204723358099E-2</v>
      </c>
      <c r="AA10" s="1">
        <v>5.9519171714782701E-2</v>
      </c>
      <c r="AB10" s="1">
        <v>5.9002012014389003E-2</v>
      </c>
      <c r="AC10" s="1">
        <v>5.8199405670166002E-2</v>
      </c>
      <c r="AD10" s="1">
        <v>5.7327985763549798E-2</v>
      </c>
      <c r="AE10" s="1">
        <v>5.5383026599883999E-2</v>
      </c>
      <c r="AF10" s="1">
        <v>5.96203804016113E-2</v>
      </c>
      <c r="AG10" s="1">
        <v>6.3640415668487493E-2</v>
      </c>
      <c r="AH10" s="1">
        <v>6.4497649669647203E-2</v>
      </c>
      <c r="AI10" s="1">
        <v>5.5739879608154297E-2</v>
      </c>
      <c r="AJ10" s="1">
        <v>6.7899793386459295E-2</v>
      </c>
      <c r="AK10" s="1">
        <v>6.8154126405715901E-2</v>
      </c>
    </row>
    <row r="11" spans="1:37" x14ac:dyDescent="0.35">
      <c r="A11" s="1">
        <v>5.5851697921752902E-2</v>
      </c>
      <c r="B11" s="1">
        <v>4.9615323543548501E-2</v>
      </c>
      <c r="C11" s="1">
        <v>4.8660844564437797E-2</v>
      </c>
      <c r="D11" s="1">
        <v>4.8528224229812601E-2</v>
      </c>
      <c r="E11" s="1">
        <v>4.9230366945266703E-2</v>
      </c>
      <c r="F11" s="1">
        <v>4.9052625894546502E-2</v>
      </c>
      <c r="G11" s="1">
        <v>4.9790203571319497E-2</v>
      </c>
      <c r="H11" s="1">
        <v>5.0776541233062703E-2</v>
      </c>
      <c r="I11" s="1">
        <v>5.0028681755065897E-2</v>
      </c>
      <c r="J11" s="1">
        <v>4.9561232328414903E-2</v>
      </c>
      <c r="K11" s="1">
        <v>5.0204694271087598E-2</v>
      </c>
      <c r="L11" s="1">
        <v>4.8866420984268098E-2</v>
      </c>
      <c r="M11" s="1">
        <v>5.15664219856262E-2</v>
      </c>
      <c r="N11" s="1">
        <v>5.21414279937744E-2</v>
      </c>
      <c r="O11" s="1">
        <v>5.7554364204406697E-2</v>
      </c>
      <c r="P11" s="1">
        <v>5.64328730106353E-2</v>
      </c>
      <c r="Q11" s="1">
        <v>6.0995876789092997E-2</v>
      </c>
      <c r="R11" s="1">
        <v>5.4754793643951402E-2</v>
      </c>
      <c r="S11" s="1">
        <v>5.67310750484466E-2</v>
      </c>
      <c r="T11" s="1">
        <v>5.5504053831100401E-2</v>
      </c>
      <c r="U11" s="1">
        <v>5.5680483579635599E-2</v>
      </c>
      <c r="V11" s="1">
        <v>5.5680483579635599E-2</v>
      </c>
      <c r="W11" s="1">
        <v>5.78528344631195E-2</v>
      </c>
      <c r="X11" s="1">
        <v>5.6231796741485499E-2</v>
      </c>
      <c r="Y11" s="1">
        <v>5.7937592267990098E-2</v>
      </c>
      <c r="Z11" s="1">
        <v>6.3481152057647705E-2</v>
      </c>
      <c r="AA11" s="1">
        <v>5.8200418949127197E-2</v>
      </c>
      <c r="AB11" s="1">
        <v>5.7741701602935701E-2</v>
      </c>
      <c r="AC11" s="1">
        <v>6.3064336776733398E-2</v>
      </c>
      <c r="AD11" s="1">
        <v>5.4478406906127902E-2</v>
      </c>
      <c r="AE11" s="1">
        <v>5.9447586536407401E-2</v>
      </c>
      <c r="AF11" s="1">
        <v>6.2909632921218803E-2</v>
      </c>
      <c r="AG11" s="1">
        <v>6.6785424947738606E-2</v>
      </c>
      <c r="AH11" s="1">
        <v>5.9447884559631299E-2</v>
      </c>
      <c r="AI11" s="1">
        <v>6.7405194044113104E-2</v>
      </c>
      <c r="AJ11" s="1">
        <v>7.1206480264663696E-2</v>
      </c>
      <c r="AK11" s="1">
        <v>6.8968504667282104E-2</v>
      </c>
    </row>
    <row r="13" spans="1:37" x14ac:dyDescent="0.35">
      <c r="A13" s="2" t="s">
        <v>37</v>
      </c>
    </row>
    <row r="14" spans="1:37" x14ac:dyDescent="0.35">
      <c r="A14" s="1">
        <f>AVERAGE(FI_Combined_especie[F_TOTAL])</f>
        <v>5.5365324020385707E-2</v>
      </c>
      <c r="B14" s="1">
        <f>AVERAGE(FI_Combined_especie[F_CITMLB])</f>
        <v>5.038816332817074E-2</v>
      </c>
      <c r="C14" s="1">
        <f>AVERAGE(FI_Combined_especie[F_OTHER])</f>
        <v>5.0233581662177992E-2</v>
      </c>
      <c r="D14" s="1">
        <f>AVERAGE(FI_Combined_especie[F_JUICE])</f>
        <v>4.9111744761466937E-2</v>
      </c>
      <c r="E14" s="1">
        <f>AVERAGE(FI_Combined_especie[V_TOTAL])</f>
        <v>4.8468032479286154E-2</v>
      </c>
      <c r="F14" s="1">
        <f>AVERAGE(FI_Combined_especie[V_DRKGR])</f>
        <v>4.9002063274383514E-2</v>
      </c>
      <c r="G14" s="1">
        <f>AVERAGE(FI_Combined_especie[V_REDOR_TOTAL])</f>
        <v>4.9176433682441664E-2</v>
      </c>
      <c r="H14" s="1">
        <f>AVERAGE(FI_Combined_especie[V_REDOR_TOMATO])</f>
        <v>5.1032337546348519E-2</v>
      </c>
      <c r="I14" s="1">
        <f>AVERAGE(FI_Combined_especie[V_REDOR_OTHER])</f>
        <v>5.0164568424224822E-2</v>
      </c>
      <c r="J14" s="1">
        <f>AVERAGE(FI_Combined_especie[V_STARCHY_TOTAL])</f>
        <v>4.968951642513271E-2</v>
      </c>
      <c r="K14" s="1">
        <f>AVERAGE(FI_Combined_especie[V_STARCHY_POTATO])</f>
        <v>4.9674966931343011E-2</v>
      </c>
      <c r="L14" s="1">
        <f>AVERAGE(FI_Combined_especie[V_STARCHY_OTHER])</f>
        <v>4.9555540084838826E-2</v>
      </c>
      <c r="M14" s="1">
        <f>AVERAGE(FI_Combined_especie[V_OTHER])</f>
        <v>4.9649176001548723E-2</v>
      </c>
      <c r="N14" s="1">
        <f>AVERAGE(FI_Combined_especie[V_LEGUMES])</f>
        <v>5.206038355827327E-2</v>
      </c>
      <c r="O14" s="1">
        <f>AVERAGE(FI_Combined_especie[G_TOTAL])</f>
        <v>5.2456414699554421E-2</v>
      </c>
      <c r="P14" s="1">
        <f>AVERAGE(FI_Combined_especie[G_WHOLE])</f>
        <v>5.6407386064529372E-2</v>
      </c>
      <c r="Q14" s="1">
        <f>AVERAGE(FI_Combined_especie[G_REFINED])</f>
        <v>5.5441763997077897E-2</v>
      </c>
      <c r="R14" s="1">
        <f>AVERAGE(FI_Combined_especie[PF_TOTAL])</f>
        <v>5.254022479057309E-2</v>
      </c>
      <c r="S14" s="1">
        <f>AVERAGE(FI_Combined_especie[PF_MPS_TOTAL])</f>
        <v>5.5832847952842643E-2</v>
      </c>
      <c r="T14" s="1">
        <f>AVERAGE(FI_Combined_especie[PF_MEAT])</f>
        <v>5.4537826776504462E-2</v>
      </c>
      <c r="U14" s="1">
        <f>AVERAGE(FI_Combined_especie[PF_CUREDMEAT])</f>
        <v>5.4640835523605311E-2</v>
      </c>
      <c r="V14" s="1">
        <f>AVERAGE(FI_Combined_especie[PF_ORGAN])</f>
        <v>5.5680483579635606E-2</v>
      </c>
      <c r="W14" s="1">
        <f>AVERAGE(FI_Combined_especie[PF_POULT])</f>
        <v>5.7427734136581379E-2</v>
      </c>
      <c r="X14" s="1">
        <f>AVERAGE(FI_Combined_especie[PF_SEAFD_HI])</f>
        <v>5.6251373887062028E-2</v>
      </c>
      <c r="Y14" s="1">
        <f>AVERAGE(FI_Combined_especie[PF_SEAFD_LOW])</f>
        <v>5.9405490756034796E-2</v>
      </c>
      <c r="Z14" s="1">
        <f>AVERAGE(FI_Combined_especie[PF_EGGS])</f>
        <v>5.9040436148643446E-2</v>
      </c>
      <c r="AA14" s="1">
        <f>AVERAGE(FI_Combined_especie[PF_SOY])</f>
        <v>6.0594385862350421E-2</v>
      </c>
      <c r="AB14" s="1">
        <f>AVERAGE(FI_Combined_especie[PF_NUTSDS])</f>
        <v>5.708359777927393E-2</v>
      </c>
      <c r="AC14" s="1">
        <f>AVERAGE(FI_Combined_especie[PF_LEGUMES])</f>
        <v>5.9820571541786147E-2</v>
      </c>
      <c r="AD14" s="1">
        <f>AVERAGE(FI_Combined_especie[D_TOTAL])</f>
        <v>5.7625678181648224E-2</v>
      </c>
      <c r="AE14" s="1">
        <f>AVERAGE(FI_Combined_especie[D_MILK])</f>
        <v>5.4632839560508663E-2</v>
      </c>
      <c r="AF14" s="1">
        <f>AVERAGE(FI_Combined_especie[D_YOGURT])</f>
        <v>6.1446237564086861E-2</v>
      </c>
      <c r="AG14" s="1">
        <f>AVERAGE(FI_Combined_especie[D_CHEESE])</f>
        <v>6.5403577685356123E-2</v>
      </c>
      <c r="AH14" s="1">
        <f>AVERAGE(FI_Combined_especie[OILS])</f>
        <v>6.0090091824531525E-2</v>
      </c>
      <c r="AI14" s="1">
        <f>AVERAGE(FI_Combined_especie[SOLID_FATS])</f>
        <v>5.8828765153884841E-2</v>
      </c>
      <c r="AJ14" s="1">
        <f>AVERAGE(FI_Combined_especie[ADD_SUGARS])</f>
        <v>6.6368263959884627E-2</v>
      </c>
      <c r="AK14" s="1">
        <f>AVERAGE(FI_Combined_especie[A_DRINKS])</f>
        <v>7.0714181661605813E-2</v>
      </c>
    </row>
    <row r="15" spans="1:37" x14ac:dyDescent="0.35">
      <c r="A15" s="2" t="s">
        <v>38</v>
      </c>
    </row>
    <row r="16" spans="1:37" x14ac:dyDescent="0.35">
      <c r="A16" s="1">
        <f>STDEV(FI_Combined_especie[F_TOTAL])</f>
        <v>8.3194025978910709E-4</v>
      </c>
      <c r="B16" s="1">
        <f>STDEV(FI_Combined_especie[F_CITMLB])</f>
        <v>1.4511841146530239E-3</v>
      </c>
      <c r="C16" s="1">
        <f>STDEV(FI_Combined_especie[F_OTHER])</f>
        <v>1.256048388336122E-3</v>
      </c>
      <c r="D16" s="1">
        <f>STDEV(FI_Combined_especie[F_JUICE])</f>
        <v>1.5051974737828446E-3</v>
      </c>
      <c r="E16" s="1">
        <f>STDEV(FI_Combined_especie[V_TOTAL])</f>
        <v>1.9209680059162949E-3</v>
      </c>
      <c r="F16" s="1">
        <f>STDEV(FI_Combined_especie[V_DRKGR])</f>
        <v>7.8105847459242802E-4</v>
      </c>
      <c r="G16" s="1">
        <f>STDEV(FI_Combined_especie[V_REDOR_TOTAL])</f>
        <v>4.8822684686749423E-4</v>
      </c>
      <c r="H16" s="1">
        <f>STDEV(FI_Combined_especie[V_REDOR_TOMATO])</f>
        <v>9.1133206153439406E-4</v>
      </c>
      <c r="I16" s="1">
        <f>STDEV(FI_Combined_especie[V_REDOR_OTHER])</f>
        <v>4.9246957786127949E-4</v>
      </c>
      <c r="J16" s="1">
        <f>STDEV(FI_Combined_especie[V_STARCHY_TOTAL])</f>
        <v>1.7424218039494128E-3</v>
      </c>
      <c r="K16" s="1">
        <f>STDEV(FI_Combined_especie[V_STARCHY_POTATO])</f>
        <v>6.3391234613343413E-4</v>
      </c>
      <c r="L16" s="1">
        <f>STDEV(FI_Combined_especie[V_STARCHY_OTHER])</f>
        <v>4.8607109115088862E-4</v>
      </c>
      <c r="M16" s="1">
        <f>STDEV(FI_Combined_especie[V_OTHER])</f>
        <v>1.5876600684732601E-3</v>
      </c>
      <c r="N16" s="1">
        <f>STDEV(FI_Combined_especie[V_LEGUMES])</f>
        <v>3.9473434653461062E-4</v>
      </c>
      <c r="O16" s="1">
        <f>STDEV(FI_Combined_especie[G_TOTAL])</f>
        <v>4.5781148447888859E-3</v>
      </c>
      <c r="P16" s="1">
        <f>STDEV(FI_Combined_especie[G_WHOLE])</f>
        <v>2.5301813659339392E-3</v>
      </c>
      <c r="Q16" s="1">
        <f>STDEV(FI_Combined_especie[G_REFINED])</f>
        <v>5.6069636323657418E-3</v>
      </c>
      <c r="R16" s="1">
        <f>STDEV(FI_Combined_especie[PF_TOTAL])</f>
        <v>3.1712702227501117E-3</v>
      </c>
      <c r="S16" s="1">
        <f>STDEV(FI_Combined_especie[PF_MPS_TOTAL])</f>
        <v>3.1761875342499516E-3</v>
      </c>
      <c r="T16" s="1">
        <f>STDEV(FI_Combined_especie[PF_MEAT])</f>
        <v>2.8707929557225871E-3</v>
      </c>
      <c r="U16" s="1">
        <f>STDEV(FI_Combined_especie[PF_CUREDMEAT])</f>
        <v>3.5768225516480618E-3</v>
      </c>
      <c r="V16" s="1">
        <f>STDEV(FI_Combined_especie[PF_ORGAN])</f>
        <v>7.3142363928681276E-18</v>
      </c>
      <c r="W16" s="1">
        <f>STDEV(FI_Combined_especie[PF_POULT])</f>
        <v>3.5304808315975316E-3</v>
      </c>
      <c r="X16" s="1">
        <f>STDEV(FI_Combined_especie[PF_SEAFD_HI])</f>
        <v>3.3141533900877024E-3</v>
      </c>
      <c r="Y16" s="1">
        <f>STDEV(FI_Combined_especie[PF_SEAFD_LOW])</f>
        <v>1.5390592700423912E-3</v>
      </c>
      <c r="Z16" s="1">
        <f>STDEV(FI_Combined_especie[PF_EGGS])</f>
        <v>2.375243195311461E-3</v>
      </c>
      <c r="AA16" s="1">
        <f>STDEV(FI_Combined_especie[PF_SOY])</f>
        <v>1.5500165238472917E-3</v>
      </c>
      <c r="AB16" s="1">
        <f>STDEV(FI_Combined_especie[PF_NUTSDS])</f>
        <v>2.9300592373285132E-3</v>
      </c>
      <c r="AC16" s="1">
        <f>STDEV(FI_Combined_especie[PF_LEGUMES])</f>
        <v>2.4952236137216546E-3</v>
      </c>
      <c r="AD16" s="1">
        <f>STDEV(FI_Combined_especie[D_TOTAL])</f>
        <v>1.9226461215443766E-3</v>
      </c>
      <c r="AE16" s="1">
        <f>STDEV(FI_Combined_especie[D_MILK])</f>
        <v>3.537244174733176E-3</v>
      </c>
      <c r="AF16" s="1">
        <f>STDEV(FI_Combined_especie[D_YOGURT])</f>
        <v>1.3030314681885412E-3</v>
      </c>
      <c r="AG16" s="1">
        <f>STDEV(FI_Combined_especie[D_CHEESE])</f>
        <v>1.5053212672347933E-3</v>
      </c>
      <c r="AH16" s="1">
        <f>STDEV(FI_Combined_especie[OILS])</f>
        <v>5.4404799429603676E-3</v>
      </c>
      <c r="AI16" s="1">
        <f>STDEV(FI_Combined_especie[SOLID_FATS])</f>
        <v>6.7188851544010631E-3</v>
      </c>
      <c r="AJ16" s="1">
        <f>STDEV(FI_Combined_especie[ADD_SUGARS])</f>
        <v>3.9827605218831722E-3</v>
      </c>
      <c r="AK16" s="1">
        <f>STDEV(FI_Combined_especie[A_DRINKS])</f>
        <v>4.4658297714897377E-3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434-7578-4B42-8E9C-E132561C6F92}">
  <dimension ref="A1:AK16"/>
  <sheetViews>
    <sheetView topLeftCell="AA1" workbookViewId="0">
      <selection activeCell="A16" sqref="A16:AK16"/>
    </sheetView>
  </sheetViews>
  <sheetFormatPr baseColWidth="10" defaultRowHeight="14.5" x14ac:dyDescent="0.35"/>
  <cols>
    <col min="1" max="1" width="22.1796875" style="1" bestFit="1" customWidth="1"/>
    <col min="2" max="3" width="22.54296875" style="1" bestFit="1" customWidth="1"/>
    <col min="4" max="7" width="21.54296875" style="1" bestFit="1" customWidth="1"/>
    <col min="8" max="8" width="20.453125" style="1" bestFit="1" customWidth="1"/>
    <col min="9" max="9" width="21.54296875" style="1" bestFit="1" customWidth="1"/>
    <col min="10" max="10" width="20.453125" style="1" bestFit="1" customWidth="1"/>
    <col min="11" max="11" width="21.08984375" style="1" bestFit="1" customWidth="1"/>
    <col min="12" max="12" width="21.54296875" style="1" bestFit="1" customWidth="1"/>
    <col min="13" max="14" width="20.453125" style="1" bestFit="1" customWidth="1"/>
    <col min="15" max="16" width="21.54296875" style="1" bestFit="1" customWidth="1"/>
    <col min="17" max="17" width="22.1796875" style="1" bestFit="1" customWidth="1"/>
    <col min="18" max="19" width="23.1796875" style="1" bestFit="1" customWidth="1"/>
    <col min="20" max="20" width="21.54296875" style="1" bestFit="1" customWidth="1"/>
    <col min="21" max="27" width="20.453125" style="1" bestFit="1" customWidth="1"/>
    <col min="28" max="28" width="21.54296875" style="1" bestFit="1" customWidth="1"/>
    <col min="29" max="34" width="20.453125" style="1" bestFit="1" customWidth="1"/>
    <col min="35" max="35" width="21.1796875" style="1" bestFit="1" customWidth="1"/>
    <col min="36" max="36" width="20.453125" style="1" bestFit="1" customWidth="1"/>
    <col min="37" max="37" width="21.5429687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1.01298093795776E-3</v>
      </c>
      <c r="B2" s="1">
        <v>-2.7621686458587599E-3</v>
      </c>
      <c r="C2" s="1">
        <v>-2.5053322315215999E-3</v>
      </c>
      <c r="D2" s="1">
        <v>1.9298791885375901E-3</v>
      </c>
      <c r="E2" s="1">
        <v>5.2989125251770002E-3</v>
      </c>
      <c r="F2" s="1">
        <v>7.2182416915893503E-3</v>
      </c>
      <c r="G2" s="1">
        <v>6.8421959877014099E-3</v>
      </c>
      <c r="H2" s="1">
        <v>9.6236765384674003E-3</v>
      </c>
      <c r="I2" s="1">
        <v>7.6782703399658203E-3</v>
      </c>
      <c r="J2" s="1">
        <v>8.3727836608886701E-3</v>
      </c>
      <c r="K2" s="1">
        <v>5.0234496593475298E-3</v>
      </c>
      <c r="L2" s="1">
        <v>4.69237565994262E-3</v>
      </c>
      <c r="M2" s="1">
        <v>1.84135735034942E-2</v>
      </c>
      <c r="N2" s="1">
        <v>1.7899692058563201E-2</v>
      </c>
      <c r="O2" s="1">
        <v>6.6051185131072998E-3</v>
      </c>
      <c r="P2" s="1">
        <v>5.4560005664825396E-3</v>
      </c>
      <c r="Q2" s="1">
        <v>3.7795007228851301E-3</v>
      </c>
      <c r="R2" s="1">
        <v>-4.6643316745757996E-3</v>
      </c>
      <c r="S2" s="1">
        <v>-2.5581121444702101E-3</v>
      </c>
      <c r="T2" s="1">
        <v>6.7675113677978498E-3</v>
      </c>
      <c r="U2" s="1">
        <v>1.5258431434631301E-2</v>
      </c>
      <c r="V2" s="1">
        <v>1.1260151863098099E-2</v>
      </c>
      <c r="W2" s="1">
        <v>1.05520486831665E-2</v>
      </c>
      <c r="X2" s="1">
        <v>9.3972086906433105E-3</v>
      </c>
      <c r="Y2" s="1">
        <v>9.54616069793701E-3</v>
      </c>
      <c r="Z2" s="1">
        <v>1.0545462369918801E-2</v>
      </c>
      <c r="AA2" s="1">
        <v>5.2094459533691398E-3</v>
      </c>
      <c r="AB2" s="1">
        <v>5.2917003631591797E-3</v>
      </c>
      <c r="AC2" s="1">
        <v>1.9438624382019001E-2</v>
      </c>
      <c r="AD2" s="1">
        <v>1.7589986324310299E-2</v>
      </c>
      <c r="AE2" s="1">
        <v>2.5655508041381801E-2</v>
      </c>
      <c r="AF2" s="1">
        <v>1.7499595880508399E-2</v>
      </c>
      <c r="AG2" s="1">
        <v>1.9055157899856501E-2</v>
      </c>
      <c r="AH2" s="1">
        <v>1.7601519823074299E-2</v>
      </c>
      <c r="AI2" s="1">
        <v>2.0061016082763599E-2</v>
      </c>
      <c r="AJ2" s="1">
        <v>1.48312449455261E-2</v>
      </c>
      <c r="AK2" s="1">
        <v>1.2474387884140001E-2</v>
      </c>
    </row>
    <row r="3" spans="1:37" x14ac:dyDescent="0.35">
      <c r="A3" s="1">
        <v>-3.46118211746215E-3</v>
      </c>
      <c r="B3" s="1">
        <v>4.3204426765441802E-4</v>
      </c>
      <c r="C3" s="1">
        <v>8.3264708518981901E-4</v>
      </c>
      <c r="D3" s="1">
        <v>6.1887502670287999E-4</v>
      </c>
      <c r="E3" s="1">
        <v>1.94355845451354E-3</v>
      </c>
      <c r="F3" s="1">
        <v>1.4514446258544899E-2</v>
      </c>
      <c r="G3" s="1">
        <v>7.0119798183441101E-3</v>
      </c>
      <c r="H3" s="1">
        <v>6.3863992691039996E-3</v>
      </c>
      <c r="I3" s="1">
        <v>8.2319974899291992E-3</v>
      </c>
      <c r="J3" s="1">
        <v>9.4886422157287598E-3</v>
      </c>
      <c r="K3" s="1">
        <v>6.1316788196563703E-3</v>
      </c>
      <c r="L3" s="1">
        <v>6.4525604248046797E-3</v>
      </c>
      <c r="M3" s="1">
        <v>1.26043558120727E-2</v>
      </c>
      <c r="N3" s="1">
        <v>1.8137961626052801E-2</v>
      </c>
      <c r="O3" s="1">
        <v>7.2237551212310704E-3</v>
      </c>
      <c r="P3" s="1">
        <v>6.91261887550354E-3</v>
      </c>
      <c r="Q3" s="1">
        <v>-6.7311525344848598E-3</v>
      </c>
      <c r="R3" s="1">
        <v>2.7185678482055599E-3</v>
      </c>
      <c r="S3" s="1">
        <v>-2.90718674659729E-3</v>
      </c>
      <c r="T3" s="1">
        <v>5.8438479900360099E-3</v>
      </c>
      <c r="U3" s="1">
        <v>9.4966292381286604E-3</v>
      </c>
      <c r="V3" s="1">
        <v>1.1260151863098099E-2</v>
      </c>
      <c r="W3" s="1">
        <v>1.42813026905059E-2</v>
      </c>
      <c r="X3" s="1">
        <v>1.24605596065521E-2</v>
      </c>
      <c r="Y3" s="1">
        <v>1.18358135223388E-2</v>
      </c>
      <c r="Z3" s="1">
        <v>8.7603032588958706E-3</v>
      </c>
      <c r="AA3" s="1">
        <v>6.0808360576629604E-3</v>
      </c>
      <c r="AB3" s="1">
        <v>1.0169863700866699E-2</v>
      </c>
      <c r="AC3" s="1">
        <v>1.4496147632598801E-2</v>
      </c>
      <c r="AD3" s="1">
        <v>1.9650459289550701E-2</v>
      </c>
      <c r="AE3" s="1">
        <v>1.69585943222045E-2</v>
      </c>
      <c r="AF3" s="1">
        <v>1.9372910261154098E-2</v>
      </c>
      <c r="AG3" s="1">
        <v>1.6915977001190099E-2</v>
      </c>
      <c r="AH3" s="1">
        <v>7.8461766242980905E-3</v>
      </c>
      <c r="AI3" s="1">
        <v>1.4192074537277201E-2</v>
      </c>
      <c r="AJ3" s="1">
        <v>9.6360743045806798E-3</v>
      </c>
      <c r="AK3" s="1">
        <v>1.03399753570556E-2</v>
      </c>
    </row>
    <row r="4" spans="1:37" x14ac:dyDescent="0.35">
      <c r="A4" s="1">
        <v>-4.02367115020751E-3</v>
      </c>
      <c r="B4" s="1">
        <v>-9.6854567527770996E-4</v>
      </c>
      <c r="C4" s="1">
        <v>-3.7681162357330301E-3</v>
      </c>
      <c r="D4" s="1">
        <v>1.2211799621582001E-3</v>
      </c>
      <c r="E4" s="1">
        <v>6.6832900047302203E-3</v>
      </c>
      <c r="F4" s="1">
        <v>8.6277723312377895E-3</v>
      </c>
      <c r="G4" s="1">
        <v>6.0980916023254299E-3</v>
      </c>
      <c r="H4" s="1">
        <v>1.09149813652038E-2</v>
      </c>
      <c r="I4" s="1">
        <v>6.8176388740539499E-3</v>
      </c>
      <c r="J4" s="1">
        <v>9.9538862705230696E-3</v>
      </c>
      <c r="K4" s="1">
        <v>6.6611170768737698E-3</v>
      </c>
      <c r="L4" s="1">
        <v>5.0561130046844396E-3</v>
      </c>
      <c r="M4" s="1">
        <v>1.9930660724639799E-2</v>
      </c>
      <c r="N4" s="1">
        <v>1.74956321716308E-2</v>
      </c>
      <c r="O4" s="1">
        <v>1.3296842575073201E-2</v>
      </c>
      <c r="P4" s="1">
        <v>5.2504539489745998E-3</v>
      </c>
      <c r="Q4" s="1">
        <v>8.0758333206176704E-4</v>
      </c>
      <c r="R4" s="1">
        <v>2.3396313190460201E-3</v>
      </c>
      <c r="S4" s="1">
        <v>2.2388696670532201E-3</v>
      </c>
      <c r="T4" s="1">
        <v>5.1404237747192296E-3</v>
      </c>
      <c r="U4" s="1">
        <v>8.6757242679595895E-3</v>
      </c>
      <c r="V4" s="1">
        <v>1.1260151863098099E-2</v>
      </c>
      <c r="W4" s="1">
        <v>1.6716986894607499E-2</v>
      </c>
      <c r="X4" s="1">
        <v>7.2509348392486503E-3</v>
      </c>
      <c r="Y4" s="1">
        <v>1.6075640916824299E-2</v>
      </c>
      <c r="Z4" s="1">
        <v>9.5643401145935007E-3</v>
      </c>
      <c r="AA4" s="1">
        <v>8.8842213153839094E-3</v>
      </c>
      <c r="AB4" s="1">
        <v>3.1783580780029201E-3</v>
      </c>
      <c r="AC4" s="1">
        <v>1.41954123973846E-2</v>
      </c>
      <c r="AD4" s="1">
        <v>2.2334516048431299E-2</v>
      </c>
      <c r="AE4" s="1">
        <v>2.2154569625854399E-2</v>
      </c>
      <c r="AF4" s="1">
        <v>1.5504539012908901E-2</v>
      </c>
      <c r="AG4" s="1">
        <v>2.28330194950103E-2</v>
      </c>
      <c r="AH4" s="1">
        <v>3.1361967325210502E-2</v>
      </c>
      <c r="AI4" s="1">
        <v>1.8413335084915099E-2</v>
      </c>
      <c r="AJ4" s="1">
        <v>1.80020630359649E-2</v>
      </c>
      <c r="AK4" s="1">
        <v>1.5520691871643E-2</v>
      </c>
    </row>
    <row r="5" spans="1:37" x14ac:dyDescent="0.35">
      <c r="A5" s="1">
        <v>-3.0131638050079298E-3</v>
      </c>
      <c r="B5" s="1">
        <v>1.8088519573211601E-3</v>
      </c>
      <c r="C5" s="1">
        <v>4.3764710426330501E-4</v>
      </c>
      <c r="D5" s="1">
        <v>1.16273760795593E-3</v>
      </c>
      <c r="E5" s="1">
        <v>7.4048340320587097E-3</v>
      </c>
      <c r="F5" s="1">
        <v>1.1446475982666E-2</v>
      </c>
      <c r="G5" s="1">
        <v>6.2538981437683097E-3</v>
      </c>
      <c r="H5" s="1">
        <v>9.3984603881835903E-3</v>
      </c>
      <c r="I5" s="1">
        <v>8.1484317779540998E-3</v>
      </c>
      <c r="J5" s="1">
        <v>9.5790922641754098E-3</v>
      </c>
      <c r="K5" s="1">
        <v>4.9130022525787301E-3</v>
      </c>
      <c r="L5" s="1">
        <v>4.0984451770782401E-3</v>
      </c>
      <c r="M5" s="1">
        <v>1.1341303586959801E-2</v>
      </c>
      <c r="N5" s="1">
        <v>1.6471803188323898E-2</v>
      </c>
      <c r="O5" s="1">
        <v>1.0504394769668499E-2</v>
      </c>
      <c r="P5" s="1">
        <v>6.8642199039459202E-3</v>
      </c>
      <c r="Q5" s="1">
        <v>1.0798871517181301E-3</v>
      </c>
      <c r="R5" s="1">
        <v>2.8405487537383999E-3</v>
      </c>
      <c r="S5" s="1">
        <v>2.7118325233459399E-3</v>
      </c>
      <c r="T5" s="1">
        <v>5.0017535686492903E-3</v>
      </c>
      <c r="U5" s="1">
        <v>1.3839155435562101E-2</v>
      </c>
      <c r="V5" s="1">
        <v>1.1260151863098099E-2</v>
      </c>
      <c r="W5" s="1">
        <v>2.0391672849655099E-2</v>
      </c>
      <c r="X5" s="1">
        <v>9.93308424949646E-3</v>
      </c>
      <c r="Y5" s="1">
        <v>1.06026530265808E-2</v>
      </c>
      <c r="Z5" s="1">
        <v>1.04788541793823E-2</v>
      </c>
      <c r="AA5" s="1">
        <v>9.1435313224792394E-3</v>
      </c>
      <c r="AB5" s="1">
        <v>6.69148564338684E-3</v>
      </c>
      <c r="AC5" s="1">
        <v>1.5928417444229102E-2</v>
      </c>
      <c r="AD5" s="1">
        <v>1.26784443855285E-2</v>
      </c>
      <c r="AE5" s="1">
        <v>1.6263276338577201E-2</v>
      </c>
      <c r="AF5" s="1">
        <v>1.9930720329284599E-2</v>
      </c>
      <c r="AG5" s="1">
        <v>2.3795604705810498E-2</v>
      </c>
      <c r="AH5" s="1">
        <v>3.54742109775543E-2</v>
      </c>
      <c r="AI5" s="1">
        <v>-4.3648779392242397E-3</v>
      </c>
      <c r="AJ5" s="1">
        <v>5.2548348903655997E-3</v>
      </c>
      <c r="AK5" s="1">
        <v>9.4406902790069493E-3</v>
      </c>
    </row>
    <row r="6" spans="1:37" x14ac:dyDescent="0.35">
      <c r="A6" s="1">
        <v>2.2799670696258502E-3</v>
      </c>
      <c r="B6" s="1">
        <v>-1.3912022113799999E-3</v>
      </c>
      <c r="C6" s="1">
        <v>-3.1856000423431301E-3</v>
      </c>
      <c r="D6" s="1">
        <v>2.3230314254760699E-3</v>
      </c>
      <c r="E6" s="1">
        <v>5.3247511386871303E-3</v>
      </c>
      <c r="F6" s="1">
        <v>8.6664855480194092E-3</v>
      </c>
      <c r="G6" s="1">
        <v>5.5616497993469204E-3</v>
      </c>
      <c r="H6" s="1">
        <v>1.49546861648559E-2</v>
      </c>
      <c r="I6" s="1">
        <v>8.1206858158111503E-3</v>
      </c>
      <c r="J6" s="1">
        <v>9.1384649276733398E-3</v>
      </c>
      <c r="K6" s="1">
        <v>5.2357316017150801E-3</v>
      </c>
      <c r="L6" s="1">
        <v>4.4701099395751901E-3</v>
      </c>
      <c r="M6" s="1">
        <v>1.28883719444274E-2</v>
      </c>
      <c r="N6" s="1">
        <v>1.64942741394042E-2</v>
      </c>
      <c r="O6" s="1">
        <v>1.21985375881195E-2</v>
      </c>
      <c r="P6" s="1">
        <v>7.2397291660308803E-3</v>
      </c>
      <c r="Q6" s="1">
        <v>-4.0321946144104004E-3</v>
      </c>
      <c r="R6" s="1">
        <v>5.9273838996887196E-4</v>
      </c>
      <c r="S6" s="1">
        <v>1.01000070571899E-3</v>
      </c>
      <c r="T6" s="1">
        <v>3.6890804767608599E-3</v>
      </c>
      <c r="U6" s="1">
        <v>1.0079294443130399E-2</v>
      </c>
      <c r="V6" s="1">
        <v>1.1260151863098099E-2</v>
      </c>
      <c r="W6" s="1">
        <v>8.3416998386383005E-3</v>
      </c>
      <c r="X6" s="1">
        <v>7.218599319458E-3</v>
      </c>
      <c r="Y6" s="1">
        <v>1.1831581592559801E-2</v>
      </c>
      <c r="Z6" s="1">
        <v>9.7674727439880302E-3</v>
      </c>
      <c r="AA6" s="1">
        <v>7.6395869255065901E-3</v>
      </c>
      <c r="AB6" s="1">
        <v>1.5380889177322299E-2</v>
      </c>
      <c r="AC6" s="1">
        <v>1.4404326677322299E-2</v>
      </c>
      <c r="AD6" s="1">
        <v>1.5073150396347001E-2</v>
      </c>
      <c r="AE6" s="1">
        <v>2.3168802261352501E-2</v>
      </c>
      <c r="AF6" s="1">
        <v>1.9915461540222099E-2</v>
      </c>
      <c r="AG6" s="1">
        <v>2.3095995187759399E-2</v>
      </c>
      <c r="AH6" s="1">
        <v>2.1924108266830399E-2</v>
      </c>
      <c r="AI6" s="1">
        <v>1.7004013061523399E-2</v>
      </c>
      <c r="AJ6" s="1">
        <v>1.0793387889862E-2</v>
      </c>
      <c r="AK6" s="1">
        <v>1.5953153371810899E-2</v>
      </c>
    </row>
    <row r="7" spans="1:37" x14ac:dyDescent="0.35">
      <c r="A7" s="1">
        <v>-1.167893409729E-3</v>
      </c>
      <c r="B7" s="1">
        <v>-1.44720077514648E-3</v>
      </c>
      <c r="C7" s="1">
        <v>-3.3279359340667699E-3</v>
      </c>
      <c r="D7" s="1">
        <v>9.2694163322448698E-4</v>
      </c>
      <c r="E7" s="1">
        <v>5.1328539848327602E-3</v>
      </c>
      <c r="F7" s="1">
        <v>9.5332562923431396E-3</v>
      </c>
      <c r="G7" s="1">
        <v>7.1986615657806396E-3</v>
      </c>
      <c r="H7" s="1">
        <v>7.6699256896972604E-3</v>
      </c>
      <c r="I7" s="1">
        <v>7.1128904819488499E-3</v>
      </c>
      <c r="J7" s="1">
        <v>5.6289434432983398E-3</v>
      </c>
      <c r="K7" s="1">
        <v>4.0148198604583697E-3</v>
      </c>
      <c r="L7" s="1">
        <v>5.6065618991851798E-3</v>
      </c>
      <c r="M7" s="1">
        <v>1.6337245702743499E-2</v>
      </c>
      <c r="N7" s="1">
        <v>1.6853749752044601E-2</v>
      </c>
      <c r="O7" s="1">
        <v>9.1132521629333496E-3</v>
      </c>
      <c r="P7" s="1">
        <v>3.7373304367065399E-3</v>
      </c>
      <c r="Q7" s="1">
        <v>3.5400390625E-3</v>
      </c>
      <c r="R7" s="1">
        <v>2.1840333938598598E-3</v>
      </c>
      <c r="S7" s="1">
        <v>2.7272999286651598E-3</v>
      </c>
      <c r="T7" s="1">
        <v>2.5709867477416901E-3</v>
      </c>
      <c r="U7" s="1">
        <v>1.14574134349823E-2</v>
      </c>
      <c r="V7" s="1">
        <v>1.1260151863098099E-2</v>
      </c>
      <c r="W7" s="1">
        <v>2.1686941385269099E-2</v>
      </c>
      <c r="X7" s="1">
        <v>8.3257853984832694E-3</v>
      </c>
      <c r="Y7" s="1">
        <v>1.0278195142745901E-2</v>
      </c>
      <c r="Z7" s="1">
        <v>5.0507485866546596E-3</v>
      </c>
      <c r="AA7" s="1">
        <v>6.0754418373107901E-3</v>
      </c>
      <c r="AB7" s="1">
        <v>2.7766823768615701E-3</v>
      </c>
      <c r="AC7" s="1">
        <v>1.13038718700408E-2</v>
      </c>
      <c r="AD7" s="1">
        <v>2.0476490259170501E-2</v>
      </c>
      <c r="AE7" s="1">
        <v>1.4212757349014201E-2</v>
      </c>
      <c r="AF7" s="1">
        <v>2.0822674036026001E-2</v>
      </c>
      <c r="AG7" s="1">
        <v>2.0864307880401601E-2</v>
      </c>
      <c r="AH7" s="1">
        <v>2.8087109327316201E-2</v>
      </c>
      <c r="AI7" s="1">
        <v>2.16918587684631E-2</v>
      </c>
      <c r="AJ7" s="1">
        <v>4.7108530998229902E-3</v>
      </c>
      <c r="AK7" s="1">
        <v>7.0503950119018503E-3</v>
      </c>
    </row>
    <row r="8" spans="1:37" x14ac:dyDescent="0.35">
      <c r="A8" s="1">
        <v>-3.4295022487640298E-3</v>
      </c>
      <c r="B8" s="1">
        <v>-8.6274743080139095E-4</v>
      </c>
      <c r="C8" s="1">
        <v>-2.6355683803558302E-3</v>
      </c>
      <c r="D8" s="1">
        <v>4.2952299118041897E-3</v>
      </c>
      <c r="E8" s="1">
        <v>9.7117125988006592E-3</v>
      </c>
      <c r="F8" s="1">
        <v>1.6026943922042802E-2</v>
      </c>
      <c r="G8" s="1">
        <v>9.3251764774322492E-3</v>
      </c>
      <c r="H8" s="1">
        <v>8.3355903625488195E-3</v>
      </c>
      <c r="I8" s="1">
        <v>7.9373121261596593E-3</v>
      </c>
      <c r="J8" s="1">
        <v>8.1542134284973092E-3</v>
      </c>
      <c r="K8" s="1">
        <v>4.9691200256347604E-3</v>
      </c>
      <c r="L8" s="1">
        <v>4.1453838348388602E-3</v>
      </c>
      <c r="M8" s="1">
        <v>1.75835788249969E-2</v>
      </c>
      <c r="N8" s="1">
        <v>1.75451338291168E-2</v>
      </c>
      <c r="O8" s="1">
        <v>3.8376152515411299E-3</v>
      </c>
      <c r="P8" s="1">
        <v>7.5361728668212804E-3</v>
      </c>
      <c r="Q8" s="1">
        <v>4.4010281562805098E-3</v>
      </c>
      <c r="R8" s="1">
        <v>-5.4794549942016602E-4</v>
      </c>
      <c r="S8" s="1">
        <v>-1.12950801849365E-4</v>
      </c>
      <c r="T8" s="1">
        <v>5.35786151885986E-4</v>
      </c>
      <c r="U8" s="1">
        <v>1.1225283145904499E-2</v>
      </c>
      <c r="V8" s="1">
        <v>1.1260151863098099E-2</v>
      </c>
      <c r="W8" s="1">
        <v>1.39974057674407E-2</v>
      </c>
      <c r="X8" s="1">
        <v>6.9020688533782898E-3</v>
      </c>
      <c r="Y8" s="1">
        <v>1.2543439865112299E-2</v>
      </c>
      <c r="Z8" s="1">
        <v>9.8005235195159895E-3</v>
      </c>
      <c r="AA8" s="1">
        <v>5.3889751434326102E-3</v>
      </c>
      <c r="AB8" s="1">
        <v>7.1044266223907401E-3</v>
      </c>
      <c r="AC8" s="1">
        <v>1.5918642282485899E-2</v>
      </c>
      <c r="AD8" s="1">
        <v>1.5637487173080399E-2</v>
      </c>
      <c r="AE8" s="1">
        <v>1.7437100410461401E-2</v>
      </c>
      <c r="AF8" s="1">
        <v>1.77444517612457E-2</v>
      </c>
      <c r="AG8" s="1">
        <v>1.72973871231079E-2</v>
      </c>
      <c r="AH8" s="1">
        <v>1.6619473695755001E-2</v>
      </c>
      <c r="AI8" s="1">
        <v>2.7083158493041899E-2</v>
      </c>
      <c r="AJ8" s="1">
        <v>2.6588231325149501E-2</v>
      </c>
      <c r="AK8" s="1">
        <v>1.2206226587295499E-2</v>
      </c>
    </row>
    <row r="9" spans="1:37" x14ac:dyDescent="0.35">
      <c r="A9" s="1">
        <v>-1.34375691413879E-3</v>
      </c>
      <c r="B9" s="1">
        <v>-1.8655061721801699E-3</v>
      </c>
      <c r="C9" s="1">
        <v>-5.0682127475738499E-3</v>
      </c>
      <c r="D9" s="1">
        <v>2.73320078849792E-3</v>
      </c>
      <c r="E9" s="1">
        <v>3.31264734268188E-3</v>
      </c>
      <c r="F9" s="1">
        <v>1.24308466911315E-2</v>
      </c>
      <c r="G9" s="1">
        <v>7.0253610610961897E-3</v>
      </c>
      <c r="H9" s="1">
        <v>7.6684057712554897E-3</v>
      </c>
      <c r="I9" s="1">
        <v>7.4425339698791504E-3</v>
      </c>
      <c r="J9" s="1">
        <v>8.0396533012390102E-3</v>
      </c>
      <c r="K9" s="1">
        <v>5.9319436550140303E-3</v>
      </c>
      <c r="L9" s="1">
        <v>5.0669610500335598E-3</v>
      </c>
      <c r="M9" s="1">
        <v>6.8962872028350804E-3</v>
      </c>
      <c r="N9" s="1">
        <v>1.6327649354934599E-2</v>
      </c>
      <c r="O9" s="1">
        <v>8.7714195251464792E-3</v>
      </c>
      <c r="P9" s="1">
        <v>9.0737938880920393E-3</v>
      </c>
      <c r="Q9" s="1">
        <v>-2.4597644805908199E-3</v>
      </c>
      <c r="R9" s="1">
        <v>2.84963846206665E-3</v>
      </c>
      <c r="S9" s="1">
        <v>3.7280619144439602E-3</v>
      </c>
      <c r="T9" s="1">
        <v>9.8720192909240701E-4</v>
      </c>
      <c r="U9" s="1">
        <v>1.0920137166976899E-2</v>
      </c>
      <c r="V9" s="1">
        <v>1.1260151863098099E-2</v>
      </c>
      <c r="W9" s="1">
        <v>1.2345403432846E-2</v>
      </c>
      <c r="X9" s="1">
        <v>1.0913342237472499E-2</v>
      </c>
      <c r="Y9" s="1">
        <v>1.22041702270507E-2</v>
      </c>
      <c r="Z9" s="1">
        <v>1.15586817264556E-2</v>
      </c>
      <c r="AA9" s="1">
        <v>1.5305608510971E-2</v>
      </c>
      <c r="AB9" s="1">
        <v>2.5610625743865902E-3</v>
      </c>
      <c r="AC9" s="1">
        <v>1.38778686523437E-2</v>
      </c>
      <c r="AD9" s="1">
        <v>1.96587145328521E-2</v>
      </c>
      <c r="AE9" s="1">
        <v>1.7963498830795201E-2</v>
      </c>
      <c r="AF9" s="1">
        <v>1.75438821315765E-2</v>
      </c>
      <c r="AG9" s="1">
        <v>2.4261087179183901E-2</v>
      </c>
      <c r="AH9" s="1">
        <v>1.71075165271759E-2</v>
      </c>
      <c r="AI9" s="1">
        <v>1.7920553684234598E-2</v>
      </c>
      <c r="AJ9" s="1">
        <v>2.1646589040756201E-2</v>
      </c>
      <c r="AK9" s="1">
        <v>8.8717043399810704E-3</v>
      </c>
    </row>
    <row r="10" spans="1:37" x14ac:dyDescent="0.35">
      <c r="A10" s="1">
        <v>-3.9544701576232899E-4</v>
      </c>
      <c r="B10" s="1">
        <v>-3.4314095973968502E-3</v>
      </c>
      <c r="C10" s="1">
        <v>1.3686120510101301E-3</v>
      </c>
      <c r="D10" s="1">
        <v>1.7596483230590801E-3</v>
      </c>
      <c r="E10" s="1">
        <v>7.5834393501281704E-3</v>
      </c>
      <c r="F10" s="1">
        <v>1.51654183864593E-2</v>
      </c>
      <c r="G10" s="1">
        <v>7.5587332248687701E-3</v>
      </c>
      <c r="H10" s="1">
        <v>8.2744359970092704E-3</v>
      </c>
      <c r="I10" s="1">
        <v>4.4521391391754098E-3</v>
      </c>
      <c r="J10" s="1">
        <v>5.0368905067443804E-3</v>
      </c>
      <c r="K10" s="1">
        <v>6.1679482460021903E-3</v>
      </c>
      <c r="L10" s="1">
        <v>3.5321712493896402E-3</v>
      </c>
      <c r="M10" s="1">
        <v>1.8103539943694999E-2</v>
      </c>
      <c r="N10" s="1">
        <v>1.7086297273635798E-2</v>
      </c>
      <c r="O10" s="1">
        <v>6.5364539623260498E-3</v>
      </c>
      <c r="P10" s="1">
        <v>4.7210752964019697E-3</v>
      </c>
      <c r="Q10" s="1">
        <v>7.6040923595428397E-3</v>
      </c>
      <c r="R10" s="1">
        <v>1.3059973716735801E-3</v>
      </c>
      <c r="S10" s="1">
        <v>1.9588172435760498E-3</v>
      </c>
      <c r="T10" s="1">
        <v>2.6447772979736302E-3</v>
      </c>
      <c r="U10" s="1">
        <v>1.26441121101379E-2</v>
      </c>
      <c r="V10" s="1">
        <v>1.1260151863098099E-2</v>
      </c>
      <c r="W10" s="1">
        <v>1.1819094419479301E-2</v>
      </c>
      <c r="X10" s="1">
        <v>1.00781321525573E-2</v>
      </c>
      <c r="Y10" s="1">
        <v>8.7012052536010707E-3</v>
      </c>
      <c r="Z10" s="1">
        <v>1.14711225032806E-2</v>
      </c>
      <c r="AA10" s="1">
        <v>1.04617774486541E-2</v>
      </c>
      <c r="AB10" s="1">
        <v>7.7582895755767796E-3</v>
      </c>
      <c r="AC10" s="1">
        <v>1.7000526189804001E-2</v>
      </c>
      <c r="AD10" s="1">
        <v>1.1627018451690599E-2</v>
      </c>
      <c r="AE10" s="1">
        <v>2.2907823324203401E-2</v>
      </c>
      <c r="AF10" s="1">
        <v>1.7939329147338801E-2</v>
      </c>
      <c r="AG10" s="1">
        <v>1.9386231899261398E-2</v>
      </c>
      <c r="AH10" s="1">
        <v>2.1640330553054799E-2</v>
      </c>
      <c r="AI10" s="1">
        <v>8.1664323806762695E-3</v>
      </c>
      <c r="AJ10" s="1">
        <v>5.8953464031219396E-3</v>
      </c>
      <c r="AK10" s="1">
        <v>9.9635124206542899E-3</v>
      </c>
    </row>
    <row r="11" spans="1:37" x14ac:dyDescent="0.35">
      <c r="A11" s="1">
        <v>-2.7656555175781199E-5</v>
      </c>
      <c r="B11" s="1">
        <v>-9.0628862380981402E-4</v>
      </c>
      <c r="C11" s="1">
        <v>1.12920999526977E-3</v>
      </c>
      <c r="D11" s="1">
        <v>1.91670656204223E-3</v>
      </c>
      <c r="E11" s="1">
        <v>6.9945156574249198E-3</v>
      </c>
      <c r="F11" s="1">
        <v>7.3238611221313398E-3</v>
      </c>
      <c r="G11" s="1">
        <v>5.15797734260559E-3</v>
      </c>
      <c r="H11" s="1">
        <v>8.7031424045562692E-3</v>
      </c>
      <c r="I11" s="1">
        <v>8.1657469272613508E-3</v>
      </c>
      <c r="J11" s="1">
        <v>5.7935714721679601E-3</v>
      </c>
      <c r="K11" s="1">
        <v>4.2829513549804601E-3</v>
      </c>
      <c r="L11" s="1">
        <v>5.5268406867980896E-3</v>
      </c>
      <c r="M11" s="1">
        <v>1.7600476741790699E-2</v>
      </c>
      <c r="N11" s="1">
        <v>1.78545117378234E-2</v>
      </c>
      <c r="O11" s="1">
        <v>3.5361349582672102E-3</v>
      </c>
      <c r="P11" s="1">
        <v>6.4157545566558803E-3</v>
      </c>
      <c r="Q11" s="1">
        <v>9.3498826026916504E-4</v>
      </c>
      <c r="R11" s="1">
        <v>-1.4972686767578101E-4</v>
      </c>
      <c r="S11" s="1">
        <v>4.0631592273712097E-3</v>
      </c>
      <c r="T11" s="1">
        <v>7.1543753147125201E-3</v>
      </c>
      <c r="U11" s="1">
        <v>1.1260151863098099E-2</v>
      </c>
      <c r="V11" s="1">
        <v>1.1260151863098099E-2</v>
      </c>
      <c r="W11" s="1">
        <v>1.2080848217010399E-2</v>
      </c>
      <c r="X11" s="1">
        <v>1.0407924652099601E-2</v>
      </c>
      <c r="Y11" s="1">
        <v>1.02035403251647E-2</v>
      </c>
      <c r="Z11" s="1">
        <v>7.15944170951843E-3</v>
      </c>
      <c r="AA11" s="1">
        <v>8.6157917976379395E-3</v>
      </c>
      <c r="AB11" s="1">
        <v>9.0422630310058594E-3</v>
      </c>
      <c r="AC11" s="1">
        <v>1.54562294483184E-2</v>
      </c>
      <c r="AD11" s="1">
        <v>1.4894366264343199E-2</v>
      </c>
      <c r="AE11" s="1">
        <v>1.7591267824172901E-2</v>
      </c>
      <c r="AF11" s="1">
        <v>1.78536176681518E-2</v>
      </c>
      <c r="AG11" s="1">
        <v>2.2472769021987901E-2</v>
      </c>
      <c r="AH11" s="1">
        <v>1.0083734989166201E-2</v>
      </c>
      <c r="AI11" s="1">
        <v>2.7266442775726301E-3</v>
      </c>
      <c r="AJ11" s="1">
        <v>8.6091458797454799E-3</v>
      </c>
      <c r="AK11" s="1">
        <v>1.2719303369521999E-2</v>
      </c>
    </row>
    <row r="13" spans="1:37" x14ac:dyDescent="0.35">
      <c r="A13" s="2" t="s">
        <v>37</v>
      </c>
    </row>
    <row r="14" spans="1:37" x14ac:dyDescent="0.35">
      <c r="A14" s="1">
        <f>AVERAGE(FI_Combined_familia[F_TOTAL])</f>
        <v>-1.356932520866391E-3</v>
      </c>
      <c r="B14" s="1">
        <f>AVERAGE(FI_Combined_familia[F_CITMLB])</f>
        <v>-1.1394172906875597E-3</v>
      </c>
      <c r="C14" s="1">
        <f>AVERAGE(FI_Combined_familia[F_OTHER])</f>
        <v>-1.6722649335861185E-3</v>
      </c>
      <c r="D14" s="1">
        <f>AVERAGE(FI_Combined_familia[F_JUICE])</f>
        <v>1.8887430429458576E-3</v>
      </c>
      <c r="E14" s="1">
        <f>AVERAGE(FI_Combined_familia[V_TOTAL])</f>
        <v>5.9390515089034982E-3</v>
      </c>
      <c r="F14" s="1">
        <f>AVERAGE(FI_Combined_familia[V_DRKGR])</f>
        <v>1.1095374822616551E-2</v>
      </c>
      <c r="G14" s="1">
        <f>AVERAGE(FI_Combined_familia[V_REDOR_TOTAL])</f>
        <v>6.8033725023269624E-3</v>
      </c>
      <c r="H14" s="1">
        <f>AVERAGE(FI_Combined_familia[V_REDOR_TOMATO])</f>
        <v>9.1929703950881826E-3</v>
      </c>
      <c r="I14" s="1">
        <f>AVERAGE(FI_Combined_familia[V_REDOR_OTHER])</f>
        <v>7.4107646942138646E-3</v>
      </c>
      <c r="J14" s="1">
        <f>AVERAGE(FI_Combined_familia[V_STARCHY_TOTAL])</f>
        <v>7.9186141490936255E-3</v>
      </c>
      <c r="K14" s="1">
        <f>AVERAGE(FI_Combined_familia[V_STARCHY_POTATO])</f>
        <v>5.3331762552261287E-3</v>
      </c>
      <c r="L14" s="1">
        <f>AVERAGE(FI_Combined_familia[V_STARCHY_OTHER])</f>
        <v>4.8647522926330506E-3</v>
      </c>
      <c r="M14" s="1">
        <f>AVERAGE(FI_Combined_familia[V_OTHER])</f>
        <v>1.5169939398765505E-2</v>
      </c>
      <c r="N14" s="1">
        <f>AVERAGE(FI_Combined_familia[V_LEGUMES])</f>
        <v>1.7216670513153013E-2</v>
      </c>
      <c r="O14" s="1">
        <f>AVERAGE(FI_Combined_familia[G_TOTAL])</f>
        <v>8.1623524427413795E-3</v>
      </c>
      <c r="P14" s="1">
        <f>AVERAGE(FI_Combined_familia[G_WHOLE])</f>
        <v>6.3207149505615191E-3</v>
      </c>
      <c r="Q14" s="1">
        <f>AVERAGE(FI_Combined_familia[G_REFINED])</f>
        <v>8.9240074157714616E-4</v>
      </c>
      <c r="R14" s="1">
        <f>AVERAGE(FI_Combined_familia[PF_TOTAL])</f>
        <v>9.4691514968871953E-4</v>
      </c>
      <c r="S14" s="1">
        <f>AVERAGE(FI_Combined_familia[PF_MPS_TOTAL])</f>
        <v>1.2859791517257665E-3</v>
      </c>
      <c r="T14" s="1">
        <f>AVERAGE(FI_Combined_familia[PF_MEAT])</f>
        <v>4.0335744619369469E-3</v>
      </c>
      <c r="U14" s="1">
        <f>AVERAGE(FI_Combined_familia[PF_CUREDMEAT])</f>
        <v>1.1485633254051174E-2</v>
      </c>
      <c r="V14" s="1">
        <f>AVERAGE(FI_Combined_familia[PF_ORGAN])</f>
        <v>1.1260151863098101E-2</v>
      </c>
      <c r="W14" s="1">
        <f>AVERAGE(FI_Combined_familia[PF_POULT])</f>
        <v>1.4221340417861878E-2</v>
      </c>
      <c r="X14" s="1">
        <f>AVERAGE(FI_Combined_familia[PF_SEAFD_HI])</f>
        <v>9.2887639999389478E-3</v>
      </c>
      <c r="Y14" s="1">
        <f>AVERAGE(FI_Combined_familia[PF_SEAFD_LOW])</f>
        <v>1.1382240056991538E-2</v>
      </c>
      <c r="Z14" s="1">
        <f>AVERAGE(FI_Combined_familia[PF_EGGS])</f>
        <v>9.4156950712203785E-3</v>
      </c>
      <c r="AA14" s="1">
        <f>AVERAGE(FI_Combined_familia[PF_SOY])</f>
        <v>8.2805216312408295E-3</v>
      </c>
      <c r="AB14" s="1">
        <f>AVERAGE(FI_Combined_familia[PF_NUTSDS])</f>
        <v>6.9955021142959484E-3</v>
      </c>
      <c r="AC14" s="1">
        <f>AVERAGE(FI_Combined_familia[PF_LEGUMES])</f>
        <v>1.520200669765466E-2</v>
      </c>
      <c r="AD14" s="1">
        <f>AVERAGE(FI_Combined_familia[D_TOTAL])</f>
        <v>1.6962063312530459E-2</v>
      </c>
      <c r="AE14" s="1">
        <f>AVERAGE(FI_Combined_familia[D_MILK])</f>
        <v>1.943131983280175E-2</v>
      </c>
      <c r="AF14" s="1">
        <f>AVERAGE(FI_Combined_familia[D_YOGURT])</f>
        <v>1.8412718176841696E-2</v>
      </c>
      <c r="AG14" s="1">
        <f>AVERAGE(FI_Combined_familia[D_CHEESE])</f>
        <v>2.0997753739356952E-2</v>
      </c>
      <c r="AH14" s="1">
        <f>AVERAGE(FI_Combined_familia[OILS])</f>
        <v>2.077461481094357E-2</v>
      </c>
      <c r="AI14" s="1">
        <f>AVERAGE(FI_Combined_familia[SOLID_FATS])</f>
        <v>1.4289420843124356E-2</v>
      </c>
      <c r="AJ14" s="1">
        <f>AVERAGE(FI_Combined_familia[ADD_SUGARS])</f>
        <v>1.2596777081489537E-2</v>
      </c>
      <c r="AK14" s="1">
        <f>AVERAGE(FI_Combined_familia[A_DRINKS])</f>
        <v>1.1454004049301116E-2</v>
      </c>
    </row>
    <row r="15" spans="1:37" x14ac:dyDescent="0.35">
      <c r="A15" s="2" t="s">
        <v>38</v>
      </c>
    </row>
    <row r="16" spans="1:37" x14ac:dyDescent="0.35">
      <c r="A16" s="1">
        <f>STDEV(FI_Combined_familia[F_TOTAL])</f>
        <v>2.1121046746692962E-3</v>
      </c>
      <c r="B16" s="1">
        <f>STDEV(FI_Combined_familia[F_CITMLB])</f>
        <v>1.4867472833855345E-3</v>
      </c>
      <c r="C16" s="1">
        <f>STDEV(FI_Combined_familia[F_OTHER])</f>
        <v>2.3664306488991064E-3</v>
      </c>
      <c r="D16" s="1">
        <f>STDEV(FI_Combined_familia[F_JUICE])</f>
        <v>1.0657488243626175E-3</v>
      </c>
      <c r="E16" s="1">
        <f>STDEV(FI_Combined_familia[V_TOTAL])</f>
        <v>2.2373709245809051E-3</v>
      </c>
      <c r="F16" s="1">
        <f>STDEV(FI_Combined_familia[V_DRKGR])</f>
        <v>3.3026536702265709E-3</v>
      </c>
      <c r="G16" s="1">
        <f>STDEV(FI_Combined_familia[V_REDOR_TOTAL])</f>
        <v>1.1656741240153093E-3</v>
      </c>
      <c r="H16" s="1">
        <f>STDEV(FI_Combined_familia[V_REDOR_TOMATO])</f>
        <v>2.3741657174451117E-3</v>
      </c>
      <c r="I16" s="1">
        <f>STDEV(FI_Combined_familia[V_REDOR_OTHER])</f>
        <v>1.1468011266888443E-3</v>
      </c>
      <c r="J16" s="1">
        <f>STDEV(FI_Combined_familia[V_STARCHY_TOTAL])</f>
        <v>1.800978164585256E-3</v>
      </c>
      <c r="K16" s="1">
        <f>STDEV(FI_Combined_familia[V_STARCHY_POTATO])</f>
        <v>8.6358071919263369E-4</v>
      </c>
      <c r="L16" s="1">
        <f>STDEV(FI_Combined_familia[V_STARCHY_OTHER])</f>
        <v>8.597952342074926E-4</v>
      </c>
      <c r="M16" s="1">
        <f>STDEV(FI_Combined_familia[V_OTHER])</f>
        <v>4.0795826991914235E-3</v>
      </c>
      <c r="N16" s="1">
        <f>STDEV(FI_Combined_familia[V_LEGUMES])</f>
        <v>6.602689741070616E-4</v>
      </c>
      <c r="O16" s="1">
        <f>STDEV(FI_Combined_familia[G_TOTAL])</f>
        <v>3.2569386272559083E-3</v>
      </c>
      <c r="P16" s="1">
        <f>STDEV(FI_Combined_familia[G_WHOLE])</f>
        <v>1.5521333446183575E-3</v>
      </c>
      <c r="Q16" s="1">
        <f>STDEV(FI_Combined_familia[G_REFINED])</f>
        <v>4.2992761688444171E-3</v>
      </c>
      <c r="R16" s="1">
        <f>STDEV(FI_Combined_familia[PF_TOTAL])</f>
        <v>2.3331614605522884E-3</v>
      </c>
      <c r="S16" s="1">
        <f>STDEV(FI_Combined_familia[PF_MPS_TOTAL])</f>
        <v>2.4390462504382047E-3</v>
      </c>
      <c r="T16" s="1">
        <f>STDEV(FI_Combined_familia[PF_MEAT])</f>
        <v>2.3179226945046908E-3</v>
      </c>
      <c r="U16" s="1">
        <f>STDEV(FI_Combined_familia[PF_CUREDMEAT])</f>
        <v>1.9828113202664654E-3</v>
      </c>
      <c r="V16" s="1">
        <f>STDEV(FI_Combined_familia[PF_ORGAN])</f>
        <v>1.8285590982170319E-18</v>
      </c>
      <c r="W16" s="1">
        <f>STDEV(FI_Combined_familia[PF_POULT])</f>
        <v>4.2425843945988377E-3</v>
      </c>
      <c r="X16" s="1">
        <f>STDEV(FI_Combined_familia[PF_SEAFD_HI])</f>
        <v>1.8276896254437046E-3</v>
      </c>
      <c r="Y16" s="1">
        <f>STDEV(FI_Combined_familia[PF_SEAFD_LOW])</f>
        <v>2.0611415858469207E-3</v>
      </c>
      <c r="Z16" s="1">
        <f>STDEV(FI_Combined_familia[PF_EGGS])</f>
        <v>2.0025197033023919E-3</v>
      </c>
      <c r="AA16" s="1">
        <f>STDEV(FI_Combined_familia[PF_SOY])</f>
        <v>3.0411201418890366E-3</v>
      </c>
      <c r="AB16" s="1">
        <f>STDEV(FI_Combined_familia[PF_NUTSDS])</f>
        <v>3.9469098491299827E-3</v>
      </c>
      <c r="AC16" s="1">
        <f>STDEV(FI_Combined_familia[PF_LEGUMES])</f>
        <v>2.1443991472733822E-3</v>
      </c>
      <c r="AD16" s="1">
        <f>STDEV(FI_Combined_familia[D_TOTAL])</f>
        <v>3.5358181988984325E-3</v>
      </c>
      <c r="AE16" s="1">
        <f>STDEV(FI_Combined_familia[D_MILK])</f>
        <v>3.7284629860145318E-3</v>
      </c>
      <c r="AF16" s="1">
        <f>STDEV(FI_Combined_familia[D_YOGURT])</f>
        <v>1.5748675160656288E-3</v>
      </c>
      <c r="AG16" s="1">
        <f>STDEV(FI_Combined_familia[D_CHEESE])</f>
        <v>2.6908467542259046E-3</v>
      </c>
      <c r="AH16" s="1">
        <f>STDEV(FI_Combined_familia[OILS])</f>
        <v>8.8564747209636859E-3</v>
      </c>
      <c r="AI16" s="1">
        <f>STDEV(FI_Combined_familia[SOLID_FATS])</f>
        <v>9.4782151166638885E-3</v>
      </c>
      <c r="AJ16" s="1">
        <f>STDEV(FI_Combined_familia[ADD_SUGARS])</f>
        <v>7.4594467523907112E-3</v>
      </c>
      <c r="AK16" s="1">
        <f>STDEV(FI_Combined_familia[A_DRINKS])</f>
        <v>2.8589897333834973E-3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645E-F43A-4824-B7E7-9BFC315C3E81}">
  <dimension ref="A1:AK16"/>
  <sheetViews>
    <sheetView workbookViewId="0">
      <selection activeCell="A16" sqref="A16:AK16"/>
    </sheetView>
  </sheetViews>
  <sheetFormatPr baseColWidth="10" defaultRowHeight="14.5" x14ac:dyDescent="0.35"/>
  <cols>
    <col min="1" max="1" width="22.1796875" style="1" bestFit="1" customWidth="1"/>
    <col min="2" max="2" width="23.1796875" style="1" bestFit="1" customWidth="1"/>
    <col min="3" max="3" width="22.54296875" style="1" bestFit="1" customWidth="1"/>
    <col min="4" max="7" width="23.1796875" style="1" bestFit="1" customWidth="1"/>
    <col min="8" max="11" width="22.54296875" style="1" bestFit="1" customWidth="1"/>
    <col min="12" max="12" width="22.81640625" style="1" bestFit="1" customWidth="1"/>
    <col min="13" max="14" width="23.1796875" style="1" bestFit="1" customWidth="1"/>
    <col min="15" max="15" width="22.1796875" style="1" bestFit="1" customWidth="1"/>
    <col min="16" max="20" width="23.1796875" style="1" bestFit="1" customWidth="1"/>
    <col min="21" max="21" width="22.54296875" style="1" bestFit="1" customWidth="1"/>
    <col min="22" max="22" width="21.54296875" style="1" bestFit="1" customWidth="1"/>
    <col min="23" max="23" width="22.1796875" style="1" bestFit="1" customWidth="1"/>
    <col min="24" max="27" width="21.54296875" style="1" bestFit="1" customWidth="1"/>
    <col min="28" max="28" width="20.453125" style="1" bestFit="1" customWidth="1"/>
    <col min="29" max="30" width="21.54296875" style="1" bestFit="1" customWidth="1"/>
    <col min="31" max="32" width="20.453125" style="1" bestFit="1" customWidth="1"/>
    <col min="33" max="35" width="21.54296875" style="1" bestFit="1" customWidth="1"/>
    <col min="36" max="37" width="23.179687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1.2437626719474699E-3</v>
      </c>
      <c r="B2" s="1">
        <v>4.0584057569503697E-4</v>
      </c>
      <c r="C2" s="1">
        <v>5.1835179328918403E-4</v>
      </c>
      <c r="D2" s="1">
        <v>-4.05021011829376E-4</v>
      </c>
      <c r="E2" s="1">
        <v>2.2092983126640298E-3</v>
      </c>
      <c r="F2" s="1">
        <v>2.7745962142944299E-5</v>
      </c>
      <c r="G2" s="1">
        <v>3.6327540874481201E-4</v>
      </c>
      <c r="H2" s="1">
        <v>5.0816684961318905E-4</v>
      </c>
      <c r="I2" s="1">
        <v>6.7327171564102097E-4</v>
      </c>
      <c r="J2" s="1">
        <v>3.6717206239700301E-4</v>
      </c>
      <c r="K2" s="1">
        <v>2.1389871835708599E-4</v>
      </c>
      <c r="L2" s="1">
        <v>-8.8758766651153499E-4</v>
      </c>
      <c r="M2" s="1">
        <v>-2.6791542768478301E-4</v>
      </c>
      <c r="N2" s="1">
        <v>-4.65191900730133E-4</v>
      </c>
      <c r="O2" s="1">
        <v>-2.2473782300949001E-3</v>
      </c>
      <c r="P2" s="1">
        <v>1.94887071847915E-3</v>
      </c>
      <c r="Q2" s="1">
        <v>4.9296915531158404E-3</v>
      </c>
      <c r="R2" s="1">
        <v>-8.6500495672225898E-4</v>
      </c>
      <c r="S2" s="1">
        <v>1.06077641248703E-3</v>
      </c>
      <c r="T2" s="1">
        <v>1.10238790512084E-4</v>
      </c>
      <c r="U2" s="1">
        <v>5.1724165678024205E-4</v>
      </c>
      <c r="V2" s="1">
        <v>1.09467655420303E-3</v>
      </c>
      <c r="W2" s="1">
        <v>1.8232092261314301E-3</v>
      </c>
      <c r="X2" s="1">
        <v>4.5529007911682102E-4</v>
      </c>
      <c r="Y2" s="1">
        <v>2.17754393815994E-3</v>
      </c>
      <c r="Z2" s="1">
        <v>1.65740400552749E-3</v>
      </c>
      <c r="AA2" s="1">
        <v>3.6202594637870702E-3</v>
      </c>
      <c r="AB2" s="1">
        <v>7.6147913932800198E-3</v>
      </c>
      <c r="AC2" s="1">
        <v>5.40408492088317E-3</v>
      </c>
      <c r="AD2" s="1">
        <v>4.4842660427093497E-3</v>
      </c>
      <c r="AE2" s="1">
        <v>6.34160637855529E-3</v>
      </c>
      <c r="AF2" s="1">
        <v>8.5234940052032401E-3</v>
      </c>
      <c r="AG2" s="1">
        <v>2.1782293915748501E-3</v>
      </c>
      <c r="AH2" s="1">
        <v>5.7505294680595398E-3</v>
      </c>
      <c r="AI2" s="1">
        <v>3.6905780434608399E-3</v>
      </c>
      <c r="AJ2" s="1">
        <v>2.62610614299774E-3</v>
      </c>
      <c r="AK2" s="1">
        <v>4.5161694288253697E-4</v>
      </c>
    </row>
    <row r="3" spans="1:37" x14ac:dyDescent="0.35">
      <c r="A3" s="1">
        <v>9.1726332902908304E-4</v>
      </c>
      <c r="B3" s="1">
        <v>-2.3134052753448402E-5</v>
      </c>
      <c r="C3" s="1">
        <v>8.6687505245208697E-4</v>
      </c>
      <c r="D3" s="1">
        <v>-2.0336359739303499E-4</v>
      </c>
      <c r="E3" s="1">
        <v>5.5231153964996305E-4</v>
      </c>
      <c r="F3" s="1">
        <v>-1.42045319080352E-4</v>
      </c>
      <c r="G3" s="1">
        <v>-1.3026595115661599E-4</v>
      </c>
      <c r="H3" s="1">
        <v>-1.3042241334915099E-4</v>
      </c>
      <c r="I3" s="1">
        <v>4.5508146286010699E-4</v>
      </c>
      <c r="J3" s="1">
        <v>-6.1362981796264594E-5</v>
      </c>
      <c r="K3" s="1">
        <v>3.5343319177627498E-4</v>
      </c>
      <c r="L3" s="1">
        <v>-1.2064576148986799E-3</v>
      </c>
      <c r="M3" s="1">
        <v>-2.2377818822860699E-4</v>
      </c>
      <c r="N3" s="1">
        <v>-1.1481568217277501E-3</v>
      </c>
      <c r="O3" s="1">
        <v>-1.70349329710006E-3</v>
      </c>
      <c r="P3" s="1">
        <v>-1.20286643505096E-3</v>
      </c>
      <c r="Q3" s="1">
        <v>4.2347162961959804E-3</v>
      </c>
      <c r="R3" s="1">
        <v>-1.6352310776710499E-3</v>
      </c>
      <c r="S3" s="1">
        <v>8.2291290163993801E-3</v>
      </c>
      <c r="T3" s="1">
        <v>3.0903592705726602E-3</v>
      </c>
      <c r="U3" s="1">
        <v>3.6851316690444897E-4</v>
      </c>
      <c r="V3" s="1">
        <v>1.09467655420303E-3</v>
      </c>
      <c r="W3" s="1">
        <v>-1.05900317430496E-3</v>
      </c>
      <c r="X3" s="1">
        <v>1.24434381723403E-3</v>
      </c>
      <c r="Y3" s="1">
        <v>1.7903074622154199E-3</v>
      </c>
      <c r="Z3" s="1">
        <v>1.6119107604026699E-3</v>
      </c>
      <c r="AA3" s="1">
        <v>2.56675481796264E-3</v>
      </c>
      <c r="AB3" s="1">
        <v>8.5449069738387992E-3</v>
      </c>
      <c r="AC3" s="1">
        <v>5.4958611726760804E-3</v>
      </c>
      <c r="AD3" s="1">
        <v>5.3136497735977103E-3</v>
      </c>
      <c r="AE3" s="1">
        <v>5.3439214825630101E-3</v>
      </c>
      <c r="AF3" s="1">
        <v>8.3407834172248806E-3</v>
      </c>
      <c r="AG3" s="1">
        <v>2.8295740485191302E-3</v>
      </c>
      <c r="AH3" s="1">
        <v>5.5711939930915798E-3</v>
      </c>
      <c r="AI3" s="1">
        <v>4.5740306377410802E-3</v>
      </c>
      <c r="AJ3" s="1">
        <v>4.0603652596473598E-3</v>
      </c>
      <c r="AK3" s="1">
        <v>1.76096707582473E-3</v>
      </c>
    </row>
    <row r="4" spans="1:37" x14ac:dyDescent="0.35">
      <c r="A4" s="1">
        <v>1.3400912284851E-3</v>
      </c>
      <c r="B4" s="1">
        <v>-6.7802518606185902E-4</v>
      </c>
      <c r="C4" s="1">
        <v>1.27722322940826E-3</v>
      </c>
      <c r="D4" s="1">
        <v>2.1718442440032901E-5</v>
      </c>
      <c r="E4" s="1">
        <v>-9.0491771697998004E-4</v>
      </c>
      <c r="F4" s="1">
        <v>-3.6954879760742099E-6</v>
      </c>
      <c r="G4" s="1">
        <v>4.5970082283019999E-5</v>
      </c>
      <c r="H4" s="1">
        <v>1.60509347915649E-3</v>
      </c>
      <c r="I4" s="1">
        <v>3.1064450740814198E-4</v>
      </c>
      <c r="J4" s="1">
        <v>2.1841377019882199E-4</v>
      </c>
      <c r="K4" s="1">
        <v>8.1200897693634001E-4</v>
      </c>
      <c r="L4" s="1">
        <v>-1.0550096631050099E-3</v>
      </c>
      <c r="M4" s="1">
        <v>2.9470995068550101E-3</v>
      </c>
      <c r="N4" s="1">
        <v>-7.0928037166595405E-4</v>
      </c>
      <c r="O4" s="1">
        <v>-2.9764175415039002E-3</v>
      </c>
      <c r="P4" s="1">
        <v>1.06612592935562E-3</v>
      </c>
      <c r="Q4" s="1">
        <v>-1.2233555316924999E-3</v>
      </c>
      <c r="R4" s="1">
        <v>-5.9321522712707499E-5</v>
      </c>
      <c r="S4" s="1">
        <v>-2.2992491722106901E-4</v>
      </c>
      <c r="T4" s="1">
        <v>-1.7910897731780999E-3</v>
      </c>
      <c r="U4" s="1">
        <v>-3.7968158721923801E-5</v>
      </c>
      <c r="V4" s="1">
        <v>1.09467655420303E-3</v>
      </c>
      <c r="W4" s="1">
        <v>1.67565792798995E-3</v>
      </c>
      <c r="X4" s="1">
        <v>1.03086978197097E-3</v>
      </c>
      <c r="Y4" s="1">
        <v>2.1008625626564E-3</v>
      </c>
      <c r="Z4" s="1">
        <v>1.9075274467468201E-3</v>
      </c>
      <c r="AA4" s="1">
        <v>2.7239769697189301E-3</v>
      </c>
      <c r="AB4" s="1">
        <v>5.57798147201538E-3</v>
      </c>
      <c r="AC4" s="1">
        <v>6.1180219054222098E-3</v>
      </c>
      <c r="AD4" s="1">
        <v>7.1735680103302002E-4</v>
      </c>
      <c r="AE4" s="1">
        <v>1.1338919401168801E-2</v>
      </c>
      <c r="AF4" s="1">
        <v>6.7483782768249503E-3</v>
      </c>
      <c r="AG4" s="1">
        <v>7.7131614089012103E-3</v>
      </c>
      <c r="AH4" s="1">
        <v>1.29865109920501E-2</v>
      </c>
      <c r="AI4" s="1">
        <v>5.72610646486282E-3</v>
      </c>
      <c r="AJ4" s="1">
        <v>6.6433325409889204E-3</v>
      </c>
      <c r="AK4" s="1">
        <v>3.1611323356628402E-4</v>
      </c>
    </row>
    <row r="5" spans="1:37" x14ac:dyDescent="0.35">
      <c r="A5" s="1">
        <v>1.9073486328125E-6</v>
      </c>
      <c r="B5" s="1">
        <v>-2.5151669979095399E-4</v>
      </c>
      <c r="C5" s="1">
        <v>1.4460831880569399E-3</v>
      </c>
      <c r="D5" s="1">
        <v>-2.2812932729720999E-4</v>
      </c>
      <c r="E5" s="1">
        <v>1.38548761606216E-3</v>
      </c>
      <c r="F5" s="1">
        <v>5.8275461196899403E-4</v>
      </c>
      <c r="G5" s="1">
        <v>5.0272047519683805E-4</v>
      </c>
      <c r="H5" s="1">
        <v>8.4069371223449696E-4</v>
      </c>
      <c r="I5" s="1">
        <v>2.1679699420928901E-4</v>
      </c>
      <c r="J5" s="1">
        <v>2.15314328670501E-4</v>
      </c>
      <c r="K5" s="1">
        <v>6.1827152967453003E-4</v>
      </c>
      <c r="L5" s="1">
        <v>-6.7172944545745795E-4</v>
      </c>
      <c r="M5" s="1">
        <v>-1.9159466028213501E-3</v>
      </c>
      <c r="N5" s="1">
        <v>-8.9233368635177601E-4</v>
      </c>
      <c r="O5" s="1">
        <v>-3.34870815277099E-3</v>
      </c>
      <c r="P5" s="1">
        <v>-2.8138086199760398E-3</v>
      </c>
      <c r="Q5" s="1">
        <v>5.9724822640418998E-3</v>
      </c>
      <c r="R5" s="1">
        <v>-9.5131993293762196E-4</v>
      </c>
      <c r="S5" s="1">
        <v>1.9740536808967499E-3</v>
      </c>
      <c r="T5" s="1">
        <v>6.2946528196334804E-3</v>
      </c>
      <c r="U5" s="1">
        <v>2.4704635143279999E-3</v>
      </c>
      <c r="V5" s="1">
        <v>1.09467655420303E-3</v>
      </c>
      <c r="W5" s="1">
        <v>3.0391290783882102E-3</v>
      </c>
      <c r="X5" s="1">
        <v>5.32656908035278E-4</v>
      </c>
      <c r="Y5" s="1">
        <v>8.8900327682495096E-4</v>
      </c>
      <c r="Z5" s="1">
        <v>1.7705932259559601E-3</v>
      </c>
      <c r="AA5" s="1">
        <v>3.9150342345237697E-3</v>
      </c>
      <c r="AB5" s="1">
        <v>6.8825632333755398E-3</v>
      </c>
      <c r="AC5" s="1">
        <v>6.4983442425727801E-3</v>
      </c>
      <c r="AD5" s="1">
        <v>2.2438094019889801E-3</v>
      </c>
      <c r="AE5" s="1">
        <v>7.5497105717658997E-3</v>
      </c>
      <c r="AF5" s="1">
        <v>7.69320875406265E-3</v>
      </c>
      <c r="AG5" s="1">
        <v>3.0082240700721702E-3</v>
      </c>
      <c r="AH5" s="1">
        <v>6.5971910953521696E-4</v>
      </c>
      <c r="AI5" s="1">
        <v>1.52193158864974E-2</v>
      </c>
      <c r="AJ5" s="1">
        <v>4.1778609156608503E-3</v>
      </c>
      <c r="AK5" s="1">
        <v>2.3494958877563398E-3</v>
      </c>
    </row>
    <row r="6" spans="1:37" x14ac:dyDescent="0.35">
      <c r="A6" s="1">
        <v>7.5928866863250705E-5</v>
      </c>
      <c r="B6" s="1">
        <v>3.0072033405303901E-4</v>
      </c>
      <c r="C6" s="1">
        <v>7.3755532503127998E-4</v>
      </c>
      <c r="D6" s="1">
        <v>2.6021897792816102E-4</v>
      </c>
      <c r="E6" s="1">
        <v>-1.0789930820465E-4</v>
      </c>
      <c r="F6" s="1">
        <v>6.8233907222747803E-4</v>
      </c>
      <c r="G6" s="1">
        <v>3.2820552587509101E-4</v>
      </c>
      <c r="H6" s="1">
        <v>5.9012323617935105E-4</v>
      </c>
      <c r="I6" s="1">
        <v>1.6273558139801001E-4</v>
      </c>
      <c r="J6" s="1">
        <v>3.6333501338958702E-4</v>
      </c>
      <c r="K6" s="1">
        <v>5.2252411842346105E-4</v>
      </c>
      <c r="L6" s="1">
        <v>-6.3887983560562101E-4</v>
      </c>
      <c r="M6" s="1">
        <v>-6.0216337442397995E-4</v>
      </c>
      <c r="N6" s="1">
        <v>-5.2235275506973202E-4</v>
      </c>
      <c r="O6" s="1">
        <v>-1.58791244029998E-3</v>
      </c>
      <c r="P6" s="1">
        <v>-7.8421831130981402E-4</v>
      </c>
      <c r="Q6" s="1">
        <v>1.6126185655593801E-3</v>
      </c>
      <c r="R6" s="1">
        <v>-8.50960612297058E-4</v>
      </c>
      <c r="S6" s="1">
        <v>7.8172758221626195E-3</v>
      </c>
      <c r="T6" s="1">
        <v>-1.6911402344703601E-3</v>
      </c>
      <c r="U6" s="1">
        <v>4.6393275260925201E-4</v>
      </c>
      <c r="V6" s="1">
        <v>1.09467655420303E-3</v>
      </c>
      <c r="W6" s="1">
        <v>1.0236054658889699E-3</v>
      </c>
      <c r="X6" s="1">
        <v>1.7621740698814301E-3</v>
      </c>
      <c r="Y6" s="1">
        <v>1.0434612631797699E-3</v>
      </c>
      <c r="Z6" s="1">
        <v>3.0855238437652501E-3</v>
      </c>
      <c r="AA6" s="1">
        <v>3.5029575228691101E-3</v>
      </c>
      <c r="AB6" s="1">
        <v>1.1577531695365901E-2</v>
      </c>
      <c r="AC6" s="1">
        <v>6.2654092907905501E-3</v>
      </c>
      <c r="AD6" s="1">
        <v>3.0944272875785802E-3</v>
      </c>
      <c r="AE6" s="1">
        <v>5.9321373701095503E-3</v>
      </c>
      <c r="AF6" s="1">
        <v>7.7585056424140904E-3</v>
      </c>
      <c r="AG6" s="1">
        <v>4.0303394198417603E-3</v>
      </c>
      <c r="AH6" s="1">
        <v>7.7196359634399397E-3</v>
      </c>
      <c r="AI6" s="1">
        <v>5.8886334300041199E-3</v>
      </c>
      <c r="AJ6" s="1">
        <v>2.22996622323989E-3</v>
      </c>
      <c r="AK6" s="1">
        <v>-3.0738115310668902E-4</v>
      </c>
    </row>
    <row r="7" spans="1:37" x14ac:dyDescent="0.35">
      <c r="A7" s="1">
        <v>-6.6250562667846598E-5</v>
      </c>
      <c r="B7" s="1">
        <v>-1.6298890113830501E-4</v>
      </c>
      <c r="C7" s="1">
        <v>1.3090670108795101E-4</v>
      </c>
      <c r="D7" s="1">
        <v>2.9844790697097702E-4</v>
      </c>
      <c r="E7" s="1">
        <v>1.01288408041E-3</v>
      </c>
      <c r="F7" s="1">
        <v>-2.1856278181076001E-4</v>
      </c>
      <c r="G7" s="1">
        <v>-6.8451464176177903E-4</v>
      </c>
      <c r="H7" s="1">
        <v>2.26750969886779E-4</v>
      </c>
      <c r="I7" s="1">
        <v>2.1716952323913501E-4</v>
      </c>
      <c r="J7" s="1">
        <v>-7.9011917114257802E-4</v>
      </c>
      <c r="K7" s="1">
        <v>-7.0127844810485796E-4</v>
      </c>
      <c r="L7" s="1">
        <v>-6.0471147298812801E-4</v>
      </c>
      <c r="M7" s="1">
        <v>1.51844322681427E-3</v>
      </c>
      <c r="N7" s="1">
        <v>-1.27208977937698E-3</v>
      </c>
      <c r="O7" s="1">
        <v>-1.6120076179504299E-3</v>
      </c>
      <c r="P7" s="1">
        <v>-2.1097809076309199E-4</v>
      </c>
      <c r="Q7" s="1">
        <v>9.6105039119720405E-5</v>
      </c>
      <c r="R7" s="1">
        <v>-3.5058706998824997E-4</v>
      </c>
      <c r="S7" s="1">
        <v>2.9291212558746299E-3</v>
      </c>
      <c r="T7" s="1">
        <v>-1.23225152492523E-4</v>
      </c>
      <c r="U7" s="1">
        <v>4.17731702327728E-4</v>
      </c>
      <c r="V7" s="1">
        <v>1.09467655420303E-3</v>
      </c>
      <c r="W7" s="1">
        <v>-3.9938837289810099E-4</v>
      </c>
      <c r="X7" s="1">
        <v>1.9627809524536098E-3</v>
      </c>
      <c r="Y7" s="1">
        <v>3.2907947897910998E-3</v>
      </c>
      <c r="Z7" s="1">
        <v>2.5468096137046801E-3</v>
      </c>
      <c r="AA7" s="1">
        <v>3.8451030850410401E-3</v>
      </c>
      <c r="AB7" s="1">
        <v>7.8441426157951303E-3</v>
      </c>
      <c r="AC7" s="1">
        <v>5.3716376423835702E-3</v>
      </c>
      <c r="AD7" s="1">
        <v>5.2991509437561E-3</v>
      </c>
      <c r="AE7" s="1">
        <v>2.7687996625900199E-3</v>
      </c>
      <c r="AF7" s="1">
        <v>9.0820491313934291E-3</v>
      </c>
      <c r="AG7" s="1">
        <v>3.9062201976776101E-3</v>
      </c>
      <c r="AH7" s="1">
        <v>3.4568011760711601E-3</v>
      </c>
      <c r="AI7" s="1">
        <v>3.5646036267280501E-3</v>
      </c>
      <c r="AJ7" s="1">
        <v>1.17883831262588E-3</v>
      </c>
      <c r="AK7" s="1">
        <v>-4.2591989040374702E-4</v>
      </c>
    </row>
    <row r="8" spans="1:37" x14ac:dyDescent="0.35">
      <c r="A8" s="1">
        <v>5.21831214427948E-4</v>
      </c>
      <c r="B8" s="1">
        <v>6.7029893398284901E-4</v>
      </c>
      <c r="C8" s="1">
        <v>1.42709165811538E-3</v>
      </c>
      <c r="D8" s="1">
        <v>5.5607408285140904E-4</v>
      </c>
      <c r="E8" s="1">
        <v>2.5064870715141201E-3</v>
      </c>
      <c r="F8" s="1">
        <v>-4.2711198329925499E-4</v>
      </c>
      <c r="G8" s="1">
        <v>-6.1046332120895299E-4</v>
      </c>
      <c r="H8" s="1">
        <v>6.8379193544387796E-4</v>
      </c>
      <c r="I8" s="1">
        <v>3.91513109207153E-4</v>
      </c>
      <c r="J8" s="1">
        <v>2.7497857809066702E-4</v>
      </c>
      <c r="K8" s="1">
        <v>9.9688768386840803E-6</v>
      </c>
      <c r="L8" s="1">
        <v>-2.1947175264358499E-4</v>
      </c>
      <c r="M8" s="1">
        <v>-1.43811106681823E-4</v>
      </c>
      <c r="N8" s="1">
        <v>-2.9072910547256399E-4</v>
      </c>
      <c r="O8" s="1">
        <v>-3.0777603387832598E-4</v>
      </c>
      <c r="P8" s="1">
        <v>3.6820024251937801E-4</v>
      </c>
      <c r="Q8" s="1">
        <v>-3.0238777399063102E-3</v>
      </c>
      <c r="R8" s="1">
        <v>-4.29876148700714E-4</v>
      </c>
      <c r="S8" s="1">
        <v>2.2607073187827999E-3</v>
      </c>
      <c r="T8" s="1">
        <v>-2.4877488613128601E-5</v>
      </c>
      <c r="U8" s="1">
        <v>8.7156891822814901E-5</v>
      </c>
      <c r="V8" s="1">
        <v>1.09467655420303E-3</v>
      </c>
      <c r="W8" s="1">
        <v>1.7025619745254499E-3</v>
      </c>
      <c r="X8" s="1">
        <v>9.10855829715728E-4</v>
      </c>
      <c r="Y8" s="1">
        <v>1.58161669969558E-3</v>
      </c>
      <c r="Z8" s="1">
        <v>4.03136014938354E-4</v>
      </c>
      <c r="AA8" s="1">
        <v>3.5654827952384901E-3</v>
      </c>
      <c r="AB8" s="1">
        <v>7.0705637335777196E-3</v>
      </c>
      <c r="AC8" s="1">
        <v>4.5283585786819397E-3</v>
      </c>
      <c r="AD8" s="1">
        <v>6.33983314037323E-3</v>
      </c>
      <c r="AE8" s="1">
        <v>5.6750699877738901E-3</v>
      </c>
      <c r="AF8" s="1">
        <v>7.7808350324630703E-3</v>
      </c>
      <c r="AG8" s="1">
        <v>7.8294947743415798E-3</v>
      </c>
      <c r="AH8" s="1">
        <v>1.48001760244369E-2</v>
      </c>
      <c r="AI8" s="1">
        <v>5.5682510137557897E-3</v>
      </c>
      <c r="AJ8" s="1">
        <v>3.17432731389999E-3</v>
      </c>
      <c r="AK8" s="1">
        <v>2.3188292980194001E-3</v>
      </c>
    </row>
    <row r="9" spans="1:37" x14ac:dyDescent="0.35">
      <c r="A9" s="1">
        <v>6.0016661882400502E-4</v>
      </c>
      <c r="B9" s="1">
        <v>-5.1156431436538696E-4</v>
      </c>
      <c r="C9" s="1">
        <v>-4.8886239528655995E-4</v>
      </c>
      <c r="D9" s="1">
        <v>3.0501186847686703E-4</v>
      </c>
      <c r="E9" s="1">
        <v>9.9775195121765093E-4</v>
      </c>
      <c r="F9" s="1">
        <v>3.5222619771957397E-4</v>
      </c>
      <c r="G9" s="1">
        <v>3.8896501064300499E-4</v>
      </c>
      <c r="H9" s="1">
        <v>-5.25526702404022E-4</v>
      </c>
      <c r="I9" s="1">
        <v>3.0882656574249203E-4</v>
      </c>
      <c r="J9" s="1">
        <v>7.4067711830139095E-4</v>
      </c>
      <c r="K9" s="1">
        <v>5.1517784595489502E-4</v>
      </c>
      <c r="L9" s="1">
        <v>-1.2108162045478799E-3</v>
      </c>
      <c r="M9" s="1">
        <v>-1.6253441572189301E-3</v>
      </c>
      <c r="N9" s="1">
        <v>-2.5717169046401902E-4</v>
      </c>
      <c r="O9" s="1">
        <v>-8.2035362720489502E-4</v>
      </c>
      <c r="P9" s="1">
        <v>-1.5971437096595699E-3</v>
      </c>
      <c r="Q9" s="1">
        <v>-1.4782473444938599E-3</v>
      </c>
      <c r="R9" s="1">
        <v>-1.6552060842513999E-3</v>
      </c>
      <c r="S9" s="1">
        <v>2.9107183218002298E-4</v>
      </c>
      <c r="T9" s="1">
        <v>-1.8189102411270101E-4</v>
      </c>
      <c r="U9" s="1">
        <v>1.1697039008140501E-3</v>
      </c>
      <c r="V9" s="1">
        <v>1.09467655420303E-3</v>
      </c>
      <c r="W9" s="1">
        <v>1.2695416808128301E-3</v>
      </c>
      <c r="X9" s="1">
        <v>2.33955681324005E-3</v>
      </c>
      <c r="Y9" s="1">
        <v>1.2270137667655899E-3</v>
      </c>
      <c r="Z9" s="1">
        <v>3.1002685427665702E-3</v>
      </c>
      <c r="AA9" s="1">
        <v>2.6902705430984402E-3</v>
      </c>
      <c r="AB9" s="1">
        <v>7.8990086913108808E-3</v>
      </c>
      <c r="AC9" s="1">
        <v>5.6054294109344396E-3</v>
      </c>
      <c r="AD9" s="1">
        <v>3.6752298474311798E-3</v>
      </c>
      <c r="AE9" s="1">
        <v>9.3189477920532192E-3</v>
      </c>
      <c r="AF9" s="1">
        <v>8.1797838211059501E-3</v>
      </c>
      <c r="AG9" s="1">
        <v>5.31204789876937E-3</v>
      </c>
      <c r="AH9" s="1">
        <v>5.3282305598258903E-3</v>
      </c>
      <c r="AI9" s="1">
        <v>1.03129148483276E-2</v>
      </c>
      <c r="AJ9" s="1">
        <v>2.3985505104064898E-3</v>
      </c>
      <c r="AK9" s="1">
        <v>9.7177922725677403E-4</v>
      </c>
    </row>
    <row r="10" spans="1:37" x14ac:dyDescent="0.35">
      <c r="A10" s="1">
        <v>1.4745891094207701E-3</v>
      </c>
      <c r="B10" s="1">
        <v>-5.9941411018371495E-4</v>
      </c>
      <c r="C10" s="1">
        <v>3.4271180629730198E-4</v>
      </c>
      <c r="D10" s="1">
        <v>1.8409639596939E-4</v>
      </c>
      <c r="E10" s="1">
        <v>9.14670526981353E-4</v>
      </c>
      <c r="F10" s="1">
        <v>-1.1284425854682901E-3</v>
      </c>
      <c r="G10" s="1">
        <v>1.49349123239517E-3</v>
      </c>
      <c r="H10" s="1">
        <v>3.0223280191421498E-4</v>
      </c>
      <c r="I10" s="1">
        <v>5.0155073404312101E-4</v>
      </c>
      <c r="J10" s="1">
        <v>6.52149319648742E-5</v>
      </c>
      <c r="K10" s="1">
        <v>7.4513256549835205E-4</v>
      </c>
      <c r="L10" s="1">
        <v>-5.4650008678436203E-4</v>
      </c>
      <c r="M10" s="1">
        <v>1.22085213661193E-3</v>
      </c>
      <c r="N10" s="1">
        <v>-8.4651261568069404E-4</v>
      </c>
      <c r="O10" s="1">
        <v>-7.6479464769363403E-4</v>
      </c>
      <c r="P10" s="1">
        <v>1.1840164661407399E-3</v>
      </c>
      <c r="Q10" s="1">
        <v>-4.6418607234954801E-4</v>
      </c>
      <c r="R10" s="1">
        <v>-2.0047947764396598E-3</v>
      </c>
      <c r="S10" s="1">
        <v>1.6602650284767101E-3</v>
      </c>
      <c r="T10" s="1">
        <v>-1.39663368463516E-3</v>
      </c>
      <c r="U10" s="1">
        <v>1.09561532735824E-3</v>
      </c>
      <c r="V10" s="1">
        <v>1.09467655420303E-3</v>
      </c>
      <c r="W10" s="1">
        <v>6.2814354896545399E-4</v>
      </c>
      <c r="X10" s="1">
        <v>1.02154910564422E-3</v>
      </c>
      <c r="Y10" s="1">
        <v>3.6021247506141602E-3</v>
      </c>
      <c r="Z10" s="1">
        <v>2.4504661560058498E-3</v>
      </c>
      <c r="AA10" s="1">
        <v>4.5747011899948103E-3</v>
      </c>
      <c r="AB10" s="1">
        <v>8.5159838199615392E-3</v>
      </c>
      <c r="AC10" s="1">
        <v>6.4833238720893799E-3</v>
      </c>
      <c r="AD10" s="1">
        <v>3.3785998821258502E-3</v>
      </c>
      <c r="AE10" s="1">
        <v>8.1197246909141506E-3</v>
      </c>
      <c r="AF10" s="1">
        <v>8.3893984556198103E-3</v>
      </c>
      <c r="AG10" s="1">
        <v>4.3856129050254796E-3</v>
      </c>
      <c r="AH10" s="1">
        <v>6.5388903021812404E-3</v>
      </c>
      <c r="AI10" s="1">
        <v>1.39559060335159E-3</v>
      </c>
      <c r="AJ10" s="1">
        <v>6.4035058021545401E-3</v>
      </c>
      <c r="AK10" s="1">
        <v>-1.9904226064681999E-4</v>
      </c>
    </row>
    <row r="11" spans="1:37" x14ac:dyDescent="0.35">
      <c r="A11" s="1">
        <v>-6.9761276245117101E-4</v>
      </c>
      <c r="B11" s="1">
        <v>2.6549398899078299E-4</v>
      </c>
      <c r="C11" s="1">
        <v>-8.0548226833343506E-5</v>
      </c>
      <c r="D11" s="1">
        <v>-1.5527009963989201E-4</v>
      </c>
      <c r="E11" s="1">
        <v>1.0431557893753E-4</v>
      </c>
      <c r="F11" s="1">
        <v>-5.5442005395889195E-4</v>
      </c>
      <c r="G11" s="1">
        <v>-1.5135109424590999E-4</v>
      </c>
      <c r="H11" s="1">
        <v>4.2720139026641802E-4</v>
      </c>
      <c r="I11" s="1">
        <v>3.6039948463439898E-4</v>
      </c>
      <c r="J11" s="1">
        <v>3.6500394344329801E-4</v>
      </c>
      <c r="K11" s="1">
        <v>-7.7024847269058195E-4</v>
      </c>
      <c r="L11" s="1">
        <v>-5.21093606948852E-5</v>
      </c>
      <c r="M11" s="1">
        <v>-1.10295414924621E-3</v>
      </c>
      <c r="N11" s="1">
        <v>-9.993985295295711E-4</v>
      </c>
      <c r="O11" s="1">
        <v>-1.2692287564277599E-3</v>
      </c>
      <c r="P11" s="1">
        <v>-6.9074332714080797E-5</v>
      </c>
      <c r="Q11" s="1">
        <v>-7.1115791797637896E-4</v>
      </c>
      <c r="R11" s="1">
        <v>2.30892747640609E-3</v>
      </c>
      <c r="S11" s="1">
        <v>1.84100866317749E-3</v>
      </c>
      <c r="T11" s="1">
        <v>1.0870024561882E-3</v>
      </c>
      <c r="U11" s="1">
        <v>1.09467655420303E-3</v>
      </c>
      <c r="V11" s="1">
        <v>1.09467655420303E-3</v>
      </c>
      <c r="W11" s="1">
        <v>1.4165118336677499E-3</v>
      </c>
      <c r="X11" s="1">
        <v>1.9757896661758401E-3</v>
      </c>
      <c r="Y11" s="1">
        <v>2.0599216222763001E-3</v>
      </c>
      <c r="Z11" s="1">
        <v>2.5050789117813102E-3</v>
      </c>
      <c r="AA11" s="1">
        <v>4.3312460184097203E-3</v>
      </c>
      <c r="AB11" s="1">
        <v>4.62657958269119E-3</v>
      </c>
      <c r="AC11" s="1">
        <v>4.9087107181549003E-3</v>
      </c>
      <c r="AD11" s="1">
        <v>5.6033208966255101E-3</v>
      </c>
      <c r="AE11" s="1">
        <v>7.2815641760826102E-3</v>
      </c>
      <c r="AF11" s="1">
        <v>8.8770240545272792E-3</v>
      </c>
      <c r="AG11" s="1">
        <v>6.2666237354278504E-3</v>
      </c>
      <c r="AH11" s="1">
        <v>9.30221378803253E-3</v>
      </c>
      <c r="AI11" s="1">
        <v>7.2763785719871504E-3</v>
      </c>
      <c r="AJ11" s="1">
        <v>-1.3480335474014201E-4</v>
      </c>
      <c r="AK11" s="1">
        <v>-1.7449259757995599E-5</v>
      </c>
    </row>
    <row r="13" spans="1:37" x14ac:dyDescent="0.35">
      <c r="A13" s="2" t="s">
        <v>37</v>
      </c>
    </row>
    <row r="14" spans="1:37" x14ac:dyDescent="0.35">
      <c r="A14" s="1">
        <f>AVERAGE(FI_Combined_filo[F_TOTAL])</f>
        <v>5.4116770625114215E-4</v>
      </c>
      <c r="B14" s="1">
        <f>AVERAGE(FI_Combined_filo[F_CITMLB])</f>
        <v>-5.8428943157196023E-5</v>
      </c>
      <c r="C14" s="1">
        <f>AVERAGE(FI_Combined_filo[F_OTHER])</f>
        <v>6.1773881316184802E-4</v>
      </c>
      <c r="D14" s="1">
        <f>AVERAGE(FI_Combined_filo[F_JUICE])</f>
        <v>6.3378363847732395E-5</v>
      </c>
      <c r="E14" s="1">
        <f>AVERAGE(FI_Combined_filo[V_TOTAL])</f>
        <v>8.6703896522521777E-4</v>
      </c>
      <c r="F14" s="1">
        <f>AVERAGE(FI_Combined_filo[V_DRKGR])</f>
        <v>-8.2921236753463284E-5</v>
      </c>
      <c r="G14" s="1">
        <f>AVERAGE(FI_Combined_filo[V_REDOR_TOTAL])</f>
        <v>1.5460327267646781E-4</v>
      </c>
      <c r="H14" s="1">
        <f>AVERAGE(FI_Combined_filo[V_REDOR_TOMATO])</f>
        <v>4.5281052589416437E-4</v>
      </c>
      <c r="I14" s="1">
        <f>AVERAGE(FI_Combined_filo[V_REDOR_OTHER])</f>
        <v>3.5979896783828693E-4</v>
      </c>
      <c r="J14" s="1">
        <f>AVERAGE(FI_Combined_filo[V_STARCHY_TOTAL])</f>
        <v>1.7586275935173003E-4</v>
      </c>
      <c r="K14" s="1">
        <f>AVERAGE(FI_Combined_filo[V_STARCHY_POTATO])</f>
        <v>2.3188889026641834E-4</v>
      </c>
      <c r="L14" s="1">
        <f>AVERAGE(FI_Combined_filo[V_STARCHY_OTHER])</f>
        <v>-7.0932731032371447E-4</v>
      </c>
      <c r="M14" s="1">
        <f>AVERAGE(FI_Combined_filo[V_OTHER])</f>
        <v>-1.9551813602447315E-5</v>
      </c>
      <c r="N14" s="1">
        <f>AVERAGE(FI_Combined_filo[V_LEGUMES])</f>
        <v>-7.4032172560691727E-4</v>
      </c>
      <c r="O14" s="1">
        <f>AVERAGE(FI_Combined_filo[G_TOTAL])</f>
        <v>-1.6638070344924879E-3</v>
      </c>
      <c r="P14" s="1">
        <f>AVERAGE(FI_Combined_filo[G_WHOLE])</f>
        <v>-2.1108761429786683E-4</v>
      </c>
      <c r="Q14" s="1">
        <f>AVERAGE(FI_Combined_filo[G_REFINED])</f>
        <v>9.9447891116142238E-4</v>
      </c>
      <c r="R14" s="1">
        <f>AVERAGE(FI_Combined_filo[PF_TOTAL])</f>
        <v>-6.4933747053146291E-4</v>
      </c>
      <c r="S14" s="1">
        <f>AVERAGE(FI_Combined_filo[PF_MPS_TOTAL])</f>
        <v>2.7833484113216366E-3</v>
      </c>
      <c r="T14" s="1">
        <f>AVERAGE(FI_Combined_filo[PF_MEAT])</f>
        <v>5.3733959794044516E-4</v>
      </c>
      <c r="U14" s="1">
        <f>AVERAGE(FI_Combined_filo[PF_CUREDMEAT])</f>
        <v>7.6470673084258825E-4</v>
      </c>
      <c r="V14" s="1">
        <f>AVERAGE(FI_Combined_filo[PF_ORGAN])</f>
        <v>1.09467655420303E-3</v>
      </c>
      <c r="W14" s="1">
        <f>AVERAGE(FI_Combined_filo[PF_POULT])</f>
        <v>1.1119969189166982E-3</v>
      </c>
      <c r="X14" s="1">
        <f>AVERAGE(FI_Combined_filo[PF_SEAFD_HI])</f>
        <v>1.3235867023467978E-3</v>
      </c>
      <c r="Y14" s="1">
        <f>AVERAGE(FI_Combined_filo[PF_SEAFD_LOW])</f>
        <v>1.9762650132179212E-3</v>
      </c>
      <c r="Z14" s="1">
        <f>AVERAGE(FI_Combined_filo[PF_EGGS])</f>
        <v>2.1038718521594955E-3</v>
      </c>
      <c r="AA14" s="1">
        <f>AVERAGE(FI_Combined_filo[PF_SOY])</f>
        <v>3.5335786640644023E-3</v>
      </c>
      <c r="AB14" s="1">
        <f>AVERAGE(FI_Combined_filo[PF_NUTSDS])</f>
        <v>7.6154053211212091E-3</v>
      </c>
      <c r="AC14" s="1">
        <f>AVERAGE(FI_Combined_filo[PF_LEGUMES])</f>
        <v>5.6679181754589027E-3</v>
      </c>
      <c r="AD14" s="1">
        <f>AVERAGE(FI_Combined_filo[D_TOTAL])</f>
        <v>4.014964401721951E-3</v>
      </c>
      <c r="AE14" s="1">
        <f>AVERAGE(FI_Combined_filo[D_MILK])</f>
        <v>6.9670401513576442E-3</v>
      </c>
      <c r="AF14" s="1">
        <f>AVERAGE(FI_Combined_filo[D_YOGURT])</f>
        <v>8.1373460590839358E-3</v>
      </c>
      <c r="AG14" s="1">
        <f>AVERAGE(FI_Combined_filo[D_CHEESE])</f>
        <v>4.745952785015101E-3</v>
      </c>
      <c r="AH14" s="1">
        <f>AVERAGE(FI_Combined_filo[OILS])</f>
        <v>7.2113901376724106E-3</v>
      </c>
      <c r="AI14" s="1">
        <f>AVERAGE(FI_Combined_filo[SOLID_FATS])</f>
        <v>6.3216403126716446E-3</v>
      </c>
      <c r="AJ14" s="1">
        <f>AVERAGE(FI_Combined_filo[ADD_SUGARS])</f>
        <v>3.2758049666881521E-3</v>
      </c>
      <c r="AK14" s="1">
        <f>AVERAGE(FI_Combined_filo[A_DRINKS])</f>
        <v>7.2190091013908133E-4</v>
      </c>
    </row>
    <row r="15" spans="1:37" x14ac:dyDescent="0.35">
      <c r="A15" s="2" t="s">
        <v>38</v>
      </c>
    </row>
    <row r="16" spans="1:37" x14ac:dyDescent="0.35">
      <c r="A16" s="1">
        <f>STDEV(FI_Combined_filo[F_TOTAL])</f>
        <v>7.1174898815037425E-4</v>
      </c>
      <c r="B16" s="1">
        <f>STDEV(FI_Combined_filo[F_CITMLB])</f>
        <v>4.6090036161313287E-4</v>
      </c>
      <c r="C16" s="1">
        <f>STDEV(FI_Combined_filo[F_OTHER])</f>
        <v>6.5720326239349883E-4</v>
      </c>
      <c r="D16" s="1">
        <f>STDEV(FI_Combined_filo[F_JUICE])</f>
        <v>3.0455455002604311E-4</v>
      </c>
      <c r="E16" s="1">
        <f>STDEV(FI_Combined_filo[V_TOTAL])</f>
        <v>1.0311805606289259E-3</v>
      </c>
      <c r="F16" s="1">
        <f>STDEV(FI_Combined_filo[V_DRKGR])</f>
        <v>5.4695241465701127E-4</v>
      </c>
      <c r="G16" s="1">
        <f>STDEV(FI_Combined_filo[V_REDOR_TOTAL])</f>
        <v>6.2524833013876313E-4</v>
      </c>
      <c r="H16" s="1">
        <f>STDEV(FI_Combined_filo[V_REDOR_TOMATO])</f>
        <v>5.7010892531408322E-4</v>
      </c>
      <c r="I16" s="1">
        <f>STDEV(FI_Combined_filo[V_REDOR_OTHER])</f>
        <v>1.538703191497855E-4</v>
      </c>
      <c r="J16" s="1">
        <f>STDEV(FI_Combined_filo[V_STARCHY_TOTAL])</f>
        <v>4.0018964774234079E-4</v>
      </c>
      <c r="K16" s="1">
        <f>STDEV(FI_Combined_filo[V_STARCHY_POTATO])</f>
        <v>5.6306671490768576E-4</v>
      </c>
      <c r="L16" s="1">
        <f>STDEV(FI_Combined_filo[V_STARCHY_OTHER])</f>
        <v>3.8953394080585375E-4</v>
      </c>
      <c r="M16" s="1">
        <f>STDEV(FI_Combined_filo[V_OTHER])</f>
        <v>1.5096711609968643E-3</v>
      </c>
      <c r="N16" s="1">
        <f>STDEV(FI_Combined_filo[V_LEGUMES])</f>
        <v>3.512437582141083E-4</v>
      </c>
      <c r="O16" s="1">
        <f>STDEV(FI_Combined_filo[G_TOTAL])</f>
        <v>9.6761795975025566E-4</v>
      </c>
      <c r="P16" s="1">
        <f>STDEV(FI_Combined_filo[G_WHOLE])</f>
        <v>1.4378287718299523E-3</v>
      </c>
      <c r="Q16" s="1">
        <f>STDEV(FI_Combined_filo[G_REFINED])</f>
        <v>3.0581763253048904E-3</v>
      </c>
      <c r="R16" s="1">
        <f>STDEV(FI_Combined_filo[PF_TOTAL])</f>
        <v>1.2127217109032975E-3</v>
      </c>
      <c r="S16" s="1">
        <f>STDEV(FI_Combined_filo[PF_MPS_TOTAL])</f>
        <v>2.9126953238679185E-3</v>
      </c>
      <c r="T16" s="1">
        <f>STDEV(FI_Combined_filo[PF_MEAT])</f>
        <v>2.484324057992063E-3</v>
      </c>
      <c r="U16" s="1">
        <f>STDEV(FI_Combined_filo[PF_CUREDMEAT])</f>
        <v>7.3215323363827749E-4</v>
      </c>
      <c r="V16" s="1">
        <f>STDEV(FI_Combined_filo[PF_ORGAN])</f>
        <v>0</v>
      </c>
      <c r="W16" s="1">
        <f>STDEV(FI_Combined_filo[PF_POULT])</f>
        <v>1.1663402327617936E-3</v>
      </c>
      <c r="X16" s="1">
        <f>STDEV(FI_Combined_filo[PF_SEAFD_HI])</f>
        <v>6.4906233388281175E-4</v>
      </c>
      <c r="Y16" s="1">
        <f>STDEV(FI_Combined_filo[PF_SEAFD_LOW])</f>
        <v>8.9680980606787373E-4</v>
      </c>
      <c r="Z16" s="1">
        <f>STDEV(FI_Combined_filo[PF_EGGS])</f>
        <v>8.1084475733892033E-4</v>
      </c>
      <c r="AA16" s="1">
        <f>STDEV(FI_Combined_filo[PF_SOY])</f>
        <v>6.8909006571203299E-4</v>
      </c>
      <c r="AB16" s="1">
        <f>STDEV(FI_Combined_filo[PF_NUTSDS])</f>
        <v>1.868579302144457E-3</v>
      </c>
      <c r="AC16" s="1">
        <f>STDEV(FI_Combined_filo[PF_LEGUMES])</f>
        <v>6.6499570089647154E-4</v>
      </c>
      <c r="AD16" s="1">
        <f>STDEV(FI_Combined_filo[D_TOTAL])</f>
        <v>1.7276454007262574E-3</v>
      </c>
      <c r="AE16" s="1">
        <f>STDEV(FI_Combined_filo[D_MILK])</f>
        <v>2.3523752781409181E-3</v>
      </c>
      <c r="AF16" s="1">
        <f>STDEV(FI_Combined_filo[D_YOGURT])</f>
        <v>6.7433303841387348E-4</v>
      </c>
      <c r="AG16" s="1">
        <f>STDEV(FI_Combined_filo[D_CHEESE])</f>
        <v>1.9882424439763894E-3</v>
      </c>
      <c r="AH16" s="1">
        <f>STDEV(FI_Combined_filo[OILS])</f>
        <v>4.2349837244701006E-3</v>
      </c>
      <c r="AI16" s="1">
        <f>STDEV(FI_Combined_filo[SOLID_FATS])</f>
        <v>3.929433439605127E-3</v>
      </c>
      <c r="AJ16" s="1">
        <f>STDEV(FI_Combined_filo[ADD_SUGARS])</f>
        <v>2.1311778921668605E-3</v>
      </c>
      <c r="AK16" s="1">
        <f>STDEV(FI_Combined_filo[A_DRINKS])</f>
        <v>1.0724193609704163E-3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3C2B-38B1-4256-AE50-B9CFFF4DF171}">
  <dimension ref="A1:AK16"/>
  <sheetViews>
    <sheetView topLeftCell="Z1" workbookViewId="0">
      <selection activeCell="A16" sqref="A16:AK16"/>
    </sheetView>
  </sheetViews>
  <sheetFormatPr baseColWidth="10" defaultRowHeight="14.5" x14ac:dyDescent="0.35"/>
  <cols>
    <col min="1" max="3" width="22.1796875" style="1" bestFit="1" customWidth="1"/>
    <col min="4" max="10" width="20.453125" style="1" bestFit="1" customWidth="1"/>
    <col min="11" max="11" width="21.08984375" style="1" bestFit="1" customWidth="1"/>
    <col min="12" max="21" width="20.453125" style="1" bestFit="1" customWidth="1"/>
    <col min="22" max="22" width="19.453125" style="1" bestFit="1" customWidth="1"/>
    <col min="23" max="25" width="20.453125" style="1" bestFit="1" customWidth="1"/>
    <col min="26" max="26" width="19.453125" style="1" bestFit="1" customWidth="1"/>
    <col min="27" max="37" width="20.45312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5.0202906131744298E-3</v>
      </c>
      <c r="B2" s="1">
        <v>-6.1529874801635699E-4</v>
      </c>
      <c r="C2" s="1">
        <v>-5.9306621551513596E-4</v>
      </c>
      <c r="D2" s="1">
        <v>7.7824294567108102E-3</v>
      </c>
      <c r="E2" s="1">
        <v>1.3711214065551701E-2</v>
      </c>
      <c r="F2" s="1">
        <v>1.26172602176666E-2</v>
      </c>
      <c r="G2" s="1">
        <v>1.0827451944351099E-2</v>
      </c>
      <c r="H2" s="1">
        <v>1.0762989521026599E-2</v>
      </c>
      <c r="I2" s="1">
        <v>1.6818881034851001E-2</v>
      </c>
      <c r="J2" s="1">
        <v>1.7485529184341399E-2</v>
      </c>
      <c r="K2" s="1">
        <v>1.9839227199554402E-2</v>
      </c>
      <c r="L2" s="1">
        <v>2.12668776512146E-2</v>
      </c>
      <c r="M2" s="1">
        <v>1.9218742847442599E-2</v>
      </c>
      <c r="N2" s="1">
        <v>1.8837451934814401E-2</v>
      </c>
      <c r="O2" s="1">
        <v>3.9540410041808999E-2</v>
      </c>
      <c r="P2" s="1">
        <v>2.5424003601074201E-2</v>
      </c>
      <c r="Q2" s="1">
        <v>3.4616023302078198E-2</v>
      </c>
      <c r="R2" s="1">
        <v>2.4433106184005699E-2</v>
      </c>
      <c r="S2" s="1">
        <v>5.2621543407440102E-2</v>
      </c>
      <c r="T2" s="1">
        <v>5.9320628643035798E-2</v>
      </c>
      <c r="U2" s="1">
        <v>5.55906593799591E-2</v>
      </c>
      <c r="V2" s="1">
        <v>5.0215899944305399E-2</v>
      </c>
      <c r="W2" s="1">
        <v>4.1399717330932603E-2</v>
      </c>
      <c r="X2" s="1">
        <v>6.1137646436691201E-2</v>
      </c>
      <c r="Y2" s="1">
        <v>6.0953199863433803E-2</v>
      </c>
      <c r="Z2" s="1">
        <v>6.2639117240905706E-2</v>
      </c>
      <c r="AA2" s="1">
        <v>6.2659889459609902E-2</v>
      </c>
      <c r="AB2" s="1">
        <v>5.78242540359497E-2</v>
      </c>
      <c r="AC2" s="1">
        <v>6.8316727876663194E-2</v>
      </c>
      <c r="AD2" s="1">
        <v>6.5617680549621499E-2</v>
      </c>
      <c r="AE2" s="1">
        <v>5.5367171764373703E-2</v>
      </c>
      <c r="AF2" s="1">
        <v>5.7371556758880601E-2</v>
      </c>
      <c r="AG2" s="1">
        <v>5.8448165655136101E-2</v>
      </c>
      <c r="AH2" s="1">
        <v>4.78037297725677E-2</v>
      </c>
      <c r="AI2" s="1">
        <v>3.4033477306365897E-2</v>
      </c>
      <c r="AJ2" s="1">
        <v>3.7811994552612298E-2</v>
      </c>
      <c r="AK2" s="1">
        <v>4.1733950376510599E-2</v>
      </c>
    </row>
    <row r="3" spans="1:37" x14ac:dyDescent="0.35">
      <c r="A3" s="1">
        <v>4.4599175453186E-3</v>
      </c>
      <c r="B3" s="1">
        <v>-5.0561726093292202E-3</v>
      </c>
      <c r="C3" s="1">
        <v>4.2169988155364903E-3</v>
      </c>
      <c r="D3" s="1">
        <v>1.43380463123321E-2</v>
      </c>
      <c r="E3" s="1">
        <v>1.59269273281097E-2</v>
      </c>
      <c r="F3" s="1">
        <v>1.7857372760772702E-2</v>
      </c>
      <c r="G3" s="1">
        <v>1.0785669088363601E-2</v>
      </c>
      <c r="H3" s="1">
        <v>1.45599544048309E-2</v>
      </c>
      <c r="I3" s="1">
        <v>1.60315334796905E-2</v>
      </c>
      <c r="J3" s="1">
        <v>1.7371505498886101E-2</v>
      </c>
      <c r="K3" s="1">
        <v>1.9054383039474401E-2</v>
      </c>
      <c r="L3" s="1">
        <v>1.9605249166488599E-2</v>
      </c>
      <c r="M3" s="1">
        <v>1.46339535713195E-2</v>
      </c>
      <c r="N3" s="1">
        <v>1.9677817821502599E-2</v>
      </c>
      <c r="O3" s="1">
        <v>3.5986274480819702E-2</v>
      </c>
      <c r="P3" s="1">
        <v>2.5600641965865999E-2</v>
      </c>
      <c r="Q3" s="1">
        <v>3.7124544382095302E-2</v>
      </c>
      <c r="R3" s="1">
        <v>3.9493769407272297E-2</v>
      </c>
      <c r="S3" s="1">
        <v>4.2274802923202501E-2</v>
      </c>
      <c r="T3" s="1">
        <v>4.6704858541488599E-2</v>
      </c>
      <c r="U3" s="1">
        <v>4.51166629791259E-2</v>
      </c>
      <c r="V3" s="1">
        <v>5.0215899944305399E-2</v>
      </c>
      <c r="W3" s="1">
        <v>5.8380126953125E-2</v>
      </c>
      <c r="X3" s="1">
        <v>5.5695027112960802E-2</v>
      </c>
      <c r="Y3" s="1">
        <v>5.7389050722122102E-2</v>
      </c>
      <c r="Z3" s="1">
        <v>6.09771013259887E-2</v>
      </c>
      <c r="AA3" s="1">
        <v>7.0379704236984197E-2</v>
      </c>
      <c r="AB3" s="1">
        <v>6.0123115777969298E-2</v>
      </c>
      <c r="AC3" s="1">
        <v>5.6885212659835802E-2</v>
      </c>
      <c r="AD3" s="1">
        <v>7.0182889699935899E-2</v>
      </c>
      <c r="AE3" s="1">
        <v>5.6008547544479301E-2</v>
      </c>
      <c r="AF3" s="1">
        <v>5.7074874639511101E-2</v>
      </c>
      <c r="AG3" s="1">
        <v>6.2641710042953394E-2</v>
      </c>
      <c r="AH3" s="1">
        <v>4.3920367956161499E-2</v>
      </c>
      <c r="AI3" s="1">
        <v>3.99322509765625E-2</v>
      </c>
      <c r="AJ3" s="1">
        <v>4.7071814537048298E-2</v>
      </c>
      <c r="AK3" s="1">
        <v>4.0247350931167603E-2</v>
      </c>
    </row>
    <row r="4" spans="1:37" x14ac:dyDescent="0.35">
      <c r="A4" s="1">
        <v>5.6843757629394497E-3</v>
      </c>
      <c r="B4" s="1">
        <v>-4.9126744270324698E-3</v>
      </c>
      <c r="C4" s="1">
        <v>6.6850185394287101E-3</v>
      </c>
      <c r="D4" s="1">
        <v>1.3514906167984E-2</v>
      </c>
      <c r="E4" s="1">
        <v>1.65934860706329E-2</v>
      </c>
      <c r="F4" s="1">
        <v>1.8026411533355699E-2</v>
      </c>
      <c r="G4" s="1">
        <v>1.1053949594497601E-2</v>
      </c>
      <c r="H4" s="1">
        <v>1.51505470275878E-2</v>
      </c>
      <c r="I4" s="1">
        <v>1.48812234401702E-2</v>
      </c>
      <c r="J4" s="1">
        <v>1.6467034816741902E-2</v>
      </c>
      <c r="K4" s="1">
        <v>2.0056128501892E-2</v>
      </c>
      <c r="L4" s="1">
        <v>2.0201504230499202E-2</v>
      </c>
      <c r="M4" s="1">
        <v>2.69262492656707E-2</v>
      </c>
      <c r="N4" s="1">
        <v>1.9705116748809801E-2</v>
      </c>
      <c r="O4" s="1">
        <v>3.2153099775314303E-2</v>
      </c>
      <c r="P4" s="1">
        <v>2.41243541240692E-2</v>
      </c>
      <c r="Q4" s="1">
        <v>5.1058918237686102E-2</v>
      </c>
      <c r="R4" s="1">
        <v>3.3507376909255898E-2</v>
      </c>
      <c r="S4" s="1">
        <v>5.8452576398849397E-2</v>
      </c>
      <c r="T4" s="1">
        <v>6.0757339000701897E-2</v>
      </c>
      <c r="U4" s="1">
        <v>5.5709093809127801E-2</v>
      </c>
      <c r="V4" s="1">
        <v>5.0215899944305399E-2</v>
      </c>
      <c r="W4" s="1">
        <v>4.58918809890747E-2</v>
      </c>
      <c r="X4" s="1">
        <v>5.9852600097656201E-2</v>
      </c>
      <c r="Y4" s="1">
        <v>5.3470492362975998E-2</v>
      </c>
      <c r="Z4" s="1">
        <v>6.3950240612030002E-2</v>
      </c>
      <c r="AA4" s="1">
        <v>6.1982423067092798E-2</v>
      </c>
      <c r="AB4" s="1">
        <v>7.6614856719970703E-2</v>
      </c>
      <c r="AC4" s="1">
        <v>6.7783892154693604E-2</v>
      </c>
      <c r="AD4" s="1">
        <v>6.0333371162414502E-2</v>
      </c>
      <c r="AE4" s="1">
        <v>5.7190001010894699E-2</v>
      </c>
      <c r="AF4" s="1">
        <v>5.5539011955261203E-2</v>
      </c>
      <c r="AG4" s="1">
        <v>6.0717642307281397E-2</v>
      </c>
      <c r="AH4" s="1">
        <v>4.8480659723281798E-2</v>
      </c>
      <c r="AI4" s="1">
        <v>4.22180294990539E-2</v>
      </c>
      <c r="AJ4" s="1">
        <v>4.7728836536407401E-2</v>
      </c>
      <c r="AK4" s="1">
        <v>4.5727849006652797E-2</v>
      </c>
    </row>
    <row r="5" spans="1:37" x14ac:dyDescent="0.35">
      <c r="A5" s="1">
        <v>8.1953108310699394E-3</v>
      </c>
      <c r="B5" s="1">
        <v>6.4694881439208898E-4</v>
      </c>
      <c r="C5" s="1">
        <v>5.4827332496642997E-3</v>
      </c>
      <c r="D5" s="1">
        <v>2.0436465740203798E-2</v>
      </c>
      <c r="E5" s="1">
        <v>1.24360620975494E-2</v>
      </c>
      <c r="F5" s="1">
        <v>1.57509446144104E-2</v>
      </c>
      <c r="G5" s="1">
        <v>1.2186199426650999E-2</v>
      </c>
      <c r="H5" s="1">
        <v>1.1140674352645799E-2</v>
      </c>
      <c r="I5" s="1">
        <v>1.6970902681350701E-2</v>
      </c>
      <c r="J5" s="1">
        <v>1.7015218734741201E-2</v>
      </c>
      <c r="K5" s="1">
        <v>2.2282063961029001E-2</v>
      </c>
      <c r="L5" s="1">
        <v>2.0929217338562001E-2</v>
      </c>
      <c r="M5" s="1">
        <v>1.5540510416030801E-2</v>
      </c>
      <c r="N5" s="1">
        <v>1.9061803817748999E-2</v>
      </c>
      <c r="O5" s="1">
        <v>1.75676345825195E-2</v>
      </c>
      <c r="P5" s="1">
        <v>3.3925771713256801E-2</v>
      </c>
      <c r="Q5" s="1">
        <v>3.1360268592834403E-2</v>
      </c>
      <c r="R5" s="1">
        <v>3.6860466003417899E-2</v>
      </c>
      <c r="S5" s="1">
        <v>4.6152472496032701E-2</v>
      </c>
      <c r="T5" s="1">
        <v>7.2869598865509005E-2</v>
      </c>
      <c r="U5" s="1">
        <v>4.8497647047042798E-2</v>
      </c>
      <c r="V5" s="1">
        <v>5.0215899944305399E-2</v>
      </c>
      <c r="W5" s="1">
        <v>4.1570454835891703E-2</v>
      </c>
      <c r="X5" s="1">
        <v>6.3065439462661702E-2</v>
      </c>
      <c r="Y5" s="1">
        <v>6.0547620058059602E-2</v>
      </c>
      <c r="Z5" s="1">
        <v>6.7862153053283594E-2</v>
      </c>
      <c r="AA5" s="1">
        <v>7.4651956558227497E-2</v>
      </c>
      <c r="AB5" s="1">
        <v>7.7958196401596E-2</v>
      </c>
      <c r="AC5" s="1">
        <v>6.1203747987747102E-2</v>
      </c>
      <c r="AD5" s="1">
        <v>7.1284830570220906E-2</v>
      </c>
      <c r="AE5" s="1">
        <v>4.2181938886642401E-2</v>
      </c>
      <c r="AF5" s="1">
        <v>5.5244863033294601E-2</v>
      </c>
      <c r="AG5" s="1">
        <v>5.7989239692687898E-2</v>
      </c>
      <c r="AH5" s="1">
        <v>3.4070909023284898E-2</v>
      </c>
      <c r="AI5" s="1">
        <v>4.2564958333969102E-2</v>
      </c>
      <c r="AJ5" s="1">
        <v>5.5288076400756801E-2</v>
      </c>
      <c r="AK5" s="1">
        <v>4.5243084430694497E-2</v>
      </c>
    </row>
    <row r="6" spans="1:37" x14ac:dyDescent="0.35">
      <c r="A6" s="1">
        <v>8.0935359001159599E-3</v>
      </c>
      <c r="B6" s="1">
        <v>-3.2154619693756099E-3</v>
      </c>
      <c r="C6" s="1">
        <v>5.9026181697845398E-3</v>
      </c>
      <c r="D6" s="1">
        <v>7.5726211071014404E-3</v>
      </c>
      <c r="E6" s="1">
        <v>1.5048533678054799E-2</v>
      </c>
      <c r="F6" s="1">
        <v>1.2662917375564501E-2</v>
      </c>
      <c r="G6" s="1">
        <v>7.59392976760864E-3</v>
      </c>
      <c r="H6" s="1">
        <v>1.51260495185852E-2</v>
      </c>
      <c r="I6" s="1">
        <v>1.4148652553558299E-2</v>
      </c>
      <c r="J6" s="1">
        <v>1.9270658493041899E-2</v>
      </c>
      <c r="K6" s="1">
        <v>2.05346047878265E-2</v>
      </c>
      <c r="L6" s="1">
        <v>2.2831588983535701E-2</v>
      </c>
      <c r="M6" s="1">
        <v>1.28138363361358E-2</v>
      </c>
      <c r="N6" s="1">
        <v>1.9760787487030002E-2</v>
      </c>
      <c r="O6" s="1">
        <v>4.9021929502487099E-2</v>
      </c>
      <c r="P6" s="1">
        <v>3.0587136745452801E-2</v>
      </c>
      <c r="Q6" s="1">
        <v>5.4865330457687302E-2</v>
      </c>
      <c r="R6" s="1">
        <v>3.2014608383178697E-2</v>
      </c>
      <c r="S6" s="1">
        <v>5.1946133375167798E-2</v>
      </c>
      <c r="T6" s="1">
        <v>5.1777750253677299E-2</v>
      </c>
      <c r="U6" s="1">
        <v>5.2695214748382499E-2</v>
      </c>
      <c r="V6" s="1">
        <v>5.0215899944305399E-2</v>
      </c>
      <c r="W6" s="1">
        <v>5.3007781505584703E-2</v>
      </c>
      <c r="X6" s="1">
        <v>5.9887826442718499E-2</v>
      </c>
      <c r="Y6" s="1">
        <v>6.3131302595138494E-2</v>
      </c>
      <c r="Z6" s="1">
        <v>6.2122285366058301E-2</v>
      </c>
      <c r="AA6" s="1">
        <v>7.0312589406967094E-2</v>
      </c>
      <c r="AB6" s="1">
        <v>6.1840325593948302E-2</v>
      </c>
      <c r="AC6" s="1">
        <v>6.60441219806671E-2</v>
      </c>
      <c r="AD6" s="1">
        <v>6.6142439842224093E-2</v>
      </c>
      <c r="AE6" s="1">
        <v>5.71274757385253E-2</v>
      </c>
      <c r="AF6" s="1">
        <v>5.3987711668014499E-2</v>
      </c>
      <c r="AG6" s="1">
        <v>6.4520031213760307E-2</v>
      </c>
      <c r="AH6" s="1">
        <v>5.3931504487991298E-2</v>
      </c>
      <c r="AI6" s="1">
        <v>4.1348963975906303E-2</v>
      </c>
      <c r="AJ6" s="1">
        <v>3.4453213214874198E-2</v>
      </c>
      <c r="AK6" s="1">
        <v>4.4032484292984002E-2</v>
      </c>
    </row>
    <row r="7" spans="1:37" x14ac:dyDescent="0.35">
      <c r="A7" s="1">
        <v>3.0976235866546601E-3</v>
      </c>
      <c r="B7" s="1">
        <v>-1.56104564666748E-3</v>
      </c>
      <c r="C7" s="1">
        <v>-9.9378824234008702E-4</v>
      </c>
      <c r="D7" s="1">
        <v>1.2217313051223699E-2</v>
      </c>
      <c r="E7" s="1">
        <v>1.068115234375E-2</v>
      </c>
      <c r="F7" s="1">
        <v>1.6704529523849401E-2</v>
      </c>
      <c r="G7" s="1">
        <v>8.7721347808837804E-3</v>
      </c>
      <c r="H7" s="1">
        <v>1.3314455747604301E-2</v>
      </c>
      <c r="I7" s="1">
        <v>1.6771614551544099E-2</v>
      </c>
      <c r="J7" s="1">
        <v>1.6630738973617502E-2</v>
      </c>
      <c r="K7" s="1">
        <v>2.0188391208648598E-2</v>
      </c>
      <c r="L7" s="1">
        <v>2.1947860717773399E-2</v>
      </c>
      <c r="M7" s="1">
        <v>2.10010111331939E-2</v>
      </c>
      <c r="N7" s="1">
        <v>2.0731538534164401E-2</v>
      </c>
      <c r="O7" s="1">
        <v>4.14981842041015E-2</v>
      </c>
      <c r="P7" s="1">
        <v>3.08608710765838E-2</v>
      </c>
      <c r="Q7" s="1">
        <v>3.3224970102310097E-2</v>
      </c>
      <c r="R7" s="1">
        <v>3.72268259525299E-2</v>
      </c>
      <c r="S7" s="1">
        <v>6.4226627349853502E-2</v>
      </c>
      <c r="T7" s="1">
        <v>6.5990716218948295E-2</v>
      </c>
      <c r="U7" s="1">
        <v>5.7321697473526001E-2</v>
      </c>
      <c r="V7" s="1">
        <v>5.0215899944305399E-2</v>
      </c>
      <c r="W7" s="1">
        <v>5.1710575819015503E-2</v>
      </c>
      <c r="X7" s="1">
        <v>5.7666659355163498E-2</v>
      </c>
      <c r="Y7" s="1">
        <v>5.72212934494018E-2</v>
      </c>
      <c r="Z7" s="1">
        <v>6.57165646553039E-2</v>
      </c>
      <c r="AA7" s="1">
        <v>7.7279984951019204E-2</v>
      </c>
      <c r="AB7" s="1">
        <v>6.5390288829803397E-2</v>
      </c>
      <c r="AC7" s="1">
        <v>6.4346194267272894E-2</v>
      </c>
      <c r="AD7" s="1">
        <v>6.1057925224304199E-2</v>
      </c>
      <c r="AE7" s="1">
        <v>5.5100917816162102E-2</v>
      </c>
      <c r="AF7" s="1">
        <v>5.7180285453796303E-2</v>
      </c>
      <c r="AG7" s="1">
        <v>5.1466822624206501E-2</v>
      </c>
      <c r="AH7" s="1">
        <v>5.6309342384338303E-2</v>
      </c>
      <c r="AI7" s="1">
        <v>4.9333631992339998E-2</v>
      </c>
      <c r="AJ7" s="1">
        <v>4.1705727577209403E-2</v>
      </c>
      <c r="AK7" s="1">
        <v>3.9112895727157503E-2</v>
      </c>
    </row>
    <row r="8" spans="1:37" x14ac:dyDescent="0.35">
      <c r="A8" s="1">
        <v>5.4149031639099104E-3</v>
      </c>
      <c r="B8" s="1">
        <v>4.31269407272338E-3</v>
      </c>
      <c r="C8" s="1">
        <v>1.1817514896392801E-3</v>
      </c>
      <c r="D8" s="1">
        <v>1.2775033712387E-2</v>
      </c>
      <c r="E8" s="1">
        <v>1.33250057697296E-2</v>
      </c>
      <c r="F8" s="1">
        <v>1.82151198387146E-2</v>
      </c>
      <c r="G8" s="1">
        <v>8.8487565517425502E-3</v>
      </c>
      <c r="H8" s="1">
        <v>1.7284095287322901E-2</v>
      </c>
      <c r="I8" s="1">
        <v>1.58962905406951E-2</v>
      </c>
      <c r="J8" s="1">
        <v>1.49148404598236E-2</v>
      </c>
      <c r="K8" s="1">
        <v>2.04445123672485E-2</v>
      </c>
      <c r="L8" s="1">
        <v>2.0790994167327801E-2</v>
      </c>
      <c r="M8" s="1">
        <v>1.86947286128997E-2</v>
      </c>
      <c r="N8" s="1">
        <v>1.9602775573730399E-2</v>
      </c>
      <c r="O8" s="1">
        <v>2.49662101268768E-2</v>
      </c>
      <c r="P8" s="1">
        <v>3.6956608295440598E-2</v>
      </c>
      <c r="Q8" s="1">
        <v>5.3384840488433803E-2</v>
      </c>
      <c r="R8" s="1">
        <v>4.7887861728668199E-2</v>
      </c>
      <c r="S8" s="1">
        <v>5.7778865098953198E-2</v>
      </c>
      <c r="T8" s="1">
        <v>6.2847614288329995E-2</v>
      </c>
      <c r="U8" s="1">
        <v>4.8195451498031602E-2</v>
      </c>
      <c r="V8" s="1">
        <v>5.0215899944305399E-2</v>
      </c>
      <c r="W8" s="1">
        <v>5.17234206199646E-2</v>
      </c>
      <c r="X8" s="1">
        <v>5.5854201316833399E-2</v>
      </c>
      <c r="Y8" s="1">
        <v>6.2458902597427299E-2</v>
      </c>
      <c r="Z8" s="1">
        <v>6.31887912750244E-2</v>
      </c>
      <c r="AA8" s="1">
        <v>7.7253222465515095E-2</v>
      </c>
      <c r="AB8" s="1">
        <v>7.1772634983062703E-2</v>
      </c>
      <c r="AC8" s="1">
        <v>6.9001853466033894E-2</v>
      </c>
      <c r="AD8" s="1">
        <v>5.7857394218444803E-2</v>
      </c>
      <c r="AE8" s="1">
        <v>4.4691294431686401E-2</v>
      </c>
      <c r="AF8" s="1">
        <v>5.7329922914504998E-2</v>
      </c>
      <c r="AG8" s="1">
        <v>5.3052514791488599E-2</v>
      </c>
      <c r="AH8" s="1">
        <v>5.3825259208679199E-2</v>
      </c>
      <c r="AI8" s="1">
        <v>4.1022121906280497E-2</v>
      </c>
      <c r="AJ8" s="1">
        <v>5.7302355766296303E-2</v>
      </c>
      <c r="AK8" s="1">
        <v>4.5616716146469102E-2</v>
      </c>
    </row>
    <row r="9" spans="1:37" x14ac:dyDescent="0.35">
      <c r="A9" s="1">
        <v>-8.67784023284912E-4</v>
      </c>
      <c r="B9" s="1">
        <v>-1.7131865024566601E-3</v>
      </c>
      <c r="C9" s="1">
        <v>8.9143216609954799E-3</v>
      </c>
      <c r="D9" s="1">
        <v>1.2161523103713901E-2</v>
      </c>
      <c r="E9" s="1">
        <v>2.5899201631546E-2</v>
      </c>
      <c r="F9" s="1">
        <v>3.2000243663787798E-3</v>
      </c>
      <c r="G9" s="1">
        <v>1.08608901500701E-2</v>
      </c>
      <c r="H9" s="1">
        <v>1.45104229450225E-2</v>
      </c>
      <c r="I9" s="1">
        <v>1.71462595462799E-2</v>
      </c>
      <c r="J9" s="1">
        <v>1.71429514884948E-2</v>
      </c>
      <c r="K9" s="1">
        <v>2.01720595359802E-2</v>
      </c>
      <c r="L9" s="1">
        <v>2.2144645452499299E-2</v>
      </c>
      <c r="M9" s="1">
        <v>1.20178163051605E-2</v>
      </c>
      <c r="N9" s="1">
        <v>1.9013524055480902E-2</v>
      </c>
      <c r="O9" s="1">
        <v>2.6026606559753401E-2</v>
      </c>
      <c r="P9" s="1">
        <v>3.0824840068817101E-2</v>
      </c>
      <c r="Q9" s="1">
        <v>3.2264381647109902E-2</v>
      </c>
      <c r="R9" s="1">
        <v>2.3991465568542401E-2</v>
      </c>
      <c r="S9" s="1">
        <v>5.04860281944274E-2</v>
      </c>
      <c r="T9" s="1">
        <v>6.3757985830307007E-2</v>
      </c>
      <c r="U9" s="1">
        <v>4.7415196895599303E-2</v>
      </c>
      <c r="V9" s="1">
        <v>5.0215899944305399E-2</v>
      </c>
      <c r="W9" s="1">
        <v>5.6263536214828401E-2</v>
      </c>
      <c r="X9" s="1">
        <v>5.8403074741363498E-2</v>
      </c>
      <c r="Y9" s="1">
        <v>5.7359963655471802E-2</v>
      </c>
      <c r="Z9" s="1">
        <v>5.9183418750762898E-2</v>
      </c>
      <c r="AA9" s="1">
        <v>7.5620532035827595E-2</v>
      </c>
      <c r="AB9" s="1">
        <v>7.1666359901428195E-2</v>
      </c>
      <c r="AC9" s="1">
        <v>7.4436694383621202E-2</v>
      </c>
      <c r="AD9" s="1">
        <v>6.7827105522155706E-2</v>
      </c>
      <c r="AE9" s="1">
        <v>6.3148736953735296E-2</v>
      </c>
      <c r="AF9" s="1">
        <v>5.86289763450622E-2</v>
      </c>
      <c r="AG9" s="1">
        <v>5.9005111455917303E-2</v>
      </c>
      <c r="AH9" s="1">
        <v>4.6594262123107903E-2</v>
      </c>
      <c r="AI9" s="1">
        <v>2.9680937528610198E-2</v>
      </c>
      <c r="AJ9" s="1">
        <v>3.05947065353393E-2</v>
      </c>
      <c r="AK9" s="1">
        <v>4.1405946016311597E-2</v>
      </c>
    </row>
    <row r="10" spans="1:37" x14ac:dyDescent="0.35">
      <c r="A10" s="1">
        <v>1.0578840970993E-2</v>
      </c>
      <c r="B10" s="1">
        <v>1.9219815731048499E-3</v>
      </c>
      <c r="C10" s="1">
        <v>3.8045346736907898E-3</v>
      </c>
      <c r="D10" s="1">
        <v>1.6837328672408999E-2</v>
      </c>
      <c r="E10" s="1">
        <v>2.4373769760131801E-2</v>
      </c>
      <c r="F10" s="1">
        <v>1.6314119100570599E-2</v>
      </c>
      <c r="G10" s="1">
        <v>1.30055844783782E-2</v>
      </c>
      <c r="H10" s="1">
        <v>1.55676007270812E-2</v>
      </c>
      <c r="I10" s="1">
        <v>1.5018671751022301E-2</v>
      </c>
      <c r="J10" s="1">
        <v>1.41807496547698E-2</v>
      </c>
      <c r="K10" s="1">
        <v>2.0103394985198898E-2</v>
      </c>
      <c r="L10" s="1">
        <v>2.1677851676940901E-2</v>
      </c>
      <c r="M10" s="1">
        <v>1.41437649726867E-2</v>
      </c>
      <c r="N10" s="1">
        <v>1.7034828662872301E-2</v>
      </c>
      <c r="O10" s="1">
        <v>1.9325673580169601E-2</v>
      </c>
      <c r="P10" s="1">
        <v>2.5171428918838501E-2</v>
      </c>
      <c r="Q10" s="1">
        <v>4.3603241443633999E-2</v>
      </c>
      <c r="R10" s="1">
        <v>3.43570709228515E-2</v>
      </c>
      <c r="S10" s="1">
        <v>5.33727705478668E-2</v>
      </c>
      <c r="T10" s="1">
        <v>5.7957410812377902E-2</v>
      </c>
      <c r="U10" s="1">
        <v>4.3884724378585802E-2</v>
      </c>
      <c r="V10" s="1">
        <v>5.0215899944305399E-2</v>
      </c>
      <c r="W10" s="1">
        <v>5.3202003240585299E-2</v>
      </c>
      <c r="X10" s="1">
        <v>6.1017185449600199E-2</v>
      </c>
      <c r="Y10" s="1">
        <v>5.99702298641204E-2</v>
      </c>
      <c r="Z10" s="1">
        <v>6.5639615058898898E-2</v>
      </c>
      <c r="AA10" s="1">
        <v>7.8789591789245605E-2</v>
      </c>
      <c r="AB10" s="1">
        <v>6.7190080881118705E-2</v>
      </c>
      <c r="AC10" s="1">
        <v>7.7868938446044894E-2</v>
      </c>
      <c r="AD10" s="1">
        <v>5.83855807781219E-2</v>
      </c>
      <c r="AE10" s="1">
        <v>7.0336371660232502E-2</v>
      </c>
      <c r="AF10" s="1">
        <v>5.7628154754638602E-2</v>
      </c>
      <c r="AG10" s="1">
        <v>5.49043118953704E-2</v>
      </c>
      <c r="AH10" s="1">
        <v>5.9368848800659103E-2</v>
      </c>
      <c r="AI10" s="1">
        <v>5.1464051008224397E-2</v>
      </c>
      <c r="AJ10" s="1">
        <v>5.4072707891464199E-2</v>
      </c>
      <c r="AK10" s="1">
        <v>4.4463932514190598E-2</v>
      </c>
    </row>
    <row r="11" spans="1:37" x14ac:dyDescent="0.35">
      <c r="A11" s="1">
        <v>-5.0482451915740897E-3</v>
      </c>
      <c r="B11" s="1">
        <v>-4.8189163208007804E-3</v>
      </c>
      <c r="C11" s="1">
        <v>7.9405605792999198E-3</v>
      </c>
      <c r="D11" s="1">
        <v>6.4366757869720398E-3</v>
      </c>
      <c r="E11" s="1">
        <v>1.4717578887939399E-2</v>
      </c>
      <c r="F11" s="1">
        <v>9.2491507530212402E-3</v>
      </c>
      <c r="G11" s="1">
        <v>1.2331336736679001E-2</v>
      </c>
      <c r="H11" s="1">
        <v>1.60883665084838E-2</v>
      </c>
      <c r="I11" s="1">
        <v>1.6119301319122301E-2</v>
      </c>
      <c r="J11" s="1">
        <v>1.88622176647186E-2</v>
      </c>
      <c r="K11" s="1">
        <v>1.9801884889602599E-2</v>
      </c>
      <c r="L11" s="1">
        <v>2.18906998634338E-2</v>
      </c>
      <c r="M11" s="1">
        <v>1.8040090799331599E-2</v>
      </c>
      <c r="N11" s="1">
        <v>1.5689343214034999E-2</v>
      </c>
      <c r="O11" s="1">
        <v>2.5921195745468101E-2</v>
      </c>
      <c r="P11" s="1">
        <v>3.5106241703033399E-2</v>
      </c>
      <c r="Q11" s="1">
        <v>3.8593411445617599E-2</v>
      </c>
      <c r="R11" s="1">
        <v>4.3269604444503701E-2</v>
      </c>
      <c r="S11" s="1">
        <v>5.71247041225433E-2</v>
      </c>
      <c r="T11" s="1">
        <v>5.5022954940795898E-2</v>
      </c>
      <c r="U11" s="1">
        <v>5.0215899944305399E-2</v>
      </c>
      <c r="V11" s="1">
        <v>5.0215899944305399E-2</v>
      </c>
      <c r="W11" s="1">
        <v>5.46713471412658E-2</v>
      </c>
      <c r="X11" s="1">
        <v>5.9398770332336398E-2</v>
      </c>
      <c r="Y11" s="1">
        <v>5.8625757694244301E-2</v>
      </c>
      <c r="Z11" s="1">
        <v>6.5345048904418904E-2</v>
      </c>
      <c r="AA11" s="1">
        <v>6.7965805530548096E-2</v>
      </c>
      <c r="AB11" s="1">
        <v>6.8802207708358695E-2</v>
      </c>
      <c r="AC11" s="1">
        <v>7.0510953664779594E-2</v>
      </c>
      <c r="AD11" s="1">
        <v>5.92899322509765E-2</v>
      </c>
      <c r="AE11" s="1">
        <v>4.7700762748718199E-2</v>
      </c>
      <c r="AF11" s="1">
        <v>6.2155038118362399E-2</v>
      </c>
      <c r="AG11" s="1">
        <v>5.6206315755844102E-2</v>
      </c>
      <c r="AH11" s="1">
        <v>3.4783124923705999E-2</v>
      </c>
      <c r="AI11" s="1">
        <v>4.8832386732101399E-2</v>
      </c>
      <c r="AJ11" s="1">
        <v>3.8055270910262999E-2</v>
      </c>
      <c r="AK11" s="1">
        <v>4.6868115663528401E-2</v>
      </c>
    </row>
    <row r="13" spans="1:37" x14ac:dyDescent="0.35">
      <c r="A13" s="2" t="s">
        <v>37</v>
      </c>
    </row>
    <row r="14" spans="1:37" x14ac:dyDescent="0.35">
      <c r="A14" s="1">
        <f>AVERAGE(FI_Combined_genus[F_TOTAL])</f>
        <v>4.4628769159316952E-3</v>
      </c>
      <c r="B14" s="1">
        <f>AVERAGE(FI_Combined_genus[F_CITMLB])</f>
        <v>-1.5011131763458258E-3</v>
      </c>
      <c r="C14" s="1">
        <f>AVERAGE(FI_Combined_genus[F_OTHER])</f>
        <v>4.2541682720184286E-3</v>
      </c>
      <c r="D14" s="1">
        <f>AVERAGE(FI_Combined_genus[F_JUICE])</f>
        <v>1.2407234311103781E-2</v>
      </c>
      <c r="E14" s="1">
        <f>AVERAGE(FI_Combined_genus[V_TOTAL])</f>
        <v>1.6271293163299529E-2</v>
      </c>
      <c r="F14" s="1">
        <f>AVERAGE(FI_Combined_genus[V_DRKGR])</f>
        <v>1.4059785008430453E-2</v>
      </c>
      <c r="G14" s="1">
        <f>AVERAGE(FI_Combined_genus[V_REDOR_TOTAL])</f>
        <v>1.0626590251922557E-2</v>
      </c>
      <c r="H14" s="1">
        <f>AVERAGE(FI_Combined_genus[V_REDOR_TOMATO])</f>
        <v>1.4350515604019098E-2</v>
      </c>
      <c r="I14" s="1">
        <f>AVERAGE(FI_Combined_genus[V_REDOR_OTHER])</f>
        <v>1.5980333089828443E-2</v>
      </c>
      <c r="J14" s="1">
        <f>AVERAGE(FI_Combined_genus[V_STARCHY_TOTAL])</f>
        <v>1.6934144496917679E-2</v>
      </c>
      <c r="K14" s="1">
        <f>AVERAGE(FI_Combined_genus[V_STARCHY_POTATO])</f>
        <v>2.0247665047645511E-2</v>
      </c>
      <c r="L14" s="1">
        <f>AVERAGE(FI_Combined_genus[V_STARCHY_OTHER])</f>
        <v>2.1328648924827533E-2</v>
      </c>
      <c r="M14" s="1">
        <f>AVERAGE(FI_Combined_genus[V_OTHER])</f>
        <v>1.730307042598718E-2</v>
      </c>
      <c r="N14" s="1">
        <f>AVERAGE(FI_Combined_genus[V_LEGUMES])</f>
        <v>1.8911498785018879E-2</v>
      </c>
      <c r="O14" s="1">
        <f>AVERAGE(FI_Combined_genus[G_TOTAL])</f>
        <v>3.1200721859931901E-2</v>
      </c>
      <c r="P14" s="1">
        <f>AVERAGE(FI_Combined_genus[G_WHOLE])</f>
        <v>2.9858189821243237E-2</v>
      </c>
      <c r="Q14" s="1">
        <f>AVERAGE(FI_Combined_genus[G_REFINED])</f>
        <v>4.1009593009948664E-2</v>
      </c>
      <c r="R14" s="1">
        <f>AVERAGE(FI_Combined_genus[PF_TOTAL])</f>
        <v>3.5304215550422624E-2</v>
      </c>
      <c r="S14" s="1">
        <f>AVERAGE(FI_Combined_genus[PF_MPS_TOTAL])</f>
        <v>5.3443652391433671E-2</v>
      </c>
      <c r="T14" s="1">
        <f>AVERAGE(FI_Combined_genus[PF_MEAT])</f>
        <v>5.970068573951718E-2</v>
      </c>
      <c r="U14" s="1">
        <f>AVERAGE(FI_Combined_genus[PF_CUREDMEAT])</f>
        <v>5.0464224815368622E-2</v>
      </c>
      <c r="V14" s="1">
        <f>AVERAGE(FI_Combined_genus[PF_ORGAN])</f>
        <v>5.0215899944305406E-2</v>
      </c>
      <c r="W14" s="1">
        <f>AVERAGE(FI_Combined_genus[PF_POULT])</f>
        <v>5.0782084465026821E-2</v>
      </c>
      <c r="X14" s="1">
        <f>AVERAGE(FI_Combined_genus[PF_SEAFD_HI])</f>
        <v>5.9197843074798549E-2</v>
      </c>
      <c r="Y14" s="1">
        <f>AVERAGE(FI_Combined_genus[PF_SEAFD_LOW])</f>
        <v>5.9112781286239556E-2</v>
      </c>
      <c r="Z14" s="1">
        <f>AVERAGE(FI_Combined_genus[PF_EGGS])</f>
        <v>6.3662433624267531E-2</v>
      </c>
      <c r="AA14" s="1">
        <f>AVERAGE(FI_Combined_genus[PF_SOY])</f>
        <v>7.1689569950103699E-2</v>
      </c>
      <c r="AB14" s="1">
        <f>AVERAGE(FI_Combined_genus[PF_NUTSDS])</f>
        <v>6.7918232083320568E-2</v>
      </c>
      <c r="AC14" s="1">
        <f>AVERAGE(FI_Combined_genus[PF_LEGUMES])</f>
        <v>6.7639833688735926E-2</v>
      </c>
      <c r="AD14" s="1">
        <f>AVERAGE(FI_Combined_genus[D_TOTAL])</f>
        <v>6.3797914981842008E-2</v>
      </c>
      <c r="AE14" s="1">
        <f>AVERAGE(FI_Combined_genus[D_MILK])</f>
        <v>5.488532185554499E-2</v>
      </c>
      <c r="AF14" s="1">
        <f>AVERAGE(FI_Combined_genus[D_YOGURT])</f>
        <v>5.7214039564132659E-2</v>
      </c>
      <c r="AG14" s="1">
        <f>AVERAGE(FI_Combined_genus[D_CHEESE])</f>
        <v>5.7895186543464594E-2</v>
      </c>
      <c r="AH14" s="1">
        <f>AVERAGE(FI_Combined_genus[OILS])</f>
        <v>4.7908800840377776E-2</v>
      </c>
      <c r="AI14" s="1">
        <f>AVERAGE(FI_Combined_genus[SOLID_FATS])</f>
        <v>4.204308092594141E-2</v>
      </c>
      <c r="AJ14" s="1">
        <f>AVERAGE(FI_Combined_genus[ADD_SUGARS])</f>
        <v>4.4408470392227124E-2</v>
      </c>
      <c r="AK14" s="1">
        <f>AVERAGE(FI_Combined_genus[A_DRINKS])</f>
        <v>4.3445232510566673E-2</v>
      </c>
    </row>
    <row r="15" spans="1:37" x14ac:dyDescent="0.35">
      <c r="A15" s="2" t="s">
        <v>38</v>
      </c>
    </row>
    <row r="16" spans="1:37" x14ac:dyDescent="0.35">
      <c r="A16" s="1">
        <f>STDEV(FI_Combined_genus[F_TOTAL])</f>
        <v>4.5700498727745485E-3</v>
      </c>
      <c r="B16" s="1">
        <f>STDEV(FI_Combined_genus[F_CITMLB])</f>
        <v>3.1480036731577348E-3</v>
      </c>
      <c r="C16" s="1">
        <f>STDEV(FI_Combined_genus[F_OTHER])</f>
        <v>3.4338565365733581E-3</v>
      </c>
      <c r="D16" s="1">
        <f>STDEV(FI_Combined_genus[F_JUICE])</f>
        <v>4.3421814751000163E-3</v>
      </c>
      <c r="E16" s="1">
        <f>STDEV(FI_Combined_genus[V_TOTAL])</f>
        <v>4.9852181439360788E-3</v>
      </c>
      <c r="F16" s="1">
        <f>STDEV(FI_Combined_genus[V_DRKGR])</f>
        <v>4.8012503341220364E-3</v>
      </c>
      <c r="G16" s="1">
        <f>STDEV(FI_Combined_genus[V_REDOR_TOTAL])</f>
        <v>1.7351934315171767E-3</v>
      </c>
      <c r="H16" s="1">
        <f>STDEV(FI_Combined_genus[V_REDOR_TOMATO])</f>
        <v>2.0727087511219072E-3</v>
      </c>
      <c r="I16" s="1">
        <f>STDEV(FI_Combined_genus[V_REDOR_OTHER])</f>
        <v>1.0103237414850715E-3</v>
      </c>
      <c r="J16" s="1">
        <f>STDEV(FI_Combined_genus[V_STARCHY_TOTAL])</f>
        <v>1.5524627467955029E-3</v>
      </c>
      <c r="K16" s="1">
        <f>STDEV(FI_Combined_genus[V_STARCHY_POTATO])</f>
        <v>8.2435532234117603E-4</v>
      </c>
      <c r="L16" s="1">
        <f>STDEV(FI_Combined_genus[V_STARCHY_OTHER])</f>
        <v>9.6832857296848946E-4</v>
      </c>
      <c r="M16" s="1">
        <f>STDEV(FI_Combined_genus[V_OTHER])</f>
        <v>4.4811853116461815E-3</v>
      </c>
      <c r="N16" s="1">
        <f>STDEV(FI_Combined_genus[V_LEGUMES])</f>
        <v>1.4784163783610521E-3</v>
      </c>
      <c r="O16" s="1">
        <f>STDEV(FI_Combined_genus[G_TOTAL])</f>
        <v>1.0205575552190801E-2</v>
      </c>
      <c r="P16" s="1">
        <f>STDEV(FI_Combined_genus[G_WHOLE])</f>
        <v>4.5895688806338762E-3</v>
      </c>
      <c r="Q16" s="1">
        <f>STDEV(FI_Combined_genus[G_REFINED])</f>
        <v>9.0972643458740003E-3</v>
      </c>
      <c r="R16" s="1">
        <f>STDEV(FI_Combined_genus[PF_TOTAL])</f>
        <v>7.5023910077257807E-3</v>
      </c>
      <c r="S16" s="1">
        <f>STDEV(FI_Combined_genus[PF_MPS_TOTAL])</f>
        <v>6.3533156169369208E-3</v>
      </c>
      <c r="T16" s="1">
        <f>STDEV(FI_Combined_genus[PF_MEAT])</f>
        <v>7.4326245054549501E-3</v>
      </c>
      <c r="U16" s="1">
        <f>STDEV(FI_Combined_genus[PF_CUREDMEAT])</f>
        <v>4.6672674615266625E-3</v>
      </c>
      <c r="V16" s="1">
        <f>STDEV(FI_Combined_genus[PF_ORGAN])</f>
        <v>7.3142363928681276E-18</v>
      </c>
      <c r="W16" s="1">
        <f>STDEV(FI_Combined_genus[PF_POULT])</f>
        <v>5.8902734774118407E-3</v>
      </c>
      <c r="X16" s="1">
        <f>STDEV(FI_Combined_genus[PF_SEAFD_HI])</f>
        <v>2.3428885614889166E-3</v>
      </c>
      <c r="Y16" s="1">
        <f>STDEV(FI_Combined_genus[PF_SEAFD_LOW])</f>
        <v>2.890984481633664E-3</v>
      </c>
      <c r="Z16" s="1">
        <f>STDEV(FI_Combined_genus[PF_EGGS])</f>
        <v>2.5732928534326874E-3</v>
      </c>
      <c r="AA16" s="1">
        <f>STDEV(FI_Combined_genus[PF_SOY])</f>
        <v>6.0561039187296195E-3</v>
      </c>
      <c r="AB16" s="1">
        <f>STDEV(FI_Combined_genus[PF_NUTSDS])</f>
        <v>6.7711179114570558E-3</v>
      </c>
      <c r="AC16" s="1">
        <f>STDEV(FI_Combined_genus[PF_LEGUMES])</f>
        <v>6.0726041909102422E-3</v>
      </c>
      <c r="AD16" s="1">
        <f>STDEV(FI_Combined_genus[D_TOTAL])</f>
        <v>5.0142041758502514E-3</v>
      </c>
      <c r="AE16" s="1">
        <f>STDEV(FI_Combined_genus[D_MILK])</f>
        <v>8.4050916422370447E-3</v>
      </c>
      <c r="AF16" s="1">
        <f>STDEV(FI_Combined_genus[D_YOGURT])</f>
        <v>2.2044983411458941E-3</v>
      </c>
      <c r="AG16" s="1">
        <f>STDEV(FI_Combined_genus[D_CHEESE])</f>
        <v>4.1164145948905393E-3</v>
      </c>
      <c r="AH16" s="1">
        <f>STDEV(FI_Combined_genus[OILS])</f>
        <v>8.5304912322274155E-3</v>
      </c>
      <c r="AI16" s="1">
        <f>STDEV(FI_Combined_genus[SOLID_FATS])</f>
        <v>6.7598532755205193E-3</v>
      </c>
      <c r="AJ16" s="1">
        <f>STDEV(FI_Combined_genus[ADD_SUGARS])</f>
        <v>9.2930230698613694E-3</v>
      </c>
      <c r="AK16" s="1">
        <f>STDEV(FI_Combined_genus[A_DRINKS])</f>
        <v>2.6318447006868149E-3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A248-C530-4038-B517-5457FF4A5172}">
  <dimension ref="A1:AK16"/>
  <sheetViews>
    <sheetView tabSelected="1" topLeftCell="AA1" workbookViewId="0">
      <selection activeCell="A16" sqref="A16:AK16"/>
    </sheetView>
  </sheetViews>
  <sheetFormatPr baseColWidth="10" defaultRowHeight="14.5" x14ac:dyDescent="0.35"/>
  <cols>
    <col min="1" max="13" width="22.1796875" style="1" bestFit="1" customWidth="1"/>
    <col min="14" max="14" width="23.1796875" style="1" bestFit="1" customWidth="1"/>
    <col min="15" max="15" width="22.1796875" style="1" bestFit="1" customWidth="1"/>
    <col min="16" max="16" width="23.1796875" style="1" bestFit="1" customWidth="1"/>
    <col min="17" max="18" width="22.1796875" style="1" bestFit="1" customWidth="1"/>
    <col min="19" max="19" width="22.54296875" style="1" bestFit="1" customWidth="1"/>
    <col min="20" max="25" width="22.1796875" style="1" bestFit="1" customWidth="1"/>
    <col min="26" max="26" width="22.54296875" style="1" bestFit="1" customWidth="1"/>
    <col min="27" max="27" width="23.1796875" style="1" bestFit="1" customWidth="1"/>
    <col min="28" max="29" width="22.54296875" style="1" bestFit="1" customWidth="1"/>
    <col min="30" max="30" width="22.1796875" style="1" bestFit="1" customWidth="1"/>
    <col min="31" max="34" width="21.54296875" style="1" bestFit="1" customWidth="1"/>
    <col min="35" max="35" width="22.54296875" style="1" bestFit="1" customWidth="1"/>
    <col min="36" max="37" width="22.1796875" style="1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1">
        <v>-1.53994560241699E-3</v>
      </c>
      <c r="B2" s="1">
        <v>-3.3524036407470699E-3</v>
      </c>
      <c r="C2" s="1">
        <v>-5.8687627315521197E-3</v>
      </c>
      <c r="D2" s="1">
        <v>-1.68217718601226E-3</v>
      </c>
      <c r="E2" s="1">
        <v>4.6938657760620097E-5</v>
      </c>
      <c r="F2" s="1">
        <v>-3.7271678447723302E-3</v>
      </c>
      <c r="G2" s="1">
        <v>-5.3885728120803798E-3</v>
      </c>
      <c r="H2" s="1">
        <v>-2.2768527269363399E-3</v>
      </c>
      <c r="I2" s="1">
        <v>-1.9476115703582701E-3</v>
      </c>
      <c r="J2" s="1">
        <v>-1.21431052684783E-3</v>
      </c>
      <c r="K2" s="1">
        <v>-4.74944710731506E-3</v>
      </c>
      <c r="L2" s="1">
        <v>-4.1553974151611302E-3</v>
      </c>
      <c r="M2" s="1">
        <v>2.48630344867706E-3</v>
      </c>
      <c r="N2" s="1">
        <v>-4.09901142120361E-4</v>
      </c>
      <c r="O2" s="1">
        <v>-6.2589272856712298E-3</v>
      </c>
      <c r="P2" s="1">
        <v>5.6023895740508999E-3</v>
      </c>
      <c r="Q2" s="1">
        <v>-5.3450837731361302E-3</v>
      </c>
      <c r="R2" s="1">
        <v>-2.6567727327346802E-3</v>
      </c>
      <c r="S2" s="1">
        <v>-4.4061541557312003E-3</v>
      </c>
      <c r="T2" s="1">
        <v>-2.5148987770080501E-3</v>
      </c>
      <c r="U2" s="1">
        <v>-3.94874811172485E-3</v>
      </c>
      <c r="V2" s="1">
        <v>-5.1243603229522696E-3</v>
      </c>
      <c r="W2" s="1">
        <v>-8.3213374018669094E-3</v>
      </c>
      <c r="X2" s="1">
        <v>-5.4317489266395499E-3</v>
      </c>
      <c r="Y2" s="1">
        <v>-4.6994388103485099E-3</v>
      </c>
      <c r="Z2" s="1">
        <v>3.1626224517822201E-4</v>
      </c>
      <c r="AA2" s="1">
        <v>-1.66454911231994E-3</v>
      </c>
      <c r="AB2" s="1">
        <v>1.9267946481704701E-3</v>
      </c>
      <c r="AC2" s="1">
        <v>2.25999951362609E-3</v>
      </c>
      <c r="AD2" s="1">
        <v>1.4082044363021801E-3</v>
      </c>
      <c r="AE2" s="1">
        <v>4.1492581367492598E-3</v>
      </c>
      <c r="AF2" s="1">
        <v>3.1524449586868199E-3</v>
      </c>
      <c r="AG2" s="1">
        <v>5.4008513689041103E-3</v>
      </c>
      <c r="AH2" s="1">
        <v>6.2966346740722602E-4</v>
      </c>
      <c r="AI2" s="1">
        <v>-5.3367093205451896E-3</v>
      </c>
      <c r="AJ2" s="1">
        <v>-7.1699246764183001E-3</v>
      </c>
      <c r="AK2" s="1">
        <v>-5.0409957766532898E-3</v>
      </c>
    </row>
    <row r="3" spans="1:37" x14ac:dyDescent="0.35">
      <c r="A3" s="1">
        <v>-1.29565596580505E-3</v>
      </c>
      <c r="B3" s="1">
        <v>-3.2380223274230901E-3</v>
      </c>
      <c r="C3" s="1">
        <v>-2.1789520978927599E-3</v>
      </c>
      <c r="D3" s="1">
        <v>-2.4631470441818198E-3</v>
      </c>
      <c r="E3" s="1">
        <v>2.8159916400909402E-3</v>
      </c>
      <c r="F3" s="1">
        <v>-9.1124847531318595E-3</v>
      </c>
      <c r="G3" s="1">
        <v>-4.8338174819946202E-3</v>
      </c>
      <c r="H3" s="1">
        <v>-5.0601363182067795E-4</v>
      </c>
      <c r="I3" s="1">
        <v>-1.70725584030151E-3</v>
      </c>
      <c r="J3" s="1">
        <v>-1.2414753437042199E-3</v>
      </c>
      <c r="K3" s="1">
        <v>-4.12492454051971E-3</v>
      </c>
      <c r="L3" s="1">
        <v>-4.0590763092040998E-3</v>
      </c>
      <c r="M3" s="1">
        <v>-4.6468675136566101E-3</v>
      </c>
      <c r="N3" s="1">
        <v>1.7812848091125399E-4</v>
      </c>
      <c r="O3" s="1">
        <v>-3.83809208869934E-3</v>
      </c>
      <c r="P3" s="1">
        <v>-1.50085985660552E-3</v>
      </c>
      <c r="Q3" s="1">
        <v>-3.1793117523193299E-3</v>
      </c>
      <c r="R3" s="1">
        <v>-5.13011962175369E-3</v>
      </c>
      <c r="S3" s="1">
        <v>-6.4399987459182696E-3</v>
      </c>
      <c r="T3" s="1">
        <v>-2.6850849390029899E-3</v>
      </c>
      <c r="U3" s="1">
        <v>-2.1898746490478498E-3</v>
      </c>
      <c r="V3" s="1">
        <v>-5.1243603229522696E-3</v>
      </c>
      <c r="W3" s="1">
        <v>-3.5396218299865701E-3</v>
      </c>
      <c r="X3" s="1">
        <v>-6.0683712363243103E-3</v>
      </c>
      <c r="Y3" s="1">
        <v>-5.3702369332313503E-3</v>
      </c>
      <c r="Z3" s="1">
        <v>-4.6603083610534599E-3</v>
      </c>
      <c r="AA3" s="1">
        <v>-2.4942904710769601E-3</v>
      </c>
      <c r="AB3" s="1">
        <v>2.42228806018829E-3</v>
      </c>
      <c r="AC3" s="1">
        <v>9.0070068836212104E-4</v>
      </c>
      <c r="AD3" s="1">
        <v>1.3322085142135601E-3</v>
      </c>
      <c r="AE3" s="1">
        <v>4.00741398334503E-3</v>
      </c>
      <c r="AF3" s="1">
        <v>1.9646435976028399E-3</v>
      </c>
      <c r="AG3" s="1">
        <v>3.8285851478576599E-3</v>
      </c>
      <c r="AH3" s="1">
        <v>8.8617801666259696E-3</v>
      </c>
      <c r="AI3" s="1">
        <v>1.2151747941970799E-3</v>
      </c>
      <c r="AJ3" s="1">
        <v>-1.79523229598999E-3</v>
      </c>
      <c r="AK3" s="1">
        <v>-6.7686215043067897E-3</v>
      </c>
    </row>
    <row r="4" spans="1:37" x14ac:dyDescent="0.35">
      <c r="A4" s="1">
        <v>-1.4749169349670399E-4</v>
      </c>
      <c r="B4" s="1">
        <v>-3.52369248867034E-3</v>
      </c>
      <c r="C4" s="1">
        <v>-3.24150919914245E-3</v>
      </c>
      <c r="D4" s="1">
        <v>-1.4700293540954501E-3</v>
      </c>
      <c r="E4" s="1">
        <v>-1.5091150999069201E-3</v>
      </c>
      <c r="F4" s="1">
        <v>-3.1873881816864001E-3</v>
      </c>
      <c r="G4" s="1">
        <v>-6.2304809689521703E-3</v>
      </c>
      <c r="H4" s="1">
        <v>-2.27108597755432E-3</v>
      </c>
      <c r="I4" s="1">
        <v>-3.28826904296875E-3</v>
      </c>
      <c r="J4" s="1">
        <v>-2.6265084743499699E-3</v>
      </c>
      <c r="K4" s="1">
        <v>-4.3669641017913801E-3</v>
      </c>
      <c r="L4" s="1">
        <v>-3.7302523851394601E-3</v>
      </c>
      <c r="M4" s="1">
        <v>-3.3167153596878E-3</v>
      </c>
      <c r="N4" s="1">
        <v>-1.3558566570281901E-4</v>
      </c>
      <c r="O4" s="1">
        <v>-4.8315078020095799E-3</v>
      </c>
      <c r="P4" s="1">
        <v>5.3563714027404698E-4</v>
      </c>
      <c r="Q4" s="1">
        <v>-3.5756677389144802E-3</v>
      </c>
      <c r="R4" s="1">
        <v>-4.8375129699706997E-3</v>
      </c>
      <c r="S4" s="1">
        <v>-5.36563992500305E-3</v>
      </c>
      <c r="T4" s="1">
        <v>-2.8098672628402701E-3</v>
      </c>
      <c r="U4" s="1">
        <v>-3.8955062627792302E-3</v>
      </c>
      <c r="V4" s="1">
        <v>-5.1243603229522696E-3</v>
      </c>
      <c r="W4" s="1">
        <v>-6.2475204467773403E-3</v>
      </c>
      <c r="X4" s="1">
        <v>-6.7717880010604798E-3</v>
      </c>
      <c r="Y4" s="1">
        <v>-4.4423490762710502E-3</v>
      </c>
      <c r="Z4" s="1">
        <v>-1.54584646224975E-3</v>
      </c>
      <c r="AA4" s="1">
        <v>-2.59925425052642E-3</v>
      </c>
      <c r="AB4" s="1">
        <v>8.8396668434143001E-4</v>
      </c>
      <c r="AC4" s="1">
        <v>2.7082562446594199E-3</v>
      </c>
      <c r="AD4" s="1">
        <v>3.58591973781585E-3</v>
      </c>
      <c r="AE4" s="1">
        <v>2.3698806762695299E-3</v>
      </c>
      <c r="AF4" s="1">
        <v>2.9196143150329499E-3</v>
      </c>
      <c r="AG4" s="1">
        <v>4.1960626840591396E-3</v>
      </c>
      <c r="AH4" s="1">
        <v>1.238813996315E-2</v>
      </c>
      <c r="AI4" s="1">
        <v>-1.8723011016845701E-3</v>
      </c>
      <c r="AJ4" s="1">
        <v>-5.3962469100952096E-3</v>
      </c>
      <c r="AK4" s="1">
        <v>-5.8710128068923898E-3</v>
      </c>
    </row>
    <row r="5" spans="1:37" x14ac:dyDescent="0.35">
      <c r="A5" s="1">
        <v>-2.3391842842101999E-4</v>
      </c>
      <c r="B5" s="1">
        <v>-2.7309507131576499E-3</v>
      </c>
      <c r="C5" s="1">
        <v>-2.8916150331497101E-3</v>
      </c>
      <c r="D5" s="1">
        <v>-2.0620971918106001E-3</v>
      </c>
      <c r="E5" s="1">
        <v>-3.0393451452255201E-3</v>
      </c>
      <c r="F5" s="1">
        <v>-3.0748248100280701E-3</v>
      </c>
      <c r="G5" s="1">
        <v>-3.9270371198654097E-3</v>
      </c>
      <c r="H5" s="1">
        <v>-7.6176226139068604E-4</v>
      </c>
      <c r="I5" s="1">
        <v>-1.50670111179351E-3</v>
      </c>
      <c r="J5" s="1">
        <v>-2.4286061525344801E-3</v>
      </c>
      <c r="K5" s="1">
        <v>-5.0998032093048096E-3</v>
      </c>
      <c r="L5" s="1">
        <v>-3.9511620998382499E-3</v>
      </c>
      <c r="M5" s="1">
        <v>1.7887800931930501E-3</v>
      </c>
      <c r="N5" s="1">
        <v>-5.2905082702636697E-4</v>
      </c>
      <c r="O5" s="1">
        <v>-6.1976984143257098E-3</v>
      </c>
      <c r="P5" s="1">
        <v>5.1325410604476903E-3</v>
      </c>
      <c r="Q5" s="1">
        <v>-5.6977570056915196E-4</v>
      </c>
      <c r="R5" s="1">
        <v>-5.6273713707923802E-3</v>
      </c>
      <c r="S5" s="1">
        <v>4.6749413013458198E-4</v>
      </c>
      <c r="T5" s="1">
        <v>-3.22197377681732E-3</v>
      </c>
      <c r="U5" s="1">
        <v>-4.8288702964782697E-3</v>
      </c>
      <c r="V5" s="1">
        <v>-5.1243603229522696E-3</v>
      </c>
      <c r="W5" s="1">
        <v>-7.0115700364112802E-3</v>
      </c>
      <c r="X5" s="1">
        <v>-6.2928423285484297E-3</v>
      </c>
      <c r="Y5" s="1">
        <v>-4.3262392282485901E-3</v>
      </c>
      <c r="Z5" s="1">
        <v>-1.7404556274414E-3</v>
      </c>
      <c r="AA5" s="1">
        <v>-4.1963011026382403E-3</v>
      </c>
      <c r="AB5" s="1">
        <v>9.9615752696990902E-4</v>
      </c>
      <c r="AC5" s="1">
        <v>2.3916363716125402E-3</v>
      </c>
      <c r="AD5" s="1">
        <v>-3.2126903533935499E-5</v>
      </c>
      <c r="AE5" s="1">
        <v>4.1283667087554897E-3</v>
      </c>
      <c r="AF5" s="1">
        <v>3.1084120273590001E-3</v>
      </c>
      <c r="AG5" s="1">
        <v>4.1377544403076102E-3</v>
      </c>
      <c r="AH5" s="1">
        <v>9.6906125545501692E-3</v>
      </c>
      <c r="AI5" s="1">
        <v>5.7939141988754203E-3</v>
      </c>
      <c r="AJ5" s="1">
        <v>-9.6005722880363395E-3</v>
      </c>
      <c r="AK5" s="1">
        <v>-7.1010068058967504E-3</v>
      </c>
    </row>
    <row r="6" spans="1:37" x14ac:dyDescent="0.35">
      <c r="A6" s="1">
        <v>-1.27267837524414E-3</v>
      </c>
      <c r="B6" s="1">
        <v>-2.9303431510925202E-3</v>
      </c>
      <c r="C6" s="1">
        <v>-3.92745435237884E-3</v>
      </c>
      <c r="D6" s="1">
        <v>-2.3884773254394501E-3</v>
      </c>
      <c r="E6" s="1">
        <v>-6.2405839562415999E-3</v>
      </c>
      <c r="F6" s="1">
        <v>-3.1600147485733002E-3</v>
      </c>
      <c r="G6" s="1">
        <v>-6.2407329678535401E-3</v>
      </c>
      <c r="H6" s="1">
        <v>-2.2756159305572501E-3</v>
      </c>
      <c r="I6" s="1">
        <v>-4.0201246738433803E-3</v>
      </c>
      <c r="J6" s="1">
        <v>-1.5025138854980399E-3</v>
      </c>
      <c r="K6" s="1">
        <v>-5.22881746292114E-3</v>
      </c>
      <c r="L6" s="1">
        <v>-4.3426454067230199E-3</v>
      </c>
      <c r="M6" s="1">
        <v>2.8668493032455401E-3</v>
      </c>
      <c r="N6" s="1">
        <v>2.06857919692993E-4</v>
      </c>
      <c r="O6" s="1">
        <v>-2.8817653656005799E-3</v>
      </c>
      <c r="P6" s="1">
        <v>1.8583238124847401E-4</v>
      </c>
      <c r="Q6" s="1">
        <v>-2.52722203731536E-3</v>
      </c>
      <c r="R6" s="1">
        <v>-2.3317337036132799E-3</v>
      </c>
      <c r="S6" s="1">
        <v>-4.4365823268890303E-3</v>
      </c>
      <c r="T6" s="1">
        <v>-2.1802037954330401E-3</v>
      </c>
      <c r="U6" s="1">
        <v>-5.1011666655540397E-3</v>
      </c>
      <c r="V6" s="1">
        <v>-5.1243603229522696E-3</v>
      </c>
      <c r="W6" s="1">
        <v>-4.5855492353439296E-3</v>
      </c>
      <c r="X6" s="1">
        <v>-4.6968907117843602E-3</v>
      </c>
      <c r="Y6" s="1">
        <v>-4.2591989040374704E-3</v>
      </c>
      <c r="Z6" s="1">
        <v>-3.4431368112564E-3</v>
      </c>
      <c r="AA6" s="1">
        <v>-1.6904771327972399E-3</v>
      </c>
      <c r="AB6" s="1">
        <v>3.3844262361526398E-3</v>
      </c>
      <c r="AC6" s="1">
        <v>1.5016347169876001E-3</v>
      </c>
      <c r="AD6" s="1">
        <v>1.39930844306945E-3</v>
      </c>
      <c r="AE6" s="1">
        <v>1.0131001472473099E-3</v>
      </c>
      <c r="AF6" s="1">
        <v>2.8908252716064401E-3</v>
      </c>
      <c r="AG6" s="1">
        <v>4.0267109870910601E-3</v>
      </c>
      <c r="AH6" s="1">
        <v>5.7141631841659503E-3</v>
      </c>
      <c r="AI6" s="1">
        <v>5.4581016302108704E-3</v>
      </c>
      <c r="AJ6" s="1">
        <v>-2.0833015441894501E-3</v>
      </c>
      <c r="AK6" s="1">
        <v>-7.1984976530075004E-3</v>
      </c>
    </row>
    <row r="7" spans="1:37" x14ac:dyDescent="0.35">
      <c r="A7" s="1">
        <v>-1.02956593036651E-3</v>
      </c>
      <c r="B7" s="1">
        <v>-1.59141421318054E-3</v>
      </c>
      <c r="C7" s="1">
        <v>-2.9843151569366399E-3</v>
      </c>
      <c r="D7" s="1">
        <v>-2.2832155227661098E-3</v>
      </c>
      <c r="E7" s="1">
        <v>5.4636895656585598E-3</v>
      </c>
      <c r="F7" s="1">
        <v>-3.62445414066314E-3</v>
      </c>
      <c r="G7" s="1">
        <v>-2.4265944957733098E-3</v>
      </c>
      <c r="H7" s="1">
        <v>-1.19420886039733E-3</v>
      </c>
      <c r="I7" s="1">
        <v>-1.9840151071548401E-3</v>
      </c>
      <c r="J7" s="1">
        <v>-1.8448680639266901E-3</v>
      </c>
      <c r="K7" s="1">
        <v>-4.6776831150054897E-3</v>
      </c>
      <c r="L7" s="1">
        <v>-3.8390457630157401E-3</v>
      </c>
      <c r="M7" s="1">
        <v>-2.48441100120544E-3</v>
      </c>
      <c r="N7" s="1">
        <v>3.4289062023162798E-4</v>
      </c>
      <c r="O7" s="1">
        <v>-5.4122060537338196E-3</v>
      </c>
      <c r="P7" s="1">
        <v>1.38270854949951E-3</v>
      </c>
      <c r="Q7" s="1">
        <v>-4.60895895957946E-3</v>
      </c>
      <c r="R7" s="1">
        <v>-1.2495219707489001E-3</v>
      </c>
      <c r="S7" s="1">
        <v>-4.9044787883758502E-3</v>
      </c>
      <c r="T7" s="1">
        <v>-2.7697533369064301E-3</v>
      </c>
      <c r="U7" s="1">
        <v>-4.7612041234969997E-3</v>
      </c>
      <c r="V7" s="1">
        <v>-5.1243603229522696E-3</v>
      </c>
      <c r="W7" s="1">
        <v>-3.9029419422149602E-3</v>
      </c>
      <c r="X7" s="1">
        <v>-5.9549584984779297E-3</v>
      </c>
      <c r="Y7" s="1">
        <v>-2.6730149984359698E-3</v>
      </c>
      <c r="Z7" s="1">
        <v>-3.30986082553863E-3</v>
      </c>
      <c r="AA7" s="1">
        <v>-2.4983584880828801E-3</v>
      </c>
      <c r="AB7" s="1">
        <v>3.2722800970077502E-3</v>
      </c>
      <c r="AC7" s="1">
        <v>1.7625540494918799E-3</v>
      </c>
      <c r="AD7" s="1">
        <v>4.1432231664657497E-3</v>
      </c>
      <c r="AE7" s="1">
        <v>4.6662092208862296E-3</v>
      </c>
      <c r="AF7" s="1">
        <v>3.0744820833206099E-3</v>
      </c>
      <c r="AG7" s="1">
        <v>4.5580118894577E-3</v>
      </c>
      <c r="AH7" s="1">
        <v>9.0440809726715001E-3</v>
      </c>
      <c r="AI7" s="1">
        <v>-4.1501522064208898E-3</v>
      </c>
      <c r="AJ7" s="1">
        <v>-1.58576667308807E-3</v>
      </c>
      <c r="AK7" s="1">
        <v>-5.8229640126228298E-3</v>
      </c>
    </row>
    <row r="8" spans="1:37" x14ac:dyDescent="0.35">
      <c r="A8" s="1">
        <v>-8.54939222335815E-4</v>
      </c>
      <c r="B8" s="1">
        <v>-3.4908503293991002E-3</v>
      </c>
      <c r="C8" s="1">
        <v>-1.8249452114105201E-3</v>
      </c>
      <c r="D8" s="1">
        <v>-2.46122479438781E-3</v>
      </c>
      <c r="E8" s="1">
        <v>-2.3116171360015799E-4</v>
      </c>
      <c r="F8" s="1">
        <v>-2.8718113899230901E-3</v>
      </c>
      <c r="G8" s="1">
        <v>-3.4893751144409102E-3</v>
      </c>
      <c r="H8" s="1">
        <v>-2.4177432060241699E-3</v>
      </c>
      <c r="I8" s="1">
        <v>-1.4123022556304899E-3</v>
      </c>
      <c r="J8" s="1">
        <v>-1.3771951198577801E-3</v>
      </c>
      <c r="K8" s="1">
        <v>-4.7313868999481201E-3</v>
      </c>
      <c r="L8" s="1">
        <v>-4.0676146745681702E-3</v>
      </c>
      <c r="M8" s="1">
        <v>-2.5996118783950801E-3</v>
      </c>
      <c r="N8" s="1">
        <v>3.9009749889373698E-4</v>
      </c>
      <c r="O8" s="1">
        <v>6.7381560802459695E-4</v>
      </c>
      <c r="P8" s="1">
        <v>1.6742944717407199E-4</v>
      </c>
      <c r="Q8" s="1">
        <v>9.5431506633758502E-4</v>
      </c>
      <c r="R8" s="1">
        <v>-2.2558718919753998E-3</v>
      </c>
      <c r="S8" s="1">
        <v>-4.7256350517272897E-3</v>
      </c>
      <c r="T8" s="1">
        <v>-4.0136426687240601E-3</v>
      </c>
      <c r="U8" s="1">
        <v>-2.6530623435974099E-3</v>
      </c>
      <c r="V8" s="1">
        <v>-5.1243603229522696E-3</v>
      </c>
      <c r="W8" s="1">
        <v>-6.0103237628936698E-3</v>
      </c>
      <c r="X8" s="1">
        <v>-4.9173384904861398E-3</v>
      </c>
      <c r="Y8" s="1">
        <v>-4.0675699710845904E-3</v>
      </c>
      <c r="Z8" s="1">
        <v>-1.6736835241317699E-3</v>
      </c>
      <c r="AA8" s="1">
        <v>-2.6205629110336299E-3</v>
      </c>
      <c r="AB8" s="1">
        <v>3.0684471130371002E-4</v>
      </c>
      <c r="AC8" s="1">
        <v>1.19410455226898E-3</v>
      </c>
      <c r="AD8" s="1">
        <v>-1.00068747997283E-3</v>
      </c>
      <c r="AE8" s="1">
        <v>5.71720302104949E-3</v>
      </c>
      <c r="AF8" s="1">
        <v>3.4976154565811101E-3</v>
      </c>
      <c r="AG8" s="1">
        <v>3.09635698795318E-3</v>
      </c>
      <c r="AH8" s="1">
        <v>1.48019194602966E-2</v>
      </c>
      <c r="AI8" s="1">
        <v>-3.23466956615448E-3</v>
      </c>
      <c r="AJ8" s="1">
        <v>-2.8905719518661499E-3</v>
      </c>
      <c r="AK8" s="1">
        <v>-6.2217339873313904E-3</v>
      </c>
    </row>
    <row r="9" spans="1:37" x14ac:dyDescent="0.35">
      <c r="A9" s="1">
        <v>-2.4836510419845499E-3</v>
      </c>
      <c r="B9" s="1">
        <v>-2.91275978088378E-3</v>
      </c>
      <c r="C9" s="1">
        <v>-2.7402192354202201E-3</v>
      </c>
      <c r="D9" s="1">
        <v>-2.7180016040802002E-3</v>
      </c>
      <c r="E9" s="1">
        <v>-2.3839920759201002E-3</v>
      </c>
      <c r="F9" s="1">
        <v>-2.9442310333251901E-3</v>
      </c>
      <c r="G9" s="1">
        <v>-8.7639912962913496E-3</v>
      </c>
      <c r="H9" s="1">
        <v>-1.9632577896118099E-3</v>
      </c>
      <c r="I9" s="1">
        <v>-1.4596730470657301E-3</v>
      </c>
      <c r="J9" s="1">
        <v>-1.6391128301620401E-3</v>
      </c>
      <c r="K9" s="1">
        <v>-4.7888457775115897E-3</v>
      </c>
      <c r="L9" s="1">
        <v>-4.3574869632720904E-3</v>
      </c>
      <c r="M9" s="1">
        <v>-3.0605942010879499E-3</v>
      </c>
      <c r="N9" s="1">
        <v>4.4277310371398899E-4</v>
      </c>
      <c r="O9" s="1">
        <v>-3.0578225851058899E-3</v>
      </c>
      <c r="P9" s="1">
        <v>1.4895498752593901E-3</v>
      </c>
      <c r="Q9" s="1">
        <v>-2.8591156005859301E-3</v>
      </c>
      <c r="R9" s="1">
        <v>-5.07227331399917E-3</v>
      </c>
      <c r="S9" s="1">
        <v>-2.6644617319106999E-3</v>
      </c>
      <c r="T9" s="1">
        <v>-3.84779274463653E-3</v>
      </c>
      <c r="U9" s="1">
        <v>-2.5049746036529502E-3</v>
      </c>
      <c r="V9" s="1">
        <v>-5.1243603229522696E-3</v>
      </c>
      <c r="W9" s="1">
        <v>-5.6861191987991298E-3</v>
      </c>
      <c r="X9" s="1">
        <v>-6.7239925265312099E-3</v>
      </c>
      <c r="Y9" s="1">
        <v>-2.7834028005599902E-3</v>
      </c>
      <c r="Z9" s="1">
        <v>1.7145574092864899E-3</v>
      </c>
      <c r="AA9" s="1">
        <v>-4.7425925731658898E-4</v>
      </c>
      <c r="AB9" s="1">
        <v>2.9370784759521402E-3</v>
      </c>
      <c r="AC9" s="1">
        <v>-1.7719417810440001E-3</v>
      </c>
      <c r="AD9" s="1">
        <v>2.7125626802444402E-3</v>
      </c>
      <c r="AE9" s="1">
        <v>5.2945315837860097E-4</v>
      </c>
      <c r="AF9" s="1">
        <v>2.8308331966400099E-3</v>
      </c>
      <c r="AG9" s="1">
        <v>3.4323185682296701E-3</v>
      </c>
      <c r="AH9" s="1">
        <v>1.34244263172149E-2</v>
      </c>
      <c r="AI9" s="1">
        <v>7.6325237751007002E-3</v>
      </c>
      <c r="AJ9" s="1">
        <v>-6.8734288215637198E-3</v>
      </c>
      <c r="AK9" s="1">
        <v>-6.9726109504699698E-3</v>
      </c>
    </row>
    <row r="10" spans="1:37" x14ac:dyDescent="0.35">
      <c r="A10" s="1">
        <v>-1.60956382751464E-3</v>
      </c>
      <c r="B10" s="1">
        <v>-2.9505640268325801E-3</v>
      </c>
      <c r="C10" s="1">
        <v>-7.0994645357131897E-3</v>
      </c>
      <c r="D10" s="1">
        <v>-6.67735934257507E-4</v>
      </c>
      <c r="E10" s="1">
        <v>-2.9074698686599701E-3</v>
      </c>
      <c r="F10" s="1">
        <v>-8.1235393881797704E-3</v>
      </c>
      <c r="G10" s="1">
        <v>-5.68161159753799E-3</v>
      </c>
      <c r="H10" s="1">
        <v>-2.05013155937194E-3</v>
      </c>
      <c r="I10" s="1">
        <v>-1.7160475254058801E-3</v>
      </c>
      <c r="J10" s="1">
        <v>-2.2725909948348999E-3</v>
      </c>
      <c r="K10" s="1">
        <v>-4.8351436853408796E-3</v>
      </c>
      <c r="L10" s="1">
        <v>-4.0302276611328099E-3</v>
      </c>
      <c r="M10" s="1">
        <v>5.8142840862274105E-4</v>
      </c>
      <c r="N10" s="1">
        <v>2.5445222854614198E-4</v>
      </c>
      <c r="O10" s="1">
        <v>-4.6876817941665597E-3</v>
      </c>
      <c r="P10" s="1">
        <v>-9.5003843307495096E-4</v>
      </c>
      <c r="Q10" s="1">
        <v>-1.5823841094970701E-3</v>
      </c>
      <c r="R10" s="1">
        <v>-2.98607349395751E-3</v>
      </c>
      <c r="S10" s="1">
        <v>1.2956559658050499E-4</v>
      </c>
      <c r="T10" s="1">
        <v>-2.6637762784957799E-3</v>
      </c>
      <c r="U10" s="1">
        <v>-4.4009983539581299E-3</v>
      </c>
      <c r="V10" s="1">
        <v>-5.1243603229522696E-3</v>
      </c>
      <c r="W10" s="1">
        <v>-4.05408442020416E-3</v>
      </c>
      <c r="X10" s="1">
        <v>-6.4691379666328404E-3</v>
      </c>
      <c r="Y10" s="1">
        <v>-4.0261298418045001E-3</v>
      </c>
      <c r="Z10" s="1">
        <v>-3.5341680049896201E-3</v>
      </c>
      <c r="AA10" s="1">
        <v>-2.2657066583633401E-3</v>
      </c>
      <c r="AB10" s="1">
        <v>-8.1747770309448199E-4</v>
      </c>
      <c r="AC10" s="1">
        <v>2.9090046882629302E-4</v>
      </c>
      <c r="AD10" s="1">
        <v>2.6396512985229401E-3</v>
      </c>
      <c r="AE10" s="1">
        <v>4.3541789054870597E-3</v>
      </c>
      <c r="AF10" s="1">
        <v>3.7550330162048301E-3</v>
      </c>
      <c r="AG10" s="1">
        <v>4.1001141071319502E-3</v>
      </c>
      <c r="AH10" s="1">
        <v>1.9201338291168199E-2</v>
      </c>
      <c r="AI10" s="1">
        <v>3.4637749195098801E-4</v>
      </c>
      <c r="AJ10" s="1">
        <v>8.8036060333251899E-5</v>
      </c>
      <c r="AK10" s="1">
        <v>-9.6124410629272396E-4</v>
      </c>
    </row>
    <row r="11" spans="1:37" x14ac:dyDescent="0.35">
      <c r="A11" s="1">
        <v>-2.20836699008941E-3</v>
      </c>
      <c r="B11" s="1">
        <v>-3.7505775690078701E-3</v>
      </c>
      <c r="C11" s="1">
        <v>-3.34079563617706E-3</v>
      </c>
      <c r="D11" s="1">
        <v>-2.8514713048934902E-3</v>
      </c>
      <c r="E11" s="1">
        <v>-3.4893304109573299E-3</v>
      </c>
      <c r="F11" s="1">
        <v>-5.9686154127120902E-3</v>
      </c>
      <c r="G11" s="1">
        <v>-4.32963669300079E-3</v>
      </c>
      <c r="H11" s="1">
        <v>-1.46257877349853E-3</v>
      </c>
      <c r="I11" s="1">
        <v>-2.1976381540298401E-3</v>
      </c>
      <c r="J11" s="1">
        <v>-4.8855841159820496E-3</v>
      </c>
      <c r="K11" s="1">
        <v>-4.0277987718582101E-3</v>
      </c>
      <c r="L11" s="1">
        <v>-4.0904283523559501E-3</v>
      </c>
      <c r="M11" s="1">
        <v>3.4582614898681603E-4</v>
      </c>
      <c r="N11" s="1">
        <v>3.6881864070892301E-4</v>
      </c>
      <c r="O11" s="1">
        <v>-2.8668493032455401E-3</v>
      </c>
      <c r="P11" s="1">
        <v>-2.1898746490478499E-4</v>
      </c>
      <c r="Q11" s="1">
        <v>-3.0139237642288199E-3</v>
      </c>
      <c r="R11" s="1">
        <v>-4.7548562288284302E-3</v>
      </c>
      <c r="S11" s="1">
        <v>-5.2145719528198199E-3</v>
      </c>
      <c r="T11" s="1">
        <v>-3.9892643690109201E-3</v>
      </c>
      <c r="U11" s="1">
        <v>-5.1243603229522696E-3</v>
      </c>
      <c r="V11" s="1">
        <v>-5.1243603229522696E-3</v>
      </c>
      <c r="W11" s="1">
        <v>-6.6763907670974697E-3</v>
      </c>
      <c r="X11" s="1">
        <v>-3.8246363401412899E-3</v>
      </c>
      <c r="Y11" s="1">
        <v>-4.7215819358825597E-3</v>
      </c>
      <c r="Z11" s="1">
        <v>-5.0006732344627302E-3</v>
      </c>
      <c r="AA11" s="1">
        <v>-2.37661600112915E-3</v>
      </c>
      <c r="AB11" s="1">
        <v>3.00163030624389E-3</v>
      </c>
      <c r="AC11" s="1">
        <v>1.5989392995834301E-3</v>
      </c>
      <c r="AD11" s="1">
        <v>2.9237121343612602E-3</v>
      </c>
      <c r="AE11" s="1">
        <v>1.9221454858779901E-3</v>
      </c>
      <c r="AF11" s="1">
        <v>3.8864761590957598E-3</v>
      </c>
      <c r="AG11" s="1">
        <v>2.6495009660720799E-3</v>
      </c>
      <c r="AH11" s="1">
        <v>6.4062029123306196E-3</v>
      </c>
      <c r="AI11" s="1">
        <v>-8.5036903619766201E-3</v>
      </c>
      <c r="AJ11" s="1">
        <v>-4.6538114547729397E-3</v>
      </c>
      <c r="AK11" s="1">
        <v>-3.4828484058380101E-3</v>
      </c>
    </row>
    <row r="13" spans="1:37" x14ac:dyDescent="0.35">
      <c r="A13" s="2" t="s">
        <v>37</v>
      </c>
    </row>
    <row r="14" spans="1:37" x14ac:dyDescent="0.35">
      <c r="A14" s="1">
        <f>AVERAGE(FI_Combined_orden[F_TOTAL])</f>
        <v>-1.2675777077674828E-3</v>
      </c>
      <c r="B14" s="1">
        <f>AVERAGE(FI_Combined_orden[F_CITMLB])</f>
        <v>-3.0471578240394539E-3</v>
      </c>
      <c r="C14" s="1">
        <f>AVERAGE(FI_Combined_orden[F_OTHER])</f>
        <v>-3.609803318977351E-3</v>
      </c>
      <c r="D14" s="1">
        <f>AVERAGE(FI_Combined_orden[F_JUICE])</f>
        <v>-2.1047577261924699E-3</v>
      </c>
      <c r="E14" s="1">
        <f>AVERAGE(FI_Combined_orden[V_TOTAL])</f>
        <v>-1.1474378407001476E-3</v>
      </c>
      <c r="F14" s="1">
        <f>AVERAGE(FI_Combined_orden[V_DRKGR])</f>
        <v>-4.5794531702995234E-3</v>
      </c>
      <c r="G14" s="1">
        <f>AVERAGE(FI_Combined_orden[V_REDOR_TOTAL])</f>
        <v>-5.1311850547790475E-3</v>
      </c>
      <c r="H14" s="1">
        <f>AVERAGE(FI_Combined_orden[V_REDOR_TOMATO])</f>
        <v>-1.7179250717163051E-3</v>
      </c>
      <c r="I14" s="1">
        <f>AVERAGE(FI_Combined_orden[V_REDOR_OTHER])</f>
        <v>-2.1239638328552201E-3</v>
      </c>
      <c r="J14" s="1">
        <f>AVERAGE(FI_Combined_orden[V_STARCHY_TOTAL])</f>
        <v>-2.1032765507697998E-3</v>
      </c>
      <c r="K14" s="1">
        <f>AVERAGE(FI_Combined_orden[V_STARCHY_POTATO])</f>
        <v>-4.6630814671516389E-3</v>
      </c>
      <c r="L14" s="1">
        <f>AVERAGE(FI_Combined_orden[V_STARCHY_OTHER])</f>
        <v>-4.0623337030410728E-3</v>
      </c>
      <c r="M14" s="1">
        <f>AVERAGE(FI_Combined_orden[V_OTHER])</f>
        <v>-8.0390125513076709E-4</v>
      </c>
      <c r="N14" s="1">
        <f>AVERAGE(FI_Combined_orden[V_LEGUMES])</f>
        <v>1.109480857849119E-4</v>
      </c>
      <c r="O14" s="1">
        <f>AVERAGE(FI_Combined_orden[G_TOTAL])</f>
        <v>-3.9358735084533648E-3</v>
      </c>
      <c r="P14" s="1">
        <f>AVERAGE(FI_Combined_orden[G_WHOLE])</f>
        <v>1.1826202273368829E-3</v>
      </c>
      <c r="Q14" s="1">
        <f>AVERAGE(FI_Combined_orden[G_REFINED])</f>
        <v>-2.6307128369808148E-3</v>
      </c>
      <c r="R14" s="1">
        <f>AVERAGE(FI_Combined_orden[PF_TOTAL])</f>
        <v>-3.6902107298374142E-3</v>
      </c>
      <c r="S14" s="1">
        <f>AVERAGE(FI_Combined_orden[PF_MPS_TOTAL])</f>
        <v>-3.7560462951660122E-3</v>
      </c>
      <c r="T14" s="1">
        <f>AVERAGE(FI_Combined_orden[PF_MEAT])</f>
        <v>-3.0696257948875385E-3</v>
      </c>
      <c r="U14" s="1">
        <f>AVERAGE(FI_Combined_orden[PF_CUREDMEAT])</f>
        <v>-3.9408765733241992E-3</v>
      </c>
      <c r="V14" s="1">
        <f>AVERAGE(FI_Combined_orden[PF_ORGAN])</f>
        <v>-5.1243603229522696E-3</v>
      </c>
      <c r="W14" s="1">
        <f>AVERAGE(FI_Combined_orden[PF_POULT])</f>
        <v>-5.6035459041595429E-3</v>
      </c>
      <c r="X14" s="1">
        <f>AVERAGE(FI_Combined_orden[PF_SEAFD_HI])</f>
        <v>-5.7151705026626549E-3</v>
      </c>
      <c r="Y14" s="1">
        <f>AVERAGE(FI_Combined_orden[PF_SEAFD_LOW])</f>
        <v>-4.1369162499904581E-3</v>
      </c>
      <c r="Z14" s="1">
        <f>AVERAGE(FI_Combined_orden[PF_EGGS])</f>
        <v>-2.2877313196659047E-3</v>
      </c>
      <c r="AA14" s="1">
        <f>AVERAGE(FI_Combined_orden[PF_SOY])</f>
        <v>-2.288037538528439E-3</v>
      </c>
      <c r="AB14" s="1">
        <f>AVERAGE(FI_Combined_orden[PF_NUTSDS])</f>
        <v>1.8313989043235745E-3</v>
      </c>
      <c r="AC14" s="1">
        <f>AVERAGE(FI_Combined_orden[PF_LEGUMES])</f>
        <v>1.2836784124374355E-3</v>
      </c>
      <c r="AD14" s="1">
        <f>AVERAGE(FI_Combined_orden[D_TOTAL])</f>
        <v>1.9111976027488663E-3</v>
      </c>
      <c r="AE14" s="1">
        <f>AVERAGE(FI_Combined_orden[D_MILK])</f>
        <v>3.2857209444045986E-3</v>
      </c>
      <c r="AF14" s="1">
        <f>AVERAGE(FI_Combined_orden[D_YOGURT])</f>
        <v>3.1080380082130371E-3</v>
      </c>
      <c r="AG14" s="1">
        <f>AVERAGE(FI_Combined_orden[D_CHEESE])</f>
        <v>3.9426267147064159E-3</v>
      </c>
      <c r="AH14" s="1">
        <f>AVERAGE(FI_Combined_orden[OILS])</f>
        <v>1.0016232728958113E-2</v>
      </c>
      <c r="AI14" s="1">
        <f>AVERAGE(FI_Combined_orden[SOLID_FATS])</f>
        <v>-2.6514306664466908E-4</v>
      </c>
      <c r="AJ14" s="1">
        <f>AVERAGE(FI_Combined_orden[ADD_SUGARS])</f>
        <v>-4.1960820555686914E-3</v>
      </c>
      <c r="AK14" s="1">
        <f>AVERAGE(FI_Combined_orden[A_DRINKS])</f>
        <v>-5.5441536009311647E-3</v>
      </c>
    </row>
    <row r="15" spans="1:37" x14ac:dyDescent="0.35">
      <c r="A15" s="2" t="s">
        <v>38</v>
      </c>
    </row>
    <row r="16" spans="1:37" x14ac:dyDescent="0.35">
      <c r="A16" s="1">
        <f>STDEV(FI_Combined_orden[F_TOTAL])</f>
        <v>7.5320325723828312E-4</v>
      </c>
      <c r="B16" s="1">
        <f>STDEV(FI_Combined_orden[F_CITMLB])</f>
        <v>6.0631557531219172E-4</v>
      </c>
      <c r="C16" s="1">
        <f>STDEV(FI_Combined_orden[F_OTHER])</f>
        <v>1.6494376456011809E-3</v>
      </c>
      <c r="D16" s="1">
        <f>STDEV(FI_Combined_orden[F_JUICE])</f>
        <v>6.6247103613569858E-4</v>
      </c>
      <c r="E16" s="1">
        <f>STDEV(FI_Combined_orden[V_TOTAL])</f>
        <v>3.3573034312142903E-3</v>
      </c>
      <c r="F16" s="1">
        <f>STDEV(FI_Combined_orden[V_DRKGR])</f>
        <v>2.3210068783624119E-3</v>
      </c>
      <c r="G16" s="1">
        <f>STDEV(FI_Combined_orden[V_REDOR_TOTAL])</f>
        <v>1.7700369291221195E-3</v>
      </c>
      <c r="H16" s="1">
        <f>STDEV(FI_Combined_orden[V_REDOR_TOMATO])</f>
        <v>6.9219120508555844E-4</v>
      </c>
      <c r="I16" s="1">
        <f>STDEV(FI_Combined_orden[V_REDOR_OTHER])</f>
        <v>8.6126168493569778E-4</v>
      </c>
      <c r="J16" s="1">
        <f>STDEV(FI_Combined_orden[V_STARCHY_TOTAL])</f>
        <v>1.0981200402977681E-3</v>
      </c>
      <c r="K16" s="1">
        <f>STDEV(FI_Combined_orden[V_STARCHY_POTATO])</f>
        <v>3.8721591800765985E-4</v>
      </c>
      <c r="L16" s="1">
        <f>STDEV(FI_Combined_orden[V_STARCHY_OTHER])</f>
        <v>1.9683726795400588E-4</v>
      </c>
      <c r="M16" s="1">
        <f>STDEV(FI_Combined_orden[V_OTHER])</f>
        <v>2.7179821293562157E-3</v>
      </c>
      <c r="N16" s="1">
        <f>STDEV(FI_Combined_orden[V_LEGUMES])</f>
        <v>3.4709805814239807E-4</v>
      </c>
      <c r="O16" s="1">
        <f>STDEV(FI_Combined_orden[G_TOTAL])</f>
        <v>2.0640599188102423E-3</v>
      </c>
      <c r="P16" s="1">
        <f>STDEV(FI_Combined_orden[G_WHOLE])</f>
        <v>2.3904222012559005E-3</v>
      </c>
      <c r="Q16" s="1">
        <f>STDEV(FI_Combined_orden[G_REFINED])</f>
        <v>1.8524391334640202E-3</v>
      </c>
      <c r="R16" s="1">
        <f>STDEV(FI_Combined_orden[PF_TOTAL])</f>
        <v>1.5495286420675238E-3</v>
      </c>
      <c r="S16" s="1">
        <f>STDEV(FI_Combined_orden[PF_MPS_TOTAL])</f>
        <v>2.3379546837749071E-3</v>
      </c>
      <c r="T16" s="1">
        <f>STDEV(FI_Combined_orden[PF_MEAT])</f>
        <v>6.6118023410072701E-4</v>
      </c>
      <c r="U16" s="1">
        <f>STDEV(FI_Combined_orden[PF_CUREDMEAT])</f>
        <v>1.1159697925280313E-3</v>
      </c>
      <c r="V16" s="1">
        <f>STDEV(FI_Combined_orden[PF_ORGAN])</f>
        <v>0</v>
      </c>
      <c r="W16" s="1">
        <f>STDEV(FI_Combined_orden[PF_POULT])</f>
        <v>1.5526283448878636E-3</v>
      </c>
      <c r="X16" s="1">
        <f>STDEV(FI_Combined_orden[PF_SEAFD_HI])</f>
        <v>9.7447763737452638E-4</v>
      </c>
      <c r="Y16" s="1">
        <f>STDEV(FI_Combined_orden[PF_SEAFD_LOW])</f>
        <v>8.376898802034278E-4</v>
      </c>
      <c r="Z16" s="1">
        <f>STDEV(FI_Combined_orden[PF_EGGS])</f>
        <v>2.1330350498106683E-3</v>
      </c>
      <c r="AA16" s="1">
        <f>STDEV(FI_Combined_orden[PF_SOY])</f>
        <v>9.4160776754188954E-4</v>
      </c>
      <c r="AB16" s="1">
        <f>STDEV(FI_Combined_orden[PF_NUTSDS])</f>
        <v>1.4288425943610526E-3</v>
      </c>
      <c r="AC16" s="1">
        <f>STDEV(FI_Combined_orden[PF_LEGUMES])</f>
        <v>1.2937254650857131E-3</v>
      </c>
      <c r="AD16" s="1">
        <f>STDEV(FI_Combined_orden[D_TOTAL])</f>
        <v>1.6017523276240096E-3</v>
      </c>
      <c r="AE16" s="1">
        <f>STDEV(FI_Combined_orden[D_MILK])</f>
        <v>1.7125667357032442E-3</v>
      </c>
      <c r="AF16" s="1">
        <f>STDEV(FI_Combined_orden[D_YOGURT])</f>
        <v>5.4224997797230716E-4</v>
      </c>
      <c r="AG16" s="1">
        <f>STDEV(FI_Combined_orden[D_CHEESE])</f>
        <v>7.6746781723615925E-4</v>
      </c>
      <c r="AH16" s="1">
        <f>STDEV(FI_Combined_orden[OILS])</f>
        <v>5.2338891163801827E-3</v>
      </c>
      <c r="AI16" s="1">
        <f>STDEV(FI_Combined_orden[SOLID_FATS])</f>
        <v>5.3176324213256828E-3</v>
      </c>
      <c r="AJ16" s="1">
        <f>STDEV(FI_Combined_orden[ADD_SUGARS])</f>
        <v>3.0545056757364753E-3</v>
      </c>
      <c r="AK16" s="1">
        <f>STDEV(FI_Combined_orden[A_DRINKS])</f>
        <v>1.9677779881554303E-3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W q 2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W q 2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t u 1 L p D b R w n A I A A P s h A A A T A B w A R m 9 y b X V s Y X M v U 2 V j d G l v b j E u b S C i G A A o o B Q A A A A A A A A A A A A A A A A A A A A A A A A A A A D t l F 1 v m z A U h u 8 j 5 T 8 g d p N K N G o z T Z M 2 5 Y J h I K w k z v h I V Z X J c s H t L A G O s I m W V f 3 v c 5 J G 3 Q T e f R Z z w c d 5 f Y 7 f c y w e T n J B W W 3 E h + f 1 5 + F g O O A / c E M K w w u Q w 6 o H W p M C 5 S X m x J g a J R H D g S E v 2 N A n U s u I w z d j w P K 2 I r U Y e b Q k Y 4 f V Q n 7 w k e l 8 y l J O G p 7 h G l c 4 g z U B D d 2 Q 7 L i e 8 W x y N b m 6 l L f r b N 1 g 6 S H H P B M N r n n e N p x l B S W C i 7 b Y I l m i 3 H L C L y v M B W m y i P C 2 F D z L W U U L n H l B 1 v E 7 z v n G v L D u A S l p R W X S 1 L R M y 3 B Y 2 V Y 1 n 7 7 / a B l u n b O C 1 k / T 6 8 m H i W V 8 a 5 k g s d i W Z P r 2 O l 6 w m n y / s A 6 N v z N l D n 4 g v 3 D B u L F u W M U 2 V L 6 a c h Y J f p D L l 7 u Y I D O C C 9 n 7 6 D A p y 7 h / j d t l G e e 4 x A 2 f i q b 9 s 3 B C 1 8 z I s W x B 1 n 6 r l + z G 8 c i a 6 m A 8 2 a 4 J H y l t W M / P p o c S m N i h 7 F X I x Y Y g P 8 W L Z e z i T p D M w y 8 9 A k x m b t Q T / 5 o G j t u J r x Q b r B C I b v x u n R W K X A A j Z d Z R n d s J V M r 9 F l c o T u z I m d 0 p i x / 1 p d R 7 y x 8 X q D Z Q x U P X T + d u 3 F F 8 h R U f 3 c 5 g 2 J 2 m L x v 0 g o U L O s p S d Z J S m C / j f 4 i u n f T F n V T O U i X C y L c X f c I S p m F v R u z a H k C z Q K 2 F 8 L Z P d H 2 / O 7 d d E r z r C y / S J A a 9 C a o z A I r Z A D Q P w p u e 8 B 3 0 0 6 j b J E D O z H X j 7 q H B I O z u G s M w A M i z k 6 5 k A 4 D i 1 L e j H k n + N c H i 5 m / h 5 W I 4 o H U / G l S U J n x N c n p K n H 5 1 r E m t S a 1 J r U l 9 N q R + x B U t K T 4 h U r 8 6 1 q T W p N a k 1 q Q + H 1 L T k p 0 S p q V d z W j N a M 1 o z e i z Y b T k T M t P C N J 7 v 5 r S m t K a 0 p r S Z 0 N p 1 h R 7 J p 8 K p f d + N a U 1 p T W l N a X / P 0 r / B l B L A Q I t A B Q A A g A I A F q t u 1 L c / m K 5 p A A A A P U A A A A S A A A A A A A A A A A A A A A A A A A A A A B D b 2 5 m a W c v U G F j a 2 F n Z S 5 4 b W x Q S w E C L Q A U A A I A C A B a r b t S D 8 r p q 6 Q A A A D p A A A A E w A A A A A A A A A A A A A A A A D w A A A A W 0 N v b n R l b n R f V H l w Z X N d L n h t b F B L A Q I t A B Q A A g A I A F q t u 1 L p D b R w n A I A A P s h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/ A A A A A A A A h L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j b G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R f Y 2 x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D A 6 N T Y u M D Q 0 N z M 2 M F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Z f V E 9 U Q U w m c X V v d D s s J n F 1 b 3 Q 7 R l 9 D S V R N T E I m c X V v d D s s J n F 1 b 3 Q 7 R l 9 P V E h F U i Z x d W 9 0 O y w m c X V v d D t G X 0 p V S U N F J n F 1 b 3 Q 7 L C Z x d W 9 0 O 1 Z f V E 9 U Q U w m c X V v d D s s J n F 1 b 3 Q 7 V l 9 E U k t H U i Z x d W 9 0 O y w m c X V v d D t W X 1 J F R E 9 S X 1 R P V E F M J n F 1 b 3 Q 7 L C Z x d W 9 0 O 1 Z f U k V E T 1 J f V E 9 N Q V R P J n F 1 b 3 Q 7 L C Z x d W 9 0 O 1 Z f U k V E T 1 J f T 1 R I R V I m c X V v d D s s J n F 1 b 3 Q 7 V l 9 T V E F S Q 0 h Z X 1 R P V E F M J n F 1 b 3 Q 7 L C Z x d W 9 0 O 1 Z f U 1 R B U k N I W V 9 Q T 1 R B V E 8 m c X V v d D s s J n F 1 b 3 Q 7 V l 9 T V E F S Q 0 h Z X 0 9 U S E V S J n F 1 b 3 Q 7 L C Z x d W 9 0 O 1 Z f T 1 R I R V I m c X V v d D s s J n F 1 b 3 Q 7 V l 9 M R U d V T U V T J n F 1 b 3 Q 7 L C Z x d W 9 0 O 0 d f V E 9 U Q U w m c X V v d D s s J n F 1 b 3 Q 7 R 1 9 X S E 9 M R S Z x d W 9 0 O y w m c X V v d D t H X 1 J F R k l O R U Q m c X V v d D s s J n F 1 b 3 Q 7 U E Z f V E 9 U Q U w m c X V v d D s s J n F 1 b 3 Q 7 U E Z f T V B T X 1 R P V E F M J n F 1 b 3 Q 7 L C Z x d W 9 0 O 1 B G X 0 1 F Q V Q m c X V v d D s s J n F 1 b 3 Q 7 U E Z f Q 1 V S R U R N R U F U J n F 1 b 3 Q 7 L C Z x d W 9 0 O 1 B G X 0 9 S R 0 F O J n F 1 b 3 Q 7 L C Z x d W 9 0 O 1 B G X 1 B P V U x U J n F 1 b 3 Q 7 L C Z x d W 9 0 O 1 B G X 1 N F Q U Z E X 0 h J J n F 1 b 3 Q 7 L C Z x d W 9 0 O 1 B G X 1 N F Q U Z E X 0 x P V y Z x d W 9 0 O y w m c X V v d D t Q R l 9 F R 0 d T J n F 1 b 3 Q 7 L C Z x d W 9 0 O 1 B G X 1 N P W S Z x d W 9 0 O y w m c X V v d D t Q R l 9 O V V R T R F M m c X V v d D s s J n F 1 b 3 Q 7 U E Z f T E V H V U 1 F U y Z x d W 9 0 O y w m c X V v d D t E X 1 R P V E F M J n F 1 b 3 Q 7 L C Z x d W 9 0 O 0 R f T U l M S y Z x d W 9 0 O y w m c X V v d D t E X 1 l P R 1 V S V C Z x d W 9 0 O y w m c X V v d D t E X 0 N I R U V T R S Z x d W 9 0 O y w m c X V v d D t P S U x T J n F 1 b 3 Q 7 L C Z x d W 9 0 O 1 N P T E l E X 0 Z B V F M m c X V v d D s s J n F 1 b 3 Q 7 Q U R E X 1 N V R 0 F S U y Z x d W 9 0 O y w m c X V v d D t B X 0 R S S U 5 L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D b 2 1 i a W 5 l Z F 9 j b G F z Z S 9 B d X R v U m V t b 3 Z l Z E N v b H V t b n M x L n t G X 1 R P V E F M L D B 9 J n F 1 b 3 Q 7 L C Z x d W 9 0 O 1 N l Y 3 R p b 2 4 x L 0 Z J X 0 N v b W J p b m V k X 2 N s Y X N l L 0 F 1 d G 9 S Z W 1 v d m V k Q 2 9 s d W 1 u c z E u e 0 Z f Q 0 l U T U x C L D F 9 J n F 1 b 3 Q 7 L C Z x d W 9 0 O 1 N l Y 3 R p b 2 4 x L 0 Z J X 0 N v b W J p b m V k X 2 N s Y X N l L 0 F 1 d G 9 S Z W 1 v d m V k Q 2 9 s d W 1 u c z E u e 0 Z f T 1 R I R V I s M n 0 m c X V v d D s s J n F 1 b 3 Q 7 U 2 V j d G l v b j E v R k l f Q 2 9 t Y m l u Z W R f Y 2 x h c 2 U v Q X V 0 b 1 J l b W 9 2 Z W R D b 2 x 1 b W 5 z M S 5 7 R l 9 K V U l D R S w z f S Z x d W 9 0 O y w m c X V v d D t T Z W N 0 a W 9 u M S 9 G S V 9 D b 2 1 i a W 5 l Z F 9 j b G F z Z S 9 B d X R v U m V t b 3 Z l Z E N v b H V t b n M x L n t W X 1 R P V E F M L D R 9 J n F 1 b 3 Q 7 L C Z x d W 9 0 O 1 N l Y 3 R p b 2 4 x L 0 Z J X 0 N v b W J p b m V k X 2 N s Y X N l L 0 F 1 d G 9 S Z W 1 v d m V k Q 2 9 s d W 1 u c z E u e 1 Z f R F J L R 1 I s N X 0 m c X V v d D s s J n F 1 b 3 Q 7 U 2 V j d G l v b j E v R k l f Q 2 9 t Y m l u Z W R f Y 2 x h c 2 U v Q X V 0 b 1 J l b W 9 2 Z W R D b 2 x 1 b W 5 z M S 5 7 V l 9 S R U R P U l 9 U T 1 R B T C w 2 f S Z x d W 9 0 O y w m c X V v d D t T Z W N 0 a W 9 u M S 9 G S V 9 D b 2 1 i a W 5 l Z F 9 j b G F z Z S 9 B d X R v U m V t b 3 Z l Z E N v b H V t b n M x L n t W X 1 J F R E 9 S X 1 R P T U F U T y w 3 f S Z x d W 9 0 O y w m c X V v d D t T Z W N 0 a W 9 u M S 9 G S V 9 D b 2 1 i a W 5 l Z F 9 j b G F z Z S 9 B d X R v U m V t b 3 Z l Z E N v b H V t b n M x L n t W X 1 J F R E 9 S X 0 9 U S E V S L D h 9 J n F 1 b 3 Q 7 L C Z x d W 9 0 O 1 N l Y 3 R p b 2 4 x L 0 Z J X 0 N v b W J p b m V k X 2 N s Y X N l L 0 F 1 d G 9 S Z W 1 v d m V k Q 2 9 s d W 1 u c z E u e 1 Z f U 1 R B U k N I W V 9 U T 1 R B T C w 5 f S Z x d W 9 0 O y w m c X V v d D t T Z W N 0 a W 9 u M S 9 G S V 9 D b 2 1 i a W 5 l Z F 9 j b G F z Z S 9 B d X R v U m V t b 3 Z l Z E N v b H V t b n M x L n t W X 1 N U Q V J D S F l f U E 9 U Q V R P L D E w f S Z x d W 9 0 O y w m c X V v d D t T Z W N 0 a W 9 u M S 9 G S V 9 D b 2 1 i a W 5 l Z F 9 j b G F z Z S 9 B d X R v U m V t b 3 Z l Z E N v b H V t b n M x L n t W X 1 N U Q V J D S F l f T 1 R I R V I s M T F 9 J n F 1 b 3 Q 7 L C Z x d W 9 0 O 1 N l Y 3 R p b 2 4 x L 0 Z J X 0 N v b W J p b m V k X 2 N s Y X N l L 0 F 1 d G 9 S Z W 1 v d m V k Q 2 9 s d W 1 u c z E u e 1 Z f T 1 R I R V I s M T J 9 J n F 1 b 3 Q 7 L C Z x d W 9 0 O 1 N l Y 3 R p b 2 4 x L 0 Z J X 0 N v b W J p b m V k X 2 N s Y X N l L 0 F 1 d G 9 S Z W 1 v d m V k Q 2 9 s d W 1 u c z E u e 1 Z f T E V H V U 1 F U y w x M 3 0 m c X V v d D s s J n F 1 b 3 Q 7 U 2 V j d G l v b j E v R k l f Q 2 9 t Y m l u Z W R f Y 2 x h c 2 U v Q X V 0 b 1 J l b W 9 2 Z W R D b 2 x 1 b W 5 z M S 5 7 R 1 9 U T 1 R B T C w x N H 0 m c X V v d D s s J n F 1 b 3 Q 7 U 2 V j d G l v b j E v R k l f Q 2 9 t Y m l u Z W R f Y 2 x h c 2 U v Q X V 0 b 1 J l b W 9 2 Z W R D b 2 x 1 b W 5 z M S 5 7 R 1 9 X S E 9 M R S w x N X 0 m c X V v d D s s J n F 1 b 3 Q 7 U 2 V j d G l v b j E v R k l f Q 2 9 t Y m l u Z W R f Y 2 x h c 2 U v Q X V 0 b 1 J l b W 9 2 Z W R D b 2 x 1 b W 5 z M S 5 7 R 1 9 S R U Z J T k V E L D E 2 f S Z x d W 9 0 O y w m c X V v d D t T Z W N 0 a W 9 u M S 9 G S V 9 D b 2 1 i a W 5 l Z F 9 j b G F z Z S 9 B d X R v U m V t b 3 Z l Z E N v b H V t b n M x L n t Q R l 9 U T 1 R B T C w x N 3 0 m c X V v d D s s J n F 1 b 3 Q 7 U 2 V j d G l v b j E v R k l f Q 2 9 t Y m l u Z W R f Y 2 x h c 2 U v Q X V 0 b 1 J l b W 9 2 Z W R D b 2 x 1 b W 5 z M S 5 7 U E Z f T V B T X 1 R P V E F M L D E 4 f S Z x d W 9 0 O y w m c X V v d D t T Z W N 0 a W 9 u M S 9 G S V 9 D b 2 1 i a W 5 l Z F 9 j b G F z Z S 9 B d X R v U m V t b 3 Z l Z E N v b H V t b n M x L n t Q R l 9 N R U F U L D E 5 f S Z x d W 9 0 O y w m c X V v d D t T Z W N 0 a W 9 u M S 9 G S V 9 D b 2 1 i a W 5 l Z F 9 j b G F z Z S 9 B d X R v U m V t b 3 Z l Z E N v b H V t b n M x L n t Q R l 9 D V V J F R E 1 F Q V Q s M j B 9 J n F 1 b 3 Q 7 L C Z x d W 9 0 O 1 N l Y 3 R p b 2 4 x L 0 Z J X 0 N v b W J p b m V k X 2 N s Y X N l L 0 F 1 d G 9 S Z W 1 v d m V k Q 2 9 s d W 1 u c z E u e 1 B G X 0 9 S R 0 F O L D I x f S Z x d W 9 0 O y w m c X V v d D t T Z W N 0 a W 9 u M S 9 G S V 9 D b 2 1 i a W 5 l Z F 9 j b G F z Z S 9 B d X R v U m V t b 3 Z l Z E N v b H V t b n M x L n t Q R l 9 Q T 1 V M V C w y M n 0 m c X V v d D s s J n F 1 b 3 Q 7 U 2 V j d G l v b j E v R k l f Q 2 9 t Y m l u Z W R f Y 2 x h c 2 U v Q X V 0 b 1 J l b W 9 2 Z W R D b 2 x 1 b W 5 z M S 5 7 U E Z f U 0 V B R k R f S E k s M j N 9 J n F 1 b 3 Q 7 L C Z x d W 9 0 O 1 N l Y 3 R p b 2 4 x L 0 Z J X 0 N v b W J p b m V k X 2 N s Y X N l L 0 F 1 d G 9 S Z W 1 v d m V k Q 2 9 s d W 1 u c z E u e 1 B G X 1 N F Q U Z E X 0 x P V y w y N H 0 m c X V v d D s s J n F 1 b 3 Q 7 U 2 V j d G l v b j E v R k l f Q 2 9 t Y m l u Z W R f Y 2 x h c 2 U v Q X V 0 b 1 J l b W 9 2 Z W R D b 2 x 1 b W 5 z M S 5 7 U E Z f R U d H U y w y N X 0 m c X V v d D s s J n F 1 b 3 Q 7 U 2 V j d G l v b j E v R k l f Q 2 9 t Y m l u Z W R f Y 2 x h c 2 U v Q X V 0 b 1 J l b W 9 2 Z W R D b 2 x 1 b W 5 z M S 5 7 U E Z f U 0 9 Z L D I 2 f S Z x d W 9 0 O y w m c X V v d D t T Z W N 0 a W 9 u M S 9 G S V 9 D b 2 1 i a W 5 l Z F 9 j b G F z Z S 9 B d X R v U m V t b 3 Z l Z E N v b H V t b n M x L n t Q R l 9 O V V R T R F M s M j d 9 J n F 1 b 3 Q 7 L C Z x d W 9 0 O 1 N l Y 3 R p b 2 4 x L 0 Z J X 0 N v b W J p b m V k X 2 N s Y X N l L 0 F 1 d G 9 S Z W 1 v d m V k Q 2 9 s d W 1 u c z E u e 1 B G X 0 x F R 1 V N R V M s M j h 9 J n F 1 b 3 Q 7 L C Z x d W 9 0 O 1 N l Y 3 R p b 2 4 x L 0 Z J X 0 N v b W J p b m V k X 2 N s Y X N l L 0 F 1 d G 9 S Z W 1 v d m V k Q 2 9 s d W 1 u c z E u e 0 R f V E 9 U Q U w s M j l 9 J n F 1 b 3 Q 7 L C Z x d W 9 0 O 1 N l Y 3 R p b 2 4 x L 0 Z J X 0 N v b W J p b m V k X 2 N s Y X N l L 0 F 1 d G 9 S Z W 1 v d m V k Q 2 9 s d W 1 u c z E u e 0 R f T U l M S y w z M H 0 m c X V v d D s s J n F 1 b 3 Q 7 U 2 V j d G l v b j E v R k l f Q 2 9 t Y m l u Z W R f Y 2 x h c 2 U v Q X V 0 b 1 J l b W 9 2 Z W R D b 2 x 1 b W 5 z M S 5 7 R F 9 Z T 0 d V U l Q s M z F 9 J n F 1 b 3 Q 7 L C Z x d W 9 0 O 1 N l Y 3 R p b 2 4 x L 0 Z J X 0 N v b W J p b m V k X 2 N s Y X N l L 0 F 1 d G 9 S Z W 1 v d m V k Q 2 9 s d W 1 u c z E u e 0 R f Q 0 h F R V N F L D M y f S Z x d W 9 0 O y w m c X V v d D t T Z W N 0 a W 9 u M S 9 G S V 9 D b 2 1 i a W 5 l Z F 9 j b G F z Z S 9 B d X R v U m V t b 3 Z l Z E N v b H V t b n M x L n t P S U x T L D M z f S Z x d W 9 0 O y w m c X V v d D t T Z W N 0 a W 9 u M S 9 G S V 9 D b 2 1 i a W 5 l Z F 9 j b G F z Z S 9 B d X R v U m V t b 3 Z l Z E N v b H V t b n M x L n t T T 0 x J R F 9 G Q V R T L D M 0 f S Z x d W 9 0 O y w m c X V v d D t T Z W N 0 a W 9 u M S 9 G S V 9 D b 2 1 i a W 5 l Z F 9 j b G F z Z S 9 B d X R v U m V t b 3 Z l Z E N v b H V t b n M x L n t B R E R f U 1 V H Q V J T L D M 1 f S Z x d W 9 0 O y w m c X V v d D t T Z W N 0 a W 9 u M S 9 G S V 9 D b 2 1 i a W 5 l Z F 9 j b G F z Z S 9 B d X R v U m V t b 3 Z l Z E N v b H V t b n M x L n t B X 0 R S S U 5 L U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Z J X 0 N v b W J p b m V k X 2 N s Y X N l L 0 F 1 d G 9 S Z W 1 v d m V k Q 2 9 s d W 1 u c z E u e 0 Z f V E 9 U Q U w s M H 0 m c X V v d D s s J n F 1 b 3 Q 7 U 2 V j d G l v b j E v R k l f Q 2 9 t Y m l u Z W R f Y 2 x h c 2 U v Q X V 0 b 1 J l b W 9 2 Z W R D b 2 x 1 b W 5 z M S 5 7 R l 9 D S V R N T E I s M X 0 m c X V v d D s s J n F 1 b 3 Q 7 U 2 V j d G l v b j E v R k l f Q 2 9 t Y m l u Z W R f Y 2 x h c 2 U v Q X V 0 b 1 J l b W 9 2 Z W R D b 2 x 1 b W 5 z M S 5 7 R l 9 P V E h F U i w y f S Z x d W 9 0 O y w m c X V v d D t T Z W N 0 a W 9 u M S 9 G S V 9 D b 2 1 i a W 5 l Z F 9 j b G F z Z S 9 B d X R v U m V t b 3 Z l Z E N v b H V t b n M x L n t G X 0 p V S U N F L D N 9 J n F 1 b 3 Q 7 L C Z x d W 9 0 O 1 N l Y 3 R p b 2 4 x L 0 Z J X 0 N v b W J p b m V k X 2 N s Y X N l L 0 F 1 d G 9 S Z W 1 v d m V k Q 2 9 s d W 1 u c z E u e 1 Z f V E 9 U Q U w s N H 0 m c X V v d D s s J n F 1 b 3 Q 7 U 2 V j d G l v b j E v R k l f Q 2 9 t Y m l u Z W R f Y 2 x h c 2 U v Q X V 0 b 1 J l b W 9 2 Z W R D b 2 x 1 b W 5 z M S 5 7 V l 9 E U k t H U i w 1 f S Z x d W 9 0 O y w m c X V v d D t T Z W N 0 a W 9 u M S 9 G S V 9 D b 2 1 i a W 5 l Z F 9 j b G F z Z S 9 B d X R v U m V t b 3 Z l Z E N v b H V t b n M x L n t W X 1 J F R E 9 S X 1 R P V E F M L D Z 9 J n F 1 b 3 Q 7 L C Z x d W 9 0 O 1 N l Y 3 R p b 2 4 x L 0 Z J X 0 N v b W J p b m V k X 2 N s Y X N l L 0 F 1 d G 9 S Z W 1 v d m V k Q 2 9 s d W 1 u c z E u e 1 Z f U k V E T 1 J f V E 9 N Q V R P L D d 9 J n F 1 b 3 Q 7 L C Z x d W 9 0 O 1 N l Y 3 R p b 2 4 x L 0 Z J X 0 N v b W J p b m V k X 2 N s Y X N l L 0 F 1 d G 9 S Z W 1 v d m V k Q 2 9 s d W 1 u c z E u e 1 Z f U k V E T 1 J f T 1 R I R V I s O H 0 m c X V v d D s s J n F 1 b 3 Q 7 U 2 V j d G l v b j E v R k l f Q 2 9 t Y m l u Z W R f Y 2 x h c 2 U v Q X V 0 b 1 J l b W 9 2 Z W R D b 2 x 1 b W 5 z M S 5 7 V l 9 T V E F S Q 0 h Z X 1 R P V E F M L D l 9 J n F 1 b 3 Q 7 L C Z x d W 9 0 O 1 N l Y 3 R p b 2 4 x L 0 Z J X 0 N v b W J p b m V k X 2 N s Y X N l L 0 F 1 d G 9 S Z W 1 v d m V k Q 2 9 s d W 1 u c z E u e 1 Z f U 1 R B U k N I W V 9 Q T 1 R B V E 8 s M T B 9 J n F 1 b 3 Q 7 L C Z x d W 9 0 O 1 N l Y 3 R p b 2 4 x L 0 Z J X 0 N v b W J p b m V k X 2 N s Y X N l L 0 F 1 d G 9 S Z W 1 v d m V k Q 2 9 s d W 1 u c z E u e 1 Z f U 1 R B U k N I W V 9 P V E h F U i w x M X 0 m c X V v d D s s J n F 1 b 3 Q 7 U 2 V j d G l v b j E v R k l f Q 2 9 t Y m l u Z W R f Y 2 x h c 2 U v Q X V 0 b 1 J l b W 9 2 Z W R D b 2 x 1 b W 5 z M S 5 7 V l 9 P V E h F U i w x M n 0 m c X V v d D s s J n F 1 b 3 Q 7 U 2 V j d G l v b j E v R k l f Q 2 9 t Y m l u Z W R f Y 2 x h c 2 U v Q X V 0 b 1 J l b W 9 2 Z W R D b 2 x 1 b W 5 z M S 5 7 V l 9 M R U d V T U V T L D E z f S Z x d W 9 0 O y w m c X V v d D t T Z W N 0 a W 9 u M S 9 G S V 9 D b 2 1 i a W 5 l Z F 9 j b G F z Z S 9 B d X R v U m V t b 3 Z l Z E N v b H V t b n M x L n t H X 1 R P V E F M L D E 0 f S Z x d W 9 0 O y w m c X V v d D t T Z W N 0 a W 9 u M S 9 G S V 9 D b 2 1 i a W 5 l Z F 9 j b G F z Z S 9 B d X R v U m V t b 3 Z l Z E N v b H V t b n M x L n t H X 1 d I T 0 x F L D E 1 f S Z x d W 9 0 O y w m c X V v d D t T Z W N 0 a W 9 u M S 9 G S V 9 D b 2 1 i a W 5 l Z F 9 j b G F z Z S 9 B d X R v U m V t b 3 Z l Z E N v b H V t b n M x L n t H X 1 J F R k l O R U Q s M T Z 9 J n F 1 b 3 Q 7 L C Z x d W 9 0 O 1 N l Y 3 R p b 2 4 x L 0 Z J X 0 N v b W J p b m V k X 2 N s Y X N l L 0 F 1 d G 9 S Z W 1 v d m V k Q 2 9 s d W 1 u c z E u e 1 B G X 1 R P V E F M L D E 3 f S Z x d W 9 0 O y w m c X V v d D t T Z W N 0 a W 9 u M S 9 G S V 9 D b 2 1 i a W 5 l Z F 9 j b G F z Z S 9 B d X R v U m V t b 3 Z l Z E N v b H V t b n M x L n t Q R l 9 N U F N f V E 9 U Q U w s M T h 9 J n F 1 b 3 Q 7 L C Z x d W 9 0 O 1 N l Y 3 R p b 2 4 x L 0 Z J X 0 N v b W J p b m V k X 2 N s Y X N l L 0 F 1 d G 9 S Z W 1 v d m V k Q 2 9 s d W 1 u c z E u e 1 B G X 0 1 F Q V Q s M T l 9 J n F 1 b 3 Q 7 L C Z x d W 9 0 O 1 N l Y 3 R p b 2 4 x L 0 Z J X 0 N v b W J p b m V k X 2 N s Y X N l L 0 F 1 d G 9 S Z W 1 v d m V k Q 2 9 s d W 1 u c z E u e 1 B G X 0 N V U k V E T U V B V C w y M H 0 m c X V v d D s s J n F 1 b 3 Q 7 U 2 V j d G l v b j E v R k l f Q 2 9 t Y m l u Z W R f Y 2 x h c 2 U v Q X V 0 b 1 J l b W 9 2 Z W R D b 2 x 1 b W 5 z M S 5 7 U E Z f T 1 J H Q U 4 s M j F 9 J n F 1 b 3 Q 7 L C Z x d W 9 0 O 1 N l Y 3 R p b 2 4 x L 0 Z J X 0 N v b W J p b m V k X 2 N s Y X N l L 0 F 1 d G 9 S Z W 1 v d m V k Q 2 9 s d W 1 u c z E u e 1 B G X 1 B P V U x U L D I y f S Z x d W 9 0 O y w m c X V v d D t T Z W N 0 a W 9 u M S 9 G S V 9 D b 2 1 i a W 5 l Z F 9 j b G F z Z S 9 B d X R v U m V t b 3 Z l Z E N v b H V t b n M x L n t Q R l 9 T R U F G R F 9 I S S w y M 3 0 m c X V v d D s s J n F 1 b 3 Q 7 U 2 V j d G l v b j E v R k l f Q 2 9 t Y m l u Z W R f Y 2 x h c 2 U v Q X V 0 b 1 J l b W 9 2 Z W R D b 2 x 1 b W 5 z M S 5 7 U E Z f U 0 V B R k R f T E 9 X L D I 0 f S Z x d W 9 0 O y w m c X V v d D t T Z W N 0 a W 9 u M S 9 G S V 9 D b 2 1 i a W 5 l Z F 9 j b G F z Z S 9 B d X R v U m V t b 3 Z l Z E N v b H V t b n M x L n t Q R l 9 F R 0 d T L D I 1 f S Z x d W 9 0 O y w m c X V v d D t T Z W N 0 a W 9 u M S 9 G S V 9 D b 2 1 i a W 5 l Z F 9 j b G F z Z S 9 B d X R v U m V t b 3 Z l Z E N v b H V t b n M x L n t Q R l 9 T T 1 k s M j Z 9 J n F 1 b 3 Q 7 L C Z x d W 9 0 O 1 N l Y 3 R p b 2 4 x L 0 Z J X 0 N v b W J p b m V k X 2 N s Y X N l L 0 F 1 d G 9 S Z W 1 v d m V k Q 2 9 s d W 1 u c z E u e 1 B G X 0 5 V V F N E U y w y N 3 0 m c X V v d D s s J n F 1 b 3 Q 7 U 2 V j d G l v b j E v R k l f Q 2 9 t Y m l u Z W R f Y 2 x h c 2 U v Q X V 0 b 1 J l b W 9 2 Z W R D b 2 x 1 b W 5 z M S 5 7 U E Z f T E V H V U 1 F U y w y O H 0 m c X V v d D s s J n F 1 b 3 Q 7 U 2 V j d G l v b j E v R k l f Q 2 9 t Y m l u Z W R f Y 2 x h c 2 U v Q X V 0 b 1 J l b W 9 2 Z W R D b 2 x 1 b W 5 z M S 5 7 R F 9 U T 1 R B T C w y O X 0 m c X V v d D s s J n F 1 b 3 Q 7 U 2 V j d G l v b j E v R k l f Q 2 9 t Y m l u Z W R f Y 2 x h c 2 U v Q X V 0 b 1 J l b W 9 2 Z W R D b 2 x 1 b W 5 z M S 5 7 R F 9 N S U x L L D M w f S Z x d W 9 0 O y w m c X V v d D t T Z W N 0 a W 9 u M S 9 G S V 9 D b 2 1 i a W 5 l Z F 9 j b G F z Z S 9 B d X R v U m V t b 3 Z l Z E N v b H V t b n M x L n t E X 1 l P R 1 V S V C w z M X 0 m c X V v d D s s J n F 1 b 3 Q 7 U 2 V j d G l v b j E v R k l f Q 2 9 t Y m l u Z W R f Y 2 x h c 2 U v Q X V 0 b 1 J l b W 9 2 Z W R D b 2 x 1 b W 5 z M S 5 7 R F 9 D S E V F U 0 U s M z J 9 J n F 1 b 3 Q 7 L C Z x d W 9 0 O 1 N l Y 3 R p b 2 4 x L 0 Z J X 0 N v b W J p b m V k X 2 N s Y X N l L 0 F 1 d G 9 S Z W 1 v d m V k Q 2 9 s d W 1 u c z E u e 0 9 J T F M s M z N 9 J n F 1 b 3 Q 7 L C Z x d W 9 0 O 1 N l Y 3 R p b 2 4 x L 0 Z J X 0 N v b W J p b m V k X 2 N s Y X N l L 0 F 1 d G 9 S Z W 1 v d m V k Q 2 9 s d W 1 u c z E u e 1 N P T E l E X 0 Z B V F M s M z R 9 J n F 1 b 3 Q 7 L C Z x d W 9 0 O 1 N l Y 3 R p b 2 4 x L 0 Z J X 0 N v b W J p b m V k X 2 N s Y X N l L 0 F 1 d G 9 S Z W 1 v d m V k Q 2 9 s d W 1 u c z E u e 0 F E R F 9 T V U d B U l M s M z V 9 J n F 1 b 3 Q 7 L C Z x d W 9 0 O 1 N l Y 3 R p b 2 4 x L 0 Z J X 0 N v b W J p b m V k X 2 N s Y X N l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R f Y 2 x h c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Y 2 x h c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Y 2 x h c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Z X N w Z W N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R f Z X N w Z W N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M T o y M i 4 w O T E z N j c z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X 2 V z c G V j a W U v Q X V 0 b 1 J l b W 9 2 Z W R D b 2 x 1 b W 5 z M S 5 7 R l 9 U T 1 R B T C w w f S Z x d W 9 0 O y w m c X V v d D t T Z W N 0 a W 9 u M S 9 G S V 9 D b 2 1 i a W 5 l Z F 9 l c 3 B l Y 2 l l L 0 F 1 d G 9 S Z W 1 v d m V k Q 2 9 s d W 1 u c z E u e 0 Z f Q 0 l U T U x C L D F 9 J n F 1 b 3 Q 7 L C Z x d W 9 0 O 1 N l Y 3 R p b 2 4 x L 0 Z J X 0 N v b W J p b m V k X 2 V z c G V j a W U v Q X V 0 b 1 J l b W 9 2 Z W R D b 2 x 1 b W 5 z M S 5 7 R l 9 P V E h F U i w y f S Z x d W 9 0 O y w m c X V v d D t T Z W N 0 a W 9 u M S 9 G S V 9 D b 2 1 i a W 5 l Z F 9 l c 3 B l Y 2 l l L 0 F 1 d G 9 S Z W 1 v d m V k Q 2 9 s d W 1 u c z E u e 0 Z f S l V J Q 0 U s M 3 0 m c X V v d D s s J n F 1 b 3 Q 7 U 2 V j d G l v b j E v R k l f Q 2 9 t Y m l u Z W R f Z X N w Z W N p Z S 9 B d X R v U m V t b 3 Z l Z E N v b H V t b n M x L n t W X 1 R P V E F M L D R 9 J n F 1 b 3 Q 7 L C Z x d W 9 0 O 1 N l Y 3 R p b 2 4 x L 0 Z J X 0 N v b W J p b m V k X 2 V z c G V j a W U v Q X V 0 b 1 J l b W 9 2 Z W R D b 2 x 1 b W 5 z M S 5 7 V l 9 E U k t H U i w 1 f S Z x d W 9 0 O y w m c X V v d D t T Z W N 0 a W 9 u M S 9 G S V 9 D b 2 1 i a W 5 l Z F 9 l c 3 B l Y 2 l l L 0 F 1 d G 9 S Z W 1 v d m V k Q 2 9 s d W 1 u c z E u e 1 Z f U k V E T 1 J f V E 9 U Q U w s N n 0 m c X V v d D s s J n F 1 b 3 Q 7 U 2 V j d G l v b j E v R k l f Q 2 9 t Y m l u Z W R f Z X N w Z W N p Z S 9 B d X R v U m V t b 3 Z l Z E N v b H V t b n M x L n t W X 1 J F R E 9 S X 1 R P T U F U T y w 3 f S Z x d W 9 0 O y w m c X V v d D t T Z W N 0 a W 9 u M S 9 G S V 9 D b 2 1 i a W 5 l Z F 9 l c 3 B l Y 2 l l L 0 F 1 d G 9 S Z W 1 v d m V k Q 2 9 s d W 1 u c z E u e 1 Z f U k V E T 1 J f T 1 R I R V I s O H 0 m c X V v d D s s J n F 1 b 3 Q 7 U 2 V j d G l v b j E v R k l f Q 2 9 t Y m l u Z W R f Z X N w Z W N p Z S 9 B d X R v U m V t b 3 Z l Z E N v b H V t b n M x L n t W X 1 N U Q V J D S F l f V E 9 U Q U w s O X 0 m c X V v d D s s J n F 1 b 3 Q 7 U 2 V j d G l v b j E v R k l f Q 2 9 t Y m l u Z W R f Z X N w Z W N p Z S 9 B d X R v U m V t b 3 Z l Z E N v b H V t b n M x L n t W X 1 N U Q V J D S F l f U E 9 U Q V R P L D E w f S Z x d W 9 0 O y w m c X V v d D t T Z W N 0 a W 9 u M S 9 G S V 9 D b 2 1 i a W 5 l Z F 9 l c 3 B l Y 2 l l L 0 F 1 d G 9 S Z W 1 v d m V k Q 2 9 s d W 1 u c z E u e 1 Z f U 1 R B U k N I W V 9 P V E h F U i w x M X 0 m c X V v d D s s J n F 1 b 3 Q 7 U 2 V j d G l v b j E v R k l f Q 2 9 t Y m l u Z W R f Z X N w Z W N p Z S 9 B d X R v U m V t b 3 Z l Z E N v b H V t b n M x L n t W X 0 9 U S E V S L D E y f S Z x d W 9 0 O y w m c X V v d D t T Z W N 0 a W 9 u M S 9 G S V 9 D b 2 1 i a W 5 l Z F 9 l c 3 B l Y 2 l l L 0 F 1 d G 9 S Z W 1 v d m V k Q 2 9 s d W 1 u c z E u e 1 Z f T E V H V U 1 F U y w x M 3 0 m c X V v d D s s J n F 1 b 3 Q 7 U 2 V j d G l v b j E v R k l f Q 2 9 t Y m l u Z W R f Z X N w Z W N p Z S 9 B d X R v U m V t b 3 Z l Z E N v b H V t b n M x L n t H X 1 R P V E F M L D E 0 f S Z x d W 9 0 O y w m c X V v d D t T Z W N 0 a W 9 u M S 9 G S V 9 D b 2 1 i a W 5 l Z F 9 l c 3 B l Y 2 l l L 0 F 1 d G 9 S Z W 1 v d m V k Q 2 9 s d W 1 u c z E u e 0 d f V 0 h P T E U s M T V 9 J n F 1 b 3 Q 7 L C Z x d W 9 0 O 1 N l Y 3 R p b 2 4 x L 0 Z J X 0 N v b W J p b m V k X 2 V z c G V j a W U v Q X V 0 b 1 J l b W 9 2 Z W R D b 2 x 1 b W 5 z M S 5 7 R 1 9 S R U Z J T k V E L D E 2 f S Z x d W 9 0 O y w m c X V v d D t T Z W N 0 a W 9 u M S 9 G S V 9 D b 2 1 i a W 5 l Z F 9 l c 3 B l Y 2 l l L 0 F 1 d G 9 S Z W 1 v d m V k Q 2 9 s d W 1 u c z E u e 1 B G X 1 R P V E F M L D E 3 f S Z x d W 9 0 O y w m c X V v d D t T Z W N 0 a W 9 u M S 9 G S V 9 D b 2 1 i a W 5 l Z F 9 l c 3 B l Y 2 l l L 0 F 1 d G 9 S Z W 1 v d m V k Q 2 9 s d W 1 u c z E u e 1 B G X 0 1 Q U 1 9 U T 1 R B T C w x O H 0 m c X V v d D s s J n F 1 b 3 Q 7 U 2 V j d G l v b j E v R k l f Q 2 9 t Y m l u Z W R f Z X N w Z W N p Z S 9 B d X R v U m V t b 3 Z l Z E N v b H V t b n M x L n t Q R l 9 N R U F U L D E 5 f S Z x d W 9 0 O y w m c X V v d D t T Z W N 0 a W 9 u M S 9 G S V 9 D b 2 1 i a W 5 l Z F 9 l c 3 B l Y 2 l l L 0 F 1 d G 9 S Z W 1 v d m V k Q 2 9 s d W 1 u c z E u e 1 B G X 0 N V U k V E T U V B V C w y M H 0 m c X V v d D s s J n F 1 b 3 Q 7 U 2 V j d G l v b j E v R k l f Q 2 9 t Y m l u Z W R f Z X N w Z W N p Z S 9 B d X R v U m V t b 3 Z l Z E N v b H V t b n M x L n t Q R l 9 P U k d B T i w y M X 0 m c X V v d D s s J n F 1 b 3 Q 7 U 2 V j d G l v b j E v R k l f Q 2 9 t Y m l u Z W R f Z X N w Z W N p Z S 9 B d X R v U m V t b 3 Z l Z E N v b H V t b n M x L n t Q R l 9 Q T 1 V M V C w y M n 0 m c X V v d D s s J n F 1 b 3 Q 7 U 2 V j d G l v b j E v R k l f Q 2 9 t Y m l u Z W R f Z X N w Z W N p Z S 9 B d X R v U m V t b 3 Z l Z E N v b H V t b n M x L n t Q R l 9 T R U F G R F 9 I S S w y M 3 0 m c X V v d D s s J n F 1 b 3 Q 7 U 2 V j d G l v b j E v R k l f Q 2 9 t Y m l u Z W R f Z X N w Z W N p Z S 9 B d X R v U m V t b 3 Z l Z E N v b H V t b n M x L n t Q R l 9 T R U F G R F 9 M T 1 c s M j R 9 J n F 1 b 3 Q 7 L C Z x d W 9 0 O 1 N l Y 3 R p b 2 4 x L 0 Z J X 0 N v b W J p b m V k X 2 V z c G V j a W U v Q X V 0 b 1 J l b W 9 2 Z W R D b 2 x 1 b W 5 z M S 5 7 U E Z f R U d H U y w y N X 0 m c X V v d D s s J n F 1 b 3 Q 7 U 2 V j d G l v b j E v R k l f Q 2 9 t Y m l u Z W R f Z X N w Z W N p Z S 9 B d X R v U m V t b 3 Z l Z E N v b H V t b n M x L n t Q R l 9 T T 1 k s M j Z 9 J n F 1 b 3 Q 7 L C Z x d W 9 0 O 1 N l Y 3 R p b 2 4 x L 0 Z J X 0 N v b W J p b m V k X 2 V z c G V j a W U v Q X V 0 b 1 J l b W 9 2 Z W R D b 2 x 1 b W 5 z M S 5 7 U E Z f T l V U U 0 R T L D I 3 f S Z x d W 9 0 O y w m c X V v d D t T Z W N 0 a W 9 u M S 9 G S V 9 D b 2 1 i a W 5 l Z F 9 l c 3 B l Y 2 l l L 0 F 1 d G 9 S Z W 1 v d m V k Q 2 9 s d W 1 u c z E u e 1 B G X 0 x F R 1 V N R V M s M j h 9 J n F 1 b 3 Q 7 L C Z x d W 9 0 O 1 N l Y 3 R p b 2 4 x L 0 Z J X 0 N v b W J p b m V k X 2 V z c G V j a W U v Q X V 0 b 1 J l b W 9 2 Z W R D b 2 x 1 b W 5 z M S 5 7 R F 9 U T 1 R B T C w y O X 0 m c X V v d D s s J n F 1 b 3 Q 7 U 2 V j d G l v b j E v R k l f Q 2 9 t Y m l u Z W R f Z X N w Z W N p Z S 9 B d X R v U m V t b 3 Z l Z E N v b H V t b n M x L n t E X 0 1 J T E s s M z B 9 J n F 1 b 3 Q 7 L C Z x d W 9 0 O 1 N l Y 3 R p b 2 4 x L 0 Z J X 0 N v b W J p b m V k X 2 V z c G V j a W U v Q X V 0 b 1 J l b W 9 2 Z W R D b 2 x 1 b W 5 z M S 5 7 R F 9 Z T 0 d V U l Q s M z F 9 J n F 1 b 3 Q 7 L C Z x d W 9 0 O 1 N l Y 3 R p b 2 4 x L 0 Z J X 0 N v b W J p b m V k X 2 V z c G V j a W U v Q X V 0 b 1 J l b W 9 2 Z W R D b 2 x 1 b W 5 z M S 5 7 R F 9 D S E V F U 0 U s M z J 9 J n F 1 b 3 Q 7 L C Z x d W 9 0 O 1 N l Y 3 R p b 2 4 x L 0 Z J X 0 N v b W J p b m V k X 2 V z c G V j a W U v Q X V 0 b 1 J l b W 9 2 Z W R D b 2 x 1 b W 5 z M S 5 7 T 0 l M U y w z M 3 0 m c X V v d D s s J n F 1 b 3 Q 7 U 2 V j d G l v b j E v R k l f Q 2 9 t Y m l u Z W R f Z X N w Z W N p Z S 9 B d X R v U m V t b 3 Z l Z E N v b H V t b n M x L n t T T 0 x J R F 9 G Q V R T L D M 0 f S Z x d W 9 0 O y w m c X V v d D t T Z W N 0 a W 9 u M S 9 G S V 9 D b 2 1 i a W 5 l Z F 9 l c 3 B l Y 2 l l L 0 F 1 d G 9 S Z W 1 v d m V k Q 2 9 s d W 1 u c z E u e 0 F E R F 9 T V U d B U l M s M z V 9 J n F 1 b 3 Q 7 L C Z x d W 9 0 O 1 N l Y 3 R p b 2 4 x L 0 Z J X 0 N v b W J p b m V k X 2 V z c G V j a W U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D b 2 1 i a W 5 l Z F 9 l c 3 B l Y 2 l l L 0 F 1 d G 9 S Z W 1 v d m V k Q 2 9 s d W 1 u c z E u e 0 Z f V E 9 U Q U w s M H 0 m c X V v d D s s J n F 1 b 3 Q 7 U 2 V j d G l v b j E v R k l f Q 2 9 t Y m l u Z W R f Z X N w Z W N p Z S 9 B d X R v U m V t b 3 Z l Z E N v b H V t b n M x L n t G X 0 N J V E 1 M Q i w x f S Z x d W 9 0 O y w m c X V v d D t T Z W N 0 a W 9 u M S 9 G S V 9 D b 2 1 i a W 5 l Z F 9 l c 3 B l Y 2 l l L 0 F 1 d G 9 S Z W 1 v d m V k Q 2 9 s d W 1 u c z E u e 0 Z f T 1 R I R V I s M n 0 m c X V v d D s s J n F 1 b 3 Q 7 U 2 V j d G l v b j E v R k l f Q 2 9 t Y m l u Z W R f Z X N w Z W N p Z S 9 B d X R v U m V t b 3 Z l Z E N v b H V t b n M x L n t G X 0 p V S U N F L D N 9 J n F 1 b 3 Q 7 L C Z x d W 9 0 O 1 N l Y 3 R p b 2 4 x L 0 Z J X 0 N v b W J p b m V k X 2 V z c G V j a W U v Q X V 0 b 1 J l b W 9 2 Z W R D b 2 x 1 b W 5 z M S 5 7 V l 9 U T 1 R B T C w 0 f S Z x d W 9 0 O y w m c X V v d D t T Z W N 0 a W 9 u M S 9 G S V 9 D b 2 1 i a W 5 l Z F 9 l c 3 B l Y 2 l l L 0 F 1 d G 9 S Z W 1 v d m V k Q 2 9 s d W 1 u c z E u e 1 Z f R F J L R 1 I s N X 0 m c X V v d D s s J n F 1 b 3 Q 7 U 2 V j d G l v b j E v R k l f Q 2 9 t Y m l u Z W R f Z X N w Z W N p Z S 9 B d X R v U m V t b 3 Z l Z E N v b H V t b n M x L n t W X 1 J F R E 9 S X 1 R P V E F M L D Z 9 J n F 1 b 3 Q 7 L C Z x d W 9 0 O 1 N l Y 3 R p b 2 4 x L 0 Z J X 0 N v b W J p b m V k X 2 V z c G V j a W U v Q X V 0 b 1 J l b W 9 2 Z W R D b 2 x 1 b W 5 z M S 5 7 V l 9 S R U R P U l 9 U T 0 1 B V E 8 s N 3 0 m c X V v d D s s J n F 1 b 3 Q 7 U 2 V j d G l v b j E v R k l f Q 2 9 t Y m l u Z W R f Z X N w Z W N p Z S 9 B d X R v U m V t b 3 Z l Z E N v b H V t b n M x L n t W X 1 J F R E 9 S X 0 9 U S E V S L D h 9 J n F 1 b 3 Q 7 L C Z x d W 9 0 O 1 N l Y 3 R p b 2 4 x L 0 Z J X 0 N v b W J p b m V k X 2 V z c G V j a W U v Q X V 0 b 1 J l b W 9 2 Z W R D b 2 x 1 b W 5 z M S 5 7 V l 9 T V E F S Q 0 h Z X 1 R P V E F M L D l 9 J n F 1 b 3 Q 7 L C Z x d W 9 0 O 1 N l Y 3 R p b 2 4 x L 0 Z J X 0 N v b W J p b m V k X 2 V z c G V j a W U v Q X V 0 b 1 J l b W 9 2 Z W R D b 2 x 1 b W 5 z M S 5 7 V l 9 T V E F S Q 0 h Z X 1 B P V E F U T y w x M H 0 m c X V v d D s s J n F 1 b 3 Q 7 U 2 V j d G l v b j E v R k l f Q 2 9 t Y m l u Z W R f Z X N w Z W N p Z S 9 B d X R v U m V t b 3 Z l Z E N v b H V t b n M x L n t W X 1 N U Q V J D S F l f T 1 R I R V I s M T F 9 J n F 1 b 3 Q 7 L C Z x d W 9 0 O 1 N l Y 3 R p b 2 4 x L 0 Z J X 0 N v b W J p b m V k X 2 V z c G V j a W U v Q X V 0 b 1 J l b W 9 2 Z W R D b 2 x 1 b W 5 z M S 5 7 V l 9 P V E h F U i w x M n 0 m c X V v d D s s J n F 1 b 3 Q 7 U 2 V j d G l v b j E v R k l f Q 2 9 t Y m l u Z W R f Z X N w Z W N p Z S 9 B d X R v U m V t b 3 Z l Z E N v b H V t b n M x L n t W X 0 x F R 1 V N R V M s M T N 9 J n F 1 b 3 Q 7 L C Z x d W 9 0 O 1 N l Y 3 R p b 2 4 x L 0 Z J X 0 N v b W J p b m V k X 2 V z c G V j a W U v Q X V 0 b 1 J l b W 9 2 Z W R D b 2 x 1 b W 5 z M S 5 7 R 1 9 U T 1 R B T C w x N H 0 m c X V v d D s s J n F 1 b 3 Q 7 U 2 V j d G l v b j E v R k l f Q 2 9 t Y m l u Z W R f Z X N w Z W N p Z S 9 B d X R v U m V t b 3 Z l Z E N v b H V t b n M x L n t H X 1 d I T 0 x F L D E 1 f S Z x d W 9 0 O y w m c X V v d D t T Z W N 0 a W 9 u M S 9 G S V 9 D b 2 1 i a W 5 l Z F 9 l c 3 B l Y 2 l l L 0 F 1 d G 9 S Z W 1 v d m V k Q 2 9 s d W 1 u c z E u e 0 d f U k V G S U 5 F R C w x N n 0 m c X V v d D s s J n F 1 b 3 Q 7 U 2 V j d G l v b j E v R k l f Q 2 9 t Y m l u Z W R f Z X N w Z W N p Z S 9 B d X R v U m V t b 3 Z l Z E N v b H V t b n M x L n t Q R l 9 U T 1 R B T C w x N 3 0 m c X V v d D s s J n F 1 b 3 Q 7 U 2 V j d G l v b j E v R k l f Q 2 9 t Y m l u Z W R f Z X N w Z W N p Z S 9 B d X R v U m V t b 3 Z l Z E N v b H V t b n M x L n t Q R l 9 N U F N f V E 9 U Q U w s M T h 9 J n F 1 b 3 Q 7 L C Z x d W 9 0 O 1 N l Y 3 R p b 2 4 x L 0 Z J X 0 N v b W J p b m V k X 2 V z c G V j a W U v Q X V 0 b 1 J l b W 9 2 Z W R D b 2 x 1 b W 5 z M S 5 7 U E Z f T U V B V C w x O X 0 m c X V v d D s s J n F 1 b 3 Q 7 U 2 V j d G l v b j E v R k l f Q 2 9 t Y m l u Z W R f Z X N w Z W N p Z S 9 B d X R v U m V t b 3 Z l Z E N v b H V t b n M x L n t Q R l 9 D V V J F R E 1 F Q V Q s M j B 9 J n F 1 b 3 Q 7 L C Z x d W 9 0 O 1 N l Y 3 R p b 2 4 x L 0 Z J X 0 N v b W J p b m V k X 2 V z c G V j a W U v Q X V 0 b 1 J l b W 9 2 Z W R D b 2 x 1 b W 5 z M S 5 7 U E Z f T 1 J H Q U 4 s M j F 9 J n F 1 b 3 Q 7 L C Z x d W 9 0 O 1 N l Y 3 R p b 2 4 x L 0 Z J X 0 N v b W J p b m V k X 2 V z c G V j a W U v Q X V 0 b 1 J l b W 9 2 Z W R D b 2 x 1 b W 5 z M S 5 7 U E Z f U E 9 V T F Q s M j J 9 J n F 1 b 3 Q 7 L C Z x d W 9 0 O 1 N l Y 3 R p b 2 4 x L 0 Z J X 0 N v b W J p b m V k X 2 V z c G V j a W U v Q X V 0 b 1 J l b W 9 2 Z W R D b 2 x 1 b W 5 z M S 5 7 U E Z f U 0 V B R k R f S E k s M j N 9 J n F 1 b 3 Q 7 L C Z x d W 9 0 O 1 N l Y 3 R p b 2 4 x L 0 Z J X 0 N v b W J p b m V k X 2 V z c G V j a W U v Q X V 0 b 1 J l b W 9 2 Z W R D b 2 x 1 b W 5 z M S 5 7 U E Z f U 0 V B R k R f T E 9 X L D I 0 f S Z x d W 9 0 O y w m c X V v d D t T Z W N 0 a W 9 u M S 9 G S V 9 D b 2 1 i a W 5 l Z F 9 l c 3 B l Y 2 l l L 0 F 1 d G 9 S Z W 1 v d m V k Q 2 9 s d W 1 u c z E u e 1 B G X 0 V H R 1 M s M j V 9 J n F 1 b 3 Q 7 L C Z x d W 9 0 O 1 N l Y 3 R p b 2 4 x L 0 Z J X 0 N v b W J p b m V k X 2 V z c G V j a W U v Q X V 0 b 1 J l b W 9 2 Z W R D b 2 x 1 b W 5 z M S 5 7 U E Z f U 0 9 Z L D I 2 f S Z x d W 9 0 O y w m c X V v d D t T Z W N 0 a W 9 u M S 9 G S V 9 D b 2 1 i a W 5 l Z F 9 l c 3 B l Y 2 l l L 0 F 1 d G 9 S Z W 1 v d m V k Q 2 9 s d W 1 u c z E u e 1 B G X 0 5 V V F N E U y w y N 3 0 m c X V v d D s s J n F 1 b 3 Q 7 U 2 V j d G l v b j E v R k l f Q 2 9 t Y m l u Z W R f Z X N w Z W N p Z S 9 B d X R v U m V t b 3 Z l Z E N v b H V t b n M x L n t Q R l 9 M R U d V T U V T L D I 4 f S Z x d W 9 0 O y w m c X V v d D t T Z W N 0 a W 9 u M S 9 G S V 9 D b 2 1 i a W 5 l Z F 9 l c 3 B l Y 2 l l L 0 F 1 d G 9 S Z W 1 v d m V k Q 2 9 s d W 1 u c z E u e 0 R f V E 9 U Q U w s M j l 9 J n F 1 b 3 Q 7 L C Z x d W 9 0 O 1 N l Y 3 R p b 2 4 x L 0 Z J X 0 N v b W J p b m V k X 2 V z c G V j a W U v Q X V 0 b 1 J l b W 9 2 Z W R D b 2 x 1 b W 5 z M S 5 7 R F 9 N S U x L L D M w f S Z x d W 9 0 O y w m c X V v d D t T Z W N 0 a W 9 u M S 9 G S V 9 D b 2 1 i a W 5 l Z F 9 l c 3 B l Y 2 l l L 0 F 1 d G 9 S Z W 1 v d m V k Q 2 9 s d W 1 u c z E u e 0 R f W U 9 H V V J U L D M x f S Z x d W 9 0 O y w m c X V v d D t T Z W N 0 a W 9 u M S 9 G S V 9 D b 2 1 i a W 5 l Z F 9 l c 3 B l Y 2 l l L 0 F 1 d G 9 S Z W 1 v d m V k Q 2 9 s d W 1 u c z E u e 0 R f Q 0 h F R V N F L D M y f S Z x d W 9 0 O y w m c X V v d D t T Z W N 0 a W 9 u M S 9 G S V 9 D b 2 1 i a W 5 l Z F 9 l c 3 B l Y 2 l l L 0 F 1 d G 9 S Z W 1 v d m V k Q 2 9 s d W 1 u c z E u e 0 9 J T F M s M z N 9 J n F 1 b 3 Q 7 L C Z x d W 9 0 O 1 N l Y 3 R p b 2 4 x L 0 Z J X 0 N v b W J p b m V k X 2 V z c G V j a W U v Q X V 0 b 1 J l b W 9 2 Z W R D b 2 x 1 b W 5 z M S 5 7 U 0 9 M S U R f R k F U U y w z N H 0 m c X V v d D s s J n F 1 b 3 Q 7 U 2 V j d G l v b j E v R k l f Q 2 9 t Y m l u Z W R f Z X N w Z W N p Z S 9 B d X R v U m V t b 3 Z l Z E N v b H V t b n M x L n t B R E R f U 1 V H Q V J T L D M 1 f S Z x d W 9 0 O y w m c X V v d D t T Z W N 0 a W 9 u M S 9 G S V 9 D b 2 1 i a W 5 l Z F 9 l c 3 B l Y 2 l l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R f Z X N w Z W N p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l c 3 B l Y 2 l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V z c G V j a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Z m F t a W x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R f Z m F t a W x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M T o 0 N C 4 z M z Q 2 M j Q 4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X 2 Z h b W l s a W E v Q X V 0 b 1 J l b W 9 2 Z W R D b 2 x 1 b W 5 z M S 5 7 R l 9 U T 1 R B T C w w f S Z x d W 9 0 O y w m c X V v d D t T Z W N 0 a W 9 u M S 9 G S V 9 D b 2 1 i a W 5 l Z F 9 m Y W 1 p b G l h L 0 F 1 d G 9 S Z W 1 v d m V k Q 2 9 s d W 1 u c z E u e 0 Z f Q 0 l U T U x C L D F 9 J n F 1 b 3 Q 7 L C Z x d W 9 0 O 1 N l Y 3 R p b 2 4 x L 0 Z J X 0 N v b W J p b m V k X 2 Z h b W l s a W E v Q X V 0 b 1 J l b W 9 2 Z W R D b 2 x 1 b W 5 z M S 5 7 R l 9 P V E h F U i w y f S Z x d W 9 0 O y w m c X V v d D t T Z W N 0 a W 9 u M S 9 G S V 9 D b 2 1 i a W 5 l Z F 9 m Y W 1 p b G l h L 0 F 1 d G 9 S Z W 1 v d m V k Q 2 9 s d W 1 u c z E u e 0 Z f S l V J Q 0 U s M 3 0 m c X V v d D s s J n F 1 b 3 Q 7 U 2 V j d G l v b j E v R k l f Q 2 9 t Y m l u Z W R f Z m F t a W x p Y S 9 B d X R v U m V t b 3 Z l Z E N v b H V t b n M x L n t W X 1 R P V E F M L D R 9 J n F 1 b 3 Q 7 L C Z x d W 9 0 O 1 N l Y 3 R p b 2 4 x L 0 Z J X 0 N v b W J p b m V k X 2 Z h b W l s a W E v Q X V 0 b 1 J l b W 9 2 Z W R D b 2 x 1 b W 5 z M S 5 7 V l 9 E U k t H U i w 1 f S Z x d W 9 0 O y w m c X V v d D t T Z W N 0 a W 9 u M S 9 G S V 9 D b 2 1 i a W 5 l Z F 9 m Y W 1 p b G l h L 0 F 1 d G 9 S Z W 1 v d m V k Q 2 9 s d W 1 u c z E u e 1 Z f U k V E T 1 J f V E 9 U Q U w s N n 0 m c X V v d D s s J n F 1 b 3 Q 7 U 2 V j d G l v b j E v R k l f Q 2 9 t Y m l u Z W R f Z m F t a W x p Y S 9 B d X R v U m V t b 3 Z l Z E N v b H V t b n M x L n t W X 1 J F R E 9 S X 1 R P T U F U T y w 3 f S Z x d W 9 0 O y w m c X V v d D t T Z W N 0 a W 9 u M S 9 G S V 9 D b 2 1 i a W 5 l Z F 9 m Y W 1 p b G l h L 0 F 1 d G 9 S Z W 1 v d m V k Q 2 9 s d W 1 u c z E u e 1 Z f U k V E T 1 J f T 1 R I R V I s O H 0 m c X V v d D s s J n F 1 b 3 Q 7 U 2 V j d G l v b j E v R k l f Q 2 9 t Y m l u Z W R f Z m F t a W x p Y S 9 B d X R v U m V t b 3 Z l Z E N v b H V t b n M x L n t W X 1 N U Q V J D S F l f V E 9 U Q U w s O X 0 m c X V v d D s s J n F 1 b 3 Q 7 U 2 V j d G l v b j E v R k l f Q 2 9 t Y m l u Z W R f Z m F t a W x p Y S 9 B d X R v U m V t b 3 Z l Z E N v b H V t b n M x L n t W X 1 N U Q V J D S F l f U E 9 U Q V R P L D E w f S Z x d W 9 0 O y w m c X V v d D t T Z W N 0 a W 9 u M S 9 G S V 9 D b 2 1 i a W 5 l Z F 9 m Y W 1 p b G l h L 0 F 1 d G 9 S Z W 1 v d m V k Q 2 9 s d W 1 u c z E u e 1 Z f U 1 R B U k N I W V 9 P V E h F U i w x M X 0 m c X V v d D s s J n F 1 b 3 Q 7 U 2 V j d G l v b j E v R k l f Q 2 9 t Y m l u Z W R f Z m F t a W x p Y S 9 B d X R v U m V t b 3 Z l Z E N v b H V t b n M x L n t W X 0 9 U S E V S L D E y f S Z x d W 9 0 O y w m c X V v d D t T Z W N 0 a W 9 u M S 9 G S V 9 D b 2 1 i a W 5 l Z F 9 m Y W 1 p b G l h L 0 F 1 d G 9 S Z W 1 v d m V k Q 2 9 s d W 1 u c z E u e 1 Z f T E V H V U 1 F U y w x M 3 0 m c X V v d D s s J n F 1 b 3 Q 7 U 2 V j d G l v b j E v R k l f Q 2 9 t Y m l u Z W R f Z m F t a W x p Y S 9 B d X R v U m V t b 3 Z l Z E N v b H V t b n M x L n t H X 1 R P V E F M L D E 0 f S Z x d W 9 0 O y w m c X V v d D t T Z W N 0 a W 9 u M S 9 G S V 9 D b 2 1 i a W 5 l Z F 9 m Y W 1 p b G l h L 0 F 1 d G 9 S Z W 1 v d m V k Q 2 9 s d W 1 u c z E u e 0 d f V 0 h P T E U s M T V 9 J n F 1 b 3 Q 7 L C Z x d W 9 0 O 1 N l Y 3 R p b 2 4 x L 0 Z J X 0 N v b W J p b m V k X 2 Z h b W l s a W E v Q X V 0 b 1 J l b W 9 2 Z W R D b 2 x 1 b W 5 z M S 5 7 R 1 9 S R U Z J T k V E L D E 2 f S Z x d W 9 0 O y w m c X V v d D t T Z W N 0 a W 9 u M S 9 G S V 9 D b 2 1 i a W 5 l Z F 9 m Y W 1 p b G l h L 0 F 1 d G 9 S Z W 1 v d m V k Q 2 9 s d W 1 u c z E u e 1 B G X 1 R P V E F M L D E 3 f S Z x d W 9 0 O y w m c X V v d D t T Z W N 0 a W 9 u M S 9 G S V 9 D b 2 1 i a W 5 l Z F 9 m Y W 1 p b G l h L 0 F 1 d G 9 S Z W 1 v d m V k Q 2 9 s d W 1 u c z E u e 1 B G X 0 1 Q U 1 9 U T 1 R B T C w x O H 0 m c X V v d D s s J n F 1 b 3 Q 7 U 2 V j d G l v b j E v R k l f Q 2 9 t Y m l u Z W R f Z m F t a W x p Y S 9 B d X R v U m V t b 3 Z l Z E N v b H V t b n M x L n t Q R l 9 N R U F U L D E 5 f S Z x d W 9 0 O y w m c X V v d D t T Z W N 0 a W 9 u M S 9 G S V 9 D b 2 1 i a W 5 l Z F 9 m Y W 1 p b G l h L 0 F 1 d G 9 S Z W 1 v d m V k Q 2 9 s d W 1 u c z E u e 1 B G X 0 N V U k V E T U V B V C w y M H 0 m c X V v d D s s J n F 1 b 3 Q 7 U 2 V j d G l v b j E v R k l f Q 2 9 t Y m l u Z W R f Z m F t a W x p Y S 9 B d X R v U m V t b 3 Z l Z E N v b H V t b n M x L n t Q R l 9 P U k d B T i w y M X 0 m c X V v d D s s J n F 1 b 3 Q 7 U 2 V j d G l v b j E v R k l f Q 2 9 t Y m l u Z W R f Z m F t a W x p Y S 9 B d X R v U m V t b 3 Z l Z E N v b H V t b n M x L n t Q R l 9 Q T 1 V M V C w y M n 0 m c X V v d D s s J n F 1 b 3 Q 7 U 2 V j d G l v b j E v R k l f Q 2 9 t Y m l u Z W R f Z m F t a W x p Y S 9 B d X R v U m V t b 3 Z l Z E N v b H V t b n M x L n t Q R l 9 T R U F G R F 9 I S S w y M 3 0 m c X V v d D s s J n F 1 b 3 Q 7 U 2 V j d G l v b j E v R k l f Q 2 9 t Y m l u Z W R f Z m F t a W x p Y S 9 B d X R v U m V t b 3 Z l Z E N v b H V t b n M x L n t Q R l 9 T R U F G R F 9 M T 1 c s M j R 9 J n F 1 b 3 Q 7 L C Z x d W 9 0 O 1 N l Y 3 R p b 2 4 x L 0 Z J X 0 N v b W J p b m V k X 2 Z h b W l s a W E v Q X V 0 b 1 J l b W 9 2 Z W R D b 2 x 1 b W 5 z M S 5 7 U E Z f R U d H U y w y N X 0 m c X V v d D s s J n F 1 b 3 Q 7 U 2 V j d G l v b j E v R k l f Q 2 9 t Y m l u Z W R f Z m F t a W x p Y S 9 B d X R v U m V t b 3 Z l Z E N v b H V t b n M x L n t Q R l 9 T T 1 k s M j Z 9 J n F 1 b 3 Q 7 L C Z x d W 9 0 O 1 N l Y 3 R p b 2 4 x L 0 Z J X 0 N v b W J p b m V k X 2 Z h b W l s a W E v Q X V 0 b 1 J l b W 9 2 Z W R D b 2 x 1 b W 5 z M S 5 7 U E Z f T l V U U 0 R T L D I 3 f S Z x d W 9 0 O y w m c X V v d D t T Z W N 0 a W 9 u M S 9 G S V 9 D b 2 1 i a W 5 l Z F 9 m Y W 1 p b G l h L 0 F 1 d G 9 S Z W 1 v d m V k Q 2 9 s d W 1 u c z E u e 1 B G X 0 x F R 1 V N R V M s M j h 9 J n F 1 b 3 Q 7 L C Z x d W 9 0 O 1 N l Y 3 R p b 2 4 x L 0 Z J X 0 N v b W J p b m V k X 2 Z h b W l s a W E v Q X V 0 b 1 J l b W 9 2 Z W R D b 2 x 1 b W 5 z M S 5 7 R F 9 U T 1 R B T C w y O X 0 m c X V v d D s s J n F 1 b 3 Q 7 U 2 V j d G l v b j E v R k l f Q 2 9 t Y m l u Z W R f Z m F t a W x p Y S 9 B d X R v U m V t b 3 Z l Z E N v b H V t b n M x L n t E X 0 1 J T E s s M z B 9 J n F 1 b 3 Q 7 L C Z x d W 9 0 O 1 N l Y 3 R p b 2 4 x L 0 Z J X 0 N v b W J p b m V k X 2 Z h b W l s a W E v Q X V 0 b 1 J l b W 9 2 Z W R D b 2 x 1 b W 5 z M S 5 7 R F 9 Z T 0 d V U l Q s M z F 9 J n F 1 b 3 Q 7 L C Z x d W 9 0 O 1 N l Y 3 R p b 2 4 x L 0 Z J X 0 N v b W J p b m V k X 2 Z h b W l s a W E v Q X V 0 b 1 J l b W 9 2 Z W R D b 2 x 1 b W 5 z M S 5 7 R F 9 D S E V F U 0 U s M z J 9 J n F 1 b 3 Q 7 L C Z x d W 9 0 O 1 N l Y 3 R p b 2 4 x L 0 Z J X 0 N v b W J p b m V k X 2 Z h b W l s a W E v Q X V 0 b 1 J l b W 9 2 Z W R D b 2 x 1 b W 5 z M S 5 7 T 0 l M U y w z M 3 0 m c X V v d D s s J n F 1 b 3 Q 7 U 2 V j d G l v b j E v R k l f Q 2 9 t Y m l u Z W R f Z m F t a W x p Y S 9 B d X R v U m V t b 3 Z l Z E N v b H V t b n M x L n t T T 0 x J R F 9 G Q V R T L D M 0 f S Z x d W 9 0 O y w m c X V v d D t T Z W N 0 a W 9 u M S 9 G S V 9 D b 2 1 i a W 5 l Z F 9 m Y W 1 p b G l h L 0 F 1 d G 9 S Z W 1 v d m V k Q 2 9 s d W 1 u c z E u e 0 F E R F 9 T V U d B U l M s M z V 9 J n F 1 b 3 Q 7 L C Z x d W 9 0 O 1 N l Y 3 R p b 2 4 x L 0 Z J X 0 N v b W J p b m V k X 2 Z h b W l s a W E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D b 2 1 i a W 5 l Z F 9 m Y W 1 p b G l h L 0 F 1 d G 9 S Z W 1 v d m V k Q 2 9 s d W 1 u c z E u e 0 Z f V E 9 U Q U w s M H 0 m c X V v d D s s J n F 1 b 3 Q 7 U 2 V j d G l v b j E v R k l f Q 2 9 t Y m l u Z W R f Z m F t a W x p Y S 9 B d X R v U m V t b 3 Z l Z E N v b H V t b n M x L n t G X 0 N J V E 1 M Q i w x f S Z x d W 9 0 O y w m c X V v d D t T Z W N 0 a W 9 u M S 9 G S V 9 D b 2 1 i a W 5 l Z F 9 m Y W 1 p b G l h L 0 F 1 d G 9 S Z W 1 v d m V k Q 2 9 s d W 1 u c z E u e 0 Z f T 1 R I R V I s M n 0 m c X V v d D s s J n F 1 b 3 Q 7 U 2 V j d G l v b j E v R k l f Q 2 9 t Y m l u Z W R f Z m F t a W x p Y S 9 B d X R v U m V t b 3 Z l Z E N v b H V t b n M x L n t G X 0 p V S U N F L D N 9 J n F 1 b 3 Q 7 L C Z x d W 9 0 O 1 N l Y 3 R p b 2 4 x L 0 Z J X 0 N v b W J p b m V k X 2 Z h b W l s a W E v Q X V 0 b 1 J l b W 9 2 Z W R D b 2 x 1 b W 5 z M S 5 7 V l 9 U T 1 R B T C w 0 f S Z x d W 9 0 O y w m c X V v d D t T Z W N 0 a W 9 u M S 9 G S V 9 D b 2 1 i a W 5 l Z F 9 m Y W 1 p b G l h L 0 F 1 d G 9 S Z W 1 v d m V k Q 2 9 s d W 1 u c z E u e 1 Z f R F J L R 1 I s N X 0 m c X V v d D s s J n F 1 b 3 Q 7 U 2 V j d G l v b j E v R k l f Q 2 9 t Y m l u Z W R f Z m F t a W x p Y S 9 B d X R v U m V t b 3 Z l Z E N v b H V t b n M x L n t W X 1 J F R E 9 S X 1 R P V E F M L D Z 9 J n F 1 b 3 Q 7 L C Z x d W 9 0 O 1 N l Y 3 R p b 2 4 x L 0 Z J X 0 N v b W J p b m V k X 2 Z h b W l s a W E v Q X V 0 b 1 J l b W 9 2 Z W R D b 2 x 1 b W 5 z M S 5 7 V l 9 S R U R P U l 9 U T 0 1 B V E 8 s N 3 0 m c X V v d D s s J n F 1 b 3 Q 7 U 2 V j d G l v b j E v R k l f Q 2 9 t Y m l u Z W R f Z m F t a W x p Y S 9 B d X R v U m V t b 3 Z l Z E N v b H V t b n M x L n t W X 1 J F R E 9 S X 0 9 U S E V S L D h 9 J n F 1 b 3 Q 7 L C Z x d W 9 0 O 1 N l Y 3 R p b 2 4 x L 0 Z J X 0 N v b W J p b m V k X 2 Z h b W l s a W E v Q X V 0 b 1 J l b W 9 2 Z W R D b 2 x 1 b W 5 z M S 5 7 V l 9 T V E F S Q 0 h Z X 1 R P V E F M L D l 9 J n F 1 b 3 Q 7 L C Z x d W 9 0 O 1 N l Y 3 R p b 2 4 x L 0 Z J X 0 N v b W J p b m V k X 2 Z h b W l s a W E v Q X V 0 b 1 J l b W 9 2 Z W R D b 2 x 1 b W 5 z M S 5 7 V l 9 T V E F S Q 0 h Z X 1 B P V E F U T y w x M H 0 m c X V v d D s s J n F 1 b 3 Q 7 U 2 V j d G l v b j E v R k l f Q 2 9 t Y m l u Z W R f Z m F t a W x p Y S 9 B d X R v U m V t b 3 Z l Z E N v b H V t b n M x L n t W X 1 N U Q V J D S F l f T 1 R I R V I s M T F 9 J n F 1 b 3 Q 7 L C Z x d W 9 0 O 1 N l Y 3 R p b 2 4 x L 0 Z J X 0 N v b W J p b m V k X 2 Z h b W l s a W E v Q X V 0 b 1 J l b W 9 2 Z W R D b 2 x 1 b W 5 z M S 5 7 V l 9 P V E h F U i w x M n 0 m c X V v d D s s J n F 1 b 3 Q 7 U 2 V j d G l v b j E v R k l f Q 2 9 t Y m l u Z W R f Z m F t a W x p Y S 9 B d X R v U m V t b 3 Z l Z E N v b H V t b n M x L n t W X 0 x F R 1 V N R V M s M T N 9 J n F 1 b 3 Q 7 L C Z x d W 9 0 O 1 N l Y 3 R p b 2 4 x L 0 Z J X 0 N v b W J p b m V k X 2 Z h b W l s a W E v Q X V 0 b 1 J l b W 9 2 Z W R D b 2 x 1 b W 5 z M S 5 7 R 1 9 U T 1 R B T C w x N H 0 m c X V v d D s s J n F 1 b 3 Q 7 U 2 V j d G l v b j E v R k l f Q 2 9 t Y m l u Z W R f Z m F t a W x p Y S 9 B d X R v U m V t b 3 Z l Z E N v b H V t b n M x L n t H X 1 d I T 0 x F L D E 1 f S Z x d W 9 0 O y w m c X V v d D t T Z W N 0 a W 9 u M S 9 G S V 9 D b 2 1 i a W 5 l Z F 9 m Y W 1 p b G l h L 0 F 1 d G 9 S Z W 1 v d m V k Q 2 9 s d W 1 u c z E u e 0 d f U k V G S U 5 F R C w x N n 0 m c X V v d D s s J n F 1 b 3 Q 7 U 2 V j d G l v b j E v R k l f Q 2 9 t Y m l u Z W R f Z m F t a W x p Y S 9 B d X R v U m V t b 3 Z l Z E N v b H V t b n M x L n t Q R l 9 U T 1 R B T C w x N 3 0 m c X V v d D s s J n F 1 b 3 Q 7 U 2 V j d G l v b j E v R k l f Q 2 9 t Y m l u Z W R f Z m F t a W x p Y S 9 B d X R v U m V t b 3 Z l Z E N v b H V t b n M x L n t Q R l 9 N U F N f V E 9 U Q U w s M T h 9 J n F 1 b 3 Q 7 L C Z x d W 9 0 O 1 N l Y 3 R p b 2 4 x L 0 Z J X 0 N v b W J p b m V k X 2 Z h b W l s a W E v Q X V 0 b 1 J l b W 9 2 Z W R D b 2 x 1 b W 5 z M S 5 7 U E Z f T U V B V C w x O X 0 m c X V v d D s s J n F 1 b 3 Q 7 U 2 V j d G l v b j E v R k l f Q 2 9 t Y m l u Z W R f Z m F t a W x p Y S 9 B d X R v U m V t b 3 Z l Z E N v b H V t b n M x L n t Q R l 9 D V V J F R E 1 F Q V Q s M j B 9 J n F 1 b 3 Q 7 L C Z x d W 9 0 O 1 N l Y 3 R p b 2 4 x L 0 Z J X 0 N v b W J p b m V k X 2 Z h b W l s a W E v Q X V 0 b 1 J l b W 9 2 Z W R D b 2 x 1 b W 5 z M S 5 7 U E Z f T 1 J H Q U 4 s M j F 9 J n F 1 b 3 Q 7 L C Z x d W 9 0 O 1 N l Y 3 R p b 2 4 x L 0 Z J X 0 N v b W J p b m V k X 2 Z h b W l s a W E v Q X V 0 b 1 J l b W 9 2 Z W R D b 2 x 1 b W 5 z M S 5 7 U E Z f U E 9 V T F Q s M j J 9 J n F 1 b 3 Q 7 L C Z x d W 9 0 O 1 N l Y 3 R p b 2 4 x L 0 Z J X 0 N v b W J p b m V k X 2 Z h b W l s a W E v Q X V 0 b 1 J l b W 9 2 Z W R D b 2 x 1 b W 5 z M S 5 7 U E Z f U 0 V B R k R f S E k s M j N 9 J n F 1 b 3 Q 7 L C Z x d W 9 0 O 1 N l Y 3 R p b 2 4 x L 0 Z J X 0 N v b W J p b m V k X 2 Z h b W l s a W E v Q X V 0 b 1 J l b W 9 2 Z W R D b 2 x 1 b W 5 z M S 5 7 U E Z f U 0 V B R k R f T E 9 X L D I 0 f S Z x d W 9 0 O y w m c X V v d D t T Z W N 0 a W 9 u M S 9 G S V 9 D b 2 1 i a W 5 l Z F 9 m Y W 1 p b G l h L 0 F 1 d G 9 S Z W 1 v d m V k Q 2 9 s d W 1 u c z E u e 1 B G X 0 V H R 1 M s M j V 9 J n F 1 b 3 Q 7 L C Z x d W 9 0 O 1 N l Y 3 R p b 2 4 x L 0 Z J X 0 N v b W J p b m V k X 2 Z h b W l s a W E v Q X V 0 b 1 J l b W 9 2 Z W R D b 2 x 1 b W 5 z M S 5 7 U E Z f U 0 9 Z L D I 2 f S Z x d W 9 0 O y w m c X V v d D t T Z W N 0 a W 9 u M S 9 G S V 9 D b 2 1 i a W 5 l Z F 9 m Y W 1 p b G l h L 0 F 1 d G 9 S Z W 1 v d m V k Q 2 9 s d W 1 u c z E u e 1 B G X 0 5 V V F N E U y w y N 3 0 m c X V v d D s s J n F 1 b 3 Q 7 U 2 V j d G l v b j E v R k l f Q 2 9 t Y m l u Z W R f Z m F t a W x p Y S 9 B d X R v U m V t b 3 Z l Z E N v b H V t b n M x L n t Q R l 9 M R U d V T U V T L D I 4 f S Z x d W 9 0 O y w m c X V v d D t T Z W N 0 a W 9 u M S 9 G S V 9 D b 2 1 i a W 5 l Z F 9 m Y W 1 p b G l h L 0 F 1 d G 9 S Z W 1 v d m V k Q 2 9 s d W 1 u c z E u e 0 R f V E 9 U Q U w s M j l 9 J n F 1 b 3 Q 7 L C Z x d W 9 0 O 1 N l Y 3 R p b 2 4 x L 0 Z J X 0 N v b W J p b m V k X 2 Z h b W l s a W E v Q X V 0 b 1 J l b W 9 2 Z W R D b 2 x 1 b W 5 z M S 5 7 R F 9 N S U x L L D M w f S Z x d W 9 0 O y w m c X V v d D t T Z W N 0 a W 9 u M S 9 G S V 9 D b 2 1 i a W 5 l Z F 9 m Y W 1 p b G l h L 0 F 1 d G 9 S Z W 1 v d m V k Q 2 9 s d W 1 u c z E u e 0 R f W U 9 H V V J U L D M x f S Z x d W 9 0 O y w m c X V v d D t T Z W N 0 a W 9 u M S 9 G S V 9 D b 2 1 i a W 5 l Z F 9 m Y W 1 p b G l h L 0 F 1 d G 9 S Z W 1 v d m V k Q 2 9 s d W 1 u c z E u e 0 R f Q 0 h F R V N F L D M y f S Z x d W 9 0 O y w m c X V v d D t T Z W N 0 a W 9 u M S 9 G S V 9 D b 2 1 i a W 5 l Z F 9 m Y W 1 p b G l h L 0 F 1 d G 9 S Z W 1 v d m V k Q 2 9 s d W 1 u c z E u e 0 9 J T F M s M z N 9 J n F 1 b 3 Q 7 L C Z x d W 9 0 O 1 N l Y 3 R p b 2 4 x L 0 Z J X 0 N v b W J p b m V k X 2 Z h b W l s a W E v Q X V 0 b 1 J l b W 9 2 Z W R D b 2 x 1 b W 5 z M S 5 7 U 0 9 M S U R f R k F U U y w z N H 0 m c X V v d D s s J n F 1 b 3 Q 7 U 2 V j d G l v b j E v R k l f Q 2 9 t Y m l u Z W R f Z m F t a W x p Y S 9 B d X R v U m V t b 3 Z l Z E N v b H V t b n M x L n t B R E R f U 1 V H Q V J T L D M 1 f S Z x d W 9 0 O y w m c X V v d D t T Z W N 0 a W 9 u M S 9 G S V 9 D b 2 1 i a W 5 l Z F 9 m Y W 1 p b G l h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R f Z m F t a W x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m Y W 1 p b G l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Z h b W l s a W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Z m l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R f Z m l s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M j o w N y 4 w M z A 1 N D I 0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X 2 Z p b G 8 v Q X V 0 b 1 J l b W 9 2 Z W R D b 2 x 1 b W 5 z M S 5 7 R l 9 U T 1 R B T C w w f S Z x d W 9 0 O y w m c X V v d D t T Z W N 0 a W 9 u M S 9 G S V 9 D b 2 1 i a W 5 l Z F 9 m a W x v L 0 F 1 d G 9 S Z W 1 v d m V k Q 2 9 s d W 1 u c z E u e 0 Z f Q 0 l U T U x C L D F 9 J n F 1 b 3 Q 7 L C Z x d W 9 0 O 1 N l Y 3 R p b 2 4 x L 0 Z J X 0 N v b W J p b m V k X 2 Z p b G 8 v Q X V 0 b 1 J l b W 9 2 Z W R D b 2 x 1 b W 5 z M S 5 7 R l 9 P V E h F U i w y f S Z x d W 9 0 O y w m c X V v d D t T Z W N 0 a W 9 u M S 9 G S V 9 D b 2 1 i a W 5 l Z F 9 m a W x v L 0 F 1 d G 9 S Z W 1 v d m V k Q 2 9 s d W 1 u c z E u e 0 Z f S l V J Q 0 U s M 3 0 m c X V v d D s s J n F 1 b 3 Q 7 U 2 V j d G l v b j E v R k l f Q 2 9 t Y m l u Z W R f Z m l s b y 9 B d X R v U m V t b 3 Z l Z E N v b H V t b n M x L n t W X 1 R P V E F M L D R 9 J n F 1 b 3 Q 7 L C Z x d W 9 0 O 1 N l Y 3 R p b 2 4 x L 0 Z J X 0 N v b W J p b m V k X 2 Z p b G 8 v Q X V 0 b 1 J l b W 9 2 Z W R D b 2 x 1 b W 5 z M S 5 7 V l 9 E U k t H U i w 1 f S Z x d W 9 0 O y w m c X V v d D t T Z W N 0 a W 9 u M S 9 G S V 9 D b 2 1 i a W 5 l Z F 9 m a W x v L 0 F 1 d G 9 S Z W 1 v d m V k Q 2 9 s d W 1 u c z E u e 1 Z f U k V E T 1 J f V E 9 U Q U w s N n 0 m c X V v d D s s J n F 1 b 3 Q 7 U 2 V j d G l v b j E v R k l f Q 2 9 t Y m l u Z W R f Z m l s b y 9 B d X R v U m V t b 3 Z l Z E N v b H V t b n M x L n t W X 1 J F R E 9 S X 1 R P T U F U T y w 3 f S Z x d W 9 0 O y w m c X V v d D t T Z W N 0 a W 9 u M S 9 G S V 9 D b 2 1 i a W 5 l Z F 9 m a W x v L 0 F 1 d G 9 S Z W 1 v d m V k Q 2 9 s d W 1 u c z E u e 1 Z f U k V E T 1 J f T 1 R I R V I s O H 0 m c X V v d D s s J n F 1 b 3 Q 7 U 2 V j d G l v b j E v R k l f Q 2 9 t Y m l u Z W R f Z m l s b y 9 B d X R v U m V t b 3 Z l Z E N v b H V t b n M x L n t W X 1 N U Q V J D S F l f V E 9 U Q U w s O X 0 m c X V v d D s s J n F 1 b 3 Q 7 U 2 V j d G l v b j E v R k l f Q 2 9 t Y m l u Z W R f Z m l s b y 9 B d X R v U m V t b 3 Z l Z E N v b H V t b n M x L n t W X 1 N U Q V J D S F l f U E 9 U Q V R P L D E w f S Z x d W 9 0 O y w m c X V v d D t T Z W N 0 a W 9 u M S 9 G S V 9 D b 2 1 i a W 5 l Z F 9 m a W x v L 0 F 1 d G 9 S Z W 1 v d m V k Q 2 9 s d W 1 u c z E u e 1 Z f U 1 R B U k N I W V 9 P V E h F U i w x M X 0 m c X V v d D s s J n F 1 b 3 Q 7 U 2 V j d G l v b j E v R k l f Q 2 9 t Y m l u Z W R f Z m l s b y 9 B d X R v U m V t b 3 Z l Z E N v b H V t b n M x L n t W X 0 9 U S E V S L D E y f S Z x d W 9 0 O y w m c X V v d D t T Z W N 0 a W 9 u M S 9 G S V 9 D b 2 1 i a W 5 l Z F 9 m a W x v L 0 F 1 d G 9 S Z W 1 v d m V k Q 2 9 s d W 1 u c z E u e 1 Z f T E V H V U 1 F U y w x M 3 0 m c X V v d D s s J n F 1 b 3 Q 7 U 2 V j d G l v b j E v R k l f Q 2 9 t Y m l u Z W R f Z m l s b y 9 B d X R v U m V t b 3 Z l Z E N v b H V t b n M x L n t H X 1 R P V E F M L D E 0 f S Z x d W 9 0 O y w m c X V v d D t T Z W N 0 a W 9 u M S 9 G S V 9 D b 2 1 i a W 5 l Z F 9 m a W x v L 0 F 1 d G 9 S Z W 1 v d m V k Q 2 9 s d W 1 u c z E u e 0 d f V 0 h P T E U s M T V 9 J n F 1 b 3 Q 7 L C Z x d W 9 0 O 1 N l Y 3 R p b 2 4 x L 0 Z J X 0 N v b W J p b m V k X 2 Z p b G 8 v Q X V 0 b 1 J l b W 9 2 Z W R D b 2 x 1 b W 5 z M S 5 7 R 1 9 S R U Z J T k V E L D E 2 f S Z x d W 9 0 O y w m c X V v d D t T Z W N 0 a W 9 u M S 9 G S V 9 D b 2 1 i a W 5 l Z F 9 m a W x v L 0 F 1 d G 9 S Z W 1 v d m V k Q 2 9 s d W 1 u c z E u e 1 B G X 1 R P V E F M L D E 3 f S Z x d W 9 0 O y w m c X V v d D t T Z W N 0 a W 9 u M S 9 G S V 9 D b 2 1 i a W 5 l Z F 9 m a W x v L 0 F 1 d G 9 S Z W 1 v d m V k Q 2 9 s d W 1 u c z E u e 1 B G X 0 1 Q U 1 9 U T 1 R B T C w x O H 0 m c X V v d D s s J n F 1 b 3 Q 7 U 2 V j d G l v b j E v R k l f Q 2 9 t Y m l u Z W R f Z m l s b y 9 B d X R v U m V t b 3 Z l Z E N v b H V t b n M x L n t Q R l 9 N R U F U L D E 5 f S Z x d W 9 0 O y w m c X V v d D t T Z W N 0 a W 9 u M S 9 G S V 9 D b 2 1 i a W 5 l Z F 9 m a W x v L 0 F 1 d G 9 S Z W 1 v d m V k Q 2 9 s d W 1 u c z E u e 1 B G X 0 N V U k V E T U V B V C w y M H 0 m c X V v d D s s J n F 1 b 3 Q 7 U 2 V j d G l v b j E v R k l f Q 2 9 t Y m l u Z W R f Z m l s b y 9 B d X R v U m V t b 3 Z l Z E N v b H V t b n M x L n t Q R l 9 P U k d B T i w y M X 0 m c X V v d D s s J n F 1 b 3 Q 7 U 2 V j d G l v b j E v R k l f Q 2 9 t Y m l u Z W R f Z m l s b y 9 B d X R v U m V t b 3 Z l Z E N v b H V t b n M x L n t Q R l 9 Q T 1 V M V C w y M n 0 m c X V v d D s s J n F 1 b 3 Q 7 U 2 V j d G l v b j E v R k l f Q 2 9 t Y m l u Z W R f Z m l s b y 9 B d X R v U m V t b 3 Z l Z E N v b H V t b n M x L n t Q R l 9 T R U F G R F 9 I S S w y M 3 0 m c X V v d D s s J n F 1 b 3 Q 7 U 2 V j d G l v b j E v R k l f Q 2 9 t Y m l u Z W R f Z m l s b y 9 B d X R v U m V t b 3 Z l Z E N v b H V t b n M x L n t Q R l 9 T R U F G R F 9 M T 1 c s M j R 9 J n F 1 b 3 Q 7 L C Z x d W 9 0 O 1 N l Y 3 R p b 2 4 x L 0 Z J X 0 N v b W J p b m V k X 2 Z p b G 8 v Q X V 0 b 1 J l b W 9 2 Z W R D b 2 x 1 b W 5 z M S 5 7 U E Z f R U d H U y w y N X 0 m c X V v d D s s J n F 1 b 3 Q 7 U 2 V j d G l v b j E v R k l f Q 2 9 t Y m l u Z W R f Z m l s b y 9 B d X R v U m V t b 3 Z l Z E N v b H V t b n M x L n t Q R l 9 T T 1 k s M j Z 9 J n F 1 b 3 Q 7 L C Z x d W 9 0 O 1 N l Y 3 R p b 2 4 x L 0 Z J X 0 N v b W J p b m V k X 2 Z p b G 8 v Q X V 0 b 1 J l b W 9 2 Z W R D b 2 x 1 b W 5 z M S 5 7 U E Z f T l V U U 0 R T L D I 3 f S Z x d W 9 0 O y w m c X V v d D t T Z W N 0 a W 9 u M S 9 G S V 9 D b 2 1 i a W 5 l Z F 9 m a W x v L 0 F 1 d G 9 S Z W 1 v d m V k Q 2 9 s d W 1 u c z E u e 1 B G X 0 x F R 1 V N R V M s M j h 9 J n F 1 b 3 Q 7 L C Z x d W 9 0 O 1 N l Y 3 R p b 2 4 x L 0 Z J X 0 N v b W J p b m V k X 2 Z p b G 8 v Q X V 0 b 1 J l b W 9 2 Z W R D b 2 x 1 b W 5 z M S 5 7 R F 9 U T 1 R B T C w y O X 0 m c X V v d D s s J n F 1 b 3 Q 7 U 2 V j d G l v b j E v R k l f Q 2 9 t Y m l u Z W R f Z m l s b y 9 B d X R v U m V t b 3 Z l Z E N v b H V t b n M x L n t E X 0 1 J T E s s M z B 9 J n F 1 b 3 Q 7 L C Z x d W 9 0 O 1 N l Y 3 R p b 2 4 x L 0 Z J X 0 N v b W J p b m V k X 2 Z p b G 8 v Q X V 0 b 1 J l b W 9 2 Z W R D b 2 x 1 b W 5 z M S 5 7 R F 9 Z T 0 d V U l Q s M z F 9 J n F 1 b 3 Q 7 L C Z x d W 9 0 O 1 N l Y 3 R p b 2 4 x L 0 Z J X 0 N v b W J p b m V k X 2 Z p b G 8 v Q X V 0 b 1 J l b W 9 2 Z W R D b 2 x 1 b W 5 z M S 5 7 R F 9 D S E V F U 0 U s M z J 9 J n F 1 b 3 Q 7 L C Z x d W 9 0 O 1 N l Y 3 R p b 2 4 x L 0 Z J X 0 N v b W J p b m V k X 2 Z p b G 8 v Q X V 0 b 1 J l b W 9 2 Z W R D b 2 x 1 b W 5 z M S 5 7 T 0 l M U y w z M 3 0 m c X V v d D s s J n F 1 b 3 Q 7 U 2 V j d G l v b j E v R k l f Q 2 9 t Y m l u Z W R f Z m l s b y 9 B d X R v U m V t b 3 Z l Z E N v b H V t b n M x L n t T T 0 x J R F 9 G Q V R T L D M 0 f S Z x d W 9 0 O y w m c X V v d D t T Z W N 0 a W 9 u M S 9 G S V 9 D b 2 1 i a W 5 l Z F 9 m a W x v L 0 F 1 d G 9 S Z W 1 v d m V k Q 2 9 s d W 1 u c z E u e 0 F E R F 9 T V U d B U l M s M z V 9 J n F 1 b 3 Q 7 L C Z x d W 9 0 O 1 N l Y 3 R p b 2 4 x L 0 Z J X 0 N v b W J p b m V k X 2 Z p b G 8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D b 2 1 i a W 5 l Z F 9 m a W x v L 0 F 1 d G 9 S Z W 1 v d m V k Q 2 9 s d W 1 u c z E u e 0 Z f V E 9 U Q U w s M H 0 m c X V v d D s s J n F 1 b 3 Q 7 U 2 V j d G l v b j E v R k l f Q 2 9 t Y m l u Z W R f Z m l s b y 9 B d X R v U m V t b 3 Z l Z E N v b H V t b n M x L n t G X 0 N J V E 1 M Q i w x f S Z x d W 9 0 O y w m c X V v d D t T Z W N 0 a W 9 u M S 9 G S V 9 D b 2 1 i a W 5 l Z F 9 m a W x v L 0 F 1 d G 9 S Z W 1 v d m V k Q 2 9 s d W 1 u c z E u e 0 Z f T 1 R I R V I s M n 0 m c X V v d D s s J n F 1 b 3 Q 7 U 2 V j d G l v b j E v R k l f Q 2 9 t Y m l u Z W R f Z m l s b y 9 B d X R v U m V t b 3 Z l Z E N v b H V t b n M x L n t G X 0 p V S U N F L D N 9 J n F 1 b 3 Q 7 L C Z x d W 9 0 O 1 N l Y 3 R p b 2 4 x L 0 Z J X 0 N v b W J p b m V k X 2 Z p b G 8 v Q X V 0 b 1 J l b W 9 2 Z W R D b 2 x 1 b W 5 z M S 5 7 V l 9 U T 1 R B T C w 0 f S Z x d W 9 0 O y w m c X V v d D t T Z W N 0 a W 9 u M S 9 G S V 9 D b 2 1 i a W 5 l Z F 9 m a W x v L 0 F 1 d G 9 S Z W 1 v d m V k Q 2 9 s d W 1 u c z E u e 1 Z f R F J L R 1 I s N X 0 m c X V v d D s s J n F 1 b 3 Q 7 U 2 V j d G l v b j E v R k l f Q 2 9 t Y m l u Z W R f Z m l s b y 9 B d X R v U m V t b 3 Z l Z E N v b H V t b n M x L n t W X 1 J F R E 9 S X 1 R P V E F M L D Z 9 J n F 1 b 3 Q 7 L C Z x d W 9 0 O 1 N l Y 3 R p b 2 4 x L 0 Z J X 0 N v b W J p b m V k X 2 Z p b G 8 v Q X V 0 b 1 J l b W 9 2 Z W R D b 2 x 1 b W 5 z M S 5 7 V l 9 S R U R P U l 9 U T 0 1 B V E 8 s N 3 0 m c X V v d D s s J n F 1 b 3 Q 7 U 2 V j d G l v b j E v R k l f Q 2 9 t Y m l u Z W R f Z m l s b y 9 B d X R v U m V t b 3 Z l Z E N v b H V t b n M x L n t W X 1 J F R E 9 S X 0 9 U S E V S L D h 9 J n F 1 b 3 Q 7 L C Z x d W 9 0 O 1 N l Y 3 R p b 2 4 x L 0 Z J X 0 N v b W J p b m V k X 2 Z p b G 8 v Q X V 0 b 1 J l b W 9 2 Z W R D b 2 x 1 b W 5 z M S 5 7 V l 9 T V E F S Q 0 h Z X 1 R P V E F M L D l 9 J n F 1 b 3 Q 7 L C Z x d W 9 0 O 1 N l Y 3 R p b 2 4 x L 0 Z J X 0 N v b W J p b m V k X 2 Z p b G 8 v Q X V 0 b 1 J l b W 9 2 Z W R D b 2 x 1 b W 5 z M S 5 7 V l 9 T V E F S Q 0 h Z X 1 B P V E F U T y w x M H 0 m c X V v d D s s J n F 1 b 3 Q 7 U 2 V j d G l v b j E v R k l f Q 2 9 t Y m l u Z W R f Z m l s b y 9 B d X R v U m V t b 3 Z l Z E N v b H V t b n M x L n t W X 1 N U Q V J D S F l f T 1 R I R V I s M T F 9 J n F 1 b 3 Q 7 L C Z x d W 9 0 O 1 N l Y 3 R p b 2 4 x L 0 Z J X 0 N v b W J p b m V k X 2 Z p b G 8 v Q X V 0 b 1 J l b W 9 2 Z W R D b 2 x 1 b W 5 z M S 5 7 V l 9 P V E h F U i w x M n 0 m c X V v d D s s J n F 1 b 3 Q 7 U 2 V j d G l v b j E v R k l f Q 2 9 t Y m l u Z W R f Z m l s b y 9 B d X R v U m V t b 3 Z l Z E N v b H V t b n M x L n t W X 0 x F R 1 V N R V M s M T N 9 J n F 1 b 3 Q 7 L C Z x d W 9 0 O 1 N l Y 3 R p b 2 4 x L 0 Z J X 0 N v b W J p b m V k X 2 Z p b G 8 v Q X V 0 b 1 J l b W 9 2 Z W R D b 2 x 1 b W 5 z M S 5 7 R 1 9 U T 1 R B T C w x N H 0 m c X V v d D s s J n F 1 b 3 Q 7 U 2 V j d G l v b j E v R k l f Q 2 9 t Y m l u Z W R f Z m l s b y 9 B d X R v U m V t b 3 Z l Z E N v b H V t b n M x L n t H X 1 d I T 0 x F L D E 1 f S Z x d W 9 0 O y w m c X V v d D t T Z W N 0 a W 9 u M S 9 G S V 9 D b 2 1 i a W 5 l Z F 9 m a W x v L 0 F 1 d G 9 S Z W 1 v d m V k Q 2 9 s d W 1 u c z E u e 0 d f U k V G S U 5 F R C w x N n 0 m c X V v d D s s J n F 1 b 3 Q 7 U 2 V j d G l v b j E v R k l f Q 2 9 t Y m l u Z W R f Z m l s b y 9 B d X R v U m V t b 3 Z l Z E N v b H V t b n M x L n t Q R l 9 U T 1 R B T C w x N 3 0 m c X V v d D s s J n F 1 b 3 Q 7 U 2 V j d G l v b j E v R k l f Q 2 9 t Y m l u Z W R f Z m l s b y 9 B d X R v U m V t b 3 Z l Z E N v b H V t b n M x L n t Q R l 9 N U F N f V E 9 U Q U w s M T h 9 J n F 1 b 3 Q 7 L C Z x d W 9 0 O 1 N l Y 3 R p b 2 4 x L 0 Z J X 0 N v b W J p b m V k X 2 Z p b G 8 v Q X V 0 b 1 J l b W 9 2 Z W R D b 2 x 1 b W 5 z M S 5 7 U E Z f T U V B V C w x O X 0 m c X V v d D s s J n F 1 b 3 Q 7 U 2 V j d G l v b j E v R k l f Q 2 9 t Y m l u Z W R f Z m l s b y 9 B d X R v U m V t b 3 Z l Z E N v b H V t b n M x L n t Q R l 9 D V V J F R E 1 F Q V Q s M j B 9 J n F 1 b 3 Q 7 L C Z x d W 9 0 O 1 N l Y 3 R p b 2 4 x L 0 Z J X 0 N v b W J p b m V k X 2 Z p b G 8 v Q X V 0 b 1 J l b W 9 2 Z W R D b 2 x 1 b W 5 z M S 5 7 U E Z f T 1 J H Q U 4 s M j F 9 J n F 1 b 3 Q 7 L C Z x d W 9 0 O 1 N l Y 3 R p b 2 4 x L 0 Z J X 0 N v b W J p b m V k X 2 Z p b G 8 v Q X V 0 b 1 J l b W 9 2 Z W R D b 2 x 1 b W 5 z M S 5 7 U E Z f U E 9 V T F Q s M j J 9 J n F 1 b 3 Q 7 L C Z x d W 9 0 O 1 N l Y 3 R p b 2 4 x L 0 Z J X 0 N v b W J p b m V k X 2 Z p b G 8 v Q X V 0 b 1 J l b W 9 2 Z W R D b 2 x 1 b W 5 z M S 5 7 U E Z f U 0 V B R k R f S E k s M j N 9 J n F 1 b 3 Q 7 L C Z x d W 9 0 O 1 N l Y 3 R p b 2 4 x L 0 Z J X 0 N v b W J p b m V k X 2 Z p b G 8 v Q X V 0 b 1 J l b W 9 2 Z W R D b 2 x 1 b W 5 z M S 5 7 U E Z f U 0 V B R k R f T E 9 X L D I 0 f S Z x d W 9 0 O y w m c X V v d D t T Z W N 0 a W 9 u M S 9 G S V 9 D b 2 1 i a W 5 l Z F 9 m a W x v L 0 F 1 d G 9 S Z W 1 v d m V k Q 2 9 s d W 1 u c z E u e 1 B G X 0 V H R 1 M s M j V 9 J n F 1 b 3 Q 7 L C Z x d W 9 0 O 1 N l Y 3 R p b 2 4 x L 0 Z J X 0 N v b W J p b m V k X 2 Z p b G 8 v Q X V 0 b 1 J l b W 9 2 Z W R D b 2 x 1 b W 5 z M S 5 7 U E Z f U 0 9 Z L D I 2 f S Z x d W 9 0 O y w m c X V v d D t T Z W N 0 a W 9 u M S 9 G S V 9 D b 2 1 i a W 5 l Z F 9 m a W x v L 0 F 1 d G 9 S Z W 1 v d m V k Q 2 9 s d W 1 u c z E u e 1 B G X 0 5 V V F N E U y w y N 3 0 m c X V v d D s s J n F 1 b 3 Q 7 U 2 V j d G l v b j E v R k l f Q 2 9 t Y m l u Z W R f Z m l s b y 9 B d X R v U m V t b 3 Z l Z E N v b H V t b n M x L n t Q R l 9 M R U d V T U V T L D I 4 f S Z x d W 9 0 O y w m c X V v d D t T Z W N 0 a W 9 u M S 9 G S V 9 D b 2 1 i a W 5 l Z F 9 m a W x v L 0 F 1 d G 9 S Z W 1 v d m V k Q 2 9 s d W 1 u c z E u e 0 R f V E 9 U Q U w s M j l 9 J n F 1 b 3 Q 7 L C Z x d W 9 0 O 1 N l Y 3 R p b 2 4 x L 0 Z J X 0 N v b W J p b m V k X 2 Z p b G 8 v Q X V 0 b 1 J l b W 9 2 Z W R D b 2 x 1 b W 5 z M S 5 7 R F 9 N S U x L L D M w f S Z x d W 9 0 O y w m c X V v d D t T Z W N 0 a W 9 u M S 9 G S V 9 D b 2 1 i a W 5 l Z F 9 m a W x v L 0 F 1 d G 9 S Z W 1 v d m V k Q 2 9 s d W 1 u c z E u e 0 R f W U 9 H V V J U L D M x f S Z x d W 9 0 O y w m c X V v d D t T Z W N 0 a W 9 u M S 9 G S V 9 D b 2 1 i a W 5 l Z F 9 m a W x v L 0 F 1 d G 9 S Z W 1 v d m V k Q 2 9 s d W 1 u c z E u e 0 R f Q 0 h F R V N F L D M y f S Z x d W 9 0 O y w m c X V v d D t T Z W N 0 a W 9 u M S 9 G S V 9 D b 2 1 i a W 5 l Z F 9 m a W x v L 0 F 1 d G 9 S Z W 1 v d m V k Q 2 9 s d W 1 u c z E u e 0 9 J T F M s M z N 9 J n F 1 b 3 Q 7 L C Z x d W 9 0 O 1 N l Y 3 R p b 2 4 x L 0 Z J X 0 N v b W J p b m V k X 2 Z p b G 8 v Q X V 0 b 1 J l b W 9 2 Z W R D b 2 x 1 b W 5 z M S 5 7 U 0 9 M S U R f R k F U U y w z N H 0 m c X V v d D s s J n F 1 b 3 Q 7 U 2 V j d G l v b j E v R k l f Q 2 9 t Y m l u Z W R f Z m l s b y 9 B d X R v U m V t b 3 Z l Z E N v b H V t b n M x L n t B R E R f U 1 V H Q V J T L D M 1 f S Z x d W 9 0 O y w m c X V v d D t T Z W N 0 a W 9 u M S 9 G S V 9 D b 2 1 i a W 5 l Z F 9 m a W x v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R f Z m l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m a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Z p b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R f Z 2 V u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X 2 d l b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Q y O j I 2 L j k z M D A 2 N D l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G X 1 R P V E F M J n F 1 b 3 Q 7 L C Z x d W 9 0 O 0 Z f Q 0 l U T U x C J n F 1 b 3 Q 7 L C Z x d W 9 0 O 0 Z f T 1 R I R V I m c X V v d D s s J n F 1 b 3 Q 7 R l 9 K V U l D R S Z x d W 9 0 O y w m c X V v d D t W X 1 R P V E F M J n F 1 b 3 Q 7 L C Z x d W 9 0 O 1 Z f R F J L R 1 I m c X V v d D s s J n F 1 b 3 Q 7 V l 9 S R U R P U l 9 U T 1 R B T C Z x d W 9 0 O y w m c X V v d D t W X 1 J F R E 9 S X 1 R P T U F U T y Z x d W 9 0 O y w m c X V v d D t W X 1 J F R E 9 S X 0 9 U S E V S J n F 1 b 3 Q 7 L C Z x d W 9 0 O 1 Z f U 1 R B U k N I W V 9 U T 1 R B T C Z x d W 9 0 O y w m c X V v d D t W X 1 N U Q V J D S F l f U E 9 U Q V R P J n F 1 b 3 Q 7 L C Z x d W 9 0 O 1 Z f U 1 R B U k N I W V 9 P V E h F U i Z x d W 9 0 O y w m c X V v d D t W X 0 9 U S E V S J n F 1 b 3 Q 7 L C Z x d W 9 0 O 1 Z f T E V H V U 1 F U y Z x d W 9 0 O y w m c X V v d D t H X 1 R P V E F M J n F 1 b 3 Q 7 L C Z x d W 9 0 O 0 d f V 0 h P T E U m c X V v d D s s J n F 1 b 3 Q 7 R 1 9 S R U Z J T k V E J n F 1 b 3 Q 7 L C Z x d W 9 0 O 1 B G X 1 R P V E F M J n F 1 b 3 Q 7 L C Z x d W 9 0 O 1 B G X 0 1 Q U 1 9 U T 1 R B T C Z x d W 9 0 O y w m c X V v d D t Q R l 9 N R U F U J n F 1 b 3 Q 7 L C Z x d W 9 0 O 1 B G X 0 N V U k V E T U V B V C Z x d W 9 0 O y w m c X V v d D t Q R l 9 P U k d B T i Z x d W 9 0 O y w m c X V v d D t Q R l 9 Q T 1 V M V C Z x d W 9 0 O y w m c X V v d D t Q R l 9 T R U F G R F 9 I S S Z x d W 9 0 O y w m c X V v d D t Q R l 9 T R U F G R F 9 M T 1 c m c X V v d D s s J n F 1 b 3 Q 7 U E Z f R U d H U y Z x d W 9 0 O y w m c X V v d D t Q R l 9 T T 1 k m c X V v d D s s J n F 1 b 3 Q 7 U E Z f T l V U U 0 R T J n F 1 b 3 Q 7 L C Z x d W 9 0 O 1 B G X 0 x F R 1 V N R V M m c X V v d D s s J n F 1 b 3 Q 7 R F 9 U T 1 R B T C Z x d W 9 0 O y w m c X V v d D t E X 0 1 J T E s m c X V v d D s s J n F 1 b 3 Q 7 R F 9 Z T 0 d V U l Q m c X V v d D s s J n F 1 b 3 Q 7 R F 9 D S E V F U 0 U m c X V v d D s s J n F 1 b 3 Q 7 T 0 l M U y Z x d W 9 0 O y w m c X V v d D t T T 0 x J R F 9 G Q V R T J n F 1 b 3 Q 7 L C Z x d W 9 0 O 0 F E R F 9 T V U d B U l M m c X V v d D s s J n F 1 b 3 Q 7 Q V 9 E U k l O S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Q 2 9 t Y m l u Z W R f Z 2 V u d X M v Q X V 0 b 1 J l b W 9 2 Z W R D b 2 x 1 b W 5 z M S 5 7 R l 9 U T 1 R B T C w w f S Z x d W 9 0 O y w m c X V v d D t T Z W N 0 a W 9 u M S 9 G S V 9 D b 2 1 i a W 5 l Z F 9 n Z W 5 1 c y 9 B d X R v U m V t b 3 Z l Z E N v b H V t b n M x L n t G X 0 N J V E 1 M Q i w x f S Z x d W 9 0 O y w m c X V v d D t T Z W N 0 a W 9 u M S 9 G S V 9 D b 2 1 i a W 5 l Z F 9 n Z W 5 1 c y 9 B d X R v U m V t b 3 Z l Z E N v b H V t b n M x L n t G X 0 9 U S E V S L D J 9 J n F 1 b 3 Q 7 L C Z x d W 9 0 O 1 N l Y 3 R p b 2 4 x L 0 Z J X 0 N v b W J p b m V k X 2 d l b n V z L 0 F 1 d G 9 S Z W 1 v d m V k Q 2 9 s d W 1 u c z E u e 0 Z f S l V J Q 0 U s M 3 0 m c X V v d D s s J n F 1 b 3 Q 7 U 2 V j d G l v b j E v R k l f Q 2 9 t Y m l u Z W R f Z 2 V u d X M v Q X V 0 b 1 J l b W 9 2 Z W R D b 2 x 1 b W 5 z M S 5 7 V l 9 U T 1 R B T C w 0 f S Z x d W 9 0 O y w m c X V v d D t T Z W N 0 a W 9 u M S 9 G S V 9 D b 2 1 i a W 5 l Z F 9 n Z W 5 1 c y 9 B d X R v U m V t b 3 Z l Z E N v b H V t b n M x L n t W X 0 R S S 0 d S L D V 9 J n F 1 b 3 Q 7 L C Z x d W 9 0 O 1 N l Y 3 R p b 2 4 x L 0 Z J X 0 N v b W J p b m V k X 2 d l b n V z L 0 F 1 d G 9 S Z W 1 v d m V k Q 2 9 s d W 1 u c z E u e 1 Z f U k V E T 1 J f V E 9 U Q U w s N n 0 m c X V v d D s s J n F 1 b 3 Q 7 U 2 V j d G l v b j E v R k l f Q 2 9 t Y m l u Z W R f Z 2 V u d X M v Q X V 0 b 1 J l b W 9 2 Z W R D b 2 x 1 b W 5 z M S 5 7 V l 9 S R U R P U l 9 U T 0 1 B V E 8 s N 3 0 m c X V v d D s s J n F 1 b 3 Q 7 U 2 V j d G l v b j E v R k l f Q 2 9 t Y m l u Z W R f Z 2 V u d X M v Q X V 0 b 1 J l b W 9 2 Z W R D b 2 x 1 b W 5 z M S 5 7 V l 9 S R U R P U l 9 P V E h F U i w 4 f S Z x d W 9 0 O y w m c X V v d D t T Z W N 0 a W 9 u M S 9 G S V 9 D b 2 1 i a W 5 l Z F 9 n Z W 5 1 c y 9 B d X R v U m V t b 3 Z l Z E N v b H V t b n M x L n t W X 1 N U Q V J D S F l f V E 9 U Q U w s O X 0 m c X V v d D s s J n F 1 b 3 Q 7 U 2 V j d G l v b j E v R k l f Q 2 9 t Y m l u Z W R f Z 2 V u d X M v Q X V 0 b 1 J l b W 9 2 Z W R D b 2 x 1 b W 5 z M S 5 7 V l 9 T V E F S Q 0 h Z X 1 B P V E F U T y w x M H 0 m c X V v d D s s J n F 1 b 3 Q 7 U 2 V j d G l v b j E v R k l f Q 2 9 t Y m l u Z W R f Z 2 V u d X M v Q X V 0 b 1 J l b W 9 2 Z W R D b 2 x 1 b W 5 z M S 5 7 V l 9 T V E F S Q 0 h Z X 0 9 U S E V S L D E x f S Z x d W 9 0 O y w m c X V v d D t T Z W N 0 a W 9 u M S 9 G S V 9 D b 2 1 i a W 5 l Z F 9 n Z W 5 1 c y 9 B d X R v U m V t b 3 Z l Z E N v b H V t b n M x L n t W X 0 9 U S E V S L D E y f S Z x d W 9 0 O y w m c X V v d D t T Z W N 0 a W 9 u M S 9 G S V 9 D b 2 1 i a W 5 l Z F 9 n Z W 5 1 c y 9 B d X R v U m V t b 3 Z l Z E N v b H V t b n M x L n t W X 0 x F R 1 V N R V M s M T N 9 J n F 1 b 3 Q 7 L C Z x d W 9 0 O 1 N l Y 3 R p b 2 4 x L 0 Z J X 0 N v b W J p b m V k X 2 d l b n V z L 0 F 1 d G 9 S Z W 1 v d m V k Q 2 9 s d W 1 u c z E u e 0 d f V E 9 U Q U w s M T R 9 J n F 1 b 3 Q 7 L C Z x d W 9 0 O 1 N l Y 3 R p b 2 4 x L 0 Z J X 0 N v b W J p b m V k X 2 d l b n V z L 0 F 1 d G 9 S Z W 1 v d m V k Q 2 9 s d W 1 u c z E u e 0 d f V 0 h P T E U s M T V 9 J n F 1 b 3 Q 7 L C Z x d W 9 0 O 1 N l Y 3 R p b 2 4 x L 0 Z J X 0 N v b W J p b m V k X 2 d l b n V z L 0 F 1 d G 9 S Z W 1 v d m V k Q 2 9 s d W 1 u c z E u e 0 d f U k V G S U 5 F R C w x N n 0 m c X V v d D s s J n F 1 b 3 Q 7 U 2 V j d G l v b j E v R k l f Q 2 9 t Y m l u Z W R f Z 2 V u d X M v Q X V 0 b 1 J l b W 9 2 Z W R D b 2 x 1 b W 5 z M S 5 7 U E Z f V E 9 U Q U w s M T d 9 J n F 1 b 3 Q 7 L C Z x d W 9 0 O 1 N l Y 3 R p b 2 4 x L 0 Z J X 0 N v b W J p b m V k X 2 d l b n V z L 0 F 1 d G 9 S Z W 1 v d m V k Q 2 9 s d W 1 u c z E u e 1 B G X 0 1 Q U 1 9 U T 1 R B T C w x O H 0 m c X V v d D s s J n F 1 b 3 Q 7 U 2 V j d G l v b j E v R k l f Q 2 9 t Y m l u Z W R f Z 2 V u d X M v Q X V 0 b 1 J l b W 9 2 Z W R D b 2 x 1 b W 5 z M S 5 7 U E Z f T U V B V C w x O X 0 m c X V v d D s s J n F 1 b 3 Q 7 U 2 V j d G l v b j E v R k l f Q 2 9 t Y m l u Z W R f Z 2 V u d X M v Q X V 0 b 1 J l b W 9 2 Z W R D b 2 x 1 b W 5 z M S 5 7 U E Z f Q 1 V S R U R N R U F U L D I w f S Z x d W 9 0 O y w m c X V v d D t T Z W N 0 a W 9 u M S 9 G S V 9 D b 2 1 i a W 5 l Z F 9 n Z W 5 1 c y 9 B d X R v U m V t b 3 Z l Z E N v b H V t b n M x L n t Q R l 9 P U k d B T i w y M X 0 m c X V v d D s s J n F 1 b 3 Q 7 U 2 V j d G l v b j E v R k l f Q 2 9 t Y m l u Z W R f Z 2 V u d X M v Q X V 0 b 1 J l b W 9 2 Z W R D b 2 x 1 b W 5 z M S 5 7 U E Z f U E 9 V T F Q s M j J 9 J n F 1 b 3 Q 7 L C Z x d W 9 0 O 1 N l Y 3 R p b 2 4 x L 0 Z J X 0 N v b W J p b m V k X 2 d l b n V z L 0 F 1 d G 9 S Z W 1 v d m V k Q 2 9 s d W 1 u c z E u e 1 B G X 1 N F Q U Z E X 0 h J L D I z f S Z x d W 9 0 O y w m c X V v d D t T Z W N 0 a W 9 u M S 9 G S V 9 D b 2 1 i a W 5 l Z F 9 n Z W 5 1 c y 9 B d X R v U m V t b 3 Z l Z E N v b H V t b n M x L n t Q R l 9 T R U F G R F 9 M T 1 c s M j R 9 J n F 1 b 3 Q 7 L C Z x d W 9 0 O 1 N l Y 3 R p b 2 4 x L 0 Z J X 0 N v b W J p b m V k X 2 d l b n V z L 0 F 1 d G 9 S Z W 1 v d m V k Q 2 9 s d W 1 u c z E u e 1 B G X 0 V H R 1 M s M j V 9 J n F 1 b 3 Q 7 L C Z x d W 9 0 O 1 N l Y 3 R p b 2 4 x L 0 Z J X 0 N v b W J p b m V k X 2 d l b n V z L 0 F 1 d G 9 S Z W 1 v d m V k Q 2 9 s d W 1 u c z E u e 1 B G X 1 N P W S w y N n 0 m c X V v d D s s J n F 1 b 3 Q 7 U 2 V j d G l v b j E v R k l f Q 2 9 t Y m l u Z W R f Z 2 V u d X M v Q X V 0 b 1 J l b W 9 2 Z W R D b 2 x 1 b W 5 z M S 5 7 U E Z f T l V U U 0 R T L D I 3 f S Z x d W 9 0 O y w m c X V v d D t T Z W N 0 a W 9 u M S 9 G S V 9 D b 2 1 i a W 5 l Z F 9 n Z W 5 1 c y 9 B d X R v U m V t b 3 Z l Z E N v b H V t b n M x L n t Q R l 9 M R U d V T U V T L D I 4 f S Z x d W 9 0 O y w m c X V v d D t T Z W N 0 a W 9 u M S 9 G S V 9 D b 2 1 i a W 5 l Z F 9 n Z W 5 1 c y 9 B d X R v U m V t b 3 Z l Z E N v b H V t b n M x L n t E X 1 R P V E F M L D I 5 f S Z x d W 9 0 O y w m c X V v d D t T Z W N 0 a W 9 u M S 9 G S V 9 D b 2 1 i a W 5 l Z F 9 n Z W 5 1 c y 9 B d X R v U m V t b 3 Z l Z E N v b H V t b n M x L n t E X 0 1 J T E s s M z B 9 J n F 1 b 3 Q 7 L C Z x d W 9 0 O 1 N l Y 3 R p b 2 4 x L 0 Z J X 0 N v b W J p b m V k X 2 d l b n V z L 0 F 1 d G 9 S Z W 1 v d m V k Q 2 9 s d W 1 u c z E u e 0 R f W U 9 H V V J U L D M x f S Z x d W 9 0 O y w m c X V v d D t T Z W N 0 a W 9 u M S 9 G S V 9 D b 2 1 i a W 5 l Z F 9 n Z W 5 1 c y 9 B d X R v U m V t b 3 Z l Z E N v b H V t b n M x L n t E X 0 N I R U V T R S w z M n 0 m c X V v d D s s J n F 1 b 3 Q 7 U 2 V j d G l v b j E v R k l f Q 2 9 t Y m l u Z W R f Z 2 V u d X M v Q X V 0 b 1 J l b W 9 2 Z W R D b 2 x 1 b W 5 z M S 5 7 T 0 l M U y w z M 3 0 m c X V v d D s s J n F 1 b 3 Q 7 U 2 V j d G l v b j E v R k l f Q 2 9 t Y m l u Z W R f Z 2 V u d X M v Q X V 0 b 1 J l b W 9 2 Z W R D b 2 x 1 b W 5 z M S 5 7 U 0 9 M S U R f R k F U U y w z N H 0 m c X V v d D s s J n F 1 b 3 Q 7 U 2 V j d G l v b j E v R k l f Q 2 9 t Y m l u Z W R f Z 2 V u d X M v Q X V 0 b 1 J l b W 9 2 Z W R D b 2 x 1 b W 5 z M S 5 7 Q U R E X 1 N V R 0 F S U y w z N X 0 m c X V v d D s s J n F 1 b 3 Q 7 U 2 V j d G l v b j E v R k l f Q 2 9 t Y m l u Z W R f Z 2 V u d X M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D b 2 1 i a W 5 l Z F 9 n Z W 5 1 c y 9 B d X R v U m V t b 3 Z l Z E N v b H V t b n M x L n t G X 1 R P V E F M L D B 9 J n F 1 b 3 Q 7 L C Z x d W 9 0 O 1 N l Y 3 R p b 2 4 x L 0 Z J X 0 N v b W J p b m V k X 2 d l b n V z L 0 F 1 d G 9 S Z W 1 v d m V k Q 2 9 s d W 1 u c z E u e 0 Z f Q 0 l U T U x C L D F 9 J n F 1 b 3 Q 7 L C Z x d W 9 0 O 1 N l Y 3 R p b 2 4 x L 0 Z J X 0 N v b W J p b m V k X 2 d l b n V z L 0 F 1 d G 9 S Z W 1 v d m V k Q 2 9 s d W 1 u c z E u e 0 Z f T 1 R I R V I s M n 0 m c X V v d D s s J n F 1 b 3 Q 7 U 2 V j d G l v b j E v R k l f Q 2 9 t Y m l u Z W R f Z 2 V u d X M v Q X V 0 b 1 J l b W 9 2 Z W R D b 2 x 1 b W 5 z M S 5 7 R l 9 K V U l D R S w z f S Z x d W 9 0 O y w m c X V v d D t T Z W N 0 a W 9 u M S 9 G S V 9 D b 2 1 i a W 5 l Z F 9 n Z W 5 1 c y 9 B d X R v U m V t b 3 Z l Z E N v b H V t b n M x L n t W X 1 R P V E F M L D R 9 J n F 1 b 3 Q 7 L C Z x d W 9 0 O 1 N l Y 3 R p b 2 4 x L 0 Z J X 0 N v b W J p b m V k X 2 d l b n V z L 0 F 1 d G 9 S Z W 1 v d m V k Q 2 9 s d W 1 u c z E u e 1 Z f R F J L R 1 I s N X 0 m c X V v d D s s J n F 1 b 3 Q 7 U 2 V j d G l v b j E v R k l f Q 2 9 t Y m l u Z W R f Z 2 V u d X M v Q X V 0 b 1 J l b W 9 2 Z W R D b 2 x 1 b W 5 z M S 5 7 V l 9 S R U R P U l 9 U T 1 R B T C w 2 f S Z x d W 9 0 O y w m c X V v d D t T Z W N 0 a W 9 u M S 9 G S V 9 D b 2 1 i a W 5 l Z F 9 n Z W 5 1 c y 9 B d X R v U m V t b 3 Z l Z E N v b H V t b n M x L n t W X 1 J F R E 9 S X 1 R P T U F U T y w 3 f S Z x d W 9 0 O y w m c X V v d D t T Z W N 0 a W 9 u M S 9 G S V 9 D b 2 1 i a W 5 l Z F 9 n Z W 5 1 c y 9 B d X R v U m V t b 3 Z l Z E N v b H V t b n M x L n t W X 1 J F R E 9 S X 0 9 U S E V S L D h 9 J n F 1 b 3 Q 7 L C Z x d W 9 0 O 1 N l Y 3 R p b 2 4 x L 0 Z J X 0 N v b W J p b m V k X 2 d l b n V z L 0 F 1 d G 9 S Z W 1 v d m V k Q 2 9 s d W 1 u c z E u e 1 Z f U 1 R B U k N I W V 9 U T 1 R B T C w 5 f S Z x d W 9 0 O y w m c X V v d D t T Z W N 0 a W 9 u M S 9 G S V 9 D b 2 1 i a W 5 l Z F 9 n Z W 5 1 c y 9 B d X R v U m V t b 3 Z l Z E N v b H V t b n M x L n t W X 1 N U Q V J D S F l f U E 9 U Q V R P L D E w f S Z x d W 9 0 O y w m c X V v d D t T Z W N 0 a W 9 u M S 9 G S V 9 D b 2 1 i a W 5 l Z F 9 n Z W 5 1 c y 9 B d X R v U m V t b 3 Z l Z E N v b H V t b n M x L n t W X 1 N U Q V J D S F l f T 1 R I R V I s M T F 9 J n F 1 b 3 Q 7 L C Z x d W 9 0 O 1 N l Y 3 R p b 2 4 x L 0 Z J X 0 N v b W J p b m V k X 2 d l b n V z L 0 F 1 d G 9 S Z W 1 v d m V k Q 2 9 s d W 1 u c z E u e 1 Z f T 1 R I R V I s M T J 9 J n F 1 b 3 Q 7 L C Z x d W 9 0 O 1 N l Y 3 R p b 2 4 x L 0 Z J X 0 N v b W J p b m V k X 2 d l b n V z L 0 F 1 d G 9 S Z W 1 v d m V k Q 2 9 s d W 1 u c z E u e 1 Z f T E V H V U 1 F U y w x M 3 0 m c X V v d D s s J n F 1 b 3 Q 7 U 2 V j d G l v b j E v R k l f Q 2 9 t Y m l u Z W R f Z 2 V u d X M v Q X V 0 b 1 J l b W 9 2 Z W R D b 2 x 1 b W 5 z M S 5 7 R 1 9 U T 1 R B T C w x N H 0 m c X V v d D s s J n F 1 b 3 Q 7 U 2 V j d G l v b j E v R k l f Q 2 9 t Y m l u Z W R f Z 2 V u d X M v Q X V 0 b 1 J l b W 9 2 Z W R D b 2 x 1 b W 5 z M S 5 7 R 1 9 X S E 9 M R S w x N X 0 m c X V v d D s s J n F 1 b 3 Q 7 U 2 V j d G l v b j E v R k l f Q 2 9 t Y m l u Z W R f Z 2 V u d X M v Q X V 0 b 1 J l b W 9 2 Z W R D b 2 x 1 b W 5 z M S 5 7 R 1 9 S R U Z J T k V E L D E 2 f S Z x d W 9 0 O y w m c X V v d D t T Z W N 0 a W 9 u M S 9 G S V 9 D b 2 1 i a W 5 l Z F 9 n Z W 5 1 c y 9 B d X R v U m V t b 3 Z l Z E N v b H V t b n M x L n t Q R l 9 U T 1 R B T C w x N 3 0 m c X V v d D s s J n F 1 b 3 Q 7 U 2 V j d G l v b j E v R k l f Q 2 9 t Y m l u Z W R f Z 2 V u d X M v Q X V 0 b 1 J l b W 9 2 Z W R D b 2 x 1 b W 5 z M S 5 7 U E Z f T V B T X 1 R P V E F M L D E 4 f S Z x d W 9 0 O y w m c X V v d D t T Z W N 0 a W 9 u M S 9 G S V 9 D b 2 1 i a W 5 l Z F 9 n Z W 5 1 c y 9 B d X R v U m V t b 3 Z l Z E N v b H V t b n M x L n t Q R l 9 N R U F U L D E 5 f S Z x d W 9 0 O y w m c X V v d D t T Z W N 0 a W 9 u M S 9 G S V 9 D b 2 1 i a W 5 l Z F 9 n Z W 5 1 c y 9 B d X R v U m V t b 3 Z l Z E N v b H V t b n M x L n t Q R l 9 D V V J F R E 1 F Q V Q s M j B 9 J n F 1 b 3 Q 7 L C Z x d W 9 0 O 1 N l Y 3 R p b 2 4 x L 0 Z J X 0 N v b W J p b m V k X 2 d l b n V z L 0 F 1 d G 9 S Z W 1 v d m V k Q 2 9 s d W 1 u c z E u e 1 B G X 0 9 S R 0 F O L D I x f S Z x d W 9 0 O y w m c X V v d D t T Z W N 0 a W 9 u M S 9 G S V 9 D b 2 1 i a W 5 l Z F 9 n Z W 5 1 c y 9 B d X R v U m V t b 3 Z l Z E N v b H V t b n M x L n t Q R l 9 Q T 1 V M V C w y M n 0 m c X V v d D s s J n F 1 b 3 Q 7 U 2 V j d G l v b j E v R k l f Q 2 9 t Y m l u Z W R f Z 2 V u d X M v Q X V 0 b 1 J l b W 9 2 Z W R D b 2 x 1 b W 5 z M S 5 7 U E Z f U 0 V B R k R f S E k s M j N 9 J n F 1 b 3 Q 7 L C Z x d W 9 0 O 1 N l Y 3 R p b 2 4 x L 0 Z J X 0 N v b W J p b m V k X 2 d l b n V z L 0 F 1 d G 9 S Z W 1 v d m V k Q 2 9 s d W 1 u c z E u e 1 B G X 1 N F Q U Z E X 0 x P V y w y N H 0 m c X V v d D s s J n F 1 b 3 Q 7 U 2 V j d G l v b j E v R k l f Q 2 9 t Y m l u Z W R f Z 2 V u d X M v Q X V 0 b 1 J l b W 9 2 Z W R D b 2 x 1 b W 5 z M S 5 7 U E Z f R U d H U y w y N X 0 m c X V v d D s s J n F 1 b 3 Q 7 U 2 V j d G l v b j E v R k l f Q 2 9 t Y m l u Z W R f Z 2 V u d X M v Q X V 0 b 1 J l b W 9 2 Z W R D b 2 x 1 b W 5 z M S 5 7 U E Z f U 0 9 Z L D I 2 f S Z x d W 9 0 O y w m c X V v d D t T Z W N 0 a W 9 u M S 9 G S V 9 D b 2 1 i a W 5 l Z F 9 n Z W 5 1 c y 9 B d X R v U m V t b 3 Z l Z E N v b H V t b n M x L n t Q R l 9 O V V R T R F M s M j d 9 J n F 1 b 3 Q 7 L C Z x d W 9 0 O 1 N l Y 3 R p b 2 4 x L 0 Z J X 0 N v b W J p b m V k X 2 d l b n V z L 0 F 1 d G 9 S Z W 1 v d m V k Q 2 9 s d W 1 u c z E u e 1 B G X 0 x F R 1 V N R V M s M j h 9 J n F 1 b 3 Q 7 L C Z x d W 9 0 O 1 N l Y 3 R p b 2 4 x L 0 Z J X 0 N v b W J p b m V k X 2 d l b n V z L 0 F 1 d G 9 S Z W 1 v d m V k Q 2 9 s d W 1 u c z E u e 0 R f V E 9 U Q U w s M j l 9 J n F 1 b 3 Q 7 L C Z x d W 9 0 O 1 N l Y 3 R p b 2 4 x L 0 Z J X 0 N v b W J p b m V k X 2 d l b n V z L 0 F 1 d G 9 S Z W 1 v d m V k Q 2 9 s d W 1 u c z E u e 0 R f T U l M S y w z M H 0 m c X V v d D s s J n F 1 b 3 Q 7 U 2 V j d G l v b j E v R k l f Q 2 9 t Y m l u Z W R f Z 2 V u d X M v Q X V 0 b 1 J l b W 9 2 Z W R D b 2 x 1 b W 5 z M S 5 7 R F 9 Z T 0 d V U l Q s M z F 9 J n F 1 b 3 Q 7 L C Z x d W 9 0 O 1 N l Y 3 R p b 2 4 x L 0 Z J X 0 N v b W J p b m V k X 2 d l b n V z L 0 F 1 d G 9 S Z W 1 v d m V k Q 2 9 s d W 1 u c z E u e 0 R f Q 0 h F R V N F L D M y f S Z x d W 9 0 O y w m c X V v d D t T Z W N 0 a W 9 u M S 9 G S V 9 D b 2 1 i a W 5 l Z F 9 n Z W 5 1 c y 9 B d X R v U m V t b 3 Z l Z E N v b H V t b n M x L n t P S U x T L D M z f S Z x d W 9 0 O y w m c X V v d D t T Z W N 0 a W 9 u M S 9 G S V 9 D b 2 1 i a W 5 l Z F 9 n Z W 5 1 c y 9 B d X R v U m V t b 3 Z l Z E N v b H V t b n M x L n t T T 0 x J R F 9 G Q V R T L D M 0 f S Z x d W 9 0 O y w m c X V v d D t T Z W N 0 a W 9 u M S 9 G S V 9 D b 2 1 i a W 5 l Z F 9 n Z W 5 1 c y 9 B d X R v U m V t b 3 Z l Z E N v b H V t b n M x L n t B R E R f U 1 V H Q V J T L D M 1 f S Z x d W 9 0 O y w m c X V v d D t T Z W N 0 a W 9 u M S 9 G S V 9 D b 2 1 i a W 5 l Z F 9 n Z W 5 1 c y 9 B d X R v U m V t b 3 Z l Z E N v b H V t b n M x L n t B X 0 R S S U 5 L U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N v b W J p b m V k X 2 d l b n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d l b n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d l b n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X 2 9 y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D b 2 1 i a W 5 l Z F 9 v c m R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M j o 1 M y 4 w M z A x O T M x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X 2 9 y Z G V u L 0 F 1 d G 9 S Z W 1 v d m V k Q 2 9 s d W 1 u c z E u e 0 Z f V E 9 U Q U w s M H 0 m c X V v d D s s J n F 1 b 3 Q 7 U 2 V j d G l v b j E v R k l f Q 2 9 t Y m l u Z W R f b 3 J k Z W 4 v Q X V 0 b 1 J l b W 9 2 Z W R D b 2 x 1 b W 5 z M S 5 7 R l 9 D S V R N T E I s M X 0 m c X V v d D s s J n F 1 b 3 Q 7 U 2 V j d G l v b j E v R k l f Q 2 9 t Y m l u Z W R f b 3 J k Z W 4 v Q X V 0 b 1 J l b W 9 2 Z W R D b 2 x 1 b W 5 z M S 5 7 R l 9 P V E h F U i w y f S Z x d W 9 0 O y w m c X V v d D t T Z W N 0 a W 9 u M S 9 G S V 9 D b 2 1 i a W 5 l Z F 9 v c m R l b i 9 B d X R v U m V t b 3 Z l Z E N v b H V t b n M x L n t G X 0 p V S U N F L D N 9 J n F 1 b 3 Q 7 L C Z x d W 9 0 O 1 N l Y 3 R p b 2 4 x L 0 Z J X 0 N v b W J p b m V k X 2 9 y Z G V u L 0 F 1 d G 9 S Z W 1 v d m V k Q 2 9 s d W 1 u c z E u e 1 Z f V E 9 U Q U w s N H 0 m c X V v d D s s J n F 1 b 3 Q 7 U 2 V j d G l v b j E v R k l f Q 2 9 t Y m l u Z W R f b 3 J k Z W 4 v Q X V 0 b 1 J l b W 9 2 Z W R D b 2 x 1 b W 5 z M S 5 7 V l 9 E U k t H U i w 1 f S Z x d W 9 0 O y w m c X V v d D t T Z W N 0 a W 9 u M S 9 G S V 9 D b 2 1 i a W 5 l Z F 9 v c m R l b i 9 B d X R v U m V t b 3 Z l Z E N v b H V t b n M x L n t W X 1 J F R E 9 S X 1 R P V E F M L D Z 9 J n F 1 b 3 Q 7 L C Z x d W 9 0 O 1 N l Y 3 R p b 2 4 x L 0 Z J X 0 N v b W J p b m V k X 2 9 y Z G V u L 0 F 1 d G 9 S Z W 1 v d m V k Q 2 9 s d W 1 u c z E u e 1 Z f U k V E T 1 J f V E 9 N Q V R P L D d 9 J n F 1 b 3 Q 7 L C Z x d W 9 0 O 1 N l Y 3 R p b 2 4 x L 0 Z J X 0 N v b W J p b m V k X 2 9 y Z G V u L 0 F 1 d G 9 S Z W 1 v d m V k Q 2 9 s d W 1 u c z E u e 1 Z f U k V E T 1 J f T 1 R I R V I s O H 0 m c X V v d D s s J n F 1 b 3 Q 7 U 2 V j d G l v b j E v R k l f Q 2 9 t Y m l u Z W R f b 3 J k Z W 4 v Q X V 0 b 1 J l b W 9 2 Z W R D b 2 x 1 b W 5 z M S 5 7 V l 9 T V E F S Q 0 h Z X 1 R P V E F M L D l 9 J n F 1 b 3 Q 7 L C Z x d W 9 0 O 1 N l Y 3 R p b 2 4 x L 0 Z J X 0 N v b W J p b m V k X 2 9 y Z G V u L 0 F 1 d G 9 S Z W 1 v d m V k Q 2 9 s d W 1 u c z E u e 1 Z f U 1 R B U k N I W V 9 Q T 1 R B V E 8 s M T B 9 J n F 1 b 3 Q 7 L C Z x d W 9 0 O 1 N l Y 3 R p b 2 4 x L 0 Z J X 0 N v b W J p b m V k X 2 9 y Z G V u L 0 F 1 d G 9 S Z W 1 v d m V k Q 2 9 s d W 1 u c z E u e 1 Z f U 1 R B U k N I W V 9 P V E h F U i w x M X 0 m c X V v d D s s J n F 1 b 3 Q 7 U 2 V j d G l v b j E v R k l f Q 2 9 t Y m l u Z W R f b 3 J k Z W 4 v Q X V 0 b 1 J l b W 9 2 Z W R D b 2 x 1 b W 5 z M S 5 7 V l 9 P V E h F U i w x M n 0 m c X V v d D s s J n F 1 b 3 Q 7 U 2 V j d G l v b j E v R k l f Q 2 9 t Y m l u Z W R f b 3 J k Z W 4 v Q X V 0 b 1 J l b W 9 2 Z W R D b 2 x 1 b W 5 z M S 5 7 V l 9 M R U d V T U V T L D E z f S Z x d W 9 0 O y w m c X V v d D t T Z W N 0 a W 9 u M S 9 G S V 9 D b 2 1 i a W 5 l Z F 9 v c m R l b i 9 B d X R v U m V t b 3 Z l Z E N v b H V t b n M x L n t H X 1 R P V E F M L D E 0 f S Z x d W 9 0 O y w m c X V v d D t T Z W N 0 a W 9 u M S 9 G S V 9 D b 2 1 i a W 5 l Z F 9 v c m R l b i 9 B d X R v U m V t b 3 Z l Z E N v b H V t b n M x L n t H X 1 d I T 0 x F L D E 1 f S Z x d W 9 0 O y w m c X V v d D t T Z W N 0 a W 9 u M S 9 G S V 9 D b 2 1 i a W 5 l Z F 9 v c m R l b i 9 B d X R v U m V t b 3 Z l Z E N v b H V t b n M x L n t H X 1 J F R k l O R U Q s M T Z 9 J n F 1 b 3 Q 7 L C Z x d W 9 0 O 1 N l Y 3 R p b 2 4 x L 0 Z J X 0 N v b W J p b m V k X 2 9 y Z G V u L 0 F 1 d G 9 S Z W 1 v d m V k Q 2 9 s d W 1 u c z E u e 1 B G X 1 R P V E F M L D E 3 f S Z x d W 9 0 O y w m c X V v d D t T Z W N 0 a W 9 u M S 9 G S V 9 D b 2 1 i a W 5 l Z F 9 v c m R l b i 9 B d X R v U m V t b 3 Z l Z E N v b H V t b n M x L n t Q R l 9 N U F N f V E 9 U Q U w s M T h 9 J n F 1 b 3 Q 7 L C Z x d W 9 0 O 1 N l Y 3 R p b 2 4 x L 0 Z J X 0 N v b W J p b m V k X 2 9 y Z G V u L 0 F 1 d G 9 S Z W 1 v d m V k Q 2 9 s d W 1 u c z E u e 1 B G X 0 1 F Q V Q s M T l 9 J n F 1 b 3 Q 7 L C Z x d W 9 0 O 1 N l Y 3 R p b 2 4 x L 0 Z J X 0 N v b W J p b m V k X 2 9 y Z G V u L 0 F 1 d G 9 S Z W 1 v d m V k Q 2 9 s d W 1 u c z E u e 1 B G X 0 N V U k V E T U V B V C w y M H 0 m c X V v d D s s J n F 1 b 3 Q 7 U 2 V j d G l v b j E v R k l f Q 2 9 t Y m l u Z W R f b 3 J k Z W 4 v Q X V 0 b 1 J l b W 9 2 Z W R D b 2 x 1 b W 5 z M S 5 7 U E Z f T 1 J H Q U 4 s M j F 9 J n F 1 b 3 Q 7 L C Z x d W 9 0 O 1 N l Y 3 R p b 2 4 x L 0 Z J X 0 N v b W J p b m V k X 2 9 y Z G V u L 0 F 1 d G 9 S Z W 1 v d m V k Q 2 9 s d W 1 u c z E u e 1 B G X 1 B P V U x U L D I y f S Z x d W 9 0 O y w m c X V v d D t T Z W N 0 a W 9 u M S 9 G S V 9 D b 2 1 i a W 5 l Z F 9 v c m R l b i 9 B d X R v U m V t b 3 Z l Z E N v b H V t b n M x L n t Q R l 9 T R U F G R F 9 I S S w y M 3 0 m c X V v d D s s J n F 1 b 3 Q 7 U 2 V j d G l v b j E v R k l f Q 2 9 t Y m l u Z W R f b 3 J k Z W 4 v Q X V 0 b 1 J l b W 9 2 Z W R D b 2 x 1 b W 5 z M S 5 7 U E Z f U 0 V B R k R f T E 9 X L D I 0 f S Z x d W 9 0 O y w m c X V v d D t T Z W N 0 a W 9 u M S 9 G S V 9 D b 2 1 i a W 5 l Z F 9 v c m R l b i 9 B d X R v U m V t b 3 Z l Z E N v b H V t b n M x L n t Q R l 9 F R 0 d T L D I 1 f S Z x d W 9 0 O y w m c X V v d D t T Z W N 0 a W 9 u M S 9 G S V 9 D b 2 1 i a W 5 l Z F 9 v c m R l b i 9 B d X R v U m V t b 3 Z l Z E N v b H V t b n M x L n t Q R l 9 T T 1 k s M j Z 9 J n F 1 b 3 Q 7 L C Z x d W 9 0 O 1 N l Y 3 R p b 2 4 x L 0 Z J X 0 N v b W J p b m V k X 2 9 y Z G V u L 0 F 1 d G 9 S Z W 1 v d m V k Q 2 9 s d W 1 u c z E u e 1 B G X 0 5 V V F N E U y w y N 3 0 m c X V v d D s s J n F 1 b 3 Q 7 U 2 V j d G l v b j E v R k l f Q 2 9 t Y m l u Z W R f b 3 J k Z W 4 v Q X V 0 b 1 J l b W 9 2 Z W R D b 2 x 1 b W 5 z M S 5 7 U E Z f T E V H V U 1 F U y w y O H 0 m c X V v d D s s J n F 1 b 3 Q 7 U 2 V j d G l v b j E v R k l f Q 2 9 t Y m l u Z W R f b 3 J k Z W 4 v Q X V 0 b 1 J l b W 9 2 Z W R D b 2 x 1 b W 5 z M S 5 7 R F 9 U T 1 R B T C w y O X 0 m c X V v d D s s J n F 1 b 3 Q 7 U 2 V j d G l v b j E v R k l f Q 2 9 t Y m l u Z W R f b 3 J k Z W 4 v Q X V 0 b 1 J l b W 9 2 Z W R D b 2 x 1 b W 5 z M S 5 7 R F 9 N S U x L L D M w f S Z x d W 9 0 O y w m c X V v d D t T Z W N 0 a W 9 u M S 9 G S V 9 D b 2 1 i a W 5 l Z F 9 v c m R l b i 9 B d X R v U m V t b 3 Z l Z E N v b H V t b n M x L n t E X 1 l P R 1 V S V C w z M X 0 m c X V v d D s s J n F 1 b 3 Q 7 U 2 V j d G l v b j E v R k l f Q 2 9 t Y m l u Z W R f b 3 J k Z W 4 v Q X V 0 b 1 J l b W 9 2 Z W R D b 2 x 1 b W 5 z M S 5 7 R F 9 D S E V F U 0 U s M z J 9 J n F 1 b 3 Q 7 L C Z x d W 9 0 O 1 N l Y 3 R p b 2 4 x L 0 Z J X 0 N v b W J p b m V k X 2 9 y Z G V u L 0 F 1 d G 9 S Z W 1 v d m V k Q 2 9 s d W 1 u c z E u e 0 9 J T F M s M z N 9 J n F 1 b 3 Q 7 L C Z x d W 9 0 O 1 N l Y 3 R p b 2 4 x L 0 Z J X 0 N v b W J p b m V k X 2 9 y Z G V u L 0 F 1 d G 9 S Z W 1 v d m V k Q 2 9 s d W 1 u c z E u e 1 N P T E l E X 0 Z B V F M s M z R 9 J n F 1 b 3 Q 7 L C Z x d W 9 0 O 1 N l Y 3 R p b 2 4 x L 0 Z J X 0 N v b W J p b m V k X 2 9 y Z G V u L 0 F 1 d G 9 S Z W 1 v d m V k Q 2 9 s d W 1 u c z E u e 0 F E R F 9 T V U d B U l M s M z V 9 J n F 1 b 3 Q 7 L C Z x d W 9 0 O 1 N l Y 3 R p b 2 4 x L 0 Z J X 0 N v b W J p b m V k X 2 9 y Z G V u L 0 F 1 d G 9 S Z W 1 v d m V k Q 2 9 s d W 1 u c z E u e 0 F f R F J J T k t T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k l f Q 2 9 t Y m l u Z W R f b 3 J k Z W 4 v Q X V 0 b 1 J l b W 9 2 Z W R D b 2 x 1 b W 5 z M S 5 7 R l 9 U T 1 R B T C w w f S Z x d W 9 0 O y w m c X V v d D t T Z W N 0 a W 9 u M S 9 G S V 9 D b 2 1 i a W 5 l Z F 9 v c m R l b i 9 B d X R v U m V t b 3 Z l Z E N v b H V t b n M x L n t G X 0 N J V E 1 M Q i w x f S Z x d W 9 0 O y w m c X V v d D t T Z W N 0 a W 9 u M S 9 G S V 9 D b 2 1 i a W 5 l Z F 9 v c m R l b i 9 B d X R v U m V t b 3 Z l Z E N v b H V t b n M x L n t G X 0 9 U S E V S L D J 9 J n F 1 b 3 Q 7 L C Z x d W 9 0 O 1 N l Y 3 R p b 2 4 x L 0 Z J X 0 N v b W J p b m V k X 2 9 y Z G V u L 0 F 1 d G 9 S Z W 1 v d m V k Q 2 9 s d W 1 u c z E u e 0 Z f S l V J Q 0 U s M 3 0 m c X V v d D s s J n F 1 b 3 Q 7 U 2 V j d G l v b j E v R k l f Q 2 9 t Y m l u Z W R f b 3 J k Z W 4 v Q X V 0 b 1 J l b W 9 2 Z W R D b 2 x 1 b W 5 z M S 5 7 V l 9 U T 1 R B T C w 0 f S Z x d W 9 0 O y w m c X V v d D t T Z W N 0 a W 9 u M S 9 G S V 9 D b 2 1 i a W 5 l Z F 9 v c m R l b i 9 B d X R v U m V t b 3 Z l Z E N v b H V t b n M x L n t W X 0 R S S 0 d S L D V 9 J n F 1 b 3 Q 7 L C Z x d W 9 0 O 1 N l Y 3 R p b 2 4 x L 0 Z J X 0 N v b W J p b m V k X 2 9 y Z G V u L 0 F 1 d G 9 S Z W 1 v d m V k Q 2 9 s d W 1 u c z E u e 1 Z f U k V E T 1 J f V E 9 U Q U w s N n 0 m c X V v d D s s J n F 1 b 3 Q 7 U 2 V j d G l v b j E v R k l f Q 2 9 t Y m l u Z W R f b 3 J k Z W 4 v Q X V 0 b 1 J l b W 9 2 Z W R D b 2 x 1 b W 5 z M S 5 7 V l 9 S R U R P U l 9 U T 0 1 B V E 8 s N 3 0 m c X V v d D s s J n F 1 b 3 Q 7 U 2 V j d G l v b j E v R k l f Q 2 9 t Y m l u Z W R f b 3 J k Z W 4 v Q X V 0 b 1 J l b W 9 2 Z W R D b 2 x 1 b W 5 z M S 5 7 V l 9 S R U R P U l 9 P V E h F U i w 4 f S Z x d W 9 0 O y w m c X V v d D t T Z W N 0 a W 9 u M S 9 G S V 9 D b 2 1 i a W 5 l Z F 9 v c m R l b i 9 B d X R v U m V t b 3 Z l Z E N v b H V t b n M x L n t W X 1 N U Q V J D S F l f V E 9 U Q U w s O X 0 m c X V v d D s s J n F 1 b 3 Q 7 U 2 V j d G l v b j E v R k l f Q 2 9 t Y m l u Z W R f b 3 J k Z W 4 v Q X V 0 b 1 J l b W 9 2 Z W R D b 2 x 1 b W 5 z M S 5 7 V l 9 T V E F S Q 0 h Z X 1 B P V E F U T y w x M H 0 m c X V v d D s s J n F 1 b 3 Q 7 U 2 V j d G l v b j E v R k l f Q 2 9 t Y m l u Z W R f b 3 J k Z W 4 v Q X V 0 b 1 J l b W 9 2 Z W R D b 2 x 1 b W 5 z M S 5 7 V l 9 T V E F S Q 0 h Z X 0 9 U S E V S L D E x f S Z x d W 9 0 O y w m c X V v d D t T Z W N 0 a W 9 u M S 9 G S V 9 D b 2 1 i a W 5 l Z F 9 v c m R l b i 9 B d X R v U m V t b 3 Z l Z E N v b H V t b n M x L n t W X 0 9 U S E V S L D E y f S Z x d W 9 0 O y w m c X V v d D t T Z W N 0 a W 9 u M S 9 G S V 9 D b 2 1 i a W 5 l Z F 9 v c m R l b i 9 B d X R v U m V t b 3 Z l Z E N v b H V t b n M x L n t W X 0 x F R 1 V N R V M s M T N 9 J n F 1 b 3 Q 7 L C Z x d W 9 0 O 1 N l Y 3 R p b 2 4 x L 0 Z J X 0 N v b W J p b m V k X 2 9 y Z G V u L 0 F 1 d G 9 S Z W 1 v d m V k Q 2 9 s d W 1 u c z E u e 0 d f V E 9 U Q U w s M T R 9 J n F 1 b 3 Q 7 L C Z x d W 9 0 O 1 N l Y 3 R p b 2 4 x L 0 Z J X 0 N v b W J p b m V k X 2 9 y Z G V u L 0 F 1 d G 9 S Z W 1 v d m V k Q 2 9 s d W 1 u c z E u e 0 d f V 0 h P T E U s M T V 9 J n F 1 b 3 Q 7 L C Z x d W 9 0 O 1 N l Y 3 R p b 2 4 x L 0 Z J X 0 N v b W J p b m V k X 2 9 y Z G V u L 0 F 1 d G 9 S Z W 1 v d m V k Q 2 9 s d W 1 u c z E u e 0 d f U k V G S U 5 F R C w x N n 0 m c X V v d D s s J n F 1 b 3 Q 7 U 2 V j d G l v b j E v R k l f Q 2 9 t Y m l u Z W R f b 3 J k Z W 4 v Q X V 0 b 1 J l b W 9 2 Z W R D b 2 x 1 b W 5 z M S 5 7 U E Z f V E 9 U Q U w s M T d 9 J n F 1 b 3 Q 7 L C Z x d W 9 0 O 1 N l Y 3 R p b 2 4 x L 0 Z J X 0 N v b W J p b m V k X 2 9 y Z G V u L 0 F 1 d G 9 S Z W 1 v d m V k Q 2 9 s d W 1 u c z E u e 1 B G X 0 1 Q U 1 9 U T 1 R B T C w x O H 0 m c X V v d D s s J n F 1 b 3 Q 7 U 2 V j d G l v b j E v R k l f Q 2 9 t Y m l u Z W R f b 3 J k Z W 4 v Q X V 0 b 1 J l b W 9 2 Z W R D b 2 x 1 b W 5 z M S 5 7 U E Z f T U V B V C w x O X 0 m c X V v d D s s J n F 1 b 3 Q 7 U 2 V j d G l v b j E v R k l f Q 2 9 t Y m l u Z W R f b 3 J k Z W 4 v Q X V 0 b 1 J l b W 9 2 Z W R D b 2 x 1 b W 5 z M S 5 7 U E Z f Q 1 V S R U R N R U F U L D I w f S Z x d W 9 0 O y w m c X V v d D t T Z W N 0 a W 9 u M S 9 G S V 9 D b 2 1 i a W 5 l Z F 9 v c m R l b i 9 B d X R v U m V t b 3 Z l Z E N v b H V t b n M x L n t Q R l 9 P U k d B T i w y M X 0 m c X V v d D s s J n F 1 b 3 Q 7 U 2 V j d G l v b j E v R k l f Q 2 9 t Y m l u Z W R f b 3 J k Z W 4 v Q X V 0 b 1 J l b W 9 2 Z W R D b 2 x 1 b W 5 z M S 5 7 U E Z f U E 9 V T F Q s M j J 9 J n F 1 b 3 Q 7 L C Z x d W 9 0 O 1 N l Y 3 R p b 2 4 x L 0 Z J X 0 N v b W J p b m V k X 2 9 y Z G V u L 0 F 1 d G 9 S Z W 1 v d m V k Q 2 9 s d W 1 u c z E u e 1 B G X 1 N F Q U Z E X 0 h J L D I z f S Z x d W 9 0 O y w m c X V v d D t T Z W N 0 a W 9 u M S 9 G S V 9 D b 2 1 i a W 5 l Z F 9 v c m R l b i 9 B d X R v U m V t b 3 Z l Z E N v b H V t b n M x L n t Q R l 9 T R U F G R F 9 M T 1 c s M j R 9 J n F 1 b 3 Q 7 L C Z x d W 9 0 O 1 N l Y 3 R p b 2 4 x L 0 Z J X 0 N v b W J p b m V k X 2 9 y Z G V u L 0 F 1 d G 9 S Z W 1 v d m V k Q 2 9 s d W 1 u c z E u e 1 B G X 0 V H R 1 M s M j V 9 J n F 1 b 3 Q 7 L C Z x d W 9 0 O 1 N l Y 3 R p b 2 4 x L 0 Z J X 0 N v b W J p b m V k X 2 9 y Z G V u L 0 F 1 d G 9 S Z W 1 v d m V k Q 2 9 s d W 1 u c z E u e 1 B G X 1 N P W S w y N n 0 m c X V v d D s s J n F 1 b 3 Q 7 U 2 V j d G l v b j E v R k l f Q 2 9 t Y m l u Z W R f b 3 J k Z W 4 v Q X V 0 b 1 J l b W 9 2 Z W R D b 2 x 1 b W 5 z M S 5 7 U E Z f T l V U U 0 R T L D I 3 f S Z x d W 9 0 O y w m c X V v d D t T Z W N 0 a W 9 u M S 9 G S V 9 D b 2 1 i a W 5 l Z F 9 v c m R l b i 9 B d X R v U m V t b 3 Z l Z E N v b H V t b n M x L n t Q R l 9 M R U d V T U V T L D I 4 f S Z x d W 9 0 O y w m c X V v d D t T Z W N 0 a W 9 u M S 9 G S V 9 D b 2 1 i a W 5 l Z F 9 v c m R l b i 9 B d X R v U m V t b 3 Z l Z E N v b H V t b n M x L n t E X 1 R P V E F M L D I 5 f S Z x d W 9 0 O y w m c X V v d D t T Z W N 0 a W 9 u M S 9 G S V 9 D b 2 1 i a W 5 l Z F 9 v c m R l b i 9 B d X R v U m V t b 3 Z l Z E N v b H V t b n M x L n t E X 0 1 J T E s s M z B 9 J n F 1 b 3 Q 7 L C Z x d W 9 0 O 1 N l Y 3 R p b 2 4 x L 0 Z J X 0 N v b W J p b m V k X 2 9 y Z G V u L 0 F 1 d G 9 S Z W 1 v d m V k Q 2 9 s d W 1 u c z E u e 0 R f W U 9 H V V J U L D M x f S Z x d W 9 0 O y w m c X V v d D t T Z W N 0 a W 9 u M S 9 G S V 9 D b 2 1 i a W 5 l Z F 9 v c m R l b i 9 B d X R v U m V t b 3 Z l Z E N v b H V t b n M x L n t E X 0 N I R U V T R S w z M n 0 m c X V v d D s s J n F 1 b 3 Q 7 U 2 V j d G l v b j E v R k l f Q 2 9 t Y m l u Z W R f b 3 J k Z W 4 v Q X V 0 b 1 J l b W 9 2 Z W R D b 2 x 1 b W 5 z M S 5 7 T 0 l M U y w z M 3 0 m c X V v d D s s J n F 1 b 3 Q 7 U 2 V j d G l v b j E v R k l f Q 2 9 t Y m l u Z W R f b 3 J k Z W 4 v Q X V 0 b 1 J l b W 9 2 Z W R D b 2 x 1 b W 5 z M S 5 7 U 0 9 M S U R f R k F U U y w z N H 0 m c X V v d D s s J n F 1 b 3 Q 7 U 2 V j d G l v b j E v R k l f Q 2 9 t Y m l u Z W R f b 3 J k Z W 4 v Q X V 0 b 1 J l b W 9 2 Z W R D b 2 x 1 b W 5 z M S 5 7 Q U R E X 1 N V R 0 F S U y w z N X 0 m c X V v d D s s J n F 1 b 3 Q 7 U 2 V j d G l v b j E v R k l f Q 2 9 t Y m l u Z W R f b 3 J k Z W 4 v Q X V 0 b 1 J l b W 9 2 Z W R D b 2 x 1 b W 5 z M S 5 7 Q V 9 E U k l O S 1 M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F 9 v c m R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v c m R l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F 9 v c m R l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/ E Q D j 3 P 0 a m 0 W M i y V u 0 2 A A A A A A C A A A A A A A Q Z g A A A A E A A C A A A A B / j B 6 O Z 2 9 C e j C A 9 + E r O l w Y 6 B E K F j c 0 s Y Z r 0 X W 1 r V E C H g A A A A A O g A A A A A I A A C A A A A A / v j 4 l o I y t H P x / m 1 X t g x J S l H s M p b X M / p I r l f 1 h B B P n w V A A A A D w 4 Z W 4 5 z 1 Q k M 0 h 9 z K m x M 9 A 2 u V d O u o 6 M S f h o 4 2 t M T N U W a 3 W + N S Z X A o q 5 d O z s E 2 3 h G c C e 5 D B K y 6 N c u 4 v a + 0 9 g t k U Y s 6 B 6 t d y R r e / 6 F C t i e F e I k A A A A C N 1 d p L h t 8 H k X h M 9 S z i v z + C G p X C L T C b T 4 h 0 4 A d B V e e j H c A w x W d 0 F D c / Z 8 r K d 0 x L B r U b t Z p X t S k g m 2 t Y N h c t 7 X b n < / D a t a M a s h u p > 
</file>

<file path=customXml/itemProps1.xml><?xml version="1.0" encoding="utf-8"?>
<ds:datastoreItem xmlns:ds="http://schemas.openxmlformats.org/officeDocument/2006/customXml" ds:itemID="{AAAE5E73-ECC5-478B-A8C8-B5A8700C00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FI_Combined_clase</vt:lpstr>
      <vt:lpstr>FI_Combined_especie</vt:lpstr>
      <vt:lpstr>FI_Combined_familia</vt:lpstr>
      <vt:lpstr>FI_Combined_filo</vt:lpstr>
      <vt:lpstr>FI_Combined_genus</vt:lpstr>
      <vt:lpstr>FI_Combined_orden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2021-05-27T19:37:15Z</dcterms:created>
  <dcterms:modified xsi:type="dcterms:W3CDTF">2021-05-27T20:36:48Z</dcterms:modified>
</cp:coreProperties>
</file>