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ma\OneDrive\Documentos\2020-2021\practicas\transcurso\dietstudy_analyses-master\Results\"/>
    </mc:Choice>
  </mc:AlternateContent>
  <xr:revisionPtr revIDLastSave="0" documentId="13_ncr:1_{C6F6409C-D15B-4F47-B191-D1BBD4D64804}" xr6:coauthVersionLast="46" xr6:coauthVersionMax="46" xr10:uidLastSave="{00000000-0000-0000-0000-000000000000}"/>
  <bookViews>
    <workbookView xWindow="28680" yWindow="-120" windowWidth="29040" windowHeight="16440" activeTab="5" xr2:uid="{5E12D249-4E14-40D9-A810-7515515E2BB6}"/>
  </bookViews>
  <sheets>
    <sheet name="FI_OTU_clase" sheetId="2" r:id="rId1"/>
    <sheet name="FI_OTU_especie" sheetId="3" r:id="rId2"/>
    <sheet name="FI_OTU_familia" sheetId="4" r:id="rId3"/>
    <sheet name="FI_OTU_filo" sheetId="5" r:id="rId4"/>
    <sheet name="FI_OTU_genus" sheetId="6" r:id="rId5"/>
    <sheet name="FI_OTU_orden" sheetId="7" r:id="rId6"/>
  </sheets>
  <definedNames>
    <definedName name="DatosExternos_1" localSheetId="0" hidden="1">FI_OTU_clase!$A$1:$AK$11</definedName>
    <definedName name="DatosExternos_1" localSheetId="1" hidden="1">FI_OTU_especie!$A$1:$AK$11</definedName>
    <definedName name="DatosExternos_1" localSheetId="2" hidden="1">FI_OTU_familia!$A$1:$AK$11</definedName>
    <definedName name="DatosExternos_1" localSheetId="3" hidden="1">FI_OTU_filo!$A$1:$AK$11</definedName>
    <definedName name="DatosExternos_1" localSheetId="4" hidden="1">FI_OTU_genus!$A$1:$AK$11</definedName>
    <definedName name="DatosExternos_1" localSheetId="5" hidden="1">FI_OTU_orden!$A$1:$AK$11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6" l="1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16" i="6"/>
  <c r="A14" i="6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16" i="5"/>
  <c r="A14" i="5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16" i="4"/>
  <c r="A14" i="4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17" i="3"/>
  <c r="A15" i="3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17" i="2"/>
  <c r="A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D8D16F-8133-4238-B4B0-02F06D7CF082}" keepAlive="1" name="Consulta - FI_OTU_clase" description="Conexión a la consulta 'FI_OTU_clase' en el libro." type="5" refreshedVersion="7" background="1" saveData="1">
    <dbPr connection="Provider=Microsoft.Mashup.OleDb.1;Data Source=$Workbook$;Location=FI_OTU_clase;Extended Properties=&quot;&quot;" command="SELECT * FROM [FI_OTU_clase]"/>
  </connection>
  <connection id="2" xr16:uid="{C9A0D3A1-C7CF-4A65-B29A-1E2D13164D86}" keepAlive="1" name="Consulta - FI_OTU_especie" description="Conexión a la consulta 'FI_OTU_especie' en el libro." type="5" refreshedVersion="7" background="1" saveData="1">
    <dbPr connection="Provider=Microsoft.Mashup.OleDb.1;Data Source=$Workbook$;Location=FI_OTU_especie;Extended Properties=&quot;&quot;" command="SELECT * FROM [FI_OTU_especie]"/>
  </connection>
  <connection id="3" xr16:uid="{08E2BFE6-73AA-42E6-8E7B-B8B4C47557E9}" keepAlive="1" name="Consulta - FI_OTU_familia" description="Conexión a la consulta 'FI_OTU_familia' en el libro." type="5" refreshedVersion="7" background="1" saveData="1">
    <dbPr connection="Provider=Microsoft.Mashup.OleDb.1;Data Source=$Workbook$;Location=FI_OTU_familia;Extended Properties=&quot;&quot;" command="SELECT * FROM [FI_OTU_familia]"/>
  </connection>
  <connection id="4" xr16:uid="{F154E885-B795-47FC-87FA-3437416FC785}" keepAlive="1" name="Consulta - FI_OTU_filo" description="Conexión a la consulta 'FI_OTU_filo' en el libro." type="5" refreshedVersion="7" background="1" saveData="1">
    <dbPr connection="Provider=Microsoft.Mashup.OleDb.1;Data Source=$Workbook$;Location=FI_OTU_filo;Extended Properties=&quot;&quot;" command="SELECT * FROM [FI_OTU_filo]"/>
  </connection>
  <connection id="5" xr16:uid="{071CA3E1-5467-42A6-8906-C9970923F7B0}" keepAlive="1" name="Consulta - FI_OTU_genus" description="Conexión a la consulta 'FI_OTU_genus' en el libro." type="5" refreshedVersion="7" background="1" saveData="1">
    <dbPr connection="Provider=Microsoft.Mashup.OleDb.1;Data Source=$Workbook$;Location=FI_OTU_genus;Extended Properties=&quot;&quot;" command="SELECT * FROM [FI_OTU_genus]"/>
  </connection>
  <connection id="6" xr16:uid="{C3150DEC-AC62-4D2A-82CF-E85394E9F728}" keepAlive="1" name="Consulta - FI_OTU_orden" description="Conexión a la consulta 'FI_OTU_orden' en el libro." type="5" refreshedVersion="7" background="1" saveData="1">
    <dbPr connection="Provider=Microsoft.Mashup.OleDb.1;Data Source=$Workbook$;Location=FI_OTU_orden;Extended Properties=&quot;&quot;" command="SELECT * FROM [FI_OTU_orden]"/>
  </connection>
</connections>
</file>

<file path=xl/sharedStrings.xml><?xml version="1.0" encoding="utf-8"?>
<sst xmlns="http://schemas.openxmlformats.org/spreadsheetml/2006/main" count="604" uniqueCount="40">
  <si>
    <t>F_TOTAL</t>
  </si>
  <si>
    <t>F_CITMLB</t>
  </si>
  <si>
    <t>F_OTHER</t>
  </si>
  <si>
    <t>F_JUICE</t>
  </si>
  <si>
    <t>V_TOTAL</t>
  </si>
  <si>
    <t>V_DRKGR</t>
  </si>
  <si>
    <t>V_REDOR_TOTAL</t>
  </si>
  <si>
    <t>V_REDOR_TOMATO</t>
  </si>
  <si>
    <t>V_REDOR_OTHER</t>
  </si>
  <si>
    <t>V_STARCHY_TOTAL</t>
  </si>
  <si>
    <t>V_STARCHY_POTATO</t>
  </si>
  <si>
    <t>V_STARCHY_OTHER</t>
  </si>
  <si>
    <t>V_OTHER</t>
  </si>
  <si>
    <t>V_LEGUMES</t>
  </si>
  <si>
    <t>G_TOTAL</t>
  </si>
  <si>
    <t>G_WHOLE</t>
  </si>
  <si>
    <t>G_REFINED</t>
  </si>
  <si>
    <t>PF_TOTAL</t>
  </si>
  <si>
    <t>PF_MPS_TOTAL</t>
  </si>
  <si>
    <t>PF_MEAT</t>
  </si>
  <si>
    <t>PF_CUREDMEAT</t>
  </si>
  <si>
    <t>PF_ORGAN</t>
  </si>
  <si>
    <t>PF_POULT</t>
  </si>
  <si>
    <t>PF_SEAFD_HI</t>
  </si>
  <si>
    <t>PF_SEAFD_LOW</t>
  </si>
  <si>
    <t>PF_EGGS</t>
  </si>
  <si>
    <t>PF_SOY</t>
  </si>
  <si>
    <t>PF_NUTSDS</t>
  </si>
  <si>
    <t>PF_LEGUMES</t>
  </si>
  <si>
    <t>D_TOTAL</t>
  </si>
  <si>
    <t>D_MILK</t>
  </si>
  <si>
    <t>D_YOGURT</t>
  </si>
  <si>
    <t>D_CHEESE</t>
  </si>
  <si>
    <t>OILS</t>
  </si>
  <si>
    <t>SOLID_FATS</t>
  </si>
  <si>
    <t>ADD_SUGARS</t>
  </si>
  <si>
    <t>A_DRINKS</t>
  </si>
  <si>
    <t>0.0</t>
  </si>
  <si>
    <t>MEDIA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</si>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</sst>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1" fillId="2" borderId="0" xfId="1" applyNumberFormat="1"/>
    <xf numFmtId="0" fontId="1" fillId="2" borderId="0" xfId="1"/>
  </cellXfs>
  <cellStyles count="2">
    <cellStyle name="Neutral" xfId="1" builtinId="28"/>
    <cellStyle name="Normal" xfId="0" builtinId="0"/>
  </cellStyles>
  <dxfs count="232"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04AF732-D51C-4B97-922F-B8CDA74B7669}" autoFormatId="16" applyNumberFormats="0" applyBorderFormats="0" applyFontFormats="0" applyPatternFormats="0" applyAlignmentFormats="0" applyWidthHeightFormats="0">
  <queryTableRefresh nextId="38">
    <queryTableFields count="37">
      <queryTableField id="1" name="F_TOTAL" tableColumnId="1"/>
      <queryTableField id="2" name="F_CITMLB" tableColumnId="2"/>
      <queryTableField id="3" name="F_OTHER" tableColumnId="3"/>
      <queryTableField id="4" name="F_JUICE" tableColumnId="4"/>
      <queryTableField id="5" name="V_TOTAL" tableColumnId="5"/>
      <queryTableField id="6" name="V_DRKGR" tableColumnId="6"/>
      <queryTableField id="7" name="V_REDOR_TOTAL" tableColumnId="7"/>
      <queryTableField id="8" name="V_REDOR_TOMATO" tableColumnId="8"/>
      <queryTableField id="9" name="V_REDOR_OTHER" tableColumnId="9"/>
      <queryTableField id="10" name="V_STARCHY_TOTAL" tableColumnId="10"/>
      <queryTableField id="11" name="V_STARCHY_POTATO" tableColumnId="11"/>
      <queryTableField id="12" name="V_STARCHY_OTHER" tableColumnId="12"/>
      <queryTableField id="13" name="V_OTHER" tableColumnId="13"/>
      <queryTableField id="14" name="V_LEGUMES" tableColumnId="14"/>
      <queryTableField id="15" name="G_TOTAL" tableColumnId="15"/>
      <queryTableField id="16" name="G_WHOLE" tableColumnId="16"/>
      <queryTableField id="17" name="G_REFINED" tableColumnId="17"/>
      <queryTableField id="18" name="PF_TOTAL" tableColumnId="18"/>
      <queryTableField id="19" name="PF_MPS_TOTAL" tableColumnId="19"/>
      <queryTableField id="20" name="PF_MEAT" tableColumnId="20"/>
      <queryTableField id="21" name="PF_CUREDMEAT" tableColumnId="21"/>
      <queryTableField id="22" name="PF_ORGAN" tableColumnId="22"/>
      <queryTableField id="23" name="PF_POULT" tableColumnId="23"/>
      <queryTableField id="24" name="PF_SEAFD_HI" tableColumnId="24"/>
      <queryTableField id="25" name="PF_SEAFD_LOW" tableColumnId="25"/>
      <queryTableField id="26" name="PF_EGGS" tableColumnId="26"/>
      <queryTableField id="27" name="PF_SOY" tableColumnId="27"/>
      <queryTableField id="28" name="PF_NUTSDS" tableColumnId="28"/>
      <queryTableField id="29" name="PF_LEGUMES" tableColumnId="29"/>
      <queryTableField id="30" name="D_TOTAL" tableColumnId="30"/>
      <queryTableField id="31" name="D_MILK" tableColumnId="31"/>
      <queryTableField id="32" name="D_YOGURT" tableColumnId="32"/>
      <queryTableField id="33" name="D_CHEESE" tableColumnId="33"/>
      <queryTableField id="34" name="OILS" tableColumnId="34"/>
      <queryTableField id="35" name="SOLID_FATS" tableColumnId="35"/>
      <queryTableField id="36" name="ADD_SUGARS" tableColumnId="36"/>
      <queryTableField id="37" name="A_DRINKS" tableColumnId="3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1A1209E-A34F-4C5E-A80E-098A85582B9A}" autoFormatId="16" applyNumberFormats="0" applyBorderFormats="0" applyFontFormats="0" applyPatternFormats="0" applyAlignmentFormats="0" applyWidthHeightFormats="0">
  <queryTableRefresh nextId="38">
    <queryTableFields count="37">
      <queryTableField id="1" name="F_TOTAL" tableColumnId="1"/>
      <queryTableField id="2" name="F_CITMLB" tableColumnId="2"/>
      <queryTableField id="3" name="F_OTHER" tableColumnId="3"/>
      <queryTableField id="4" name="F_JUICE" tableColumnId="4"/>
      <queryTableField id="5" name="V_TOTAL" tableColumnId="5"/>
      <queryTableField id="6" name="V_DRKGR" tableColumnId="6"/>
      <queryTableField id="7" name="V_REDOR_TOTAL" tableColumnId="7"/>
      <queryTableField id="8" name="V_REDOR_TOMATO" tableColumnId="8"/>
      <queryTableField id="9" name="V_REDOR_OTHER" tableColumnId="9"/>
      <queryTableField id="10" name="V_STARCHY_TOTAL" tableColumnId="10"/>
      <queryTableField id="11" name="V_STARCHY_POTATO" tableColumnId="11"/>
      <queryTableField id="12" name="V_STARCHY_OTHER" tableColumnId="12"/>
      <queryTableField id="13" name="V_OTHER" tableColumnId="13"/>
      <queryTableField id="14" name="V_LEGUMES" tableColumnId="14"/>
      <queryTableField id="15" name="G_TOTAL" tableColumnId="15"/>
      <queryTableField id="16" name="G_WHOLE" tableColumnId="16"/>
      <queryTableField id="17" name="G_REFINED" tableColumnId="17"/>
      <queryTableField id="18" name="PF_TOTAL" tableColumnId="18"/>
      <queryTableField id="19" name="PF_MPS_TOTAL" tableColumnId="19"/>
      <queryTableField id="20" name="PF_MEAT" tableColumnId="20"/>
      <queryTableField id="21" name="PF_CUREDMEAT" tableColumnId="21"/>
      <queryTableField id="22" name="PF_ORGAN" tableColumnId="22"/>
      <queryTableField id="23" name="PF_POULT" tableColumnId="23"/>
      <queryTableField id="24" name="PF_SEAFD_HI" tableColumnId="24"/>
      <queryTableField id="25" name="PF_SEAFD_LOW" tableColumnId="25"/>
      <queryTableField id="26" name="PF_EGGS" tableColumnId="26"/>
      <queryTableField id="27" name="PF_SOY" tableColumnId="27"/>
      <queryTableField id="28" name="PF_NUTSDS" tableColumnId="28"/>
      <queryTableField id="29" name="PF_LEGUMES" tableColumnId="29"/>
      <queryTableField id="30" name="D_TOTAL" tableColumnId="30"/>
      <queryTableField id="31" name="D_MILK" tableColumnId="31"/>
      <queryTableField id="32" name="D_YOGURT" tableColumnId="32"/>
      <queryTableField id="33" name="D_CHEESE" tableColumnId="33"/>
      <queryTableField id="34" name="OILS" tableColumnId="34"/>
      <queryTableField id="35" name="SOLID_FATS" tableColumnId="35"/>
      <queryTableField id="36" name="ADD_SUGARS" tableColumnId="36"/>
      <queryTableField id="37" name="A_DRINKS" tableColumnId="3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B80F3C45-A3F1-4812-BE39-E0997FA7D779}" autoFormatId="16" applyNumberFormats="0" applyBorderFormats="0" applyFontFormats="0" applyPatternFormats="0" applyAlignmentFormats="0" applyWidthHeightFormats="0">
  <queryTableRefresh nextId="38">
    <queryTableFields count="37">
      <queryTableField id="1" name="F_TOTAL" tableColumnId="1"/>
      <queryTableField id="2" name="F_CITMLB" tableColumnId="2"/>
      <queryTableField id="3" name="F_OTHER" tableColumnId="3"/>
      <queryTableField id="4" name="F_JUICE" tableColumnId="4"/>
      <queryTableField id="5" name="V_TOTAL" tableColumnId="5"/>
      <queryTableField id="6" name="V_DRKGR" tableColumnId="6"/>
      <queryTableField id="7" name="V_REDOR_TOTAL" tableColumnId="7"/>
      <queryTableField id="8" name="V_REDOR_TOMATO" tableColumnId="8"/>
      <queryTableField id="9" name="V_REDOR_OTHER" tableColumnId="9"/>
      <queryTableField id="10" name="V_STARCHY_TOTAL" tableColumnId="10"/>
      <queryTableField id="11" name="V_STARCHY_POTATO" tableColumnId="11"/>
      <queryTableField id="12" name="V_STARCHY_OTHER" tableColumnId="12"/>
      <queryTableField id="13" name="V_OTHER" tableColumnId="13"/>
      <queryTableField id="14" name="V_LEGUMES" tableColumnId="14"/>
      <queryTableField id="15" name="G_TOTAL" tableColumnId="15"/>
      <queryTableField id="16" name="G_WHOLE" tableColumnId="16"/>
      <queryTableField id="17" name="G_REFINED" tableColumnId="17"/>
      <queryTableField id="18" name="PF_TOTAL" tableColumnId="18"/>
      <queryTableField id="19" name="PF_MPS_TOTAL" tableColumnId="19"/>
      <queryTableField id="20" name="PF_MEAT" tableColumnId="20"/>
      <queryTableField id="21" name="PF_CUREDMEAT" tableColumnId="21"/>
      <queryTableField id="22" name="PF_ORGAN" tableColumnId="22"/>
      <queryTableField id="23" name="PF_POULT" tableColumnId="23"/>
      <queryTableField id="24" name="PF_SEAFD_HI" tableColumnId="24"/>
      <queryTableField id="25" name="PF_SEAFD_LOW" tableColumnId="25"/>
      <queryTableField id="26" name="PF_EGGS" tableColumnId="26"/>
      <queryTableField id="27" name="PF_SOY" tableColumnId="27"/>
      <queryTableField id="28" name="PF_NUTSDS" tableColumnId="28"/>
      <queryTableField id="29" name="PF_LEGUMES" tableColumnId="29"/>
      <queryTableField id="30" name="D_TOTAL" tableColumnId="30"/>
      <queryTableField id="31" name="D_MILK" tableColumnId="31"/>
      <queryTableField id="32" name="D_YOGURT" tableColumnId="32"/>
      <queryTableField id="33" name="D_CHEESE" tableColumnId="33"/>
      <queryTableField id="34" name="OILS" tableColumnId="34"/>
      <queryTableField id="35" name="SOLID_FATS" tableColumnId="35"/>
      <queryTableField id="36" name="ADD_SUGARS" tableColumnId="36"/>
      <queryTableField id="37" name="A_DRINKS" tableColumnId="3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101E564E-0379-4299-BD0C-B069BED53023}" autoFormatId="16" applyNumberFormats="0" applyBorderFormats="0" applyFontFormats="0" applyPatternFormats="0" applyAlignmentFormats="0" applyWidthHeightFormats="0">
  <queryTableRefresh nextId="38">
    <queryTableFields count="37">
      <queryTableField id="1" name="F_TOTAL" tableColumnId="1"/>
      <queryTableField id="2" name="F_CITMLB" tableColumnId="2"/>
      <queryTableField id="3" name="F_OTHER" tableColumnId="3"/>
      <queryTableField id="4" name="F_JUICE" tableColumnId="4"/>
      <queryTableField id="5" name="V_TOTAL" tableColumnId="5"/>
      <queryTableField id="6" name="V_DRKGR" tableColumnId="6"/>
      <queryTableField id="7" name="V_REDOR_TOTAL" tableColumnId="7"/>
      <queryTableField id="8" name="V_REDOR_TOMATO" tableColumnId="8"/>
      <queryTableField id="9" name="V_REDOR_OTHER" tableColumnId="9"/>
      <queryTableField id="10" name="V_STARCHY_TOTAL" tableColumnId="10"/>
      <queryTableField id="11" name="V_STARCHY_POTATO" tableColumnId="11"/>
      <queryTableField id="12" name="V_STARCHY_OTHER" tableColumnId="12"/>
      <queryTableField id="13" name="V_OTHER" tableColumnId="13"/>
      <queryTableField id="14" name="V_LEGUMES" tableColumnId="14"/>
      <queryTableField id="15" name="G_TOTAL" tableColumnId="15"/>
      <queryTableField id="16" name="G_WHOLE" tableColumnId="16"/>
      <queryTableField id="17" name="G_REFINED" tableColumnId="17"/>
      <queryTableField id="18" name="PF_TOTAL" tableColumnId="18"/>
      <queryTableField id="19" name="PF_MPS_TOTAL" tableColumnId="19"/>
      <queryTableField id="20" name="PF_MEAT" tableColumnId="20"/>
      <queryTableField id="21" name="PF_CUREDMEAT" tableColumnId="21"/>
      <queryTableField id="22" name="PF_ORGAN" tableColumnId="22"/>
      <queryTableField id="23" name="PF_POULT" tableColumnId="23"/>
      <queryTableField id="24" name="PF_SEAFD_HI" tableColumnId="24"/>
      <queryTableField id="25" name="PF_SEAFD_LOW" tableColumnId="25"/>
      <queryTableField id="26" name="PF_EGGS" tableColumnId="26"/>
      <queryTableField id="27" name="PF_SOY" tableColumnId="27"/>
      <queryTableField id="28" name="PF_NUTSDS" tableColumnId="28"/>
      <queryTableField id="29" name="PF_LEGUMES" tableColumnId="29"/>
      <queryTableField id="30" name="D_TOTAL" tableColumnId="30"/>
      <queryTableField id="31" name="D_MILK" tableColumnId="31"/>
      <queryTableField id="32" name="D_YOGURT" tableColumnId="32"/>
      <queryTableField id="33" name="D_CHEESE" tableColumnId="33"/>
      <queryTableField id="34" name="OILS" tableColumnId="34"/>
      <queryTableField id="35" name="SOLID_FATS" tableColumnId="35"/>
      <queryTableField id="36" name="ADD_SUGARS" tableColumnId="36"/>
      <queryTableField id="37" name="A_DRINKS" tableColumnId="3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474A5A50-F212-4B34-AD31-B281C3799C31}" autoFormatId="16" applyNumberFormats="0" applyBorderFormats="0" applyFontFormats="0" applyPatternFormats="0" applyAlignmentFormats="0" applyWidthHeightFormats="0">
  <queryTableRefresh nextId="38">
    <queryTableFields count="37">
      <queryTableField id="1" name="F_TOTAL" tableColumnId="1"/>
      <queryTableField id="2" name="F_CITMLB" tableColumnId="2"/>
      <queryTableField id="3" name="F_OTHER" tableColumnId="3"/>
      <queryTableField id="4" name="F_JUICE" tableColumnId="4"/>
      <queryTableField id="5" name="V_TOTAL" tableColumnId="5"/>
      <queryTableField id="6" name="V_DRKGR" tableColumnId="6"/>
      <queryTableField id="7" name="V_REDOR_TOTAL" tableColumnId="7"/>
      <queryTableField id="8" name="V_REDOR_TOMATO" tableColumnId="8"/>
      <queryTableField id="9" name="V_REDOR_OTHER" tableColumnId="9"/>
      <queryTableField id="10" name="V_STARCHY_TOTAL" tableColumnId="10"/>
      <queryTableField id="11" name="V_STARCHY_POTATO" tableColumnId="11"/>
      <queryTableField id="12" name="V_STARCHY_OTHER" tableColumnId="12"/>
      <queryTableField id="13" name="V_OTHER" tableColumnId="13"/>
      <queryTableField id="14" name="V_LEGUMES" tableColumnId="14"/>
      <queryTableField id="15" name="G_TOTAL" tableColumnId="15"/>
      <queryTableField id="16" name="G_WHOLE" tableColumnId="16"/>
      <queryTableField id="17" name="G_REFINED" tableColumnId="17"/>
      <queryTableField id="18" name="PF_TOTAL" tableColumnId="18"/>
      <queryTableField id="19" name="PF_MPS_TOTAL" tableColumnId="19"/>
      <queryTableField id="20" name="PF_MEAT" tableColumnId="20"/>
      <queryTableField id="21" name="PF_CUREDMEAT" tableColumnId="21"/>
      <queryTableField id="22" name="PF_ORGAN" tableColumnId="22"/>
      <queryTableField id="23" name="PF_POULT" tableColumnId="23"/>
      <queryTableField id="24" name="PF_SEAFD_HI" tableColumnId="24"/>
      <queryTableField id="25" name="PF_SEAFD_LOW" tableColumnId="25"/>
      <queryTableField id="26" name="PF_EGGS" tableColumnId="26"/>
      <queryTableField id="27" name="PF_SOY" tableColumnId="27"/>
      <queryTableField id="28" name="PF_NUTSDS" tableColumnId="28"/>
      <queryTableField id="29" name="PF_LEGUMES" tableColumnId="29"/>
      <queryTableField id="30" name="D_TOTAL" tableColumnId="30"/>
      <queryTableField id="31" name="D_MILK" tableColumnId="31"/>
      <queryTableField id="32" name="D_YOGURT" tableColumnId="32"/>
      <queryTableField id="33" name="D_CHEESE" tableColumnId="33"/>
      <queryTableField id="34" name="OILS" tableColumnId="34"/>
      <queryTableField id="35" name="SOLID_FATS" tableColumnId="35"/>
      <queryTableField id="36" name="ADD_SUGARS" tableColumnId="36"/>
      <queryTableField id="37" name="A_DRINKS" tableColumnId="3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8BFA63B5-076C-4BF9-9581-A9CF617A36A9}" autoFormatId="16" applyNumberFormats="0" applyBorderFormats="0" applyFontFormats="0" applyPatternFormats="0" applyAlignmentFormats="0" applyWidthHeightFormats="0">
  <queryTableRefresh nextId="38">
    <queryTableFields count="37">
      <queryTableField id="1" name="F_TOTAL" tableColumnId="1"/>
      <queryTableField id="2" name="F_CITMLB" tableColumnId="2"/>
      <queryTableField id="3" name="F_OTHER" tableColumnId="3"/>
      <queryTableField id="4" name="F_JUICE" tableColumnId="4"/>
      <queryTableField id="5" name="V_TOTAL" tableColumnId="5"/>
      <queryTableField id="6" name="V_DRKGR" tableColumnId="6"/>
      <queryTableField id="7" name="V_REDOR_TOTAL" tableColumnId="7"/>
      <queryTableField id="8" name="V_REDOR_TOMATO" tableColumnId="8"/>
      <queryTableField id="9" name="V_REDOR_OTHER" tableColumnId="9"/>
      <queryTableField id="10" name="V_STARCHY_TOTAL" tableColumnId="10"/>
      <queryTableField id="11" name="V_STARCHY_POTATO" tableColumnId="11"/>
      <queryTableField id="12" name="V_STARCHY_OTHER" tableColumnId="12"/>
      <queryTableField id="13" name="V_OTHER" tableColumnId="13"/>
      <queryTableField id="14" name="V_LEGUMES" tableColumnId="14"/>
      <queryTableField id="15" name="G_TOTAL" tableColumnId="15"/>
      <queryTableField id="16" name="G_WHOLE" tableColumnId="16"/>
      <queryTableField id="17" name="G_REFINED" tableColumnId="17"/>
      <queryTableField id="18" name="PF_TOTAL" tableColumnId="18"/>
      <queryTableField id="19" name="PF_MPS_TOTAL" tableColumnId="19"/>
      <queryTableField id="20" name="PF_MEAT" tableColumnId="20"/>
      <queryTableField id="21" name="PF_CUREDMEAT" tableColumnId="21"/>
      <queryTableField id="22" name="PF_ORGAN" tableColumnId="22"/>
      <queryTableField id="23" name="PF_POULT" tableColumnId="23"/>
      <queryTableField id="24" name="PF_SEAFD_HI" tableColumnId="24"/>
      <queryTableField id="25" name="PF_SEAFD_LOW" tableColumnId="25"/>
      <queryTableField id="26" name="PF_EGGS" tableColumnId="26"/>
      <queryTableField id="27" name="PF_SOY" tableColumnId="27"/>
      <queryTableField id="28" name="PF_NUTSDS" tableColumnId="28"/>
      <queryTableField id="29" name="PF_LEGUMES" tableColumnId="29"/>
      <queryTableField id="30" name="D_TOTAL" tableColumnId="30"/>
      <queryTableField id="31" name="D_MILK" tableColumnId="31"/>
      <queryTableField id="32" name="D_YOGURT" tableColumnId="32"/>
      <queryTableField id="33" name="D_CHEESE" tableColumnId="33"/>
      <queryTableField id="34" name="OILS" tableColumnId="34"/>
      <queryTableField id="35" name="SOLID_FATS" tableColumnId="35"/>
      <queryTableField id="36" name="ADD_SUGARS" tableColumnId="36"/>
      <queryTableField id="37" name="A_DRINKS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4B266E-C333-4093-AF53-7F870E5DE24F}" name="FI_OTU_clase" displayName="FI_OTU_clase" ref="A1:AK11" tableType="queryTable" totalsRowShown="0" headerRowDxfId="157" dataDxfId="156">
  <autoFilter ref="A1:AK11" xr:uid="{FC38DFE3-4033-4EFB-AFF8-CEF1C3C858C1}"/>
  <tableColumns count="37">
    <tableColumn id="1" xr3:uid="{AFCC9D02-4E9F-40EF-A526-2883E2249A42}" uniqueName="1" name="F_TOTAL" queryTableFieldId="1" dataDxfId="194"/>
    <tableColumn id="2" xr3:uid="{4108929C-B6CE-44F5-AEFD-4C8F2E206D38}" uniqueName="2" name="F_CITMLB" queryTableFieldId="2" dataDxfId="193"/>
    <tableColumn id="3" xr3:uid="{BB4829AE-E5F2-4741-A60C-6399E7BB9F69}" uniqueName="3" name="F_OTHER" queryTableFieldId="3" dataDxfId="192"/>
    <tableColumn id="4" xr3:uid="{E2F21033-AB74-49F8-A62B-46CA9B941871}" uniqueName="4" name="F_JUICE" queryTableFieldId="4" dataDxfId="191"/>
    <tableColumn id="5" xr3:uid="{40EBCAF4-504B-4580-B9A1-0119EDAE8B9B}" uniqueName="5" name="V_TOTAL" queryTableFieldId="5" dataDxfId="190"/>
    <tableColumn id="6" xr3:uid="{86CA00B6-CA61-4D8B-834A-ECA7ED466336}" uniqueName="6" name="V_DRKGR" queryTableFieldId="6" dataDxfId="189"/>
    <tableColumn id="7" xr3:uid="{562234CE-37FA-421E-A28E-2F7978460198}" uniqueName="7" name="V_REDOR_TOTAL" queryTableFieldId="7" dataDxfId="188"/>
    <tableColumn id="8" xr3:uid="{5B71596D-AAD3-43CA-96BA-78ED9B98244A}" uniqueName="8" name="V_REDOR_TOMATO" queryTableFieldId="8" dataDxfId="187"/>
    <tableColumn id="9" xr3:uid="{D6CE88EF-781F-4EC5-AFDE-046FD6F9806D}" uniqueName="9" name="V_REDOR_OTHER" queryTableFieldId="9" dataDxfId="186"/>
    <tableColumn id="10" xr3:uid="{0FD0B597-0DEB-4C82-9C49-51DB463DC465}" uniqueName="10" name="V_STARCHY_TOTAL" queryTableFieldId="10" dataDxfId="185"/>
    <tableColumn id="11" xr3:uid="{D5CD9248-98EF-4DF1-B740-467D238C07DB}" uniqueName="11" name="V_STARCHY_POTATO" queryTableFieldId="11" dataDxfId="184"/>
    <tableColumn id="12" xr3:uid="{E715B894-FD55-48C8-B0F3-CE687E7537A0}" uniqueName="12" name="V_STARCHY_OTHER" queryTableFieldId="12" dataDxfId="183"/>
    <tableColumn id="13" xr3:uid="{F723D18A-6673-4AB8-B710-AECC13892A53}" uniqueName="13" name="V_OTHER" queryTableFieldId="13" dataDxfId="182"/>
    <tableColumn id="14" xr3:uid="{3E847A39-1654-4BAB-B4E2-5CB13A5106A2}" uniqueName="14" name="V_LEGUMES" queryTableFieldId="14" dataDxfId="181"/>
    <tableColumn id="15" xr3:uid="{77DB480E-8D51-49CD-AB13-49CEEB54B81E}" uniqueName="15" name="G_TOTAL" queryTableFieldId="15" dataDxfId="180"/>
    <tableColumn id="16" xr3:uid="{ADDF2A0D-C313-4810-A072-9EFAF711AC14}" uniqueName="16" name="G_WHOLE" queryTableFieldId="16" dataDxfId="179"/>
    <tableColumn id="17" xr3:uid="{13FC08A5-7B98-41CD-807B-A587C9E53FA8}" uniqueName="17" name="G_REFINED" queryTableFieldId="17" dataDxfId="178"/>
    <tableColumn id="18" xr3:uid="{4F975F45-5F57-4CA3-9334-7893DD4CC49C}" uniqueName="18" name="PF_TOTAL" queryTableFieldId="18" dataDxfId="177"/>
    <tableColumn id="19" xr3:uid="{82A41F6A-FF84-4D72-85F0-B2C219E646BE}" uniqueName="19" name="PF_MPS_TOTAL" queryTableFieldId="19" dataDxfId="176"/>
    <tableColumn id="20" xr3:uid="{F15930AC-0670-409E-BBFF-4B9B4ED82E24}" uniqueName="20" name="PF_MEAT" queryTableFieldId="20" dataDxfId="175"/>
    <tableColumn id="21" xr3:uid="{7F00B442-778A-4BE0-8BBD-DF295AA7BCA0}" uniqueName="21" name="PF_CUREDMEAT" queryTableFieldId="21" dataDxfId="174"/>
    <tableColumn id="22" xr3:uid="{A26C2B30-3A93-4166-9676-A8605C2DACF8}" uniqueName="22" name="PF_ORGAN" queryTableFieldId="22" dataDxfId="173"/>
    <tableColumn id="23" xr3:uid="{5F41EBC3-A50A-405E-BBFE-6193BE1D6DD8}" uniqueName="23" name="PF_POULT" queryTableFieldId="23" dataDxfId="172"/>
    <tableColumn id="24" xr3:uid="{67E617B2-57A3-4BC0-B613-CFA901EAC8D2}" uniqueName="24" name="PF_SEAFD_HI" queryTableFieldId="24" dataDxfId="171"/>
    <tableColumn id="25" xr3:uid="{62221441-63F8-4C6F-A834-04034D5DACCB}" uniqueName="25" name="PF_SEAFD_LOW" queryTableFieldId="25" dataDxfId="170"/>
    <tableColumn id="26" xr3:uid="{384284FB-690B-48E7-BCCE-53050F1E602C}" uniqueName="26" name="PF_EGGS" queryTableFieldId="26" dataDxfId="169"/>
    <tableColumn id="27" xr3:uid="{A9EC9D0E-CD21-478C-982C-566FF23F6A3E}" uniqueName="27" name="PF_SOY" queryTableFieldId="27" dataDxfId="168"/>
    <tableColumn id="28" xr3:uid="{19F4CB5D-FF6D-4D52-BA0F-A4E960AF9FEF}" uniqueName="28" name="PF_NUTSDS" queryTableFieldId="28" dataDxfId="167"/>
    <tableColumn id="29" xr3:uid="{73BDBFF2-9FCE-496A-8502-48F35F673DC1}" uniqueName="29" name="PF_LEGUMES" queryTableFieldId="29" dataDxfId="166"/>
    <tableColumn id="30" xr3:uid="{E8DDD0DE-994C-4EB0-A22E-A5FD28BC6281}" uniqueName="30" name="D_TOTAL" queryTableFieldId="30" dataDxfId="165"/>
    <tableColumn id="31" xr3:uid="{4EDABAE2-A657-4453-9B6E-4869D1C10C26}" uniqueName="31" name="D_MILK" queryTableFieldId="31" dataDxfId="164"/>
    <tableColumn id="32" xr3:uid="{E34F6843-C6AD-44F6-B959-BD0A21F19022}" uniqueName="32" name="D_YOGURT" queryTableFieldId="32" dataDxfId="163"/>
    <tableColumn id="33" xr3:uid="{26C17176-BBD0-4286-9224-1FA59109CC68}" uniqueName="33" name="D_CHEESE" queryTableFieldId="33" dataDxfId="162"/>
    <tableColumn id="34" xr3:uid="{818DE7F1-66EE-424F-B15A-C10938A4104A}" uniqueName="34" name="OILS" queryTableFieldId="34" dataDxfId="161"/>
    <tableColumn id="35" xr3:uid="{6F82E47C-4361-45B3-AADB-64874494B2AA}" uniqueName="35" name="SOLID_FATS" queryTableFieldId="35" dataDxfId="160"/>
    <tableColumn id="36" xr3:uid="{70CDD203-F660-46C3-9AFE-F2CD4DCC4B77}" uniqueName="36" name="ADD_SUGARS" queryTableFieldId="36" dataDxfId="159"/>
    <tableColumn id="37" xr3:uid="{78897CB8-B63E-4114-969F-A95B39230739}" uniqueName="37" name="A_DRINKS" queryTableFieldId="37" dataDxfId="15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1EA189-47AE-47CD-A2EE-82B893E6EB25}" name="FI_OTU_especie" displayName="FI_OTU_especie" ref="A1:AK11" tableType="queryTable" totalsRowShown="0" headerRowDxfId="118" dataDxfId="117">
  <autoFilter ref="A1:AK11" xr:uid="{87FD483E-78A6-4221-AC0D-2057F5395E80}"/>
  <tableColumns count="37">
    <tableColumn id="1" xr3:uid="{9F98D23F-7345-4ADD-921E-DBC3440C1916}" uniqueName="1" name="F_TOTAL" queryTableFieldId="1" dataDxfId="155"/>
    <tableColumn id="2" xr3:uid="{7025E183-3D23-42B8-9929-515333E71C70}" uniqueName="2" name="F_CITMLB" queryTableFieldId="2" dataDxfId="154"/>
    <tableColumn id="3" xr3:uid="{FBAEF53C-EE73-46A8-9FBC-2CD9099C1B7F}" uniqueName="3" name="F_OTHER" queryTableFieldId="3" dataDxfId="153"/>
    <tableColumn id="4" xr3:uid="{9DF1B2EF-81FC-46D4-B360-80F3655D953F}" uniqueName="4" name="F_JUICE" queryTableFieldId="4" dataDxfId="152"/>
    <tableColumn id="5" xr3:uid="{8F1067C9-B199-45C1-B266-BE5A41E6EA78}" uniqueName="5" name="V_TOTAL" queryTableFieldId="5" dataDxfId="151"/>
    <tableColumn id="6" xr3:uid="{EB80F080-0F2E-49B1-A938-2F82B8BAA0BD}" uniqueName="6" name="V_DRKGR" queryTableFieldId="6" dataDxfId="150"/>
    <tableColumn id="7" xr3:uid="{CEDFACB7-5BFC-41CC-B6C1-8F050D9113B5}" uniqueName="7" name="V_REDOR_TOTAL" queryTableFieldId="7" dataDxfId="149"/>
    <tableColumn id="8" xr3:uid="{DF62A307-8F89-4E93-828A-9FB0CDF8550A}" uniqueName="8" name="V_REDOR_TOMATO" queryTableFieldId="8" dataDxfId="148"/>
    <tableColumn id="9" xr3:uid="{2868CA34-4306-480D-B19F-760A61953D72}" uniqueName="9" name="V_REDOR_OTHER" queryTableFieldId="9" dataDxfId="147"/>
    <tableColumn id="10" xr3:uid="{3915C792-DE5A-4D05-83C9-D0BD202EB15E}" uniqueName="10" name="V_STARCHY_TOTAL" queryTableFieldId="10" dataDxfId="146"/>
    <tableColumn id="11" xr3:uid="{A9C2C0CC-5D1E-440B-81E6-F0080EA0D4AB}" uniqueName="11" name="V_STARCHY_POTATO" queryTableFieldId="11" dataDxfId="145"/>
    <tableColumn id="12" xr3:uid="{A520CAC8-B8C4-4052-A2B5-D20CED5DA9F4}" uniqueName="12" name="V_STARCHY_OTHER" queryTableFieldId="12" dataDxfId="144"/>
    <tableColumn id="13" xr3:uid="{E6DF204C-F237-4B96-95E8-E44AEE291792}" uniqueName="13" name="V_OTHER" queryTableFieldId="13" dataDxfId="143"/>
    <tableColumn id="14" xr3:uid="{AE636F3C-F59C-4D59-9046-44C929727C74}" uniqueName="14" name="V_LEGUMES" queryTableFieldId="14" dataDxfId="142"/>
    <tableColumn id="15" xr3:uid="{886A26DB-44EA-4006-9AB2-8EB3228442B5}" uniqueName="15" name="G_TOTAL" queryTableFieldId="15" dataDxfId="141"/>
    <tableColumn id="16" xr3:uid="{43F9D1AD-08BF-420F-BF4F-65210054B642}" uniqueName="16" name="G_WHOLE" queryTableFieldId="16" dataDxfId="140"/>
    <tableColumn id="17" xr3:uid="{61873A35-83D4-478F-B170-B961F4B7A254}" uniqueName="17" name="G_REFINED" queryTableFieldId="17" dataDxfId="139"/>
    <tableColumn id="18" xr3:uid="{90F5879F-88E0-4D34-BC3A-E6799CF91A57}" uniqueName="18" name="PF_TOTAL" queryTableFieldId="18" dataDxfId="138"/>
    <tableColumn id="19" xr3:uid="{92D15D5E-32BF-42D3-9799-FC07ABD08D17}" uniqueName="19" name="PF_MPS_TOTAL" queryTableFieldId="19" dataDxfId="137"/>
    <tableColumn id="20" xr3:uid="{6873FD61-31A0-4639-AEE1-5E35794EF24E}" uniqueName="20" name="PF_MEAT" queryTableFieldId="20" dataDxfId="136"/>
    <tableColumn id="21" xr3:uid="{7003D1B8-D301-45FE-96AE-68F16A385846}" uniqueName="21" name="PF_CUREDMEAT" queryTableFieldId="21" dataDxfId="135"/>
    <tableColumn id="22" xr3:uid="{562D9102-E1AA-4706-B55B-30F48B5BCD72}" uniqueName="22" name="PF_ORGAN" queryTableFieldId="22" dataDxfId="134"/>
    <tableColumn id="23" xr3:uid="{DD9B44CE-45AD-4D80-86FE-75B407046134}" uniqueName="23" name="PF_POULT" queryTableFieldId="23" dataDxfId="133"/>
    <tableColumn id="24" xr3:uid="{5FDD0803-02DB-4739-86E3-4C8D4EC93A16}" uniqueName="24" name="PF_SEAFD_HI" queryTableFieldId="24" dataDxfId="132"/>
    <tableColumn id="25" xr3:uid="{D1C4FB8E-D616-47D0-83BE-50A7E25415CF}" uniqueName="25" name="PF_SEAFD_LOW" queryTableFieldId="25" dataDxfId="131"/>
    <tableColumn id="26" xr3:uid="{8229BB5A-D67E-4466-8E0B-558F28025739}" uniqueName="26" name="PF_EGGS" queryTableFieldId="26" dataDxfId="130"/>
    <tableColumn id="27" xr3:uid="{614CF9EE-8098-40C0-9E94-C46DE5C07C0C}" uniqueName="27" name="PF_SOY" queryTableFieldId="27" dataDxfId="129"/>
    <tableColumn id="28" xr3:uid="{A9D0A616-3C72-4CA1-9467-2AA850C27310}" uniqueName="28" name="PF_NUTSDS" queryTableFieldId="28" dataDxfId="128"/>
    <tableColumn id="29" xr3:uid="{8C2B1956-A74D-4698-AE6A-7D669BFBB9A9}" uniqueName="29" name="PF_LEGUMES" queryTableFieldId="29" dataDxfId="127"/>
    <tableColumn id="30" xr3:uid="{66013729-2553-4355-97AC-EC7D553D282D}" uniqueName="30" name="D_TOTAL" queryTableFieldId="30" dataDxfId="126"/>
    <tableColumn id="31" xr3:uid="{8E6E8A42-7EA4-40D7-9357-8E33FBD18F28}" uniqueName="31" name="D_MILK" queryTableFieldId="31" dataDxfId="125"/>
    <tableColumn id="32" xr3:uid="{A86433B8-BED2-4BF7-91A5-C9F0CF7C0552}" uniqueName="32" name="D_YOGURT" queryTableFieldId="32" dataDxfId="124"/>
    <tableColumn id="33" xr3:uid="{14B0F41E-62DC-4E25-AC08-8861D9A00E11}" uniqueName="33" name="D_CHEESE" queryTableFieldId="33" dataDxfId="123"/>
    <tableColumn id="34" xr3:uid="{234E8306-08B6-4AEC-B079-C0106A766E3D}" uniqueName="34" name="OILS" queryTableFieldId="34" dataDxfId="122"/>
    <tableColumn id="35" xr3:uid="{3F61E8E2-C2BA-402E-8129-5FE9AC489C9A}" uniqueName="35" name="SOLID_FATS" queryTableFieldId="35" dataDxfId="121"/>
    <tableColumn id="36" xr3:uid="{A0D803EF-CB2C-4DCB-ACB8-DC9AF8C061D4}" uniqueName="36" name="ADD_SUGARS" queryTableFieldId="36" dataDxfId="120"/>
    <tableColumn id="37" xr3:uid="{6358DC5F-A532-4F99-8724-FCD87B9F32B0}" uniqueName="37" name="A_DRINKS" queryTableFieldId="37" dataDxfId="1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381DB4-5D0B-4837-AB45-B5F91167958B}" name="FI_OTU_familia" displayName="FI_OTU_familia" ref="A1:AK11" tableType="queryTable" totalsRowShown="0" headerRowDxfId="79" dataDxfId="78">
  <autoFilter ref="A1:AK11" xr:uid="{9D5BA369-14F5-4E14-87D2-01F1D5136634}"/>
  <tableColumns count="37">
    <tableColumn id="1" xr3:uid="{95E3968C-98A6-45EA-BC46-720A774170C2}" uniqueName="1" name="F_TOTAL" queryTableFieldId="1" dataDxfId="116"/>
    <tableColumn id="2" xr3:uid="{FAF7F425-6B06-43D6-A70C-179C01F0B458}" uniqueName="2" name="F_CITMLB" queryTableFieldId="2" dataDxfId="115"/>
    <tableColumn id="3" xr3:uid="{FEA32DB4-D816-4D65-B7EE-58BD87FACF50}" uniqueName="3" name="F_OTHER" queryTableFieldId="3" dataDxfId="114"/>
    <tableColumn id="4" xr3:uid="{E6C1D97B-4CFA-41D1-ABB5-8C64554D4B7A}" uniqueName="4" name="F_JUICE" queryTableFieldId="4" dataDxfId="113"/>
    <tableColumn id="5" xr3:uid="{A096E93E-8974-49DC-8582-B831D2278C91}" uniqueName="5" name="V_TOTAL" queryTableFieldId="5" dataDxfId="112"/>
    <tableColumn id="6" xr3:uid="{B1C7FE52-0199-4149-BB08-073B442ED7A2}" uniqueName="6" name="V_DRKGR" queryTableFieldId="6" dataDxfId="111"/>
    <tableColumn id="7" xr3:uid="{A1F0038A-E993-4051-8CDD-07EB5435D77A}" uniqueName="7" name="V_REDOR_TOTAL" queryTableFieldId="7" dataDxfId="110"/>
    <tableColumn id="8" xr3:uid="{07CD920A-BAE8-45B7-8EC0-5642DB5E451F}" uniqueName="8" name="V_REDOR_TOMATO" queryTableFieldId="8" dataDxfId="109"/>
    <tableColumn id="9" xr3:uid="{AB466864-B2AE-4832-994D-646585C3D74A}" uniqueName="9" name="V_REDOR_OTHER" queryTableFieldId="9" dataDxfId="108"/>
    <tableColumn id="10" xr3:uid="{4ED8C9F4-70BA-430F-9011-19FBFC22DB1A}" uniqueName="10" name="V_STARCHY_TOTAL" queryTableFieldId="10" dataDxfId="107"/>
    <tableColumn id="11" xr3:uid="{B015F00A-0211-493E-BC61-B75ED87102B8}" uniqueName="11" name="V_STARCHY_POTATO" queryTableFieldId="11" dataDxfId="106"/>
    <tableColumn id="12" xr3:uid="{84A279E1-488D-48DF-B65E-610E3B59B021}" uniqueName="12" name="V_STARCHY_OTHER" queryTableFieldId="12" dataDxfId="105"/>
    <tableColumn id="13" xr3:uid="{84C81708-C83B-49B0-8284-F51674B310DD}" uniqueName="13" name="V_OTHER" queryTableFieldId="13" dataDxfId="104"/>
    <tableColumn id="14" xr3:uid="{862007FE-8E29-4183-BCDF-B95365897090}" uniqueName="14" name="V_LEGUMES" queryTableFieldId="14" dataDxfId="103"/>
    <tableColumn id="15" xr3:uid="{9871FF94-14CF-458C-A48A-08ECA62C11EE}" uniqueName="15" name="G_TOTAL" queryTableFieldId="15" dataDxfId="102"/>
    <tableColumn id="16" xr3:uid="{85B11AE0-9EFD-4CBC-B8EF-FE2336C7B78F}" uniqueName="16" name="G_WHOLE" queryTableFieldId="16" dataDxfId="101"/>
    <tableColumn id="17" xr3:uid="{2EBC480A-EC7C-4A19-8602-001FD6645306}" uniqueName="17" name="G_REFINED" queryTableFieldId="17" dataDxfId="100"/>
    <tableColumn id="18" xr3:uid="{0474E0C3-5E59-4C38-AB3C-A71085EC9B51}" uniqueName="18" name="PF_TOTAL" queryTableFieldId="18" dataDxfId="99"/>
    <tableColumn id="19" xr3:uid="{E4DBF9D7-234B-491D-847D-F488E94C6A9A}" uniqueName="19" name="PF_MPS_TOTAL" queryTableFieldId="19" dataDxfId="98"/>
    <tableColumn id="20" xr3:uid="{F373135D-CE89-436B-A653-74850E19BE77}" uniqueName="20" name="PF_MEAT" queryTableFieldId="20" dataDxfId="97"/>
    <tableColumn id="21" xr3:uid="{73256589-B344-4A4F-BF09-0778D543D98D}" uniqueName="21" name="PF_CUREDMEAT" queryTableFieldId="21" dataDxfId="96"/>
    <tableColumn id="22" xr3:uid="{9767E101-64AB-465D-8194-9AC4D38648E9}" uniqueName="22" name="PF_ORGAN" queryTableFieldId="22" dataDxfId="95"/>
    <tableColumn id="23" xr3:uid="{7BB492C3-4189-4D59-81AB-2CE3110068B4}" uniqueName="23" name="PF_POULT" queryTableFieldId="23" dataDxfId="94"/>
    <tableColumn id="24" xr3:uid="{0035A32F-B876-4063-B068-233F5130E2C0}" uniqueName="24" name="PF_SEAFD_HI" queryTableFieldId="24" dataDxfId="93"/>
    <tableColumn id="25" xr3:uid="{BA7130F2-DF7E-47FF-8565-561032848672}" uniqueName="25" name="PF_SEAFD_LOW" queryTableFieldId="25" dataDxfId="92"/>
    <tableColumn id="26" xr3:uid="{8EDFB8A8-9616-434C-8479-1AFDAEF08DFE}" uniqueName="26" name="PF_EGGS" queryTableFieldId="26" dataDxfId="91"/>
    <tableColumn id="27" xr3:uid="{93082860-41B9-4B3D-BFEC-F9F5AB980891}" uniqueName="27" name="PF_SOY" queryTableFieldId="27" dataDxfId="90"/>
    <tableColumn id="28" xr3:uid="{093AAFA1-1863-4DF5-9B95-E0C91A0232E1}" uniqueName="28" name="PF_NUTSDS" queryTableFieldId="28" dataDxfId="89"/>
    <tableColumn id="29" xr3:uid="{FF8D26E8-059C-4FA0-A794-8FE561FC18E9}" uniqueName="29" name="PF_LEGUMES" queryTableFieldId="29" dataDxfId="88"/>
    <tableColumn id="30" xr3:uid="{316793C2-8B84-442D-B33F-C6F9973EC5F3}" uniqueName="30" name="D_TOTAL" queryTableFieldId="30" dataDxfId="87"/>
    <tableColumn id="31" xr3:uid="{2B2ADA0D-D63F-420C-B48B-104736355F85}" uniqueName="31" name="D_MILK" queryTableFieldId="31" dataDxfId="86"/>
    <tableColumn id="32" xr3:uid="{0C708F1A-A7EA-4CBE-A3D4-9E586C4AD632}" uniqueName="32" name="D_YOGURT" queryTableFieldId="32" dataDxfId="85"/>
    <tableColumn id="33" xr3:uid="{7BBFD9A4-8B2E-42AF-BAC6-93784F36977A}" uniqueName="33" name="D_CHEESE" queryTableFieldId="33" dataDxfId="84"/>
    <tableColumn id="34" xr3:uid="{67C96D47-85B7-4FE2-AFF5-7DF9BF6FCD43}" uniqueName="34" name="OILS" queryTableFieldId="34" dataDxfId="83"/>
    <tableColumn id="35" xr3:uid="{E3FD4581-64FF-47D6-8331-CB1C941BC773}" uniqueName="35" name="SOLID_FATS" queryTableFieldId="35" dataDxfId="82"/>
    <tableColumn id="36" xr3:uid="{9F26ED88-D14F-481C-ABDC-01568249B90C}" uniqueName="36" name="ADD_SUGARS" queryTableFieldId="36" dataDxfId="81"/>
    <tableColumn id="37" xr3:uid="{89435B70-6385-4E7D-8620-AF7BCFF9029A}" uniqueName="37" name="A_DRINKS" queryTableFieldId="37" dataDxfId="8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B3EC66-A742-43B1-82EB-D95F79993E1D}" name="FI_OTU_filo" displayName="FI_OTU_filo" ref="A1:AK11" tableType="queryTable" totalsRowShown="0" headerRowDxfId="40" dataDxfId="39">
  <autoFilter ref="A1:AK11" xr:uid="{5659EB87-3FF7-4EFF-8432-991B9B0FFA9B}"/>
  <tableColumns count="37">
    <tableColumn id="1" xr3:uid="{69F68953-1B42-4FAC-830C-A8AD00C0689B}" uniqueName="1" name="F_TOTAL" queryTableFieldId="1" dataDxfId="77"/>
    <tableColumn id="2" xr3:uid="{B2D0B27D-0281-46FC-B41E-C498C8C55060}" uniqueName="2" name="F_CITMLB" queryTableFieldId="2" dataDxfId="76"/>
    <tableColumn id="3" xr3:uid="{80A48F4C-81D2-4268-A20C-752539DC0905}" uniqueName="3" name="F_OTHER" queryTableFieldId="3" dataDxfId="75"/>
    <tableColumn id="4" xr3:uid="{695DED9F-21DB-49F0-935B-81CF9599BB48}" uniqueName="4" name="F_JUICE" queryTableFieldId="4" dataDxfId="74"/>
    <tableColumn id="5" xr3:uid="{9923E5CB-23A2-428C-82D2-312ECA822FE4}" uniqueName="5" name="V_TOTAL" queryTableFieldId="5" dataDxfId="73"/>
    <tableColumn id="6" xr3:uid="{DF2D5B3F-EF8E-47D1-9CD9-638CA140A2A7}" uniqueName="6" name="V_DRKGR" queryTableFieldId="6" dataDxfId="72"/>
    <tableColumn id="7" xr3:uid="{9B4D9B22-373C-4B5A-AE0D-D9AA22401458}" uniqueName="7" name="V_REDOR_TOTAL" queryTableFieldId="7" dataDxfId="71"/>
    <tableColumn id="8" xr3:uid="{503D63A8-1143-4EFD-AF16-D2612CCDEEED}" uniqueName="8" name="V_REDOR_TOMATO" queryTableFieldId="8" dataDxfId="70"/>
    <tableColumn id="9" xr3:uid="{AE0D7C89-9228-47F7-AB30-4D4642134494}" uniqueName="9" name="V_REDOR_OTHER" queryTableFieldId="9" dataDxfId="69"/>
    <tableColumn id="10" xr3:uid="{C729ED58-1BB7-4E3F-909F-7C7CAA7671B6}" uniqueName="10" name="V_STARCHY_TOTAL" queryTableFieldId="10" dataDxfId="68"/>
    <tableColumn id="11" xr3:uid="{F5A6C9A0-1C80-4F08-B4F0-8B01D82C4EFD}" uniqueName="11" name="V_STARCHY_POTATO" queryTableFieldId="11" dataDxfId="67"/>
    <tableColumn id="12" xr3:uid="{093005B8-0844-4C53-ABFD-AAE3EEAE72DC}" uniqueName="12" name="V_STARCHY_OTHER" queryTableFieldId="12" dataDxfId="66"/>
    <tableColumn id="13" xr3:uid="{533F5BEE-7092-4D8E-82D5-B4698D05462E}" uniqueName="13" name="V_OTHER" queryTableFieldId="13" dataDxfId="65"/>
    <tableColumn id="14" xr3:uid="{39F274D0-9B5F-4634-95E0-41C208714B7F}" uniqueName="14" name="V_LEGUMES" queryTableFieldId="14" dataDxfId="64"/>
    <tableColumn id="15" xr3:uid="{2FA574E1-CA7D-44E1-A509-0CC36FB1CB0C}" uniqueName="15" name="G_TOTAL" queryTableFieldId="15" dataDxfId="63"/>
    <tableColumn id="16" xr3:uid="{90EE7893-BC17-4E1A-9D89-D6CD62E7118A}" uniqueName="16" name="G_WHOLE" queryTableFieldId="16" dataDxfId="62"/>
    <tableColumn id="17" xr3:uid="{BFFC4658-D058-4F80-A868-3CC3C2C193BA}" uniqueName="17" name="G_REFINED" queryTableFieldId="17" dataDxfId="61"/>
    <tableColumn id="18" xr3:uid="{2E2E8061-18BF-4A2E-A6FB-A4FB45B0BE18}" uniqueName="18" name="PF_TOTAL" queryTableFieldId="18" dataDxfId="60"/>
    <tableColumn id="19" xr3:uid="{08DA0BD0-CE90-4EBA-AC49-0193232F215B}" uniqueName="19" name="PF_MPS_TOTAL" queryTableFieldId="19" dataDxfId="59"/>
    <tableColumn id="20" xr3:uid="{94CC4278-A167-48E9-A884-C6FA20460E0B}" uniqueName="20" name="PF_MEAT" queryTableFieldId="20" dataDxfId="58"/>
    <tableColumn id="21" xr3:uid="{A6A6A32C-7E95-46DE-9D43-AF4016AB6821}" uniqueName="21" name="PF_CUREDMEAT" queryTableFieldId="21" dataDxfId="57"/>
    <tableColumn id="22" xr3:uid="{152898AC-C60B-4C24-83DE-AB2F74A00E8A}" uniqueName="22" name="PF_ORGAN" queryTableFieldId="22" dataDxfId="56"/>
    <tableColumn id="23" xr3:uid="{BF849908-6244-46F5-A87D-DBD11AA25D22}" uniqueName="23" name="PF_POULT" queryTableFieldId="23" dataDxfId="55"/>
    <tableColumn id="24" xr3:uid="{2FFFAA11-67E4-47AA-B2D8-18AABAA496FD}" uniqueName="24" name="PF_SEAFD_HI" queryTableFieldId="24" dataDxfId="54"/>
    <tableColumn id="25" xr3:uid="{BEC44511-EED9-4E8C-A71C-1289B7DC13F0}" uniqueName="25" name="PF_SEAFD_LOW" queryTableFieldId="25" dataDxfId="53"/>
    <tableColumn id="26" xr3:uid="{5848F1C9-5284-423B-9ED2-A3DEEF496BE8}" uniqueName="26" name="PF_EGGS" queryTableFieldId="26" dataDxfId="52"/>
    <tableColumn id="27" xr3:uid="{6BD7B0A6-8D05-4D01-9775-0EAACE4F8D9C}" uniqueName="27" name="PF_SOY" queryTableFieldId="27" dataDxfId="51"/>
    <tableColumn id="28" xr3:uid="{0B8D0D7C-9461-467B-B854-FDF0744ABDB0}" uniqueName="28" name="PF_NUTSDS" queryTableFieldId="28" dataDxfId="50"/>
    <tableColumn id="29" xr3:uid="{9BDE39BF-EFE3-4559-A35B-06D8BF5C300D}" uniqueName="29" name="PF_LEGUMES" queryTableFieldId="29" dataDxfId="49"/>
    <tableColumn id="30" xr3:uid="{13BDAB13-F728-40F0-9DF0-A7799DC2A55C}" uniqueName="30" name="D_TOTAL" queryTableFieldId="30" dataDxfId="48"/>
    <tableColumn id="31" xr3:uid="{4C933D18-F226-4903-A46C-90B8922EA964}" uniqueName="31" name="D_MILK" queryTableFieldId="31" dataDxfId="47"/>
    <tableColumn id="32" xr3:uid="{9806CA7A-527A-4C93-88DD-1725E3CB5F27}" uniqueName="32" name="D_YOGURT" queryTableFieldId="32" dataDxfId="46"/>
    <tableColumn id="33" xr3:uid="{30675970-92F7-4867-A374-D3246438D193}" uniqueName="33" name="D_CHEESE" queryTableFieldId="33" dataDxfId="45"/>
    <tableColumn id="34" xr3:uid="{AAC6977A-3B71-48DB-B5BC-8E2E39751730}" uniqueName="34" name="OILS" queryTableFieldId="34" dataDxfId="44"/>
    <tableColumn id="35" xr3:uid="{1C6F0B85-E902-4CE4-9DF3-1E610E3E21C8}" uniqueName="35" name="SOLID_FATS" queryTableFieldId="35" dataDxfId="43"/>
    <tableColumn id="36" xr3:uid="{9E62334A-3D71-44CA-8EB8-83452A6E4B76}" uniqueName="36" name="ADD_SUGARS" queryTableFieldId="36" dataDxfId="42"/>
    <tableColumn id="37" xr3:uid="{C7C67793-2CD1-4683-8F0D-C1E2172F5B6E}" uniqueName="37" name="A_DRINKS" queryTableFieldId="37" dataDxfId="4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DAB2E2-8C8F-4DDC-AE67-6BE619436E27}" name="FI_OTU_genus" displayName="FI_OTU_genus" ref="A1:AK11" tableType="queryTable" totalsRowShown="0" headerRowDxfId="1" dataDxfId="0">
  <autoFilter ref="A1:AK11" xr:uid="{B6321A45-5793-4FAA-81A6-B15CB32F30F9}"/>
  <tableColumns count="37">
    <tableColumn id="1" xr3:uid="{61B56D22-6C0B-4D70-AB00-C8AA12C2C393}" uniqueName="1" name="F_TOTAL" queryTableFieldId="1" dataDxfId="38"/>
    <tableColumn id="2" xr3:uid="{583F3C9E-839D-4488-B3BC-44396E3D4EB2}" uniqueName="2" name="F_CITMLB" queryTableFieldId="2" dataDxfId="37"/>
    <tableColumn id="3" xr3:uid="{D3A4D4C1-BD07-40B5-B897-EF4FE0CE856D}" uniqueName="3" name="F_OTHER" queryTableFieldId="3" dataDxfId="36"/>
    <tableColumn id="4" xr3:uid="{BA921C16-010C-470A-8AFF-750662F2D910}" uniqueName="4" name="F_JUICE" queryTableFieldId="4" dataDxfId="35"/>
    <tableColumn id="5" xr3:uid="{F1F0DD1F-34E0-4446-BEDE-AFCF456A86B1}" uniqueName="5" name="V_TOTAL" queryTableFieldId="5" dataDxfId="34"/>
    <tableColumn id="6" xr3:uid="{1D5460FF-FD31-4D8D-92B5-4AF97096784E}" uniqueName="6" name="V_DRKGR" queryTableFieldId="6" dataDxfId="33"/>
    <tableColumn id="7" xr3:uid="{F48896EE-E10A-4431-B086-1EFF5D5EEF0D}" uniqueName="7" name="V_REDOR_TOTAL" queryTableFieldId="7" dataDxfId="32"/>
    <tableColumn id="8" xr3:uid="{5CF53B72-0D65-4EAD-84FB-A7028927DDBE}" uniqueName="8" name="V_REDOR_TOMATO" queryTableFieldId="8" dataDxfId="31"/>
    <tableColumn id="9" xr3:uid="{C2BE6580-338A-420B-9AFA-45EB103DBCBB}" uniqueName="9" name="V_REDOR_OTHER" queryTableFieldId="9" dataDxfId="30"/>
    <tableColumn id="10" xr3:uid="{B7F443DA-3A76-44AF-9B76-0E22F34D2E8A}" uniqueName="10" name="V_STARCHY_TOTAL" queryTableFieldId="10" dataDxfId="29"/>
    <tableColumn id="11" xr3:uid="{F4F09F71-C562-439C-8D33-550BDC0851E2}" uniqueName="11" name="V_STARCHY_POTATO" queryTableFieldId="11" dataDxfId="28"/>
    <tableColumn id="12" xr3:uid="{D51D7F8F-C6D6-41FF-8F48-51EC31540D44}" uniqueName="12" name="V_STARCHY_OTHER" queryTableFieldId="12" dataDxfId="27"/>
    <tableColumn id="13" xr3:uid="{12B29CA1-5A32-4CE6-8072-EA00829F675B}" uniqueName="13" name="V_OTHER" queryTableFieldId="13" dataDxfId="26"/>
    <tableColumn id="14" xr3:uid="{CA8FCE4D-1465-4FF3-9F55-CEB16724A2F2}" uniqueName="14" name="V_LEGUMES" queryTableFieldId="14" dataDxfId="25"/>
    <tableColumn id="15" xr3:uid="{D7660FAF-B41D-4E0F-9250-B345B9857620}" uniqueName="15" name="G_TOTAL" queryTableFieldId="15" dataDxfId="24"/>
    <tableColumn id="16" xr3:uid="{69B5B10A-3A3D-45AE-AF18-DFCFC32D4A6C}" uniqueName="16" name="G_WHOLE" queryTableFieldId="16" dataDxfId="23"/>
    <tableColumn id="17" xr3:uid="{0FF2C9B4-44D9-48B4-BD79-287E2D4DD1E1}" uniqueName="17" name="G_REFINED" queryTableFieldId="17" dataDxfId="22"/>
    <tableColumn id="18" xr3:uid="{8C54E8B1-D478-4F59-9611-5D46968A66FD}" uniqueName="18" name="PF_TOTAL" queryTableFieldId="18" dataDxfId="21"/>
    <tableColumn id="19" xr3:uid="{AAA87B62-6056-4B98-A705-FCBD703E63E8}" uniqueName="19" name="PF_MPS_TOTAL" queryTableFieldId="19" dataDxfId="20"/>
    <tableColumn id="20" xr3:uid="{D57E3685-F737-456C-8F29-4EB94DD66C9B}" uniqueName="20" name="PF_MEAT" queryTableFieldId="20" dataDxfId="19"/>
    <tableColumn id="21" xr3:uid="{2D729DD1-8678-4DB2-A1AF-F5F8317B3294}" uniqueName="21" name="PF_CUREDMEAT" queryTableFieldId="21" dataDxfId="18"/>
    <tableColumn id="22" xr3:uid="{81C37B6B-B580-465E-8ED8-7CA8D16D9F56}" uniqueName="22" name="PF_ORGAN" queryTableFieldId="22" dataDxfId="17"/>
    <tableColumn id="23" xr3:uid="{B4C62DAD-4A95-4088-A472-E5E0C65D7E55}" uniqueName="23" name="PF_POULT" queryTableFieldId="23" dataDxfId="16"/>
    <tableColumn id="24" xr3:uid="{AF9A1100-DE80-4ECB-BB6F-173015576476}" uniqueName="24" name="PF_SEAFD_HI" queryTableFieldId="24" dataDxfId="15"/>
    <tableColumn id="25" xr3:uid="{40F2C992-C98F-456E-B09B-031B6ACB237F}" uniqueName="25" name="PF_SEAFD_LOW" queryTableFieldId="25" dataDxfId="14"/>
    <tableColumn id="26" xr3:uid="{ACAA7380-38D0-467A-99F7-5C46092DB6FA}" uniqueName="26" name="PF_EGGS" queryTableFieldId="26" dataDxfId="13"/>
    <tableColumn id="27" xr3:uid="{195DFB88-369E-4146-BD62-115538560EC0}" uniqueName="27" name="PF_SOY" queryTableFieldId="27" dataDxfId="12"/>
    <tableColumn id="28" xr3:uid="{FD6151F6-7EED-4D97-8EE0-956BE6C498F2}" uniqueName="28" name="PF_NUTSDS" queryTableFieldId="28" dataDxfId="11"/>
    <tableColumn id="29" xr3:uid="{DABDC9E2-C2EF-4D0F-9345-1035B7EBDCC6}" uniqueName="29" name="PF_LEGUMES" queryTableFieldId="29" dataDxfId="10"/>
    <tableColumn id="30" xr3:uid="{22CDC138-5267-4040-9416-11B17678098A}" uniqueName="30" name="D_TOTAL" queryTableFieldId="30" dataDxfId="9"/>
    <tableColumn id="31" xr3:uid="{3AC91E7F-797C-40EC-BEE8-45C0A576642B}" uniqueName="31" name="D_MILK" queryTableFieldId="31" dataDxfId="8"/>
    <tableColumn id="32" xr3:uid="{463B2704-CD7B-41A5-A97E-64B788CB0486}" uniqueName="32" name="D_YOGURT" queryTableFieldId="32" dataDxfId="7"/>
    <tableColumn id="33" xr3:uid="{B1551D74-36D8-4CAC-BB29-1F6E9CFAFE16}" uniqueName="33" name="D_CHEESE" queryTableFieldId="33" dataDxfId="6"/>
    <tableColumn id="34" xr3:uid="{FF32A77E-2E9D-413C-B11A-F7454A4816E8}" uniqueName="34" name="OILS" queryTableFieldId="34" dataDxfId="5"/>
    <tableColumn id="35" xr3:uid="{40F2C231-906A-4B7C-86E1-49767DEE1EA3}" uniqueName="35" name="SOLID_FATS" queryTableFieldId="35" dataDxfId="4"/>
    <tableColumn id="36" xr3:uid="{BED33E74-D89E-4433-B974-3338D8D93132}" uniqueName="36" name="ADD_SUGARS" queryTableFieldId="36" dataDxfId="3"/>
    <tableColumn id="37" xr3:uid="{72E11DCF-1C09-428C-A091-9823BDB07FCF}" uniqueName="37" name="A_DRINKS" queryTableFieldId="37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8CF440-E816-4E5F-A2DA-3A5F39048D4D}" name="FI_OTU_orden" displayName="FI_OTU_orden" ref="A1:AK11" tableType="queryTable" totalsRowShown="0">
  <autoFilter ref="A1:AK11" xr:uid="{1032BE7E-270D-4566-968F-A21B5F7A22EB}"/>
  <tableColumns count="37">
    <tableColumn id="1" xr3:uid="{7E441F59-3705-4BF2-A23A-B92CC2F504C0}" uniqueName="1" name="F_TOTAL" queryTableFieldId="1" dataDxfId="231"/>
    <tableColumn id="2" xr3:uid="{2303C21B-2D22-403A-8B15-B572E3B7A82E}" uniqueName="2" name="F_CITMLB" queryTableFieldId="2" dataDxfId="230"/>
    <tableColumn id="3" xr3:uid="{3F462E90-2D6B-4D5F-A777-47D82E59E5CE}" uniqueName="3" name="F_OTHER" queryTableFieldId="3" dataDxfId="229"/>
    <tableColumn id="4" xr3:uid="{2659B21F-403F-4893-ABF7-0AA6981047B9}" uniqueName="4" name="F_JUICE" queryTableFieldId="4" dataDxfId="228"/>
    <tableColumn id="5" xr3:uid="{FED81E46-EB12-4D6D-8B65-6205854618B1}" uniqueName="5" name="V_TOTAL" queryTableFieldId="5" dataDxfId="227"/>
    <tableColumn id="6" xr3:uid="{4C250A1B-870D-477D-978D-CA5B28280CE5}" uniqueName="6" name="V_DRKGR" queryTableFieldId="6" dataDxfId="226"/>
    <tableColumn id="7" xr3:uid="{D10E7854-86CB-486B-9A75-230E54402BD6}" uniqueName="7" name="V_REDOR_TOTAL" queryTableFieldId="7" dataDxfId="225"/>
    <tableColumn id="8" xr3:uid="{D5BA53D3-5431-4D9D-BC39-F64AEE4F0BA0}" uniqueName="8" name="V_REDOR_TOMATO" queryTableFieldId="8" dataDxfId="224"/>
    <tableColumn id="9" xr3:uid="{FE9ADFA8-3276-4887-8144-DACBD4AD4F3E}" uniqueName="9" name="V_REDOR_OTHER" queryTableFieldId="9" dataDxfId="223"/>
    <tableColumn id="10" xr3:uid="{6EAD07B4-3EDF-432C-AD6D-05617C6C1403}" uniqueName="10" name="V_STARCHY_TOTAL" queryTableFieldId="10" dataDxfId="222"/>
    <tableColumn id="11" xr3:uid="{FCE27D0F-265C-4DF8-BC04-EA7A6620DD96}" uniqueName="11" name="V_STARCHY_POTATO" queryTableFieldId="11" dataDxfId="221"/>
    <tableColumn id="12" xr3:uid="{C4B459CD-9974-4295-BCB5-1FCFBF6FB6AB}" uniqueName="12" name="V_STARCHY_OTHER" queryTableFieldId="12" dataDxfId="220"/>
    <tableColumn id="13" xr3:uid="{3C9336F1-E8C5-4F26-9BBE-7ED7FB05ED29}" uniqueName="13" name="V_OTHER" queryTableFieldId="13" dataDxfId="219"/>
    <tableColumn id="14" xr3:uid="{835A76CD-AC15-4147-ACDF-9F02649809D1}" uniqueName="14" name="V_LEGUMES" queryTableFieldId="14" dataDxfId="218"/>
    <tableColumn id="15" xr3:uid="{26483A14-0713-4AF5-99E5-DD6FFE9FD90B}" uniqueName="15" name="G_TOTAL" queryTableFieldId="15" dataDxfId="217"/>
    <tableColumn id="16" xr3:uid="{61399CDF-28B9-423F-9709-EEBAD256E7BF}" uniqueName="16" name="G_WHOLE" queryTableFieldId="16" dataDxfId="216"/>
    <tableColumn id="17" xr3:uid="{D9B88F74-114C-4D38-BFA4-F7E8651834DC}" uniqueName="17" name="G_REFINED" queryTableFieldId="17" dataDxfId="215"/>
    <tableColumn id="18" xr3:uid="{081BF4EF-3D90-4B90-A30A-641B31A4E6B5}" uniqueName="18" name="PF_TOTAL" queryTableFieldId="18" dataDxfId="214"/>
    <tableColumn id="19" xr3:uid="{B8CE46B4-6D11-491D-ADF5-A1B3EA5C47AF}" uniqueName="19" name="PF_MPS_TOTAL" queryTableFieldId="19" dataDxfId="213"/>
    <tableColumn id="20" xr3:uid="{CBBABC24-5DE2-4917-A7C6-6E33F9F10541}" uniqueName="20" name="PF_MEAT" queryTableFieldId="20" dataDxfId="212"/>
    <tableColumn id="21" xr3:uid="{25612865-0DF8-4127-9BBB-0A55FF18D3E0}" uniqueName="21" name="PF_CUREDMEAT" queryTableFieldId="21" dataDxfId="211"/>
    <tableColumn id="22" xr3:uid="{C83673C4-A8F9-4825-946E-5B3B99FE48CD}" uniqueName="22" name="PF_ORGAN" queryTableFieldId="22" dataDxfId="210"/>
    <tableColumn id="23" xr3:uid="{9F2E9966-237E-4F55-A950-FF2FE1AF0A33}" uniqueName="23" name="PF_POULT" queryTableFieldId="23" dataDxfId="209"/>
    <tableColumn id="24" xr3:uid="{2ED05E73-C0BF-45ED-B824-FFAA3FA18E98}" uniqueName="24" name="PF_SEAFD_HI" queryTableFieldId="24" dataDxfId="208"/>
    <tableColumn id="25" xr3:uid="{DD82CA15-EB58-43BF-918B-72C9682F21FD}" uniqueName="25" name="PF_SEAFD_LOW" queryTableFieldId="25" dataDxfId="207"/>
    <tableColumn id="26" xr3:uid="{148B2AB2-86DE-48EC-A4A2-05F8006938C8}" uniqueName="26" name="PF_EGGS" queryTableFieldId="26" dataDxfId="206"/>
    <tableColumn id="27" xr3:uid="{A20DF0B5-C6A5-4769-8A4B-F1570D3C2D84}" uniqueName="27" name="PF_SOY" queryTableFieldId="27" dataDxfId="205"/>
    <tableColumn id="28" xr3:uid="{6C8B1BD4-1227-44C7-9144-BD0D296137A5}" uniqueName="28" name="PF_NUTSDS" queryTableFieldId="28" dataDxfId="204"/>
    <tableColumn id="29" xr3:uid="{45DA247B-319F-463A-A105-5D46F59583FB}" uniqueName="29" name="PF_LEGUMES" queryTableFieldId="29" dataDxfId="203"/>
    <tableColumn id="30" xr3:uid="{3BCB47A0-0543-4E5D-A944-85C930B031D1}" uniqueName="30" name="D_TOTAL" queryTableFieldId="30" dataDxfId="202"/>
    <tableColumn id="31" xr3:uid="{F717462B-E46E-4ED2-B636-CC74BF3F4B2C}" uniqueName="31" name="D_MILK" queryTableFieldId="31" dataDxfId="201"/>
    <tableColumn id="32" xr3:uid="{14739C51-2B40-4C30-B217-77C22000DE09}" uniqueName="32" name="D_YOGURT" queryTableFieldId="32" dataDxfId="200"/>
    <tableColumn id="33" xr3:uid="{E6765E0C-B989-40A2-936A-188E2D2F4E64}" uniqueName="33" name="D_CHEESE" queryTableFieldId="33" dataDxfId="199"/>
    <tableColumn id="34" xr3:uid="{CBC81F8A-8172-453B-9C66-1D3CACE73EE7}" uniqueName="34" name="OILS" queryTableFieldId="34" dataDxfId="198"/>
    <tableColumn id="35" xr3:uid="{B619DE27-602F-4126-9EA1-2EA26BDDDF83}" uniqueName="35" name="SOLID_FATS" queryTableFieldId="35" dataDxfId="197"/>
    <tableColumn id="36" xr3:uid="{67FDEE7F-243E-4B09-86E6-104EB913A87F}" uniqueName="36" name="ADD_SUGARS" queryTableFieldId="36" dataDxfId="196"/>
    <tableColumn id="37" xr3:uid="{F59BFB72-4A8B-45EE-9959-CB6C4A7ACC61}" uniqueName="37" name="A_DRINKS" queryTableFieldId="37" dataDxfId="19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F181-DCAC-4099-9E0E-344325591F55}">
  <dimension ref="A1:AK17"/>
  <sheetViews>
    <sheetView workbookViewId="0">
      <selection activeCell="A16" sqref="A16"/>
    </sheetView>
  </sheetViews>
  <sheetFormatPr baseColWidth="10" defaultRowHeight="14.5" x14ac:dyDescent="0.35"/>
  <cols>
    <col min="1" max="1" width="23.1796875" style="2" bestFit="1" customWidth="1"/>
    <col min="2" max="2" width="22.54296875" style="2" bestFit="1" customWidth="1"/>
    <col min="3" max="3" width="22.1796875" style="2" bestFit="1" customWidth="1"/>
    <col min="4" max="4" width="21.54296875" style="2" bestFit="1" customWidth="1"/>
    <col min="5" max="6" width="23.1796875" style="2" bestFit="1" customWidth="1"/>
    <col min="7" max="8" width="21.54296875" style="2" bestFit="1" customWidth="1"/>
    <col min="9" max="10" width="20.453125" style="2" bestFit="1" customWidth="1"/>
    <col min="11" max="11" width="21.08984375" style="2" bestFit="1" customWidth="1"/>
    <col min="12" max="15" width="20.453125" style="2" bestFit="1" customWidth="1"/>
    <col min="16" max="16" width="21.54296875" style="2" bestFit="1" customWidth="1"/>
    <col min="17" max="21" width="22.1796875" style="2" bestFit="1" customWidth="1"/>
    <col min="22" max="22" width="20.08984375" style="2" bestFit="1" customWidth="1"/>
    <col min="23" max="27" width="22.1796875" style="2" bestFit="1" customWidth="1"/>
    <col min="28" max="28" width="22.81640625" style="2" bestFit="1" customWidth="1"/>
    <col min="29" max="29" width="21.54296875" style="2" bestFit="1" customWidth="1"/>
    <col min="30" max="33" width="20.453125" style="2" bestFit="1" customWidth="1"/>
    <col min="34" max="34" width="22.1796875" style="2" bestFit="1" customWidth="1"/>
    <col min="35" max="35" width="21.54296875" style="2" bestFit="1" customWidth="1"/>
    <col min="36" max="36" width="22.1796875" style="2" bestFit="1" customWidth="1"/>
    <col min="37" max="37" width="21.1796875" style="2" bestFit="1" customWidth="1"/>
  </cols>
  <sheetData>
    <row r="1" spans="1:3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35">
      <c r="A2" s="2">
        <v>-3.28113138675689E-3</v>
      </c>
      <c r="B2" s="2">
        <v>-4.02950495481491E-3</v>
      </c>
      <c r="C2" s="2">
        <v>7.9415738582610997E-4</v>
      </c>
      <c r="D2" s="2">
        <v>1.2748390436172401E-3</v>
      </c>
      <c r="E2" s="2">
        <v>-1.5646219253539998E-5</v>
      </c>
      <c r="F2" s="2">
        <v>2.48441100120544E-3</v>
      </c>
      <c r="G2" s="2">
        <v>4.5945048332214303E-3</v>
      </c>
      <c r="H2" s="2">
        <v>6.3236504793167097E-3</v>
      </c>
      <c r="I2" s="2">
        <v>8.7416619062423706E-3</v>
      </c>
      <c r="J2" s="2">
        <v>9.0914219617843593E-3</v>
      </c>
      <c r="K2" s="2">
        <v>8.4799081087112392E-3</v>
      </c>
      <c r="L2" s="2">
        <v>8.0734491348266602E-3</v>
      </c>
      <c r="M2" s="2">
        <v>1.1433005332946699E-2</v>
      </c>
      <c r="N2" s="2">
        <v>1.57235264778137E-2</v>
      </c>
      <c r="O2" s="2">
        <v>1.33752971887588E-2</v>
      </c>
      <c r="P2" s="2">
        <v>8.0092698335647496E-3</v>
      </c>
      <c r="Q2" s="2">
        <v>2.0986795425415E-3</v>
      </c>
      <c r="R2" s="2">
        <v>-2.3833587765693599E-3</v>
      </c>
      <c r="S2" s="2">
        <v>-7.2823464870452805E-4</v>
      </c>
      <c r="T2" s="2">
        <v>1.17215514183044E-3</v>
      </c>
      <c r="U2" s="2">
        <v>-7.2145089507102897E-3</v>
      </c>
      <c r="V2" s="2">
        <v>-5.0060451030731201E-3</v>
      </c>
      <c r="W2" s="2">
        <v>-3.26934456825256E-3</v>
      </c>
      <c r="X2" s="2">
        <v>-4.2644739151000898E-3</v>
      </c>
      <c r="Y2" s="2">
        <v>-5.07652759552001E-3</v>
      </c>
      <c r="Z2" s="2">
        <v>-6.8819671869277902E-3</v>
      </c>
      <c r="AA2" s="2">
        <v>-8.3418190479278499E-4</v>
      </c>
      <c r="AB2" s="2">
        <v>-6.0185790061950602E-5</v>
      </c>
      <c r="AC2" s="2">
        <v>6.0371607542037903E-3</v>
      </c>
      <c r="AD2" s="2">
        <v>8.6955577135086008E-3</v>
      </c>
      <c r="AE2" s="2">
        <v>1.8089994788169798E-2</v>
      </c>
      <c r="AF2" s="2">
        <v>1.35856568813323E-2</v>
      </c>
      <c r="AG2" s="2">
        <v>1.24235898256301E-2</v>
      </c>
      <c r="AH2" s="2">
        <v>1.0056331753730699E-2</v>
      </c>
      <c r="AI2" s="2">
        <v>-1.00499466061592E-2</v>
      </c>
      <c r="AJ2" s="2">
        <v>-8.0653280019760097E-3</v>
      </c>
      <c r="AK2" s="2">
        <v>-1.11379995942115E-2</v>
      </c>
    </row>
    <row r="3" spans="1:37" x14ac:dyDescent="0.35">
      <c r="A3" s="2">
        <v>2.54526734352111E-4</v>
      </c>
      <c r="B3" s="2">
        <v>1.72369182109832E-3</v>
      </c>
      <c r="C3" s="2">
        <v>1.5912950038909899E-3</v>
      </c>
      <c r="D3" s="2">
        <v>1.7336308956146199E-3</v>
      </c>
      <c r="E3" s="2">
        <v>3.0736178159713702E-3</v>
      </c>
      <c r="F3" s="2">
        <v>2.09501385688781E-3</v>
      </c>
      <c r="G3" s="2">
        <v>5.1885247230529698E-3</v>
      </c>
      <c r="H3" s="2">
        <v>6.3309669494628898E-3</v>
      </c>
      <c r="I3" s="2">
        <v>9.3929618597030605E-3</v>
      </c>
      <c r="J3" s="2">
        <v>8.2251429557800293E-3</v>
      </c>
      <c r="K3" s="2">
        <v>8.1205964088439907E-3</v>
      </c>
      <c r="L3" s="2">
        <v>6.9331228733062701E-3</v>
      </c>
      <c r="M3" s="2">
        <v>8.9697241783142003E-3</v>
      </c>
      <c r="N3" s="2">
        <v>1.53126269578933E-2</v>
      </c>
      <c r="O3" s="2">
        <v>8.0627053976058908E-3</v>
      </c>
      <c r="P3" s="2">
        <v>8.4756910800933803E-3</v>
      </c>
      <c r="Q3" s="2">
        <v>-1.1530108749866401E-2</v>
      </c>
      <c r="R3" s="2">
        <v>-7.4292793869972203E-3</v>
      </c>
      <c r="S3" s="2">
        <v>-6.9101303815841597E-3</v>
      </c>
      <c r="T3" s="2">
        <v>-8.1913396716117807E-3</v>
      </c>
      <c r="U3" s="2">
        <v>-6.9609954953193604E-3</v>
      </c>
      <c r="V3" s="2">
        <v>-5.0060451030731201E-3</v>
      </c>
      <c r="W3" s="2">
        <v>-7.8038945794105504E-3</v>
      </c>
      <c r="X3" s="2">
        <v>-5.2573829889297399E-3</v>
      </c>
      <c r="Y3" s="2">
        <v>-7.2560980916023202E-3</v>
      </c>
      <c r="Z3" s="2">
        <v>-3.08991223573684E-3</v>
      </c>
      <c r="AA3" s="2">
        <v>-3.5810470581054601E-4</v>
      </c>
      <c r="AB3" s="2">
        <v>1.5887171030044499E-3</v>
      </c>
      <c r="AC3" s="2">
        <v>3.80310416221618E-3</v>
      </c>
      <c r="AD3" s="2">
        <v>1.1260733008384699E-2</v>
      </c>
      <c r="AE3" s="2">
        <v>1.5906527638435301E-2</v>
      </c>
      <c r="AF3" s="2">
        <v>1.25044137239456E-2</v>
      </c>
      <c r="AG3" s="2">
        <v>9.9571198225021293E-3</v>
      </c>
      <c r="AH3" s="2">
        <v>2.0051598548889099E-3</v>
      </c>
      <c r="AI3" s="2">
        <v>1.59122049808502E-3</v>
      </c>
      <c r="AJ3" s="2">
        <v>-1.6291007399559E-2</v>
      </c>
      <c r="AK3" s="2">
        <v>-9.6714496612548793E-3</v>
      </c>
    </row>
    <row r="4" spans="1:37" x14ac:dyDescent="0.35">
      <c r="A4" s="2">
        <v>2.7373880147933899E-3</v>
      </c>
      <c r="B4" s="2">
        <v>3.1098574399948098E-3</v>
      </c>
      <c r="C4" s="2">
        <v>-1.48232281208038E-3</v>
      </c>
      <c r="D4" s="2">
        <v>2.9926896095275801E-3</v>
      </c>
      <c r="E4" s="2">
        <v>3.0720829963684E-3</v>
      </c>
      <c r="F4" s="2">
        <v>2.84427404403686E-3</v>
      </c>
      <c r="G4" s="2">
        <v>4.7624260187148996E-3</v>
      </c>
      <c r="H4" s="2">
        <v>6.2497705221176104E-3</v>
      </c>
      <c r="I4" s="2">
        <v>8.9926719665527292E-3</v>
      </c>
      <c r="J4" s="2">
        <v>8.5623413324355992E-3</v>
      </c>
      <c r="K4" s="2">
        <v>9.7418576478958095E-3</v>
      </c>
      <c r="L4" s="2">
        <v>7.7051818370818996E-3</v>
      </c>
      <c r="M4" s="2">
        <v>5.5834800004959098E-3</v>
      </c>
      <c r="N4" s="2">
        <v>1.62296295166015E-2</v>
      </c>
      <c r="O4" s="2">
        <v>5.8674216270446699E-3</v>
      </c>
      <c r="P4" s="2">
        <v>6.5159648656844997E-3</v>
      </c>
      <c r="Q4" s="2">
        <v>2.6706308126449498E-3</v>
      </c>
      <c r="R4" s="2">
        <v>1.6887485980987499E-3</v>
      </c>
      <c r="S4" s="2">
        <v>-3.6111176013946499E-3</v>
      </c>
      <c r="T4" s="2">
        <v>-5.5923610925674404E-3</v>
      </c>
      <c r="U4" s="2">
        <v>-1.12250447273254E-3</v>
      </c>
      <c r="V4" s="2">
        <v>-5.0060451030731201E-3</v>
      </c>
      <c r="W4" s="2">
        <v>-3.4020692110061602E-3</v>
      </c>
      <c r="X4" s="2">
        <v>-4.3305233120918196E-3</v>
      </c>
      <c r="Y4" s="2">
        <v>-6.03842735290527E-3</v>
      </c>
      <c r="Z4" s="2">
        <v>-7.5048729777336103E-3</v>
      </c>
      <c r="AA4" s="2">
        <v>-1.8561482429504299E-3</v>
      </c>
      <c r="AB4" s="2">
        <v>-2.5555416941642701E-3</v>
      </c>
      <c r="AC4" s="2">
        <v>6.55356049537658E-3</v>
      </c>
      <c r="AD4" s="2">
        <v>1.1818781495094299E-2</v>
      </c>
      <c r="AE4" s="2">
        <v>1.2231737375259399E-2</v>
      </c>
      <c r="AF4" s="2">
        <v>1.1779367923736499E-2</v>
      </c>
      <c r="AG4" s="2">
        <v>1.0469242930412201E-2</v>
      </c>
      <c r="AH4" s="2">
        <v>4.78918850421905E-3</v>
      </c>
      <c r="AI4" s="2">
        <v>-1.09200626611709E-2</v>
      </c>
      <c r="AJ4" s="2">
        <v>-8.8207423686981201E-3</v>
      </c>
      <c r="AK4" s="2">
        <v>-1.2389779090881301E-2</v>
      </c>
    </row>
    <row r="5" spans="1:37" x14ac:dyDescent="0.35">
      <c r="A5" s="2">
        <v>1.17313861846923E-3</v>
      </c>
      <c r="B5" s="2">
        <v>-5.6708306074142404E-3</v>
      </c>
      <c r="C5" s="2">
        <v>-3.16511839628219E-3</v>
      </c>
      <c r="D5" s="2">
        <v>3.9113312959671003E-3</v>
      </c>
      <c r="E5" s="2">
        <v>-1.0189116001129101E-3</v>
      </c>
      <c r="F5" s="2">
        <v>1.4631897211074801E-3</v>
      </c>
      <c r="G5" s="2">
        <v>2.2474527359008698E-3</v>
      </c>
      <c r="H5" s="2">
        <v>6.2325745820999102E-3</v>
      </c>
      <c r="I5" s="2">
        <v>9.42210853099823E-3</v>
      </c>
      <c r="J5" s="2">
        <v>7.4976533651351903E-3</v>
      </c>
      <c r="K5" s="2">
        <v>8.6490958929061803E-3</v>
      </c>
      <c r="L5" s="2">
        <v>7.24872946739196E-3</v>
      </c>
      <c r="M5" s="2">
        <v>1.24443769454956E-2</v>
      </c>
      <c r="N5" s="2">
        <v>1.55253112316131E-2</v>
      </c>
      <c r="O5" s="2">
        <v>1.33057832717895E-2</v>
      </c>
      <c r="P5" s="2">
        <v>7.4548721313476502E-3</v>
      </c>
      <c r="Q5" s="2">
        <v>2.0642131567001299E-3</v>
      </c>
      <c r="R5" s="2">
        <v>-4.7273784875869699E-3</v>
      </c>
      <c r="S5" s="2">
        <v>-2.80969589948654E-3</v>
      </c>
      <c r="T5" s="2">
        <v>-1.7330348491668699E-3</v>
      </c>
      <c r="U5" s="2">
        <v>-5.5053755640983503E-3</v>
      </c>
      <c r="V5" s="2">
        <v>-5.0060451030731201E-3</v>
      </c>
      <c r="W5" s="2">
        <v>-3.1808242201805102E-3</v>
      </c>
      <c r="X5" s="2">
        <v>-1.8935278058052E-3</v>
      </c>
      <c r="Y5" s="2">
        <v>-5.2917897701263402E-3</v>
      </c>
      <c r="Z5" s="2">
        <v>-6.0400888323783796E-3</v>
      </c>
      <c r="AA5" s="2">
        <v>-4.0336027741432103E-3</v>
      </c>
      <c r="AB5" s="2">
        <v>2.4476051330566402E-3</v>
      </c>
      <c r="AC5" s="2">
        <v>4.7334730625152501E-3</v>
      </c>
      <c r="AD5" s="2">
        <v>8.9398622512817296E-3</v>
      </c>
      <c r="AE5" s="2">
        <v>1.24521851539611E-2</v>
      </c>
      <c r="AF5" s="2">
        <v>1.29487067461013E-2</v>
      </c>
      <c r="AG5" s="2">
        <v>1.1516466736793501E-2</v>
      </c>
      <c r="AH5" s="2">
        <v>6.6457688808441101E-3</v>
      </c>
      <c r="AI5" s="2">
        <v>1.1493831872939999E-2</v>
      </c>
      <c r="AJ5" s="2">
        <v>-2.0175889134406998E-2</v>
      </c>
      <c r="AK5" s="2">
        <v>-1.09075531363487E-2</v>
      </c>
    </row>
    <row r="6" spans="1:37" x14ac:dyDescent="0.35">
      <c r="A6" s="2">
        <v>2.2154450416564898E-3</v>
      </c>
      <c r="B6" s="2">
        <v>1.6936510801315299E-3</v>
      </c>
      <c r="C6" s="2">
        <v>-8.1390142440795898E-4</v>
      </c>
      <c r="D6" s="2">
        <v>4.1185319423675502E-3</v>
      </c>
      <c r="E6" s="2">
        <v>-1.0977685451507501E-4</v>
      </c>
      <c r="F6" s="2">
        <v>1.5941262245178201E-4</v>
      </c>
      <c r="G6" s="2">
        <v>6.8925768136978097E-3</v>
      </c>
      <c r="H6" s="2">
        <v>7.9374313354492101E-3</v>
      </c>
      <c r="I6" s="2">
        <v>7.4581056833267203E-3</v>
      </c>
      <c r="J6" s="2">
        <v>9.5756947994232108E-3</v>
      </c>
      <c r="K6" s="2">
        <v>8.7467432022094692E-3</v>
      </c>
      <c r="L6" s="2">
        <v>8.0326348543167097E-3</v>
      </c>
      <c r="M6" s="2">
        <v>1.2675493955612099E-2</v>
      </c>
      <c r="N6" s="2">
        <v>1.5493109822273201E-2</v>
      </c>
      <c r="O6" s="2">
        <v>1.5182554721832201E-2</v>
      </c>
      <c r="P6" s="2">
        <v>1.1555477976799001E-2</v>
      </c>
      <c r="Q6" s="2">
        <v>9.9999010562896694E-3</v>
      </c>
      <c r="R6" s="2">
        <v>-8.85292887687683E-4</v>
      </c>
      <c r="S6" s="2">
        <v>5.3600966930389404E-4</v>
      </c>
      <c r="T6" s="2">
        <v>-5.4599642753600996E-3</v>
      </c>
      <c r="U6" s="2">
        <v>-5.3569674491882298E-3</v>
      </c>
      <c r="V6" s="2">
        <v>-5.0060451030731201E-3</v>
      </c>
      <c r="W6" s="2">
        <v>-4.6338066458702001E-3</v>
      </c>
      <c r="X6" s="2">
        <v>-2.8411746025085402E-3</v>
      </c>
      <c r="Y6" s="2">
        <v>-4.6941414475440901E-3</v>
      </c>
      <c r="Z6" s="2">
        <v>-3.3402591943740801E-3</v>
      </c>
      <c r="AA6" s="2">
        <v>-3.2989084720611499E-3</v>
      </c>
      <c r="AB6" s="2">
        <v>3.8446336984634399E-3</v>
      </c>
      <c r="AC6" s="2">
        <v>2.8969347476959201E-4</v>
      </c>
      <c r="AD6" s="2">
        <v>5.1501691341400103E-3</v>
      </c>
      <c r="AE6" s="2">
        <v>1.44299566745758E-2</v>
      </c>
      <c r="AF6" s="2">
        <v>1.1196061968803401E-2</v>
      </c>
      <c r="AG6" s="2">
        <v>1.26916170120239E-2</v>
      </c>
      <c r="AH6" s="2">
        <v>-8.26269388198852E-5</v>
      </c>
      <c r="AI6" s="2">
        <v>-1.4823213219642599E-2</v>
      </c>
      <c r="AJ6" s="2">
        <v>-9.0575814247131296E-3</v>
      </c>
      <c r="AK6" s="2">
        <v>-1.1333480477332999E-2</v>
      </c>
    </row>
    <row r="7" spans="1:37" x14ac:dyDescent="0.35">
      <c r="A7" s="2">
        <v>-8.0929696559905995E-4</v>
      </c>
      <c r="B7" s="2">
        <v>3.0644983053207302E-3</v>
      </c>
      <c r="C7" s="2">
        <v>2.8657615184783901E-3</v>
      </c>
      <c r="D7" s="2">
        <v>2.6098787784576399E-3</v>
      </c>
      <c r="E7" s="2">
        <v>-1.7727762460708601E-3</v>
      </c>
      <c r="F7" s="2">
        <v>-1.03354454040527E-4</v>
      </c>
      <c r="G7" s="2">
        <v>5.9334933757781896E-3</v>
      </c>
      <c r="H7" s="2">
        <v>8.1590861082076992E-3</v>
      </c>
      <c r="I7" s="2">
        <v>9.5597356557846E-3</v>
      </c>
      <c r="J7" s="2">
        <v>8.3678811788558908E-3</v>
      </c>
      <c r="K7" s="2">
        <v>1.1295229196548399E-2</v>
      </c>
      <c r="L7" s="2">
        <v>7.7890604734420698E-3</v>
      </c>
      <c r="M7" s="2">
        <v>1.2303575873374901E-2</v>
      </c>
      <c r="N7" s="2">
        <v>1.5387997031211799E-2</v>
      </c>
      <c r="O7" s="2">
        <v>8.6855888366699201E-3</v>
      </c>
      <c r="P7" s="2">
        <v>6.3330382108688302E-3</v>
      </c>
      <c r="Q7" s="2">
        <v>-2.4124160408973598E-3</v>
      </c>
      <c r="R7" s="2">
        <v>5.7610869407653798E-4</v>
      </c>
      <c r="S7" s="2">
        <v>-5.5603310465812596E-3</v>
      </c>
      <c r="T7" s="2">
        <v>-8.9333206415176392E-3</v>
      </c>
      <c r="U7" s="2">
        <v>-4.4378712773322998E-3</v>
      </c>
      <c r="V7" s="2">
        <v>-5.0060451030731201E-3</v>
      </c>
      <c r="W7" s="2">
        <v>-1.83030217885971E-3</v>
      </c>
      <c r="X7" s="2">
        <v>-5.8044046163558899E-3</v>
      </c>
      <c r="Y7" s="2">
        <v>-4.0888637304306004E-3</v>
      </c>
      <c r="Z7" s="2">
        <v>-7.2561576962471E-3</v>
      </c>
      <c r="AA7" s="2">
        <v>1.7419457435607899E-3</v>
      </c>
      <c r="AB7" s="2">
        <v>5.4366439580917298E-3</v>
      </c>
      <c r="AC7" s="2">
        <v>6.3172131776809597E-3</v>
      </c>
      <c r="AD7" s="2">
        <v>9.5032602548599208E-3</v>
      </c>
      <c r="AE7" s="2">
        <v>1.37328803539276E-2</v>
      </c>
      <c r="AF7" s="2">
        <v>1.2829110026359501E-2</v>
      </c>
      <c r="AG7" s="2">
        <v>1.12748146057128E-2</v>
      </c>
      <c r="AH7" s="2">
        <v>3.4171044826507499E-3</v>
      </c>
      <c r="AI7" s="2">
        <v>-8.3913356065750105E-3</v>
      </c>
      <c r="AJ7" s="2">
        <v>-1.3356328010559E-2</v>
      </c>
      <c r="AK7" s="2">
        <v>-1.0763198137283299E-2</v>
      </c>
    </row>
    <row r="8" spans="1:37" x14ac:dyDescent="0.35">
      <c r="A8" s="2">
        <v>-7.4630975723266602E-4</v>
      </c>
      <c r="B8" s="2">
        <v>2.2584348917007399E-3</v>
      </c>
      <c r="C8" s="2">
        <v>-5.4204612970352103E-3</v>
      </c>
      <c r="D8" s="2">
        <v>3.1351149082183799E-3</v>
      </c>
      <c r="E8" s="2">
        <v>6.1189979314803999E-3</v>
      </c>
      <c r="F8" s="2">
        <v>3.0102729797363199E-3</v>
      </c>
      <c r="G8" s="2">
        <v>5.7267397642135603E-3</v>
      </c>
      <c r="H8" s="2">
        <v>5.0034821033477696E-3</v>
      </c>
      <c r="I8" s="2">
        <v>1.0070994496345499E-2</v>
      </c>
      <c r="J8" s="2">
        <v>9.7583085298538208E-3</v>
      </c>
      <c r="K8" s="2">
        <v>8.9212208986282297E-3</v>
      </c>
      <c r="L8" s="2">
        <v>7.9155266284942592E-3</v>
      </c>
      <c r="M8" s="2">
        <v>1.2019082903862E-2</v>
      </c>
      <c r="N8" s="2">
        <v>1.5113785862922601E-2</v>
      </c>
      <c r="O8" s="2">
        <v>8.4284693002700806E-3</v>
      </c>
      <c r="P8" s="2">
        <v>9.3839019536971994E-3</v>
      </c>
      <c r="Q8" s="2">
        <v>3.2516419887542699E-3</v>
      </c>
      <c r="R8" s="2">
        <v>-1.06087327003479E-3</v>
      </c>
      <c r="S8" s="2">
        <v>-2.6748701930045999E-3</v>
      </c>
      <c r="T8" s="2">
        <v>-6.8491101264953596E-3</v>
      </c>
      <c r="U8" s="2">
        <v>-4.15872782468795E-3</v>
      </c>
      <c r="V8" s="2">
        <v>-5.0060451030731201E-3</v>
      </c>
      <c r="W8" s="2">
        <v>-4.1181221604347203E-3</v>
      </c>
      <c r="X8" s="2">
        <v>-2.5535374879837001E-3</v>
      </c>
      <c r="Y8" s="2">
        <v>-5.1298588514328003E-3</v>
      </c>
      <c r="Z8" s="2">
        <v>-5.2141696214675903E-3</v>
      </c>
      <c r="AA8" s="2">
        <v>2.5566071271896302E-3</v>
      </c>
      <c r="AB8" s="2">
        <v>2.0401626825332598E-3</v>
      </c>
      <c r="AC8" s="2">
        <v>5.5703073740005398E-3</v>
      </c>
      <c r="AD8" s="2">
        <v>6.65333867073059E-3</v>
      </c>
      <c r="AE8" s="2">
        <v>1.36065334081649E-2</v>
      </c>
      <c r="AF8" s="2">
        <v>1.2706309556961001E-2</v>
      </c>
      <c r="AG8" s="2">
        <v>1.39061510562896E-2</v>
      </c>
      <c r="AH8" s="2">
        <v>6.3226073980331404E-3</v>
      </c>
      <c r="AI8" s="2">
        <v>1.30155682563781E-3</v>
      </c>
      <c r="AJ8" s="2">
        <v>-2.73400545120239E-3</v>
      </c>
      <c r="AK8" s="2">
        <v>-1.2710362672805699E-2</v>
      </c>
    </row>
    <row r="9" spans="1:37" x14ac:dyDescent="0.35">
      <c r="A9" s="2">
        <v>-1.04233622550964E-4</v>
      </c>
      <c r="B9" s="2">
        <v>1.48519873619079E-3</v>
      </c>
      <c r="C9" s="2">
        <v>3.2408684492111202E-3</v>
      </c>
      <c r="D9" s="2">
        <v>3.0244439840316699E-3</v>
      </c>
      <c r="E9" s="2">
        <v>4.2755007743835397E-3</v>
      </c>
      <c r="F9" s="2">
        <v>-9.6009671688079801E-4</v>
      </c>
      <c r="G9" s="2">
        <v>5.01756370067596E-3</v>
      </c>
      <c r="H9" s="2">
        <v>7.1702599525451599E-3</v>
      </c>
      <c r="I9" s="2">
        <v>7.4488222599029498E-3</v>
      </c>
      <c r="J9" s="2">
        <v>9.6791684627532907E-3</v>
      </c>
      <c r="K9" s="2">
        <v>8.5573792457580497E-3</v>
      </c>
      <c r="L9" s="2">
        <v>7.4107199907302796E-3</v>
      </c>
      <c r="M9" s="2">
        <v>1.2035340070724401E-2</v>
      </c>
      <c r="N9" s="2">
        <v>1.44160985946655E-2</v>
      </c>
      <c r="O9" s="2">
        <v>1.00126564502716E-2</v>
      </c>
      <c r="P9" s="2">
        <v>7.2239488363265896E-3</v>
      </c>
      <c r="Q9" s="2">
        <v>4.7218948602676296E-3</v>
      </c>
      <c r="R9" s="2">
        <v>-4.3909996747970503E-3</v>
      </c>
      <c r="S9" s="2">
        <v>2.9877275228500301E-3</v>
      </c>
      <c r="T9" s="2">
        <v>-3.4432709217071499E-3</v>
      </c>
      <c r="U9" s="2">
        <v>-5.8746784925460798E-3</v>
      </c>
      <c r="V9" s="2">
        <v>-5.0060451030731201E-3</v>
      </c>
      <c r="W9" s="2">
        <v>-4.0436461567878697E-3</v>
      </c>
      <c r="X9" s="2">
        <v>-4.6577304601669303E-3</v>
      </c>
      <c r="Y9" s="2">
        <v>-6.5013170242309501E-3</v>
      </c>
      <c r="Z9" s="2">
        <v>-4.4970437884330697E-3</v>
      </c>
      <c r="AA9" s="2">
        <v>-5.5930241942405701E-3</v>
      </c>
      <c r="AB9" s="2">
        <v>-5.20646572113037E-4</v>
      </c>
      <c r="AC9" s="2">
        <v>4.3168067932128898E-3</v>
      </c>
      <c r="AD9" s="2">
        <v>9.0174227952957101E-3</v>
      </c>
      <c r="AE9" s="2">
        <v>2.0769402384757898E-2</v>
      </c>
      <c r="AF9" s="2">
        <v>1.1996716260909999E-2</v>
      </c>
      <c r="AG9" s="2">
        <v>8.3133727312087995E-3</v>
      </c>
      <c r="AH9" s="2">
        <v>6.2656402587890599E-3</v>
      </c>
      <c r="AI9" s="2">
        <v>-1.4479540288448301E-2</v>
      </c>
      <c r="AJ9" s="2">
        <v>-1.5454553067684101E-2</v>
      </c>
      <c r="AK9" s="2">
        <v>-1.1967435479164099E-2</v>
      </c>
    </row>
    <row r="10" spans="1:37" x14ac:dyDescent="0.35">
      <c r="A10" s="2">
        <v>2.9150098562240601E-3</v>
      </c>
      <c r="B10" s="2">
        <v>1.6988813877105699E-4</v>
      </c>
      <c r="C10" s="2">
        <v>2.0355135202407798E-3</v>
      </c>
      <c r="D10" s="2">
        <v>3.39974462985992E-3</v>
      </c>
      <c r="E10" s="2">
        <v>3.9991587400436401E-3</v>
      </c>
      <c r="F10" s="2">
        <v>-9.5495581626892003E-4</v>
      </c>
      <c r="G10" s="2">
        <v>5.7145804166793797E-3</v>
      </c>
      <c r="H10" s="2">
        <v>6.9323927164077698E-3</v>
      </c>
      <c r="I10" s="2">
        <v>9.9711418151855399E-3</v>
      </c>
      <c r="J10" s="2">
        <v>8.0309361219406093E-3</v>
      </c>
      <c r="K10" s="2">
        <v>9.5754563808441093E-3</v>
      </c>
      <c r="L10" s="2">
        <v>7.49245285987854E-3</v>
      </c>
      <c r="M10" s="2">
        <v>1.29184424877166E-2</v>
      </c>
      <c r="N10" s="2">
        <v>1.48490965366363E-2</v>
      </c>
      <c r="O10" s="2">
        <v>1.03545784950256E-2</v>
      </c>
      <c r="P10" s="2">
        <v>6.92382454872131E-3</v>
      </c>
      <c r="Q10" s="2">
        <v>4.0340125560760498E-3</v>
      </c>
      <c r="R10" s="2">
        <v>-3.5713240504264801E-3</v>
      </c>
      <c r="S10" s="2">
        <v>-7.8065022826194702E-3</v>
      </c>
      <c r="T10" s="2">
        <v>-5.1490068435668902E-3</v>
      </c>
      <c r="U10" s="2">
        <v>-8.3265081048011693E-3</v>
      </c>
      <c r="V10" s="2">
        <v>-5.0060451030731201E-3</v>
      </c>
      <c r="W10" s="2">
        <v>-4.01574373245239E-3</v>
      </c>
      <c r="X10" s="2">
        <v>-5.5212751030921901E-3</v>
      </c>
      <c r="Y10" s="2">
        <v>-2.5442689657211299E-3</v>
      </c>
      <c r="Z10" s="2">
        <v>-6.4913034439086897E-3</v>
      </c>
      <c r="AA10" s="2">
        <v>1.09145045280456E-3</v>
      </c>
      <c r="AB10" s="2">
        <v>1.07207894325256E-3</v>
      </c>
      <c r="AC10" s="2">
        <v>5.39755821228027E-3</v>
      </c>
      <c r="AD10" s="2">
        <v>9.0198665857314994E-3</v>
      </c>
      <c r="AE10" s="2">
        <v>1.26214325428009E-2</v>
      </c>
      <c r="AF10" s="2">
        <v>1.1448532342910701E-2</v>
      </c>
      <c r="AG10" s="2">
        <v>1.2576714158058101E-2</v>
      </c>
      <c r="AH10" s="2">
        <v>1.1414662003517101E-2</v>
      </c>
      <c r="AI10" s="2">
        <v>-3.0813142657279899E-3</v>
      </c>
      <c r="AJ10" s="2">
        <v>-7.9597383737564E-3</v>
      </c>
      <c r="AK10" s="2">
        <v>-1.14229246973991E-2</v>
      </c>
    </row>
    <row r="11" spans="1:37" x14ac:dyDescent="0.35">
      <c r="A11" s="2">
        <v>-8.7492167949676503E-4</v>
      </c>
      <c r="B11" s="2">
        <v>1.8584281206130899E-3</v>
      </c>
      <c r="C11" s="2">
        <v>-7.53223896026611E-4</v>
      </c>
      <c r="D11" s="2">
        <v>1.90427899360656E-3</v>
      </c>
      <c r="E11" s="2">
        <v>3.3365488052368099E-3</v>
      </c>
      <c r="F11" s="2">
        <v>3.8545727729797298E-3</v>
      </c>
      <c r="G11" s="2">
        <v>5.2366554737091004E-3</v>
      </c>
      <c r="H11" s="2">
        <v>8.7101608514785697E-3</v>
      </c>
      <c r="I11" s="2">
        <v>9.2655718326568604E-3</v>
      </c>
      <c r="J11" s="2">
        <v>8.7977051734924299E-3</v>
      </c>
      <c r="K11" s="2">
        <v>7.9461932182311994E-3</v>
      </c>
      <c r="L11" s="2">
        <v>7.80646502971649E-3</v>
      </c>
      <c r="M11" s="2">
        <v>1.49090141057968E-2</v>
      </c>
      <c r="N11" s="2">
        <v>1.4983460307121201E-2</v>
      </c>
      <c r="O11" s="2">
        <v>7.7366530895233102E-3</v>
      </c>
      <c r="P11" s="2">
        <v>5.8072060346603298E-3</v>
      </c>
      <c r="Q11" s="2">
        <v>-2.1386742591857901E-3</v>
      </c>
      <c r="R11" s="2">
        <v>-3.7768930196761998E-3</v>
      </c>
      <c r="S11" s="2">
        <v>7.6140463352203304E-4</v>
      </c>
      <c r="T11" s="2">
        <v>-6.5205246210098197E-3</v>
      </c>
      <c r="U11" s="2">
        <v>-5.0060451030731201E-3</v>
      </c>
      <c r="V11" s="2">
        <v>-5.0060451030731201E-3</v>
      </c>
      <c r="W11" s="2">
        <v>-3.9193630218505799E-3</v>
      </c>
      <c r="X11" s="2">
        <v>-3.3615231513976999E-3</v>
      </c>
      <c r="Y11" s="2">
        <v>-6.9314911961555403E-3</v>
      </c>
      <c r="Z11" s="2">
        <v>-4.6821013092994603E-3</v>
      </c>
      <c r="AA11" s="2">
        <v>1.19949877262115E-3</v>
      </c>
      <c r="AB11" s="2">
        <v>4.8391371965408299E-3</v>
      </c>
      <c r="AC11" s="2">
        <v>7.3450356721878E-3</v>
      </c>
      <c r="AD11" s="2">
        <v>1.23434364795684E-2</v>
      </c>
      <c r="AE11" s="2">
        <v>1.20376944541931E-2</v>
      </c>
      <c r="AF11" s="2">
        <v>1.22900307178497E-2</v>
      </c>
      <c r="AG11" s="2">
        <v>1.13458484411239E-2</v>
      </c>
      <c r="AH11" s="2">
        <v>-5.3994059562683097E-3</v>
      </c>
      <c r="AI11" s="2">
        <v>-1.6109451651573101E-2</v>
      </c>
      <c r="AJ11" s="2">
        <v>-1.2257702648639599E-2</v>
      </c>
      <c r="AK11" s="2">
        <v>-1.0647580027580201E-2</v>
      </c>
    </row>
    <row r="14" spans="1:37" x14ac:dyDescent="0.35">
      <c r="A14" s="3" t="s">
        <v>38</v>
      </c>
    </row>
    <row r="15" spans="1:37" x14ac:dyDescent="0.35">
      <c r="A15" s="2">
        <f>AVERAGE(FI_OTU_clase[F_TOTAL])</f>
        <v>3.4796148538589357E-4</v>
      </c>
      <c r="B15" s="2">
        <f>AVERAGE(FI_OTU_clase[F_CITMLB])</f>
        <v>5.6633129715919167E-4</v>
      </c>
      <c r="C15" s="2">
        <f>AVERAGE(FI_OTU_clase[F_OTHER])</f>
        <v>-1.1074319481849606E-4</v>
      </c>
      <c r="D15" s="2">
        <f>AVERAGE(FI_OTU_clase[F_JUICE])</f>
        <v>2.8104484081268263E-3</v>
      </c>
      <c r="E15" s="2">
        <f>AVERAGE(FI_OTU_clase[V_TOTAL])</f>
        <v>2.0958796143531774E-3</v>
      </c>
      <c r="F15" s="2">
        <f>AVERAGE(FI_OTU_clase[V_DRKGR])</f>
        <v>1.3892740011215176E-3</v>
      </c>
      <c r="G15" s="2">
        <f>AVERAGE(FI_OTU_clase[V_REDOR_TOTAL])</f>
        <v>5.1314517855644169E-3</v>
      </c>
      <c r="H15" s="2">
        <f>AVERAGE(FI_OTU_clase[V_REDOR_TOMATO])</f>
        <v>6.9049775600433291E-3</v>
      </c>
      <c r="I15" s="2">
        <f>AVERAGE(FI_OTU_clase[V_REDOR_OTHER])</f>
        <v>9.0323776006698588E-3</v>
      </c>
      <c r="J15" s="2">
        <f>AVERAGE(FI_OTU_clase[V_STARCHY_TOTAL])</f>
        <v>8.7586253881454437E-3</v>
      </c>
      <c r="K15" s="2">
        <f>AVERAGE(FI_OTU_clase[V_STARCHY_POTATO])</f>
        <v>9.0033680200576668E-3</v>
      </c>
      <c r="L15" s="2">
        <f>AVERAGE(FI_OTU_clase[V_STARCHY_OTHER])</f>
        <v>7.6407343149185155E-3</v>
      </c>
      <c r="M15" s="2">
        <f>AVERAGE(FI_OTU_clase[V_OTHER])</f>
        <v>1.1529153585433922E-2</v>
      </c>
      <c r="N15" s="2">
        <f>AVERAGE(FI_OTU_clase[V_LEGUMES])</f>
        <v>1.5303464233875219E-2</v>
      </c>
      <c r="O15" s="2">
        <f>AVERAGE(FI_OTU_clase[G_TOTAL])</f>
        <v>1.0101170837879158E-2</v>
      </c>
      <c r="P15" s="2">
        <f>AVERAGE(FI_OTU_clase[G_WHOLE])</f>
        <v>7.7683195471763529E-3</v>
      </c>
      <c r="Q15" s="2">
        <f>AVERAGE(FI_OTU_clase[G_REFINED])</f>
        <v>1.2759774923324647E-3</v>
      </c>
      <c r="R15" s="2">
        <f>AVERAGE(FI_OTU_clase[PF_TOTAL])</f>
        <v>-2.5960542261600468E-3</v>
      </c>
      <c r="S15" s="2">
        <f>AVERAGE(FI_OTU_clase[PF_MPS_TOTAL])</f>
        <v>-2.5815740227699254E-3</v>
      </c>
      <c r="T15" s="2">
        <f>AVERAGE(FI_OTU_clase[PF_MEAT])</f>
        <v>-5.0699777901172614E-3</v>
      </c>
      <c r="U15" s="2">
        <f>AVERAGE(FI_OTU_clase[PF_CUREDMEAT])</f>
        <v>-5.3964182734489389E-3</v>
      </c>
      <c r="V15" s="2">
        <f>AVERAGE(FI_OTU_clase[PF_ORGAN])</f>
        <v>-5.0060451030731201E-3</v>
      </c>
      <c r="W15" s="2">
        <f>AVERAGE(FI_OTU_clase[PF_POULT])</f>
        <v>-4.0217116475105251E-3</v>
      </c>
      <c r="X15" s="2">
        <f>AVERAGE(FI_OTU_clase[PF_SEAFD_HI])</f>
        <v>-4.0485553443431795E-3</v>
      </c>
      <c r="Y15" s="2">
        <f>AVERAGE(FI_OTU_clase[PF_SEAFD_LOW])</f>
        <v>-5.3552784025669058E-3</v>
      </c>
      <c r="Z15" s="2">
        <f>AVERAGE(FI_OTU_clase[PF_EGGS])</f>
        <v>-5.4997876286506609E-3</v>
      </c>
      <c r="AA15" s="2">
        <f>AVERAGE(FI_OTU_clase[PF_SOY])</f>
        <v>-9.3844681978225608E-4</v>
      </c>
      <c r="AB15" s="2">
        <f>AVERAGE(FI_OTU_clase[PF_NUTSDS])</f>
        <v>1.8132604658603652E-3</v>
      </c>
      <c r="AC15" s="2">
        <f>AVERAGE(FI_OTU_clase[PF_LEGUMES])</f>
        <v>5.0363913178443848E-3</v>
      </c>
      <c r="AD15" s="2">
        <f>AVERAGE(FI_OTU_clase[D_TOTAL])</f>
        <v>9.240242838859547E-3</v>
      </c>
      <c r="AE15" s="2">
        <f>AVERAGE(FI_OTU_clase[D_MILK])</f>
        <v>1.4587834477424576E-2</v>
      </c>
      <c r="AF15" s="2">
        <f>AVERAGE(FI_OTU_clase[D_YOGURT])</f>
        <v>1.2328490614891E-2</v>
      </c>
      <c r="AG15" s="2">
        <f>AVERAGE(FI_OTU_clase[D_CHEESE])</f>
        <v>1.1447493731975502E-2</v>
      </c>
      <c r="AH15" s="2">
        <f>AVERAGE(FI_OTU_clase[OILS])</f>
        <v>4.5434430241584629E-3</v>
      </c>
      <c r="AI15" s="2">
        <f>AVERAGE(FI_OTU_clase[SOLID_FATS])</f>
        <v>-6.3468255102634265E-3</v>
      </c>
      <c r="AJ15" s="2">
        <f>AVERAGE(FI_OTU_clase[ADD_SUGARS])</f>
        <v>-1.1417287588119475E-2</v>
      </c>
      <c r="AK15" s="2">
        <f>AVERAGE(FI_OTU_clase[A_DRINKS])</f>
        <v>-1.1295176297426178E-2</v>
      </c>
    </row>
    <row r="16" spans="1:37" x14ac:dyDescent="0.35">
      <c r="A16" s="3" t="s">
        <v>39</v>
      </c>
    </row>
    <row r="17" spans="1:37" x14ac:dyDescent="0.35">
      <c r="A17" s="2">
        <f>STDEV(FI_OTU_clase[F_TOTAL])</f>
        <v>1.940307938455353E-3</v>
      </c>
      <c r="B17" s="2">
        <f>STDEV(FI_OTU_clase[F_CITMLB])</f>
        <v>2.9977548954437964E-3</v>
      </c>
      <c r="C17" s="2">
        <f>STDEV(FI_OTU_clase[F_OTHER])</f>
        <v>2.7633682283362587E-3</v>
      </c>
      <c r="D17" s="2">
        <f>STDEV(FI_OTU_clase[F_JUICE])</f>
        <v>9.3295904758859878E-4</v>
      </c>
      <c r="E17" s="2">
        <f>STDEV(FI_OTU_clase[V_TOTAL])</f>
        <v>2.6246436833527709E-3</v>
      </c>
      <c r="F17" s="2">
        <f>STDEV(FI_OTU_clase[V_DRKGR])</f>
        <v>1.7410301260384886E-3</v>
      </c>
      <c r="G17" s="2">
        <f>STDEV(FI_OTU_clase[V_REDOR_TOTAL])</f>
        <v>1.2114489511812149E-3</v>
      </c>
      <c r="H17" s="2">
        <f>STDEV(FI_OTU_clase[V_REDOR_TOMATO])</f>
        <v>1.1122099351266199E-3</v>
      </c>
      <c r="I17" s="2">
        <f>STDEV(FI_OTU_clase[V_REDOR_OTHER])</f>
        <v>9.2174184864282551E-4</v>
      </c>
      <c r="J17" s="2">
        <f>STDEV(FI_OTU_clase[V_STARCHY_TOTAL])</f>
        <v>7.6172634573964135E-4</v>
      </c>
      <c r="K17" s="2">
        <f>STDEV(FI_OTU_clase[V_STARCHY_POTATO])</f>
        <v>9.8280852700695538E-4</v>
      </c>
      <c r="L17" s="2">
        <f>STDEV(FI_OTU_clase[V_STARCHY_OTHER])</f>
        <v>3.650320378659731E-4</v>
      </c>
      <c r="M17" s="2">
        <f>STDEV(FI_OTU_clase[V_OTHER])</f>
        <v>2.5497767650508223E-3</v>
      </c>
      <c r="N17" s="2">
        <f>STDEV(FI_OTU_clase[V_LEGUMES])</f>
        <v>5.0098723516014889E-4</v>
      </c>
      <c r="O17" s="2">
        <f>STDEV(FI_OTU_clase[G_TOTAL])</f>
        <v>2.9693747448185526E-3</v>
      </c>
      <c r="P17" s="2">
        <f>STDEV(FI_OTU_clase[G_WHOLE])</f>
        <v>1.7027186933036159E-3</v>
      </c>
      <c r="Q17" s="2">
        <f>STDEV(FI_OTU_clase[G_REFINED])</f>
        <v>5.695947358178609E-3</v>
      </c>
      <c r="R17" s="2">
        <f>STDEV(FI_OTU_clase[PF_TOTAL])</f>
        <v>2.7329440033193883E-3</v>
      </c>
      <c r="S17" s="2">
        <f>STDEV(FI_OTU_clase[PF_MPS_TOTAL])</f>
        <v>3.517840144498856E-3</v>
      </c>
      <c r="T17" s="2">
        <f>STDEV(FI_OTU_clase[PF_MEAT])</f>
        <v>3.0389055466530719E-3</v>
      </c>
      <c r="U17" s="2">
        <f>STDEV(FI_OTU_clase[PF_CUREDMEAT])</f>
        <v>1.9846735888482819E-3</v>
      </c>
      <c r="V17" s="2">
        <f>STDEV(FI_OTU_clase[PF_ORGAN])</f>
        <v>0</v>
      </c>
      <c r="W17" s="2">
        <f>STDEV(FI_OTU_clase[PF_POULT])</f>
        <v>1.5333056185922597E-3</v>
      </c>
      <c r="X17" s="2">
        <f>STDEV(FI_OTU_clase[PF_SEAFD_HI])</f>
        <v>1.3341413837502081E-3</v>
      </c>
      <c r="Y17" s="2">
        <f>STDEV(FI_OTU_clase[PF_SEAFD_LOW])</f>
        <v>1.4123616279770612E-3</v>
      </c>
      <c r="Z17" s="2">
        <f>STDEV(FI_OTU_clase[PF_EGGS])</f>
        <v>1.5817500380284721E-3</v>
      </c>
      <c r="AA17" s="2">
        <f>STDEV(FI_OTU_clase[PF_SOY])</f>
        <v>2.7100205995844251E-3</v>
      </c>
      <c r="AB17" s="2">
        <f>STDEV(FI_OTU_clase[PF_NUTSDS])</f>
        <v>2.4834634848296677E-3</v>
      </c>
      <c r="AC17" s="2">
        <f>STDEV(FI_OTU_clase[PF_LEGUMES])</f>
        <v>1.981887204698502E-3</v>
      </c>
      <c r="AD17" s="2">
        <f>STDEV(FI_OTU_clase[D_TOTAL])</f>
        <v>2.2195127591620937E-3</v>
      </c>
      <c r="AE17" s="2">
        <f>STDEV(FI_OTU_clase[D_MILK])</f>
        <v>2.8755062612172361E-3</v>
      </c>
      <c r="AF17" s="2">
        <f>STDEV(FI_OTU_clase[D_YOGURT])</f>
        <v>7.3479107187794668E-4</v>
      </c>
      <c r="AG17" s="2">
        <f>STDEV(FI_OTU_clase[D_CHEESE])</f>
        <v>1.5939661058200954E-3</v>
      </c>
      <c r="AH17" s="2">
        <f>STDEV(FI_OTU_clase[OILS])</f>
        <v>4.9011272574929505E-3</v>
      </c>
      <c r="AI17" s="2">
        <f>STDEV(FI_OTU_clase[SOLID_FATS])</f>
        <v>8.9602184943662934E-3</v>
      </c>
      <c r="AJ17" s="2">
        <f>STDEV(FI_OTU_clase[ADD_SUGARS])</f>
        <v>5.0786247284699574E-3</v>
      </c>
      <c r="AK17" s="2">
        <f>STDEV(FI_OTU_clase[A_DRINKS])</f>
        <v>8.9346100676347478E-4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633F-5FC3-487D-A44D-273DF568F151}">
  <dimension ref="A1:AK17"/>
  <sheetViews>
    <sheetView workbookViewId="0">
      <selection activeCell="A17" sqref="A17:AK17"/>
    </sheetView>
  </sheetViews>
  <sheetFormatPr baseColWidth="10" defaultRowHeight="14.5" x14ac:dyDescent="0.35"/>
  <cols>
    <col min="1" max="1" width="22.1796875" style="2" bestFit="1" customWidth="1"/>
    <col min="2" max="2" width="20.453125" style="2" bestFit="1" customWidth="1"/>
    <col min="3" max="3" width="21.54296875" style="2" bestFit="1" customWidth="1"/>
    <col min="4" max="10" width="20.453125" style="2" bestFit="1" customWidth="1"/>
    <col min="11" max="11" width="21.08984375" style="2" bestFit="1" customWidth="1"/>
    <col min="12" max="16" width="20.453125" style="2" bestFit="1" customWidth="1"/>
    <col min="17" max="17" width="19.453125" style="2" bestFit="1" customWidth="1"/>
    <col min="18" max="18" width="20.453125" style="2" bestFit="1" customWidth="1"/>
    <col min="19" max="37" width="19.453125" style="2" bestFit="1" customWidth="1"/>
  </cols>
  <sheetData>
    <row r="1" spans="1:3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35">
      <c r="A2" s="2">
        <v>-3.3974349498748701E-3</v>
      </c>
      <c r="B2" s="2">
        <v>8.2971751689910802E-3</v>
      </c>
      <c r="C2" s="2">
        <v>1.17231011390686E-2</v>
      </c>
      <c r="D2" s="2">
        <v>1.83077156543731E-2</v>
      </c>
      <c r="E2" s="2">
        <v>2.6114046573638899E-2</v>
      </c>
      <c r="F2" s="2">
        <v>3.5185784101486199E-2</v>
      </c>
      <c r="G2" s="2">
        <v>3.07934880256652E-2</v>
      </c>
      <c r="H2" s="2">
        <v>3.0465841293334898E-2</v>
      </c>
      <c r="I2" s="2">
        <v>3.4379422664642299E-2</v>
      </c>
      <c r="J2" s="2">
        <v>2.9108494520187302E-2</v>
      </c>
      <c r="K2" s="2">
        <v>2.3205667734146101E-2</v>
      </c>
      <c r="L2" s="2">
        <v>2.4924129247665398E-2</v>
      </c>
      <c r="M2" s="2">
        <v>3.6407709121704102E-2</v>
      </c>
      <c r="N2" s="2">
        <v>2.7501493692397998E-2</v>
      </c>
      <c r="O2" s="2">
        <v>5.2387624979019103E-2</v>
      </c>
      <c r="P2" s="2">
        <v>4.8831254243850701E-2</v>
      </c>
      <c r="Q2" s="2">
        <v>7.5637727975845295E-2</v>
      </c>
      <c r="R2" s="2">
        <v>4.5170694589614799E-2</v>
      </c>
      <c r="S2" s="2">
        <v>5.1075547933578401E-2</v>
      </c>
      <c r="T2" s="2">
        <v>7.5020462274551294E-2</v>
      </c>
      <c r="U2" s="2">
        <v>8.5940212011337197E-2</v>
      </c>
      <c r="V2" s="2">
        <v>9.0070992708206093E-2</v>
      </c>
      <c r="W2" s="2">
        <v>0.103965789079666</v>
      </c>
      <c r="X2" s="2">
        <v>9.2794030904769897E-2</v>
      </c>
      <c r="Y2" s="2">
        <v>9.6725791692733695E-2</v>
      </c>
      <c r="Z2" s="2">
        <v>0.101550370454788</v>
      </c>
      <c r="AA2" s="2">
        <v>9.4405144453048706E-2</v>
      </c>
      <c r="AB2" s="2">
        <v>0.10193511843681299</v>
      </c>
      <c r="AC2" s="2">
        <v>9.8897665739059407E-2</v>
      </c>
      <c r="AD2" s="2">
        <v>8.8832229375839206E-2</v>
      </c>
      <c r="AE2" s="2">
        <v>8.6297363042831393E-2</v>
      </c>
      <c r="AF2" s="2">
        <v>8.3906799554824801E-2</v>
      </c>
      <c r="AG2" s="2">
        <v>8.8697582483291598E-2</v>
      </c>
      <c r="AH2" s="2">
        <v>7.2637468576431205E-2</v>
      </c>
      <c r="AI2" s="2">
        <v>8.6834222078323295E-2</v>
      </c>
      <c r="AJ2" s="2">
        <v>0.10030278563499399</v>
      </c>
      <c r="AK2" s="2">
        <v>0.108105152845382</v>
      </c>
    </row>
    <row r="3" spans="1:37" x14ac:dyDescent="0.35">
      <c r="A3" s="2">
        <v>-1.01995468139648E-3</v>
      </c>
      <c r="B3" s="2">
        <v>8.09657573699951E-3</v>
      </c>
      <c r="C3" s="2">
        <v>9.8286569118499704E-3</v>
      </c>
      <c r="D3" s="2">
        <v>1.9844591617584201E-2</v>
      </c>
      <c r="E3" s="2">
        <v>2.34462022781372E-2</v>
      </c>
      <c r="F3" s="2">
        <v>3.5765945911407401E-2</v>
      </c>
      <c r="G3" s="2">
        <v>3.1341850757598801E-2</v>
      </c>
      <c r="H3" s="2">
        <v>3.00166010856628E-2</v>
      </c>
      <c r="I3" s="2">
        <v>3.2388776540756198E-2</v>
      </c>
      <c r="J3" s="2">
        <v>2.69075334072113E-2</v>
      </c>
      <c r="K3" s="2">
        <v>2.7545601129531801E-2</v>
      </c>
      <c r="L3" s="2">
        <v>2.5261491537094099E-2</v>
      </c>
      <c r="M3" s="2">
        <v>3.4713715314865098E-2</v>
      </c>
      <c r="N3" s="2">
        <v>2.5804996490478498E-2</v>
      </c>
      <c r="O3" s="2">
        <v>4.1680902242660502E-2</v>
      </c>
      <c r="P3" s="2">
        <v>5.5309683084487901E-2</v>
      </c>
      <c r="Q3" s="2">
        <v>3.75637710094451E-2</v>
      </c>
      <c r="R3" s="2">
        <v>6.5478414297103799E-2</v>
      </c>
      <c r="S3" s="2">
        <v>4.9513489007949801E-2</v>
      </c>
      <c r="T3" s="2">
        <v>7.8372925519943196E-2</v>
      </c>
      <c r="U3" s="2">
        <v>8.9847475290298406E-2</v>
      </c>
      <c r="V3" s="2">
        <v>9.0070992708206093E-2</v>
      </c>
      <c r="W3" s="2">
        <v>9.5382183790206895E-2</v>
      </c>
      <c r="X3" s="2">
        <v>0.10093399882316501</v>
      </c>
      <c r="Y3" s="2">
        <v>9.8755270242690998E-2</v>
      </c>
      <c r="Z3" s="2">
        <v>0.10662862658500601</v>
      </c>
      <c r="AA3" s="2">
        <v>8.9940756559371907E-2</v>
      </c>
      <c r="AB3" s="2">
        <v>9.72732603549957E-2</v>
      </c>
      <c r="AC3" s="2">
        <v>9.3324750661849906E-2</v>
      </c>
      <c r="AD3" s="2">
        <v>8.7253302335739094E-2</v>
      </c>
      <c r="AE3" s="2">
        <v>8.6201459169387804E-2</v>
      </c>
      <c r="AF3" s="2">
        <v>8.7771624326705905E-2</v>
      </c>
      <c r="AG3" s="2">
        <v>8.8274687528610202E-2</v>
      </c>
      <c r="AH3" s="2">
        <v>8.9308291673660195E-2</v>
      </c>
      <c r="AI3" s="2">
        <v>0.102761596441268</v>
      </c>
      <c r="AJ3" s="2">
        <v>0.116414278745651</v>
      </c>
      <c r="AK3" s="2">
        <v>0.120052725076675</v>
      </c>
    </row>
    <row r="4" spans="1:37" x14ac:dyDescent="0.35">
      <c r="A4" s="2">
        <v>7.4054598808288496E-3</v>
      </c>
      <c r="B4" s="2">
        <v>8.9862644672393799E-3</v>
      </c>
      <c r="C4" s="2">
        <v>1.11641287803649E-2</v>
      </c>
      <c r="D4" s="2">
        <v>1.5217483043670601E-2</v>
      </c>
      <c r="E4" s="2">
        <v>2.7165710926055901E-2</v>
      </c>
      <c r="F4" s="2">
        <v>3.1014233827590901E-2</v>
      </c>
      <c r="G4" s="2">
        <v>3.2706290483474697E-2</v>
      </c>
      <c r="H4" s="2">
        <v>3.1951904296875E-2</v>
      </c>
      <c r="I4" s="2">
        <v>3.2652348279953003E-2</v>
      </c>
      <c r="J4" s="2">
        <v>3.3832341432571397E-2</v>
      </c>
      <c r="K4" s="2">
        <v>2.7463227510452201E-2</v>
      </c>
      <c r="L4" s="2">
        <v>2.5830864906311E-2</v>
      </c>
      <c r="M4" s="2">
        <v>3.0991047620773302E-2</v>
      </c>
      <c r="N4" s="2">
        <v>2.92863249778747E-2</v>
      </c>
      <c r="O4" s="2">
        <v>4.6797841787338201E-2</v>
      </c>
      <c r="P4" s="2">
        <v>4.1291713714599602E-2</v>
      </c>
      <c r="Q4" s="2">
        <v>5.2502483129501301E-2</v>
      </c>
      <c r="R4" s="2">
        <v>5.9911102056503199E-2</v>
      </c>
      <c r="S4" s="2">
        <v>7.5910061597824097E-2</v>
      </c>
      <c r="T4" s="2">
        <v>6.8815261125564506E-2</v>
      </c>
      <c r="U4" s="2">
        <v>8.9909404516219996E-2</v>
      </c>
      <c r="V4" s="2">
        <v>9.0070992708206093E-2</v>
      </c>
      <c r="W4" s="2">
        <v>9.3348354101181003E-2</v>
      </c>
      <c r="X4" s="2">
        <v>9.6413940191268893E-2</v>
      </c>
      <c r="Y4" s="2">
        <v>9.5992416143417303E-2</v>
      </c>
      <c r="Z4" s="2">
        <v>0.106638044118881</v>
      </c>
      <c r="AA4" s="2">
        <v>9.7970455884933402E-2</v>
      </c>
      <c r="AB4" s="2">
        <v>0.10028550028800901</v>
      </c>
      <c r="AC4" s="2">
        <v>9.36090052127838E-2</v>
      </c>
      <c r="AD4" s="2">
        <v>8.1534355878829901E-2</v>
      </c>
      <c r="AE4" s="2">
        <v>8.4295600652694702E-2</v>
      </c>
      <c r="AF4" s="2">
        <v>8.69795978069305E-2</v>
      </c>
      <c r="AG4" s="2">
        <v>8.8769882917404105E-2</v>
      </c>
      <c r="AH4" s="2">
        <v>9.3101769685745198E-2</v>
      </c>
      <c r="AI4" s="2">
        <v>8.9418560266494695E-2</v>
      </c>
      <c r="AJ4" s="2">
        <v>0.10291388630867</v>
      </c>
      <c r="AK4" s="2">
        <v>0.114268153905868</v>
      </c>
    </row>
    <row r="5" spans="1:37" x14ac:dyDescent="0.35">
      <c r="A5" s="2">
        <v>3.3321380615234301E-3</v>
      </c>
      <c r="B5" s="2">
        <v>5.92833757400512E-3</v>
      </c>
      <c r="C5" s="2">
        <v>1.36628746986389E-2</v>
      </c>
      <c r="D5" s="2">
        <v>1.66854560375213E-2</v>
      </c>
      <c r="E5" s="2">
        <v>1.6886562108993499E-2</v>
      </c>
      <c r="F5" s="2">
        <v>3.2303780317306498E-2</v>
      </c>
      <c r="G5" s="2">
        <v>3.2032459974288899E-2</v>
      </c>
      <c r="H5" s="2">
        <v>3.5440683364868102E-2</v>
      </c>
      <c r="I5" s="2">
        <v>3.2515466213226298E-2</v>
      </c>
      <c r="J5" s="2">
        <v>2.9185563325881899E-2</v>
      </c>
      <c r="K5" s="2">
        <v>2.79987156391143E-2</v>
      </c>
      <c r="L5" s="2">
        <v>2.14214920997619E-2</v>
      </c>
      <c r="M5" s="2">
        <v>3.3921360969543402E-2</v>
      </c>
      <c r="N5" s="2">
        <v>2.53429114818573E-2</v>
      </c>
      <c r="O5" s="2">
        <v>3.5139381885528502E-2</v>
      </c>
      <c r="P5" s="2">
        <v>4.6060055494308402E-2</v>
      </c>
      <c r="Q5" s="2">
        <v>5.9310823678970302E-2</v>
      </c>
      <c r="R5" s="2">
        <v>6.9584518671035697E-2</v>
      </c>
      <c r="S5" s="2">
        <v>7.7909559011459295E-2</v>
      </c>
      <c r="T5" s="2">
        <v>7.9339891672134399E-2</v>
      </c>
      <c r="U5" s="2">
        <v>8.4094017744064303E-2</v>
      </c>
      <c r="V5" s="2">
        <v>9.0070992708206093E-2</v>
      </c>
      <c r="W5" s="2">
        <v>0.102776259183883</v>
      </c>
      <c r="X5" s="2">
        <v>0.100481480360031</v>
      </c>
      <c r="Y5" s="2">
        <v>9.2320293188094996E-2</v>
      </c>
      <c r="Z5" s="2">
        <v>9.8932892084121704E-2</v>
      </c>
      <c r="AA5" s="2">
        <v>9.6000224351882907E-2</v>
      </c>
      <c r="AB5" s="2">
        <v>0.10739728808403</v>
      </c>
      <c r="AC5" s="2">
        <v>9.2257589101791299E-2</v>
      </c>
      <c r="AD5" s="2">
        <v>8.8143080472946098E-2</v>
      </c>
      <c r="AE5" s="2">
        <v>8.0131739377975394E-2</v>
      </c>
      <c r="AF5" s="2">
        <v>8.8175982236862099E-2</v>
      </c>
      <c r="AG5" s="2">
        <v>9.1910868883132907E-2</v>
      </c>
      <c r="AH5" s="2">
        <v>8.5642665624618503E-2</v>
      </c>
      <c r="AI5" s="2">
        <v>8.6975127458572304E-2</v>
      </c>
      <c r="AJ5" s="2">
        <v>0.12748005986213601</v>
      </c>
      <c r="AK5" s="2">
        <v>0.11541137099266</v>
      </c>
    </row>
    <row r="6" spans="1:37" x14ac:dyDescent="0.35">
      <c r="A6" s="2">
        <v>3.7391781806945801E-3</v>
      </c>
      <c r="B6" s="2">
        <v>1.31314098834991E-2</v>
      </c>
      <c r="C6" s="2">
        <v>5.9474408626556396E-3</v>
      </c>
      <c r="D6" s="2">
        <v>1.37992799282073E-2</v>
      </c>
      <c r="E6" s="2">
        <v>9.7529590129852295E-3</v>
      </c>
      <c r="F6" s="2">
        <v>1.9787162542343101E-2</v>
      </c>
      <c r="G6" s="2">
        <v>3.1449496746063198E-2</v>
      </c>
      <c r="H6" s="2">
        <v>3.3462613821029601E-2</v>
      </c>
      <c r="I6" s="2">
        <v>3.3102214336395201E-2</v>
      </c>
      <c r="J6" s="2">
        <v>3.1280279159545898E-2</v>
      </c>
      <c r="K6" s="2">
        <v>2.7347475290298399E-2</v>
      </c>
      <c r="L6" s="2">
        <v>2.3647725582122799E-2</v>
      </c>
      <c r="M6" s="2">
        <v>4.02058064937591E-2</v>
      </c>
      <c r="N6" s="2">
        <v>2.5703847408294601E-2</v>
      </c>
      <c r="O6" s="2">
        <v>3.65439057350158E-2</v>
      </c>
      <c r="P6" s="2">
        <v>3.8555771112442003E-2</v>
      </c>
      <c r="Q6" s="2">
        <v>3.7413507699966403E-2</v>
      </c>
      <c r="R6" s="2">
        <v>5.4562479257583597E-2</v>
      </c>
      <c r="S6" s="2">
        <v>6.8450540304183904E-2</v>
      </c>
      <c r="T6" s="2">
        <v>7.1698457002639701E-2</v>
      </c>
      <c r="U6" s="2">
        <v>8.0592662096023504E-2</v>
      </c>
      <c r="V6" s="2">
        <v>9.0070992708206093E-2</v>
      </c>
      <c r="W6" s="2">
        <v>0.108396679162979</v>
      </c>
      <c r="X6" s="2">
        <v>0.100358814001083</v>
      </c>
      <c r="Y6" s="2">
        <v>9.5278054475784302E-2</v>
      </c>
      <c r="Z6" s="2">
        <v>0.110293239355087</v>
      </c>
      <c r="AA6" s="2">
        <v>9.9896222352981498E-2</v>
      </c>
      <c r="AB6" s="2">
        <v>0.107144027948379</v>
      </c>
      <c r="AC6" s="2">
        <v>9.6002846956252996E-2</v>
      </c>
      <c r="AD6" s="2">
        <v>8.6250036954879705E-2</v>
      </c>
      <c r="AE6" s="2">
        <v>7.5784057378768893E-2</v>
      </c>
      <c r="AF6" s="2">
        <v>7.95752108097076E-2</v>
      </c>
      <c r="AG6" s="2">
        <v>8.1276327371597207E-2</v>
      </c>
      <c r="AH6" s="2">
        <v>7.8660458326339694E-2</v>
      </c>
      <c r="AI6" s="2">
        <v>9.5206886529922402E-2</v>
      </c>
      <c r="AJ6" s="2">
        <v>9.9244803190231295E-2</v>
      </c>
      <c r="AK6" s="2">
        <v>0.11179199814796401</v>
      </c>
    </row>
    <row r="7" spans="1:37" x14ac:dyDescent="0.35">
      <c r="A7" s="2">
        <v>-3.3555924892425498E-3</v>
      </c>
      <c r="B7" s="2">
        <v>7.9476535320281896E-3</v>
      </c>
      <c r="C7" s="2">
        <v>1.6314119100570599E-2</v>
      </c>
      <c r="D7" s="2">
        <v>2.2598445415496798E-2</v>
      </c>
      <c r="E7" s="2">
        <v>2.4160683155059801E-2</v>
      </c>
      <c r="F7" s="2">
        <v>3.1919389963149997E-2</v>
      </c>
      <c r="G7" s="2">
        <v>2.9223024845123201E-2</v>
      </c>
      <c r="H7" s="2">
        <v>3.6179929971694898E-2</v>
      </c>
      <c r="I7" s="2">
        <v>3.2955527305603E-2</v>
      </c>
      <c r="J7" s="2">
        <v>3.0131399631500199E-2</v>
      </c>
      <c r="K7" s="2">
        <v>2.4288356304168701E-2</v>
      </c>
      <c r="L7" s="2">
        <v>2.6853919029235802E-2</v>
      </c>
      <c r="M7" s="2">
        <v>3.4302324056625297E-2</v>
      </c>
      <c r="N7" s="2">
        <v>2.9349476099014199E-2</v>
      </c>
      <c r="O7" s="2">
        <v>3.7960380315780598E-2</v>
      </c>
      <c r="P7" s="2">
        <v>4.5171707868576001E-2</v>
      </c>
      <c r="Q7" s="2">
        <v>4.75443303585052E-2</v>
      </c>
      <c r="R7" s="2">
        <v>6.0169130563735899E-2</v>
      </c>
      <c r="S7" s="2">
        <v>7.2267919778823797E-2</v>
      </c>
      <c r="T7" s="2">
        <v>7.5356692075729301E-2</v>
      </c>
      <c r="U7" s="2">
        <v>8.6668938398361206E-2</v>
      </c>
      <c r="V7" s="2">
        <v>9.0070992708206093E-2</v>
      </c>
      <c r="W7" s="2">
        <v>0.102759152650833</v>
      </c>
      <c r="X7" s="2">
        <v>9.6909493207931505E-2</v>
      </c>
      <c r="Y7" s="2">
        <v>9.0620964765548706E-2</v>
      </c>
      <c r="Z7" s="2">
        <v>0.10630390048027</v>
      </c>
      <c r="AA7" s="2">
        <v>0.10723170638084401</v>
      </c>
      <c r="AB7" s="2">
        <v>0.103024154901504</v>
      </c>
      <c r="AC7" s="2">
        <v>9.9441140890121404E-2</v>
      </c>
      <c r="AD7" s="2">
        <v>8.4517508745193398E-2</v>
      </c>
      <c r="AE7" s="2">
        <v>8.1059366464614799E-2</v>
      </c>
      <c r="AF7" s="2">
        <v>8.8284641504287706E-2</v>
      </c>
      <c r="AG7" s="2">
        <v>0.10639205574989299</v>
      </c>
      <c r="AH7" s="2">
        <v>8.9994698762893593E-2</v>
      </c>
      <c r="AI7" s="2">
        <v>8.9265376329421997E-2</v>
      </c>
      <c r="AJ7" s="2">
        <v>0.117551296949386</v>
      </c>
      <c r="AK7" s="2">
        <v>0.114709228277206</v>
      </c>
    </row>
    <row r="8" spans="1:37" x14ac:dyDescent="0.35">
      <c r="A8" s="2">
        <v>7.2224438190460196E-3</v>
      </c>
      <c r="B8" s="2">
        <v>4.2926669120788496E-3</v>
      </c>
      <c r="C8" s="2">
        <v>1.20384991168975E-2</v>
      </c>
      <c r="D8" s="2">
        <v>1.18334293365478E-2</v>
      </c>
      <c r="E8" s="2">
        <v>2.18793749809265E-2</v>
      </c>
      <c r="F8" s="2">
        <v>2.56436169147491E-2</v>
      </c>
      <c r="G8" s="2">
        <v>2.99253761768341E-2</v>
      </c>
      <c r="H8" s="2">
        <v>3.2377332448959302E-2</v>
      </c>
      <c r="I8" s="2">
        <v>3.2696455717086702E-2</v>
      </c>
      <c r="J8" s="2">
        <v>3.1415581703186E-2</v>
      </c>
      <c r="K8" s="2">
        <v>2.8811961412429799E-2</v>
      </c>
      <c r="L8" s="2">
        <v>2.2066652774810701E-2</v>
      </c>
      <c r="M8" s="2">
        <v>3.3336848020553499E-2</v>
      </c>
      <c r="N8" s="2">
        <v>2.7540296316146799E-2</v>
      </c>
      <c r="O8" s="2">
        <v>4.53567206859588E-2</v>
      </c>
      <c r="P8" s="2">
        <v>3.8184344768524101E-2</v>
      </c>
      <c r="Q8" s="2">
        <v>7.8414648771285997E-2</v>
      </c>
      <c r="R8" s="2">
        <v>6.8890482187271104E-2</v>
      </c>
      <c r="S8" s="2">
        <v>6.7581921815872095E-2</v>
      </c>
      <c r="T8" s="2">
        <v>7.1423739194869995E-2</v>
      </c>
      <c r="U8" s="2">
        <v>6.9010168313980103E-2</v>
      </c>
      <c r="V8" s="2">
        <v>9.0070992708206093E-2</v>
      </c>
      <c r="W8" s="2">
        <v>0.104198426008224</v>
      </c>
      <c r="X8" s="2">
        <v>9.5125526189803994E-2</v>
      </c>
      <c r="Y8" s="2">
        <v>8.6377114057540894E-2</v>
      </c>
      <c r="Z8" s="2">
        <v>0.10625025629997201</v>
      </c>
      <c r="AA8" s="2">
        <v>0.100069314241409</v>
      </c>
      <c r="AB8" s="2">
        <v>0.10075953602790801</v>
      </c>
      <c r="AC8" s="2">
        <v>9.0851753950119005E-2</v>
      </c>
      <c r="AD8" s="2">
        <v>7.4778407812118503E-2</v>
      </c>
      <c r="AE8" s="2">
        <v>8.0648034811019897E-2</v>
      </c>
      <c r="AF8" s="2">
        <v>8.6902648210525499E-2</v>
      </c>
      <c r="AG8" s="2">
        <v>8.3319097757339394E-2</v>
      </c>
      <c r="AH8" s="2">
        <v>0.10428574681282</v>
      </c>
      <c r="AI8" s="2">
        <v>9.4153374433517401E-2</v>
      </c>
      <c r="AJ8" s="2">
        <v>0.11432453989982599</v>
      </c>
      <c r="AK8" s="2">
        <v>0.11483410000801</v>
      </c>
    </row>
    <row r="9" spans="1:37" x14ac:dyDescent="0.35">
      <c r="A9" s="2">
        <v>7.6167881488799997E-3</v>
      </c>
      <c r="B9" s="2">
        <v>1.9164711236953701E-2</v>
      </c>
      <c r="C9" s="2">
        <v>1.1898934841156001E-2</v>
      </c>
      <c r="D9" s="2">
        <v>2.0963340997695899E-2</v>
      </c>
      <c r="E9" s="2">
        <v>1.81911885738372E-2</v>
      </c>
      <c r="F9" s="2">
        <v>3.5308510065078701E-2</v>
      </c>
      <c r="G9" s="2">
        <v>3.2084733247756902E-2</v>
      </c>
      <c r="H9" s="2">
        <v>3.3203423023223801E-2</v>
      </c>
      <c r="I9" s="2">
        <v>3.0097365379333399E-2</v>
      </c>
      <c r="J9" s="2">
        <v>2.5788933038711499E-2</v>
      </c>
      <c r="K9" s="2">
        <v>2.86983251571655E-2</v>
      </c>
      <c r="L9" s="2">
        <v>2.48966813087463E-2</v>
      </c>
      <c r="M9" s="2">
        <v>3.4762173891067498E-2</v>
      </c>
      <c r="N9" s="2">
        <v>2.5110900402069002E-2</v>
      </c>
      <c r="O9" s="2">
        <v>2.23390758037567E-2</v>
      </c>
      <c r="P9" s="2">
        <v>5.2032500505447297E-2</v>
      </c>
      <c r="Q9" s="2">
        <v>5.0431579351425102E-2</v>
      </c>
      <c r="R9" s="2">
        <v>7.2284728288650499E-2</v>
      </c>
      <c r="S9" s="2">
        <v>7.3137909173965399E-2</v>
      </c>
      <c r="T9" s="2">
        <v>7.8414112329483004E-2</v>
      </c>
      <c r="U9" s="2">
        <v>7.6312452554702703E-2</v>
      </c>
      <c r="V9" s="2">
        <v>9.0070992708206093E-2</v>
      </c>
      <c r="W9" s="2">
        <v>0.10042104125022799</v>
      </c>
      <c r="X9" s="2">
        <v>9.3666225671768105E-2</v>
      </c>
      <c r="Y9" s="2">
        <v>9.8538845777511597E-2</v>
      </c>
      <c r="Z9" s="2">
        <v>9.9105805158615098E-2</v>
      </c>
      <c r="AA9" s="2">
        <v>9.3821853399276706E-2</v>
      </c>
      <c r="AB9" s="2">
        <v>0.102060824632644</v>
      </c>
      <c r="AC9" s="2">
        <v>0.100027590990066</v>
      </c>
      <c r="AD9" s="2">
        <v>9.5383614301681505E-2</v>
      </c>
      <c r="AE9" s="2">
        <v>7.6243370771407998E-2</v>
      </c>
      <c r="AF9" s="2">
        <v>8.78128111362457E-2</v>
      </c>
      <c r="AG9" s="2">
        <v>8.9314013719558702E-2</v>
      </c>
      <c r="AH9" s="2">
        <v>6.4282745122909504E-2</v>
      </c>
      <c r="AI9" s="2">
        <v>0.108447104692459</v>
      </c>
      <c r="AJ9" s="2">
        <v>9.5052510499954196E-2</v>
      </c>
      <c r="AK9" s="2">
        <v>0.113289684057235</v>
      </c>
    </row>
    <row r="10" spans="1:37" x14ac:dyDescent="0.35">
      <c r="A10" s="2">
        <v>2.37295031547546E-3</v>
      </c>
      <c r="B10" s="2">
        <v>8.0918967723846401E-3</v>
      </c>
      <c r="C10" s="2">
        <v>5.5859386920928903E-3</v>
      </c>
      <c r="D10" s="2">
        <v>1.5864282846450799E-2</v>
      </c>
      <c r="E10" s="2">
        <v>2.9466748237609801E-2</v>
      </c>
      <c r="F10" s="2">
        <v>2.5709033012390099E-2</v>
      </c>
      <c r="G10" s="2">
        <v>2.9614120721816999E-2</v>
      </c>
      <c r="H10" s="2">
        <v>3.12898457050323E-2</v>
      </c>
      <c r="I10" s="2">
        <v>3.3139169216155999E-2</v>
      </c>
      <c r="J10" s="2">
        <v>3.03240418434143E-2</v>
      </c>
      <c r="K10" s="2">
        <v>2.71573960781097E-2</v>
      </c>
      <c r="L10" s="2">
        <v>2.2755235433578401E-2</v>
      </c>
      <c r="M10" s="2">
        <v>4.4459313154220498E-2</v>
      </c>
      <c r="N10" s="2">
        <v>2.7830481529235802E-2</v>
      </c>
      <c r="O10" s="2">
        <v>3.4870117902755703E-2</v>
      </c>
      <c r="P10" s="2">
        <v>3.8523346185684197E-2</v>
      </c>
      <c r="Q10" s="2">
        <v>4.3183058500289903E-2</v>
      </c>
      <c r="R10" s="2">
        <v>5.8750957250595003E-2</v>
      </c>
      <c r="S10" s="2">
        <v>7.2322875261306693E-2</v>
      </c>
      <c r="T10" s="2">
        <v>7.1941107511520302E-2</v>
      </c>
      <c r="U10" s="2">
        <v>8.8776081800460802E-2</v>
      </c>
      <c r="V10" s="2">
        <v>9.0070992708206093E-2</v>
      </c>
      <c r="W10" s="2">
        <v>0.106459468603134</v>
      </c>
      <c r="X10" s="2">
        <v>9.3567401170730494E-2</v>
      </c>
      <c r="Y10" s="2">
        <v>0.100248128175735</v>
      </c>
      <c r="Z10" s="2">
        <v>0.10682389140129001</v>
      </c>
      <c r="AA10" s="2">
        <v>0.10079887509346</v>
      </c>
      <c r="AB10" s="2">
        <v>0.113989025354385</v>
      </c>
      <c r="AC10" s="2">
        <v>9.6031159162521307E-2</v>
      </c>
      <c r="AD10" s="2">
        <v>8.6357742547988794E-2</v>
      </c>
      <c r="AE10" s="2">
        <v>8.7570995092391898E-2</v>
      </c>
      <c r="AF10" s="2">
        <v>8.8808745145797702E-2</v>
      </c>
      <c r="AG10" s="2">
        <v>9.1746121644973699E-2</v>
      </c>
      <c r="AH10" s="2">
        <v>5.8326095342636101E-2</v>
      </c>
      <c r="AI10" s="2">
        <v>0.106868833303451</v>
      </c>
      <c r="AJ10" s="2">
        <v>9.5006912946700994E-2</v>
      </c>
      <c r="AK10" s="2">
        <v>0.11570408940315199</v>
      </c>
    </row>
    <row r="11" spans="1:37" x14ac:dyDescent="0.35">
      <c r="A11" s="2">
        <v>5.3626894950866699E-3</v>
      </c>
      <c r="B11" s="2">
        <v>7.9418718814849801E-3</v>
      </c>
      <c r="C11" s="2">
        <v>5.3061246871948199E-3</v>
      </c>
      <c r="D11" s="2">
        <v>2.1451741456985401E-2</v>
      </c>
      <c r="E11" s="2">
        <v>2.8196960687637301E-2</v>
      </c>
      <c r="F11" s="2">
        <v>3.1784921884536702E-2</v>
      </c>
      <c r="G11" s="2">
        <v>3.3384442329406697E-2</v>
      </c>
      <c r="H11" s="2">
        <v>3.30944657325744E-2</v>
      </c>
      <c r="I11" s="2">
        <v>3.09000313282012E-2</v>
      </c>
      <c r="J11" s="2">
        <v>2.4291425943374599E-2</v>
      </c>
      <c r="K11" s="2">
        <v>2.3872375488281201E-2</v>
      </c>
      <c r="L11" s="2">
        <v>2.2851020097732499E-2</v>
      </c>
      <c r="M11" s="2">
        <v>2.8556227684020899E-2</v>
      </c>
      <c r="N11" s="2">
        <v>2.59262025356292E-2</v>
      </c>
      <c r="O11" s="2">
        <v>3.9907336235046303E-2</v>
      </c>
      <c r="P11" s="2">
        <v>4.76953089237213E-2</v>
      </c>
      <c r="Q11" s="2">
        <v>4.3066799640655497E-2</v>
      </c>
      <c r="R11" s="2">
        <v>6.5142065286636297E-2</v>
      </c>
      <c r="S11" s="2">
        <v>6.8606883287429796E-2</v>
      </c>
      <c r="T11" s="2">
        <v>7.6830297708511297E-2</v>
      </c>
      <c r="U11" s="2">
        <v>9.0070992708206093E-2</v>
      </c>
      <c r="V11" s="2">
        <v>9.0070992708206093E-2</v>
      </c>
      <c r="W11" s="2">
        <v>0.10086777806282</v>
      </c>
      <c r="X11" s="2">
        <v>9.6231967210769598E-2</v>
      </c>
      <c r="Y11" s="2">
        <v>9.3622356653213501E-2</v>
      </c>
      <c r="Z11" s="2">
        <v>0.10068324208259501</v>
      </c>
      <c r="AA11" s="2">
        <v>9.2609733343124306E-2</v>
      </c>
      <c r="AB11" s="2">
        <v>9.2916518449783297E-2</v>
      </c>
      <c r="AC11" s="2">
        <v>9.0638726949691703E-2</v>
      </c>
      <c r="AD11" s="2">
        <v>8.4103971719741794E-2</v>
      </c>
      <c r="AE11" s="2">
        <v>8.3032459020614596E-2</v>
      </c>
      <c r="AF11" s="2">
        <v>8.7209850549697807E-2</v>
      </c>
      <c r="AG11" s="2">
        <v>8.0441206693649195E-2</v>
      </c>
      <c r="AH11" s="2">
        <v>7.9176098108291598E-2</v>
      </c>
      <c r="AI11" s="2">
        <v>0.105744570493698</v>
      </c>
      <c r="AJ11" s="2">
        <v>0.111343652009963</v>
      </c>
      <c r="AK11" s="2">
        <v>0.114760607481002</v>
      </c>
    </row>
    <row r="14" spans="1:37" x14ac:dyDescent="0.35">
      <c r="A14" s="3" t="s">
        <v>38</v>
      </c>
    </row>
    <row r="15" spans="1:37" x14ac:dyDescent="0.35">
      <c r="A15" s="2">
        <f>AVERAGE(FI_OTU_especie[F_TOTAL])</f>
        <v>2.9278665781021108E-3</v>
      </c>
      <c r="B15" s="2">
        <f>AVERAGE(FI_OTU_especie[F_CITMLB])</f>
        <v>9.1878563165664565E-3</v>
      </c>
      <c r="C15" s="2">
        <f>AVERAGE(FI_OTU_especie[F_OTHER])</f>
        <v>1.0346981883048983E-2</v>
      </c>
      <c r="D15" s="2">
        <f>AVERAGE(FI_OTU_especie[F_JUICE])</f>
        <v>1.7656576633453318E-2</v>
      </c>
      <c r="E15" s="2">
        <f>AVERAGE(FI_OTU_especie[V_TOTAL])</f>
        <v>2.2526043653488138E-2</v>
      </c>
      <c r="F15" s="2">
        <f>AVERAGE(FI_OTU_especie[V_DRKGR])</f>
        <v>3.0442237854003868E-2</v>
      </c>
      <c r="G15" s="2">
        <f>AVERAGE(FI_OTU_especie[V_REDOR_TOTAL])</f>
        <v>3.1255528330802876E-2</v>
      </c>
      <c r="H15" s="2">
        <f>AVERAGE(FI_OTU_especie[V_REDOR_TOMATO])</f>
        <v>3.274826407432551E-2</v>
      </c>
      <c r="I15" s="2">
        <f>AVERAGE(FI_OTU_especie[V_REDOR_OTHER])</f>
        <v>3.2482677698135329E-2</v>
      </c>
      <c r="J15" s="2">
        <f>AVERAGE(FI_OTU_especie[V_STARCHY_TOTAL])</f>
        <v>2.9226559400558433E-2</v>
      </c>
      <c r="K15" s="2">
        <f>AVERAGE(FI_OTU_especie[V_STARCHY_POTATO])</f>
        <v>2.6638910174369774E-2</v>
      </c>
      <c r="L15" s="2">
        <f>AVERAGE(FI_OTU_especie[V_STARCHY_OTHER])</f>
        <v>2.4050921201705894E-2</v>
      </c>
      <c r="M15" s="2">
        <f>AVERAGE(FI_OTU_especie[V_OTHER])</f>
        <v>3.5165652632713262E-2</v>
      </c>
      <c r="N15" s="2">
        <f>AVERAGE(FI_OTU_especie[V_LEGUMES])</f>
        <v>2.693969309329981E-2</v>
      </c>
      <c r="O15" s="2">
        <f>AVERAGE(FI_OTU_especie[G_TOTAL])</f>
        <v>3.9298328757286019E-2</v>
      </c>
      <c r="P15" s="2">
        <f>AVERAGE(FI_OTU_especie[G_WHOLE])</f>
        <v>4.516556859016415E-2</v>
      </c>
      <c r="Q15" s="2">
        <f>AVERAGE(FI_OTU_especie[G_REFINED])</f>
        <v>5.2506873011589017E-2</v>
      </c>
      <c r="R15" s="2">
        <f>AVERAGE(FI_OTU_especie[PF_TOTAL])</f>
        <v>6.1994457244873E-2</v>
      </c>
      <c r="S15" s="2">
        <f>AVERAGE(FI_OTU_especie[PF_MPS_TOTAL])</f>
        <v>6.7677670717239319E-2</v>
      </c>
      <c r="T15" s="2">
        <f>AVERAGE(FI_OTU_especie[PF_MEAT])</f>
        <v>7.4721294641494712E-2</v>
      </c>
      <c r="U15" s="2">
        <f>AVERAGE(FI_OTU_especie[PF_CUREDMEAT])</f>
        <v>8.4122240543365451E-2</v>
      </c>
      <c r="V15" s="2">
        <f>AVERAGE(FI_OTU_especie[PF_ORGAN])</f>
        <v>9.007099270820608E-2</v>
      </c>
      <c r="W15" s="2">
        <f>AVERAGE(FI_OTU_especie[PF_POULT])</f>
        <v>0.1018575131893155</v>
      </c>
      <c r="X15" s="2">
        <f>AVERAGE(FI_OTU_especie[PF_SEAFD_HI])</f>
        <v>9.6648287773132141E-2</v>
      </c>
      <c r="Y15" s="2">
        <f>AVERAGE(FI_OTU_especie[PF_SEAFD_LOW])</f>
        <v>9.4847923517227109E-2</v>
      </c>
      <c r="Z15" s="2">
        <f>AVERAGE(FI_OTU_especie[PF_EGGS])</f>
        <v>0.10432102680206259</v>
      </c>
      <c r="AA15" s="2">
        <f>AVERAGE(FI_OTU_especie[PF_SOY])</f>
        <v>9.7274428606033247E-2</v>
      </c>
      <c r="AB15" s="2">
        <f>AVERAGE(FI_OTU_especie[PF_NUTSDS])</f>
        <v>0.1026785254478451</v>
      </c>
      <c r="AC15" s="2">
        <f>AVERAGE(FI_OTU_especie[PF_LEGUMES])</f>
        <v>9.5108222961425681E-2</v>
      </c>
      <c r="AD15" s="2">
        <f>AVERAGE(FI_OTU_especie[D_TOTAL])</f>
        <v>8.5715425014495805E-2</v>
      </c>
      <c r="AE15" s="2">
        <f>AVERAGE(FI_OTU_especie[D_MILK])</f>
        <v>8.2126444578170726E-2</v>
      </c>
      <c r="AF15" s="2">
        <f>AVERAGE(FI_OTU_especie[D_YOGURT])</f>
        <v>8.6542791128158519E-2</v>
      </c>
      <c r="AG15" s="2">
        <f>AVERAGE(FI_OTU_especie[D_CHEESE])</f>
        <v>8.9014184474944996E-2</v>
      </c>
      <c r="AH15" s="2">
        <f>AVERAGE(FI_OTU_especie[OILS])</f>
        <v>8.1541603803634566E-2</v>
      </c>
      <c r="AI15" s="2">
        <f>AVERAGE(FI_OTU_especie[SOLID_FATS])</f>
        <v>9.6567565202712799E-2</v>
      </c>
      <c r="AJ15" s="2">
        <f>AVERAGE(FI_OTU_especie[ADD_SUGARS])</f>
        <v>0.10796347260475128</v>
      </c>
      <c r="AK15" s="2">
        <f>AVERAGE(FI_OTU_especie[A_DRINKS])</f>
        <v>0.11429271101951539</v>
      </c>
    </row>
    <row r="16" spans="1:37" x14ac:dyDescent="0.35">
      <c r="A16" s="3" t="s">
        <v>39</v>
      </c>
    </row>
    <row r="17" spans="1:37" x14ac:dyDescent="0.35">
      <c r="A17" s="2">
        <f>STDEV(FI_OTU_especie[F_TOTAL])</f>
        <v>4.2506570416576683E-3</v>
      </c>
      <c r="B17" s="2">
        <f>STDEV(FI_OTU_especie[F_CITMLB])</f>
        <v>4.1632405052643628E-3</v>
      </c>
      <c r="C17" s="2">
        <f>STDEV(FI_OTU_especie[F_OTHER])</f>
        <v>3.6838308718780046E-3</v>
      </c>
      <c r="D17" s="2">
        <f>STDEV(FI_OTU_especie[F_JUICE])</f>
        <v>3.5568990448443471E-3</v>
      </c>
      <c r="E17" s="2">
        <f>STDEV(FI_OTU_especie[V_TOTAL])</f>
        <v>6.0774289880197521E-3</v>
      </c>
      <c r="F17" s="2">
        <f>STDEV(FI_OTU_especie[V_DRKGR])</f>
        <v>5.1775329077673087E-3</v>
      </c>
      <c r="G17" s="2">
        <f>STDEV(FI_OTU_especie[V_REDOR_TOTAL])</f>
        <v>1.3655011238015516E-3</v>
      </c>
      <c r="H17" s="2">
        <f>STDEV(FI_OTU_especie[V_REDOR_TOMATO])</f>
        <v>1.9841867358736088E-3</v>
      </c>
      <c r="I17" s="2">
        <f>STDEV(FI_OTU_especie[V_REDOR_OTHER])</f>
        <v>1.1979102651852301E-3</v>
      </c>
      <c r="J17" s="2">
        <f>STDEV(FI_OTU_especie[V_STARCHY_TOTAL])</f>
        <v>2.8638034920168932E-3</v>
      </c>
      <c r="K17" s="2">
        <f>STDEV(FI_OTU_especie[V_STARCHY_POTATO])</f>
        <v>2.0561794044774416E-3</v>
      </c>
      <c r="L17" s="2">
        <f>STDEV(FI_OTU_especie[V_STARCHY_OTHER])</f>
        <v>1.7670008793505604E-3</v>
      </c>
      <c r="M17" s="2">
        <f>STDEV(FI_OTU_especie[V_OTHER])</f>
        <v>4.4775361904238475E-3</v>
      </c>
      <c r="N17" s="2">
        <f>STDEV(FI_OTU_especie[V_LEGUMES])</f>
        <v>1.58183408979014E-3</v>
      </c>
      <c r="O17" s="2">
        <f>STDEV(FI_OTU_especie[G_TOTAL])</f>
        <v>8.1936502106109525E-3</v>
      </c>
      <c r="P17" s="2">
        <f>STDEV(FI_OTU_especie[G_WHOLE])</f>
        <v>5.9837518293219582E-3</v>
      </c>
      <c r="Q17" s="2">
        <f>STDEV(FI_OTU_especie[G_REFINED])</f>
        <v>1.4562628004867257E-2</v>
      </c>
      <c r="R17" s="2">
        <f>STDEV(FI_OTU_especie[PF_TOTAL])</f>
        <v>8.0936534050557486E-3</v>
      </c>
      <c r="S17" s="2">
        <f>STDEV(FI_OTU_especie[PF_MPS_TOTAL])</f>
        <v>9.7294753925437436E-3</v>
      </c>
      <c r="T17" s="2">
        <f>STDEV(FI_OTU_especie[PF_MEAT])</f>
        <v>3.5880351458824063E-3</v>
      </c>
      <c r="U17" s="2">
        <f>STDEV(FI_OTU_especie[PF_CUREDMEAT])</f>
        <v>6.9516776295006216E-3</v>
      </c>
      <c r="V17" s="2">
        <f>STDEV(FI_OTU_especie[PF_ORGAN])</f>
        <v>1.4628472785736255E-17</v>
      </c>
      <c r="W17" s="2">
        <f>STDEV(FI_OTU_especie[PF_POULT])</f>
        <v>4.6296044912077852E-3</v>
      </c>
      <c r="X17" s="2">
        <f>STDEV(FI_OTU_especie[PF_SEAFD_HI])</f>
        <v>3.031021369111746E-3</v>
      </c>
      <c r="Y17" s="2">
        <f>STDEV(FI_OTU_especie[PF_SEAFD_LOW])</f>
        <v>4.2240904770578531E-3</v>
      </c>
      <c r="Z17" s="2">
        <f>STDEV(FI_OTU_especie[PF_EGGS])</f>
        <v>3.9075354729807294E-3</v>
      </c>
      <c r="AA17" s="2">
        <f>STDEV(FI_OTU_especie[PF_SOY])</f>
        <v>4.9895172004332678E-3</v>
      </c>
      <c r="AB17" s="2">
        <f>STDEV(FI_OTU_especie[PF_NUTSDS])</f>
        <v>5.822478192304751E-3</v>
      </c>
      <c r="AC17" s="2">
        <f>STDEV(FI_OTU_especie[PF_LEGUMES])</f>
        <v>3.5061036178579007E-3</v>
      </c>
      <c r="AD17" s="2">
        <f>STDEV(FI_OTU_especie[D_TOTAL])</f>
        <v>5.3048906413721581E-3</v>
      </c>
      <c r="AE17" s="2">
        <f>STDEV(FI_OTU_especie[D_MILK])</f>
        <v>4.1002868203689766E-3</v>
      </c>
      <c r="AF17" s="2">
        <f>STDEV(FI_OTU_especie[D_YOGURT])</f>
        <v>2.7932414051337826E-3</v>
      </c>
      <c r="AG17" s="2">
        <f>STDEV(FI_OTU_especie[D_CHEESE])</f>
        <v>7.3367093592840464E-3</v>
      </c>
      <c r="AH17" s="2">
        <f>STDEV(FI_OTU_especie[OILS])</f>
        <v>1.3862566365049666E-2</v>
      </c>
      <c r="AI17" s="2">
        <f>STDEV(FI_OTU_especie[SOLID_FATS])</f>
        <v>8.6196536393352129E-3</v>
      </c>
      <c r="AJ17" s="2">
        <f>STDEV(FI_OTU_especie[ADD_SUGARS])</f>
        <v>1.1009558936708021E-2</v>
      </c>
      <c r="AK17" s="2">
        <f>STDEV(FI_OTU_especie[A_DRINKS])</f>
        <v>3.030452367049399E-3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D421-3638-4FC7-ABC3-ED474A583A26}">
  <dimension ref="A1:AK16"/>
  <sheetViews>
    <sheetView workbookViewId="0">
      <selection activeCell="A16" sqref="A16:AK16"/>
    </sheetView>
  </sheetViews>
  <sheetFormatPr baseColWidth="10" defaultRowHeight="14.5" x14ac:dyDescent="0.35"/>
  <cols>
    <col min="1" max="1" width="22.1796875" style="2" bestFit="1" customWidth="1"/>
    <col min="2" max="2" width="20.453125" style="2" bestFit="1" customWidth="1"/>
    <col min="3" max="4" width="21.54296875" style="2" bestFit="1" customWidth="1"/>
    <col min="5" max="9" width="20.453125" style="2" bestFit="1" customWidth="1"/>
    <col min="10" max="10" width="22.1796875" style="2" bestFit="1" customWidth="1"/>
    <col min="11" max="12" width="21.54296875" style="2" bestFit="1" customWidth="1"/>
    <col min="13" max="14" width="20.453125" style="2" bestFit="1" customWidth="1"/>
    <col min="15" max="15" width="21.54296875" style="2" bestFit="1" customWidth="1"/>
    <col min="16" max="16" width="20.453125" style="2" bestFit="1" customWidth="1"/>
    <col min="17" max="17" width="22.1796875" style="2" bestFit="1" customWidth="1"/>
    <col min="18" max="21" width="20.453125" style="2" bestFit="1" customWidth="1"/>
    <col min="22" max="22" width="19.453125" style="2" bestFit="1" customWidth="1"/>
    <col min="23" max="33" width="20.453125" style="2" bestFit="1" customWidth="1"/>
    <col min="34" max="34" width="21.54296875" style="2" bestFit="1" customWidth="1"/>
    <col min="35" max="37" width="20.453125" style="2" bestFit="1" customWidth="1"/>
  </cols>
  <sheetData>
    <row r="1" spans="1:3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35">
      <c r="A2" s="2">
        <v>-1.1698305606842E-3</v>
      </c>
      <c r="B2" s="2">
        <v>9.6325576305389404E-3</v>
      </c>
      <c r="C2" s="2">
        <v>1.2281209230422901E-2</v>
      </c>
      <c r="D2" s="2">
        <v>6.7954957485198897E-3</v>
      </c>
      <c r="E2" s="2">
        <v>1.31844878196716E-2</v>
      </c>
      <c r="F2" s="2">
        <v>1.22534334659576E-2</v>
      </c>
      <c r="G2" s="2">
        <v>9.4182789325714094E-3</v>
      </c>
      <c r="H2" s="2">
        <v>1.51105225086212E-2</v>
      </c>
      <c r="I2" s="2">
        <v>1.2506604194641099E-2</v>
      </c>
      <c r="J2" s="2">
        <v>6.8150758743286098E-3</v>
      </c>
      <c r="K2" s="2">
        <v>5.4543316364288304E-3</v>
      </c>
      <c r="L2" s="2">
        <v>8.1116557121276803E-3</v>
      </c>
      <c r="M2" s="2">
        <v>1.5164434909820499E-2</v>
      </c>
      <c r="N2" s="2">
        <v>1.2810319662094101E-2</v>
      </c>
      <c r="O2" s="2">
        <v>1.31604373455047E-2</v>
      </c>
      <c r="P2" s="2">
        <v>1.9008487462997398E-2</v>
      </c>
      <c r="Q2" s="2">
        <v>4.22608852386474E-3</v>
      </c>
      <c r="R2" s="2">
        <v>2.2375166416168199E-2</v>
      </c>
      <c r="S2" s="2">
        <v>8.1928372383117606E-3</v>
      </c>
      <c r="T2" s="2">
        <v>2.0346820354461601E-2</v>
      </c>
      <c r="U2" s="2">
        <v>2.89002954959869E-2</v>
      </c>
      <c r="V2" s="2">
        <v>2.2904455661773598E-2</v>
      </c>
      <c r="W2" s="2">
        <v>3.2575100660324097E-2</v>
      </c>
      <c r="X2" s="2">
        <v>2.52698063850402E-2</v>
      </c>
      <c r="Y2" s="2">
        <v>2.9617816209793001E-2</v>
      </c>
      <c r="Z2" s="2">
        <v>3.2074362039565998E-2</v>
      </c>
      <c r="AA2" s="2">
        <v>3.7643164396285997E-2</v>
      </c>
      <c r="AB2" s="2">
        <v>2.91730761528015E-2</v>
      </c>
      <c r="AC2" s="2">
        <v>2.04978883266448E-2</v>
      </c>
      <c r="AD2" s="2">
        <v>2.6072353124618499E-2</v>
      </c>
      <c r="AE2" s="2">
        <v>1.7321407794952299E-2</v>
      </c>
      <c r="AF2" s="2">
        <v>1.8115222454071E-2</v>
      </c>
      <c r="AG2" s="2">
        <v>2.3470103740692101E-2</v>
      </c>
      <c r="AH2" s="2">
        <v>3.8187026977539E-2</v>
      </c>
      <c r="AI2" s="2">
        <v>5.3333193063735899E-2</v>
      </c>
      <c r="AJ2" s="2">
        <v>5.65458238124847E-2</v>
      </c>
      <c r="AK2" s="2">
        <v>2.0863384008407499E-2</v>
      </c>
    </row>
    <row r="3" spans="1:37" x14ac:dyDescent="0.35">
      <c r="A3" s="2">
        <v>8.94156098365783E-3</v>
      </c>
      <c r="B3" s="2">
        <v>1.15015506744384E-2</v>
      </c>
      <c r="C3" s="2">
        <v>1.35347545146942E-2</v>
      </c>
      <c r="D3" s="2">
        <v>1.0853201150894101E-2</v>
      </c>
      <c r="E3" s="2">
        <v>1.34373605251312E-2</v>
      </c>
      <c r="F3" s="2">
        <v>1.4227569103240899E-2</v>
      </c>
      <c r="G3" s="2">
        <v>1.38786733150482E-2</v>
      </c>
      <c r="H3" s="2">
        <v>1.23859345912933E-2</v>
      </c>
      <c r="I3" s="2">
        <v>1.18369460105896E-2</v>
      </c>
      <c r="J3" s="2">
        <v>2.34639644622802E-3</v>
      </c>
      <c r="K3" s="2">
        <v>5.1802396774291895E-4</v>
      </c>
      <c r="L3" s="2">
        <v>6.0282349586486799E-3</v>
      </c>
      <c r="M3" s="2">
        <v>1.7588049173355099E-2</v>
      </c>
      <c r="N3" s="2">
        <v>1.0927379131317101E-2</v>
      </c>
      <c r="O3" s="2">
        <v>4.4959783554077096E-3</v>
      </c>
      <c r="P3" s="2">
        <v>1.9110828638076699E-2</v>
      </c>
      <c r="Q3" s="2">
        <v>6.2661468982696499E-3</v>
      </c>
      <c r="R3" s="2">
        <v>2.0613968372344901E-2</v>
      </c>
      <c r="S3" s="2">
        <v>3.2590806484222398E-2</v>
      </c>
      <c r="T3" s="2">
        <v>2.1200984716415398E-2</v>
      </c>
      <c r="U3" s="2">
        <v>2.8760105371475199E-2</v>
      </c>
      <c r="V3" s="2">
        <v>2.2904455661773598E-2</v>
      </c>
      <c r="W3" s="2">
        <v>2.93593704700469E-2</v>
      </c>
      <c r="X3" s="2">
        <v>2.8217285871505699E-2</v>
      </c>
      <c r="Y3" s="2">
        <v>2.5490343570709201E-2</v>
      </c>
      <c r="Z3" s="2">
        <v>3.2701134681701598E-2</v>
      </c>
      <c r="AA3" s="2">
        <v>3.4401237964630099E-2</v>
      </c>
      <c r="AB3" s="2">
        <v>3.3411204814910798E-2</v>
      </c>
      <c r="AC3" s="2">
        <v>2.25641727447509E-2</v>
      </c>
      <c r="AD3" s="2">
        <v>2.6790410280227599E-2</v>
      </c>
      <c r="AE3" s="2">
        <v>2.2826313972473099E-2</v>
      </c>
      <c r="AF3" s="2">
        <v>2.13410556316375E-2</v>
      </c>
      <c r="AG3" s="2">
        <v>1.9394010305404601E-2</v>
      </c>
      <c r="AH3" s="2">
        <v>2.29977071285247E-2</v>
      </c>
      <c r="AI3" s="2">
        <v>1.51092410087585E-2</v>
      </c>
      <c r="AJ3" s="2">
        <v>2.0342767238616902E-2</v>
      </c>
      <c r="AK3" s="2">
        <v>2.60029137134552E-2</v>
      </c>
    </row>
    <row r="4" spans="1:37" x14ac:dyDescent="0.35">
      <c r="A4" s="2">
        <v>8.0015659332275304E-3</v>
      </c>
      <c r="B4" s="2">
        <v>9.6326172351837106E-3</v>
      </c>
      <c r="C4" s="2">
        <v>7.67606496810913E-3</v>
      </c>
      <c r="D4" s="2">
        <v>7.4583590030670097E-3</v>
      </c>
      <c r="E4" s="2">
        <v>8.0553591251373204E-3</v>
      </c>
      <c r="F4" s="2">
        <v>1.39798820018768E-2</v>
      </c>
      <c r="G4" s="2">
        <v>1.1119812726974401E-2</v>
      </c>
      <c r="H4" s="2">
        <v>1.7031937837600701E-2</v>
      </c>
      <c r="I4" s="2">
        <v>1.2285202741622901E-2</v>
      </c>
      <c r="J4" s="2">
        <v>4.8703253269195496E-3</v>
      </c>
      <c r="K4" s="2">
        <v>6.7803561687469396E-3</v>
      </c>
      <c r="L4" s="2">
        <v>1.7678737640380801E-3</v>
      </c>
      <c r="M4" s="2">
        <v>1.9179224967956501E-2</v>
      </c>
      <c r="N4" s="2">
        <v>1.0659247636795001E-2</v>
      </c>
      <c r="O4" s="2">
        <v>3.06612253189086E-3</v>
      </c>
      <c r="P4" s="2">
        <v>1.17200016975402E-2</v>
      </c>
      <c r="Q4" s="2">
        <v>-1.2764036655425999E-3</v>
      </c>
      <c r="R4" s="2">
        <v>1.04016363620758E-2</v>
      </c>
      <c r="S4" s="2">
        <v>2.03617215156555E-2</v>
      </c>
      <c r="T4" s="2">
        <v>2.20564901828765E-2</v>
      </c>
      <c r="U4" s="2">
        <v>2.1907985210418701E-2</v>
      </c>
      <c r="V4" s="2">
        <v>2.2904455661773598E-2</v>
      </c>
      <c r="W4" s="2">
        <v>2.0020246505737301E-2</v>
      </c>
      <c r="X4" s="2">
        <v>3.2403677701949997E-2</v>
      </c>
      <c r="Y4" s="2">
        <v>1.73442065715789E-2</v>
      </c>
      <c r="Z4" s="2">
        <v>2.4650007486343301E-2</v>
      </c>
      <c r="AA4" s="2">
        <v>2.8283983469009399E-2</v>
      </c>
      <c r="AB4" s="2">
        <v>4.9612969160079901E-2</v>
      </c>
      <c r="AC4" s="2">
        <v>2.0470440387725799E-2</v>
      </c>
      <c r="AD4" s="2">
        <v>2.3450195789337099E-2</v>
      </c>
      <c r="AE4" s="2">
        <v>3.0615866184234598E-2</v>
      </c>
      <c r="AF4" s="2">
        <v>1.45405530929565E-2</v>
      </c>
      <c r="AG4" s="2">
        <v>1.6957104206085202E-2</v>
      </c>
      <c r="AH4" s="2">
        <v>3.4547924995422301E-2</v>
      </c>
      <c r="AI4" s="2">
        <v>3.1962931156158399E-2</v>
      </c>
      <c r="AJ4" s="2">
        <v>4.31969463825225E-2</v>
      </c>
      <c r="AK4" s="2">
        <v>3.5092771053314202E-2</v>
      </c>
    </row>
    <row r="5" spans="1:37" x14ac:dyDescent="0.35">
      <c r="A5" s="2">
        <v>-1.1374950408935499E-3</v>
      </c>
      <c r="B5" s="2">
        <v>8.0398321151733398E-3</v>
      </c>
      <c r="C5" s="2">
        <v>1.3451814651489201E-2</v>
      </c>
      <c r="D5" s="2">
        <v>9.7990632057189907E-3</v>
      </c>
      <c r="E5" s="2">
        <v>1.4192700386047301E-2</v>
      </c>
      <c r="F5" s="2">
        <v>1.28949284553527E-2</v>
      </c>
      <c r="G5" s="2">
        <v>1.5333205461502001E-2</v>
      </c>
      <c r="H5" s="2">
        <v>1.5103846788406299E-2</v>
      </c>
      <c r="I5" s="2">
        <v>1.4220684766769401E-2</v>
      </c>
      <c r="J5" s="2">
        <v>9.7196996212005598E-3</v>
      </c>
      <c r="K5" s="2">
        <v>4.9340724945068299E-3</v>
      </c>
      <c r="L5" s="2">
        <v>3.3503472805023098E-3</v>
      </c>
      <c r="M5" s="2">
        <v>1.6254574060440001E-2</v>
      </c>
      <c r="N5" s="2">
        <v>9.5641314983367903E-3</v>
      </c>
      <c r="O5" s="2">
        <v>6.90311193466186E-3</v>
      </c>
      <c r="P5" s="2">
        <v>1.4940232038497901E-2</v>
      </c>
      <c r="Q5" s="2">
        <v>1.8019080162048301E-3</v>
      </c>
      <c r="R5" s="2">
        <v>1.08046829700469E-2</v>
      </c>
      <c r="S5" s="2">
        <v>1.8282055854797301E-2</v>
      </c>
      <c r="T5" s="2">
        <v>2.1377950906753498E-2</v>
      </c>
      <c r="U5" s="2">
        <v>2.3230403661727898E-2</v>
      </c>
      <c r="V5" s="2">
        <v>2.2904455661773598E-2</v>
      </c>
      <c r="W5" s="2">
        <v>2.26747095584869E-2</v>
      </c>
      <c r="X5" s="2">
        <v>2.2789895534515301E-2</v>
      </c>
      <c r="Y5" s="2">
        <v>3.4156709909438997E-2</v>
      </c>
      <c r="Z5" s="2">
        <v>2.49724984169006E-2</v>
      </c>
      <c r="AA5" s="2">
        <v>2.24719941616058E-2</v>
      </c>
      <c r="AB5" s="2">
        <v>1.9186556339263899E-2</v>
      </c>
      <c r="AC5" s="2">
        <v>2.4947345256805399E-2</v>
      </c>
      <c r="AD5" s="2">
        <v>2.2842109203338599E-2</v>
      </c>
      <c r="AE5" s="2">
        <v>2.61539816856384E-2</v>
      </c>
      <c r="AF5" s="2">
        <v>2.1226048469543402E-2</v>
      </c>
      <c r="AG5" s="2">
        <v>2.00925767421722E-2</v>
      </c>
      <c r="AH5" s="2">
        <v>1.82147920131683E-2</v>
      </c>
      <c r="AI5" s="2">
        <v>1.2402236461639401E-2</v>
      </c>
      <c r="AJ5" s="2">
        <v>2.7072668075561499E-2</v>
      </c>
      <c r="AK5" s="2">
        <v>2.3397952318191501E-2</v>
      </c>
    </row>
    <row r="6" spans="1:37" x14ac:dyDescent="0.35">
      <c r="A6" s="2">
        <v>5.2234530448913498E-4</v>
      </c>
      <c r="B6" s="2">
        <v>1.0267257690429601E-2</v>
      </c>
      <c r="C6" s="2">
        <v>6.0659050941467198E-3</v>
      </c>
      <c r="D6" s="2">
        <v>7.9362094402313198E-3</v>
      </c>
      <c r="E6" s="2">
        <v>1.4555215835571201E-2</v>
      </c>
      <c r="F6" s="2">
        <v>1.25356912612915E-2</v>
      </c>
      <c r="G6" s="2">
        <v>1.52290165424346E-2</v>
      </c>
      <c r="H6" s="2">
        <v>1.6585975885391201E-2</v>
      </c>
      <c r="I6" s="2">
        <v>1.13227069377899E-2</v>
      </c>
      <c r="J6" s="2">
        <v>8.2435309886932304E-3</v>
      </c>
      <c r="K6" s="2">
        <v>6.7328810691833496E-3</v>
      </c>
      <c r="L6" s="2">
        <v>6.6350102424621504E-3</v>
      </c>
      <c r="M6" s="2">
        <v>1.1481165885925199E-2</v>
      </c>
      <c r="N6" s="2">
        <v>9.0920925140380807E-3</v>
      </c>
      <c r="O6" s="2">
        <v>9.4345808029174805E-3</v>
      </c>
      <c r="P6" s="2">
        <v>7.4118375778198199E-3</v>
      </c>
      <c r="Q6" s="2">
        <v>2.9099881649017299E-3</v>
      </c>
      <c r="R6" s="2">
        <v>2.1978974342346101E-2</v>
      </c>
      <c r="S6" s="2">
        <v>1.17884576320648E-2</v>
      </c>
      <c r="T6" s="2">
        <v>1.51592195034027E-2</v>
      </c>
      <c r="U6" s="2">
        <v>3.0049562454223602E-2</v>
      </c>
      <c r="V6" s="2">
        <v>2.2904455661773598E-2</v>
      </c>
      <c r="W6" s="2">
        <v>2.0134478807449299E-2</v>
      </c>
      <c r="X6" s="2">
        <v>2.90141403675079E-2</v>
      </c>
      <c r="Y6" s="2">
        <v>2.73890495300292E-2</v>
      </c>
      <c r="Z6" s="2">
        <v>2.52757966518402E-2</v>
      </c>
      <c r="AA6" s="2">
        <v>3.2650738954543998E-2</v>
      </c>
      <c r="AB6" s="2">
        <v>2.9970586299896199E-2</v>
      </c>
      <c r="AC6" s="2">
        <v>2.0283579826354901E-2</v>
      </c>
      <c r="AD6" s="2">
        <v>1.8604606389999299E-2</v>
      </c>
      <c r="AE6" s="2">
        <v>1.8524914979934599E-2</v>
      </c>
      <c r="AF6" s="2">
        <v>1.7566859722137399E-2</v>
      </c>
      <c r="AG6" s="2">
        <v>1.8627077341079702E-2</v>
      </c>
      <c r="AH6" s="2">
        <v>1.9381135702133099E-2</v>
      </c>
      <c r="AI6" s="2">
        <v>4.37495112419128E-2</v>
      </c>
      <c r="AJ6" s="2">
        <v>2.6253342628479E-2</v>
      </c>
      <c r="AK6" s="2">
        <v>2.19732820987701E-2</v>
      </c>
    </row>
    <row r="7" spans="1:37" x14ac:dyDescent="0.35">
      <c r="A7" s="2">
        <v>5.8322846889495798E-3</v>
      </c>
      <c r="B7" s="2">
        <v>1.13075673580169E-2</v>
      </c>
      <c r="C7" s="2">
        <v>8.8349580764770508E-3</v>
      </c>
      <c r="D7" s="2">
        <v>1.3094246387481599E-2</v>
      </c>
      <c r="E7" s="2">
        <v>1.45111083984375E-2</v>
      </c>
      <c r="F7" s="2">
        <v>1.15427374839782E-2</v>
      </c>
      <c r="G7" s="2">
        <v>1.3795971870422301E-2</v>
      </c>
      <c r="H7" s="2">
        <v>1.6372591257095299E-2</v>
      </c>
      <c r="I7" s="2">
        <v>1.23835802078247E-2</v>
      </c>
      <c r="J7" s="2">
        <v>1.12265646457672E-2</v>
      </c>
      <c r="K7" s="2">
        <v>5.51596283912658E-3</v>
      </c>
      <c r="L7" s="2">
        <v>6.9175362586975098E-3</v>
      </c>
      <c r="M7" s="2">
        <v>1.9291758537292401E-2</v>
      </c>
      <c r="N7" s="2">
        <v>8.6932182312011701E-3</v>
      </c>
      <c r="O7" s="2">
        <v>2.6254355907440099E-3</v>
      </c>
      <c r="P7" s="2">
        <v>7.1380734443664499E-3</v>
      </c>
      <c r="Q7" s="2">
        <v>1.7256468534469601E-2</v>
      </c>
      <c r="R7" s="2">
        <v>2.5807112455368E-2</v>
      </c>
      <c r="S7" s="2">
        <v>2.3649156093597402E-2</v>
      </c>
      <c r="T7" s="2">
        <v>1.54876112937927E-2</v>
      </c>
      <c r="U7" s="2">
        <v>2.3564100265502898E-2</v>
      </c>
      <c r="V7" s="2">
        <v>2.2904455661773598E-2</v>
      </c>
      <c r="W7" s="2">
        <v>2.2005409002304001E-2</v>
      </c>
      <c r="X7" s="2">
        <v>3.1012058258056599E-2</v>
      </c>
      <c r="Y7" s="2">
        <v>2.4381160736083901E-2</v>
      </c>
      <c r="Z7" s="2">
        <v>2.4521112442016602E-2</v>
      </c>
      <c r="AA7" s="2">
        <v>3.1872451305389397E-2</v>
      </c>
      <c r="AB7" s="2">
        <v>2.79819965362548E-2</v>
      </c>
      <c r="AC7" s="2">
        <v>2.3759007453918402E-2</v>
      </c>
      <c r="AD7" s="2">
        <v>2.1375745534896799E-2</v>
      </c>
      <c r="AE7" s="2">
        <v>2.6461541652679402E-2</v>
      </c>
      <c r="AF7" s="2">
        <v>2.0572483539581299E-2</v>
      </c>
      <c r="AG7" s="2">
        <v>1.8761634826660101E-2</v>
      </c>
      <c r="AH7" s="2">
        <v>1.46536231040954E-2</v>
      </c>
      <c r="AI7" s="2">
        <v>4.0116518735885599E-2</v>
      </c>
      <c r="AJ7" s="2">
        <v>1.9644856452941801E-2</v>
      </c>
      <c r="AK7" s="2">
        <v>1.8601596355438201E-2</v>
      </c>
    </row>
    <row r="8" spans="1:37" x14ac:dyDescent="0.35">
      <c r="A8" s="2">
        <v>2.66802310943603E-3</v>
      </c>
      <c r="B8" s="2">
        <v>1.0025978088378899E-2</v>
      </c>
      <c r="C8" s="2">
        <v>1.2121289968490601E-2</v>
      </c>
      <c r="D8" s="2">
        <v>1.26324295997619E-2</v>
      </c>
      <c r="E8" s="2">
        <v>1.21710300445556E-2</v>
      </c>
      <c r="F8" s="2">
        <v>1.10001862049102E-2</v>
      </c>
      <c r="G8" s="2">
        <v>1.19203627109527E-2</v>
      </c>
      <c r="H8" s="2">
        <v>1.30778849124908E-2</v>
      </c>
      <c r="I8" s="2">
        <v>1.28856599330902E-2</v>
      </c>
      <c r="J8" s="2">
        <v>3.6940574645995998E-3</v>
      </c>
      <c r="K8" s="2">
        <v>7.3893368244171099E-3</v>
      </c>
      <c r="L8" s="2">
        <v>7.1427226066589301E-4</v>
      </c>
      <c r="M8" s="2">
        <v>1.41858756542205E-2</v>
      </c>
      <c r="N8" s="2">
        <v>1.22564733028411E-2</v>
      </c>
      <c r="O8" s="2">
        <v>1.14921927452087E-2</v>
      </c>
      <c r="P8" s="2">
        <v>1.74543261528015E-2</v>
      </c>
      <c r="Q8" s="2">
        <v>-8.4757804870605404E-4</v>
      </c>
      <c r="R8" s="2">
        <v>2.8249740600585899E-2</v>
      </c>
      <c r="S8" s="2">
        <v>1.67159140110015E-2</v>
      </c>
      <c r="T8" s="2">
        <v>2.8885930776596E-2</v>
      </c>
      <c r="U8" s="2">
        <v>2.3213654756546E-2</v>
      </c>
      <c r="V8" s="2">
        <v>2.2904455661773598E-2</v>
      </c>
      <c r="W8" s="2">
        <v>1.12434923648834E-2</v>
      </c>
      <c r="X8" s="2">
        <v>2.2705405950546199E-2</v>
      </c>
      <c r="Y8" s="2">
        <v>3.0686974525451601E-2</v>
      </c>
      <c r="Z8" s="2">
        <v>3.3466517925262403E-2</v>
      </c>
      <c r="AA8" s="2">
        <v>1.8904685974121E-2</v>
      </c>
      <c r="AB8" s="2">
        <v>2.1399170160293499E-2</v>
      </c>
      <c r="AC8" s="2">
        <v>2.3165017366409298E-2</v>
      </c>
      <c r="AD8" s="2">
        <v>2.2650688886642401E-2</v>
      </c>
      <c r="AE8" s="2">
        <v>3.2450288534164401E-2</v>
      </c>
      <c r="AF8" s="2">
        <v>1.4817476272582999E-2</v>
      </c>
      <c r="AG8" s="2">
        <v>1.9790083169937099E-2</v>
      </c>
      <c r="AH8" s="2">
        <v>1.8605589866638099E-3</v>
      </c>
      <c r="AI8" s="2">
        <v>2.72632539272308E-2</v>
      </c>
      <c r="AJ8" s="2">
        <v>2.73637771606445E-2</v>
      </c>
      <c r="AK8" s="2">
        <v>2.40685641765594E-2</v>
      </c>
    </row>
    <row r="9" spans="1:37" x14ac:dyDescent="0.35">
      <c r="A9" s="2">
        <v>6.4534842967987E-3</v>
      </c>
      <c r="B9" s="2">
        <v>8.8605582714080793E-3</v>
      </c>
      <c r="C9" s="2">
        <v>1.0172277688980101E-2</v>
      </c>
      <c r="D9" s="2">
        <v>8.3222091197967495E-3</v>
      </c>
      <c r="E9" s="2">
        <v>1.42415165901184E-2</v>
      </c>
      <c r="F9" s="2">
        <v>1.5619188547134399E-2</v>
      </c>
      <c r="G9" s="2">
        <v>1.4115959405898999E-2</v>
      </c>
      <c r="H9" s="2">
        <v>1.5844434499740601E-2</v>
      </c>
      <c r="I9" s="2">
        <v>1.21514797210693E-2</v>
      </c>
      <c r="J9" s="2">
        <v>7.5750350952148403E-3</v>
      </c>
      <c r="K9" s="2">
        <v>5.1184594631194999E-3</v>
      </c>
      <c r="L9" s="2">
        <v>4.9731135368347099E-3</v>
      </c>
      <c r="M9" s="2">
        <v>1.11259818077087E-2</v>
      </c>
      <c r="N9" s="2">
        <v>1.17718279361724E-2</v>
      </c>
      <c r="O9" s="2">
        <v>2.16602981090545E-2</v>
      </c>
      <c r="P9" s="2">
        <v>1.5255779027938799E-2</v>
      </c>
      <c r="Q9" s="2">
        <v>-2.22659111022949E-3</v>
      </c>
      <c r="R9" s="2">
        <v>2.42464244365692E-2</v>
      </c>
      <c r="S9" s="2">
        <v>1.5892714262008601E-2</v>
      </c>
      <c r="T9" s="2">
        <v>1.83503329753875E-2</v>
      </c>
      <c r="U9" s="2">
        <v>2.9186427593231201E-2</v>
      </c>
      <c r="V9" s="2">
        <v>2.2904455661773598E-2</v>
      </c>
      <c r="W9" s="2">
        <v>2.4331003427505399E-2</v>
      </c>
      <c r="X9" s="2">
        <v>3.3402562141418402E-2</v>
      </c>
      <c r="Y9" s="2">
        <v>3.1149804592132499E-2</v>
      </c>
      <c r="Z9" s="2">
        <v>2.75445282459259E-2</v>
      </c>
      <c r="AA9" s="2">
        <v>2.5370270013809201E-2</v>
      </c>
      <c r="AB9" s="2">
        <v>4.5520782470703097E-2</v>
      </c>
      <c r="AC9" s="2">
        <v>2.3590207099914499E-2</v>
      </c>
      <c r="AD9" s="2">
        <v>2.04683244228363E-2</v>
      </c>
      <c r="AE9" s="2">
        <v>2.91799306869506E-2</v>
      </c>
      <c r="AF9" s="2">
        <v>2.1276980638504001E-2</v>
      </c>
      <c r="AG9" s="2">
        <v>2.10595428943634E-2</v>
      </c>
      <c r="AH9" s="2">
        <v>5.11221885681152E-2</v>
      </c>
      <c r="AI9" s="2">
        <v>2.6347339153289701E-2</v>
      </c>
      <c r="AJ9" s="2">
        <v>5.0399601459503096E-3</v>
      </c>
      <c r="AK9" s="2">
        <v>2.3906499147415099E-2</v>
      </c>
    </row>
    <row r="10" spans="1:37" x14ac:dyDescent="0.35">
      <c r="A10" s="2">
        <v>-1.51801109313964E-3</v>
      </c>
      <c r="B10" s="2">
        <v>1.0229974985122601E-2</v>
      </c>
      <c r="C10" s="2">
        <v>1.7274320125579799E-2</v>
      </c>
      <c r="D10" s="2">
        <v>7.8155398368835397E-3</v>
      </c>
      <c r="E10" s="2">
        <v>1.45732462406158E-2</v>
      </c>
      <c r="F10" s="2">
        <v>1.6375631093978799E-2</v>
      </c>
      <c r="G10" s="2">
        <v>1.2092024087905801E-2</v>
      </c>
      <c r="H10" s="2">
        <v>1.66741907596588E-2</v>
      </c>
      <c r="I10" s="2">
        <v>1.2980103492736801E-2</v>
      </c>
      <c r="J10" s="2">
        <v>-2.7766823768615701E-4</v>
      </c>
      <c r="K10" s="2">
        <v>5.2918493747711104E-3</v>
      </c>
      <c r="L10" s="2">
        <v>4.5849084854125898E-3</v>
      </c>
      <c r="M10" s="2">
        <v>8.3528459072113002E-3</v>
      </c>
      <c r="N10" s="2">
        <v>1.12892687320709E-2</v>
      </c>
      <c r="O10" s="2">
        <v>-7.6608955860137896E-3</v>
      </c>
      <c r="P10" s="2">
        <v>1.9696772098541201E-2</v>
      </c>
      <c r="Q10" s="2">
        <v>9.6862316131591797E-3</v>
      </c>
      <c r="R10" s="2">
        <v>2.8462022542953401E-2</v>
      </c>
      <c r="S10" s="2">
        <v>3.7191092967986998E-2</v>
      </c>
      <c r="T10" s="2">
        <v>1.6375273466110198E-2</v>
      </c>
      <c r="U10" s="2">
        <v>1.80023312568664E-2</v>
      </c>
      <c r="V10" s="2">
        <v>2.2904455661773598E-2</v>
      </c>
      <c r="W10" s="2">
        <v>2.5700122117996198E-2</v>
      </c>
      <c r="X10" s="2">
        <v>2.8031617403030298E-2</v>
      </c>
      <c r="Y10" s="2">
        <v>3.1384974718093803E-2</v>
      </c>
      <c r="Z10" s="2">
        <v>3.0599594116210899E-2</v>
      </c>
      <c r="AA10" s="2">
        <v>2.47156620025634E-2</v>
      </c>
      <c r="AB10" s="2">
        <v>8.0511271953582694E-3</v>
      </c>
      <c r="AC10" s="2">
        <v>2.29591727256774E-2</v>
      </c>
      <c r="AD10" s="2">
        <v>2.8919100761413501E-2</v>
      </c>
      <c r="AE10" s="2">
        <v>3.2661885023117003E-2</v>
      </c>
      <c r="AF10" s="2">
        <v>1.7462372779846101E-2</v>
      </c>
      <c r="AG10" s="2">
        <v>1.8568277359008699E-2</v>
      </c>
      <c r="AH10" s="2">
        <v>8.3320438861846906E-3</v>
      </c>
      <c r="AI10" s="2">
        <v>2.7546644210815398E-2</v>
      </c>
      <c r="AJ10" s="2">
        <v>3.0070304870605399E-2</v>
      </c>
      <c r="AK10" s="2">
        <v>2.2268086671829199E-2</v>
      </c>
    </row>
    <row r="11" spans="1:37" x14ac:dyDescent="0.35">
      <c r="A11" s="2">
        <v>9.18936729431152E-3</v>
      </c>
      <c r="B11" s="2">
        <v>8.5796713829040493E-3</v>
      </c>
      <c r="C11" s="2">
        <v>9.2612206935882499E-3</v>
      </c>
      <c r="D11" s="2">
        <v>8.0621242523193307E-3</v>
      </c>
      <c r="E11" s="2">
        <v>1.24284625053405E-2</v>
      </c>
      <c r="F11" s="2">
        <v>1.3583928346633901E-2</v>
      </c>
      <c r="G11" s="2">
        <v>1.5343278646469101E-2</v>
      </c>
      <c r="H11" s="2">
        <v>1.49561762809753E-2</v>
      </c>
      <c r="I11" s="2">
        <v>1.0989665985107399E-2</v>
      </c>
      <c r="J11" s="2">
        <v>4.3915212154388402E-3</v>
      </c>
      <c r="K11" s="2">
        <v>5.4117739200591998E-3</v>
      </c>
      <c r="L11" s="2">
        <v>9.6563398838043196E-3</v>
      </c>
      <c r="M11" s="2">
        <v>1.1273831129074E-2</v>
      </c>
      <c r="N11" s="2">
        <v>8.7728202342987009E-3</v>
      </c>
      <c r="O11" s="2">
        <v>1.30082964897155E-2</v>
      </c>
      <c r="P11" s="2">
        <v>1.6803979873657199E-2</v>
      </c>
      <c r="Q11" s="2">
        <v>1.7617166042327801E-2</v>
      </c>
      <c r="R11" s="2">
        <v>1.8229901790618799E-2</v>
      </c>
      <c r="S11" s="2">
        <v>1.32319629192352E-2</v>
      </c>
      <c r="T11" s="2">
        <v>2.1514952182769699E-2</v>
      </c>
      <c r="U11" s="2">
        <v>2.2904455661773598E-2</v>
      </c>
      <c r="V11" s="2">
        <v>2.2904455661773598E-2</v>
      </c>
      <c r="W11" s="2">
        <v>2.98548340797424E-2</v>
      </c>
      <c r="X11" s="2">
        <v>2.7594715356826699E-2</v>
      </c>
      <c r="Y11" s="2">
        <v>3.28646004199981E-2</v>
      </c>
      <c r="Z11" s="2">
        <v>3.08741331100463E-2</v>
      </c>
      <c r="AA11" s="2">
        <v>4.0644377470016403E-2</v>
      </c>
      <c r="AB11" s="2">
        <v>2.8640538454055699E-2</v>
      </c>
      <c r="AC11" s="2">
        <v>2.42075622081756E-2</v>
      </c>
      <c r="AD11" s="2">
        <v>2.45755016803741E-2</v>
      </c>
      <c r="AE11" s="2">
        <v>1.9852429628372099E-2</v>
      </c>
      <c r="AF11" s="2">
        <v>2.1641433238983099E-2</v>
      </c>
      <c r="AG11" s="2">
        <v>2.8742611408233601E-2</v>
      </c>
      <c r="AH11" s="2">
        <v>3.1194537878036499E-2</v>
      </c>
      <c r="AI11" s="2">
        <v>3.3832877874374299E-2</v>
      </c>
      <c r="AJ11" s="2">
        <v>2.88185477256774E-2</v>
      </c>
      <c r="AK11" s="2">
        <v>2.9358714818954398E-2</v>
      </c>
    </row>
    <row r="13" spans="1:37" x14ac:dyDescent="0.35">
      <c r="A13" s="3" t="s">
        <v>38</v>
      </c>
    </row>
    <row r="14" spans="1:37" x14ac:dyDescent="0.35">
      <c r="A14" s="2">
        <f>AVERAGE(FI_OTU_familia[F_TOTAL])</f>
        <v>3.778329491615294E-3</v>
      </c>
      <c r="B14" s="2">
        <f>AVERAGE(FI_OTU_familia[F_CITMLB])</f>
        <v>9.8077565431594523E-3</v>
      </c>
      <c r="C14" s="2">
        <f>AVERAGE(FI_OTU_familia[F_OTHER])</f>
        <v>1.1067381501197796E-2</v>
      </c>
      <c r="D14" s="2">
        <f>AVERAGE(FI_OTU_familia[F_JUICE])</f>
        <v>9.2768877744674443E-3</v>
      </c>
      <c r="E14" s="2">
        <f>AVERAGE(FI_OTU_familia[V_TOTAL])</f>
        <v>1.3135048747062641E-2</v>
      </c>
      <c r="F14" s="2">
        <f>AVERAGE(FI_OTU_familia[V_DRKGR])</f>
        <v>1.3401317596435499E-2</v>
      </c>
      <c r="G14" s="2">
        <f>AVERAGE(FI_OTU_familia[V_REDOR_TOTAL])</f>
        <v>1.3224658370017951E-2</v>
      </c>
      <c r="H14" s="2">
        <f>AVERAGE(FI_OTU_familia[V_REDOR_TOMATO])</f>
        <v>1.5314349532127347E-2</v>
      </c>
      <c r="I14" s="2">
        <f>AVERAGE(FI_OTU_familia[V_REDOR_OTHER])</f>
        <v>1.2356263399124127E-2</v>
      </c>
      <c r="J14" s="2">
        <f>AVERAGE(FI_OTU_familia[V_STARCHY_TOTAL])</f>
        <v>5.8604538440704288E-3</v>
      </c>
      <c r="K14" s="2">
        <f>AVERAGE(FI_OTU_familia[V_STARCHY_POTATO])</f>
        <v>5.3147047758102372E-3</v>
      </c>
      <c r="L14" s="2">
        <f>AVERAGE(FI_OTU_familia[V_STARCHY_OTHER])</f>
        <v>5.273929238319393E-3</v>
      </c>
      <c r="M14" s="2">
        <f>AVERAGE(FI_OTU_familia[V_OTHER])</f>
        <v>1.4389774203300421E-2</v>
      </c>
      <c r="N14" s="2">
        <f>AVERAGE(FI_OTU_familia[V_LEGUMES])</f>
        <v>1.0583677887916535E-2</v>
      </c>
      <c r="O14" s="2">
        <f>AVERAGE(FI_OTU_familia[G_TOTAL])</f>
        <v>7.8185558319091523E-3</v>
      </c>
      <c r="P14" s="2">
        <f>AVERAGE(FI_OTU_familia[G_WHOLE])</f>
        <v>1.4854031801223716E-2</v>
      </c>
      <c r="Q14" s="2">
        <f>AVERAGE(FI_OTU_familia[G_REFINED])</f>
        <v>5.5413424968719389E-3</v>
      </c>
      <c r="R14" s="2">
        <f>AVERAGE(FI_OTU_familia[PF_TOTAL])</f>
        <v>2.1116963028907719E-2</v>
      </c>
      <c r="S14" s="2">
        <f>AVERAGE(FI_OTU_familia[PF_MPS_TOTAL])</f>
        <v>1.9789671897888148E-2</v>
      </c>
      <c r="T14" s="2">
        <f>AVERAGE(FI_OTU_familia[PF_MEAT])</f>
        <v>2.0075556635856577E-2</v>
      </c>
      <c r="U14" s="2">
        <f>AVERAGE(FI_OTU_familia[PF_CUREDMEAT])</f>
        <v>2.4971932172775241E-2</v>
      </c>
      <c r="V14" s="2">
        <f>AVERAGE(FI_OTU_familia[PF_ORGAN])</f>
        <v>2.2904455661773598E-2</v>
      </c>
      <c r="W14" s="2">
        <f>AVERAGE(FI_OTU_familia[PF_POULT])</f>
        <v>2.3789876699447592E-2</v>
      </c>
      <c r="X14" s="2">
        <f>AVERAGE(FI_OTU_familia[PF_SEAFD_HI])</f>
        <v>2.804411649703973E-2</v>
      </c>
      <c r="Y14" s="2">
        <f>AVERAGE(FI_OTU_familia[PF_SEAFD_LOW])</f>
        <v>2.8446564078330922E-2</v>
      </c>
      <c r="Z14" s="2">
        <f>AVERAGE(FI_OTU_familia[PF_EGGS])</f>
        <v>2.8667968511581376E-2</v>
      </c>
      <c r="AA14" s="2">
        <f>AVERAGE(FI_OTU_familia[PF_SOY])</f>
        <v>2.9695856571197471E-2</v>
      </c>
      <c r="AB14" s="2">
        <f>AVERAGE(FI_OTU_familia[PF_NUTSDS])</f>
        <v>2.9294800758361762E-2</v>
      </c>
      <c r="AC14" s="2">
        <f>AVERAGE(FI_OTU_familia[PF_LEGUMES])</f>
        <v>2.2644439339637702E-2</v>
      </c>
      <c r="AD14" s="2">
        <f>AVERAGE(FI_OTU_familia[D_TOTAL])</f>
        <v>2.3574903607368417E-2</v>
      </c>
      <c r="AE14" s="2">
        <f>AVERAGE(FI_OTU_familia[D_MILK])</f>
        <v>2.5604856014251647E-2</v>
      </c>
      <c r="AF14" s="2">
        <f>AVERAGE(FI_OTU_familia[D_YOGURT])</f>
        <v>1.885604858398433E-2</v>
      </c>
      <c r="AG14" s="2">
        <f>AVERAGE(FI_OTU_familia[D_CHEESE])</f>
        <v>2.054630219936367E-2</v>
      </c>
      <c r="AH14" s="2">
        <f>AVERAGE(FI_OTU_familia[OILS])</f>
        <v>2.4049153923988303E-2</v>
      </c>
      <c r="AI14" s="2">
        <f>AVERAGE(FI_OTU_familia[SOLID_FATS])</f>
        <v>3.1166374683380071E-2</v>
      </c>
      <c r="AJ14" s="2">
        <f>AVERAGE(FI_OTU_familia[ADD_SUGARS])</f>
        <v>2.8434899449348398E-2</v>
      </c>
      <c r="AK14" s="2">
        <f>AVERAGE(FI_OTU_familia[A_DRINKS])</f>
        <v>2.4553376436233482E-2</v>
      </c>
    </row>
    <row r="15" spans="1:37" x14ac:dyDescent="0.35">
      <c r="A15" s="3" t="s">
        <v>39</v>
      </c>
    </row>
    <row r="16" spans="1:37" x14ac:dyDescent="0.35">
      <c r="A16" s="2">
        <f>STDEV(FI_OTU_familia[F_TOTAL])</f>
        <v>4.3929774310214643E-3</v>
      </c>
      <c r="B16" s="2">
        <f>STDEV(FI_OTU_familia[F_CITMLB])</f>
        <v>1.1129392688578536E-3</v>
      </c>
      <c r="C16" s="2">
        <f>STDEV(FI_OTU_familia[F_OTHER])</f>
        <v>3.3073415819821501E-3</v>
      </c>
      <c r="D16" s="2">
        <f>STDEV(FI_OTU_familia[F_JUICE])</f>
        <v>2.220452656084186E-3</v>
      </c>
      <c r="E16" s="2">
        <f>STDEV(FI_OTU_familia[V_TOTAL])</f>
        <v>1.9901815744906952E-3</v>
      </c>
      <c r="F16" s="2">
        <f>STDEV(FI_OTU_familia[V_DRKGR])</f>
        <v>1.7113800873546658E-3</v>
      </c>
      <c r="G16" s="2">
        <f>STDEV(FI_OTU_familia[V_REDOR_TOTAL])</f>
        <v>2.0111763772281926E-3</v>
      </c>
      <c r="H16" s="2">
        <f>STDEV(FI_OTU_familia[V_REDOR_TOMATO])</f>
        <v>1.5495056542836603E-3</v>
      </c>
      <c r="I16" s="2">
        <f>STDEV(FI_OTU_familia[V_REDOR_OTHER])</f>
        <v>9.0807223918339607E-4</v>
      </c>
      <c r="J16" s="2">
        <f>STDEV(FI_OTU_familia[V_STARCHY_TOTAL])</f>
        <v>3.5130803953199803E-3</v>
      </c>
      <c r="K16" s="2">
        <f>STDEV(FI_OTU_familia[V_STARCHY_POTATO])</f>
        <v>1.877496599464065E-3</v>
      </c>
      <c r="L16" s="2">
        <f>STDEV(FI_OTU_familia[V_STARCHY_OTHER])</f>
        <v>2.7834726759141388E-3</v>
      </c>
      <c r="M16" s="2">
        <f>STDEV(FI_OTU_familia[V_OTHER])</f>
        <v>3.7502940891636811E-3</v>
      </c>
      <c r="N16" s="2">
        <f>STDEV(FI_OTU_familia[V_LEGUMES])</f>
        <v>1.4872391768455731E-3</v>
      </c>
      <c r="O16" s="2">
        <f>STDEV(FI_OTU_familia[G_TOTAL])</f>
        <v>7.9177379995923301E-3</v>
      </c>
      <c r="P16" s="2">
        <f>STDEV(FI_OTU_familia[G_WHOLE])</f>
        <v>4.6464924306486681E-3</v>
      </c>
      <c r="Q16" s="2">
        <f>STDEV(FI_OTU_familia[G_REFINED])</f>
        <v>7.2345865999581113E-3</v>
      </c>
      <c r="R16" s="2">
        <f>STDEV(FI_OTU_familia[PF_TOTAL])</f>
        <v>6.4004605439517241E-3</v>
      </c>
      <c r="S16" s="2">
        <f>STDEV(FI_OTU_familia[PF_MPS_TOTAL])</f>
        <v>9.13064488639302E-3</v>
      </c>
      <c r="T16" s="2">
        <f>STDEV(FI_OTU_familia[PF_MEAT])</f>
        <v>4.0626094301987742E-3</v>
      </c>
      <c r="U16" s="2">
        <f>STDEV(FI_OTU_familia[PF_CUREDMEAT])</f>
        <v>3.9954225788420847E-3</v>
      </c>
      <c r="V16" s="2">
        <f>STDEV(FI_OTU_familia[PF_ORGAN])</f>
        <v>0</v>
      </c>
      <c r="W16" s="2">
        <f>STDEV(FI_OTU_familia[PF_POULT])</f>
        <v>6.1313104703497479E-3</v>
      </c>
      <c r="X16" s="2">
        <f>STDEV(FI_OTU_familia[PF_SEAFD_HI])</f>
        <v>3.6743239482995658E-3</v>
      </c>
      <c r="Y16" s="2">
        <f>STDEV(FI_OTU_familia[PF_SEAFD_LOW])</f>
        <v>4.9900486601012432E-3</v>
      </c>
      <c r="Z16" s="2">
        <f>STDEV(FI_OTU_familia[PF_EGGS])</f>
        <v>3.6402111606949217E-3</v>
      </c>
      <c r="AA16" s="2">
        <f>STDEV(FI_OTU_familia[PF_SOY])</f>
        <v>6.9344493794395454E-3</v>
      </c>
      <c r="AB16" s="2">
        <f>STDEV(FI_OTU_familia[PF_NUTSDS])</f>
        <v>1.2071497667285807E-2</v>
      </c>
      <c r="AC16" s="2">
        <f>STDEV(FI_OTU_familia[PF_LEGUMES])</f>
        <v>1.672243308701595E-3</v>
      </c>
      <c r="AD16" s="2">
        <f>STDEV(FI_OTU_familia[D_TOTAL])</f>
        <v>3.1044068031385388E-3</v>
      </c>
      <c r="AE16" s="2">
        <f>STDEV(FI_OTU_familia[D_MILK])</f>
        <v>5.7265485105764827E-3</v>
      </c>
      <c r="AF16" s="2">
        <f>STDEV(FI_OTU_familia[D_YOGURT])</f>
        <v>2.7374830146798569E-3</v>
      </c>
      <c r="AG16" s="2">
        <f>STDEV(FI_OTU_familia[D_CHEESE])</f>
        <v>3.3625455457171774E-3</v>
      </c>
      <c r="AH16" s="2">
        <f>STDEV(FI_OTU_familia[OILS])</f>
        <v>1.4827460901958208E-2</v>
      </c>
      <c r="AI16" s="2">
        <f>STDEV(FI_OTU_familia[SOLID_FATS])</f>
        <v>1.2467902396961843E-2</v>
      </c>
      <c r="AJ16" s="2">
        <f>STDEV(FI_OTU_familia[ADD_SUGARS])</f>
        <v>1.3779197876747631E-2</v>
      </c>
      <c r="AK16" s="2">
        <f>STDEV(FI_OTU_familia[A_DRINKS])</f>
        <v>4.7043589547543256E-3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BE8F5-30EC-4EC0-8A27-638D0DD4C454}">
  <dimension ref="A1:AK16"/>
  <sheetViews>
    <sheetView topLeftCell="AB1" workbookViewId="0">
      <selection activeCell="AK20" sqref="AK20"/>
    </sheetView>
  </sheetViews>
  <sheetFormatPr baseColWidth="10" defaultRowHeight="14.5" x14ac:dyDescent="0.35"/>
  <cols>
    <col min="1" max="3" width="22.1796875" style="2" bestFit="1" customWidth="1"/>
    <col min="4" max="4" width="23.1796875" style="2" bestFit="1" customWidth="1"/>
    <col min="5" max="6" width="22.1796875" style="2" bestFit="1" customWidth="1"/>
    <col min="7" max="11" width="21.54296875" style="2" bestFit="1" customWidth="1"/>
    <col min="12" max="12" width="20.453125" style="2" bestFit="1" customWidth="1"/>
    <col min="13" max="14" width="21.54296875" style="2" bestFit="1" customWidth="1"/>
    <col min="15" max="15" width="22.1796875" style="2" bestFit="1" customWidth="1"/>
    <col min="16" max="16" width="21.54296875" style="2" bestFit="1" customWidth="1"/>
    <col min="17" max="17" width="22.1796875" style="2" bestFit="1" customWidth="1"/>
    <col min="18" max="18" width="23.1796875" style="2" bestFit="1" customWidth="1"/>
    <col min="19" max="19" width="21.54296875" style="2" bestFit="1" customWidth="1"/>
    <col min="20" max="20" width="22.1796875" style="2" bestFit="1" customWidth="1"/>
    <col min="21" max="21" width="22.54296875" style="2" bestFit="1" customWidth="1"/>
    <col min="22" max="22" width="21.54296875" style="2" bestFit="1" customWidth="1"/>
    <col min="23" max="23" width="22.1796875" style="2" bestFit="1" customWidth="1"/>
    <col min="24" max="24" width="21.54296875" style="2" bestFit="1" customWidth="1"/>
    <col min="25" max="25" width="23.1796875" style="2" bestFit="1" customWidth="1"/>
    <col min="26" max="27" width="21.54296875" style="2" bestFit="1" customWidth="1"/>
    <col min="28" max="30" width="22.1796875" style="2" bestFit="1" customWidth="1"/>
    <col min="31" max="32" width="23.1796875" style="2" bestFit="1" customWidth="1"/>
    <col min="33" max="33" width="22.1796875" style="2" bestFit="1" customWidth="1"/>
    <col min="34" max="34" width="22.54296875" style="2" bestFit="1" customWidth="1"/>
    <col min="35" max="36" width="22.1796875" style="2" bestFit="1" customWidth="1"/>
    <col min="37" max="37" width="21.54296875" style="2" bestFit="1" customWidth="1"/>
  </cols>
  <sheetData>
    <row r="1" spans="1:3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35">
      <c r="A2" s="2">
        <v>-1.55209004878997E-3</v>
      </c>
      <c r="B2" s="2">
        <v>-4.29098308086395E-3</v>
      </c>
      <c r="C2" s="2">
        <v>-4.6333074569702096E-3</v>
      </c>
      <c r="D2" s="2">
        <v>-4.3900310993194499E-4</v>
      </c>
      <c r="E2" s="2">
        <v>-3.20445001125335E-3</v>
      </c>
      <c r="F2" s="2">
        <v>-2.3686289787292398E-3</v>
      </c>
      <c r="G2" s="2">
        <v>1.4208406209945601E-3</v>
      </c>
      <c r="H2" s="2">
        <v>7.0915073156356803E-3</v>
      </c>
      <c r="I2" s="2">
        <v>6.3183307647705E-3</v>
      </c>
      <c r="J2" s="2">
        <v>4.7249495983123701E-3</v>
      </c>
      <c r="K2" s="2">
        <v>4.8890262842178301E-3</v>
      </c>
      <c r="L2" s="2">
        <v>6.2254518270492502E-3</v>
      </c>
      <c r="M2" s="2">
        <v>4.4643729925155596E-3</v>
      </c>
      <c r="N2" s="2">
        <v>9.0921819210052403E-3</v>
      </c>
      <c r="O2" s="2">
        <v>1.00717395544052E-2</v>
      </c>
      <c r="P2" s="2">
        <v>7.9372823238372803E-3</v>
      </c>
      <c r="Q2" s="2">
        <v>5.6535899639129604E-3</v>
      </c>
      <c r="R2" s="2">
        <v>-3.8633793592452999E-3</v>
      </c>
      <c r="S2" s="2">
        <v>6.4365267753600996E-3</v>
      </c>
      <c r="T2" s="2">
        <v>6.2420517206191999E-3</v>
      </c>
      <c r="U2" s="2">
        <v>1.11907720565795E-4</v>
      </c>
      <c r="V2" s="2">
        <v>6.6575407981872504E-4</v>
      </c>
      <c r="W2" s="2">
        <v>3.5184919834136898E-3</v>
      </c>
      <c r="X2" s="2">
        <v>1.45666301250457E-3</v>
      </c>
      <c r="Y2" s="2">
        <v>1.88253819942474E-3</v>
      </c>
      <c r="Z2" s="2">
        <v>8.4440261125564506E-3</v>
      </c>
      <c r="AA2" s="2">
        <v>2.9418617486953701E-3</v>
      </c>
      <c r="AB2" s="2">
        <v>-4.0136128664016698E-3</v>
      </c>
      <c r="AC2" s="2">
        <v>-7.1301609277725202E-3</v>
      </c>
      <c r="AD2" s="2">
        <v>-6.2137171626091003E-3</v>
      </c>
      <c r="AE2" s="2">
        <v>3.0232518911361599E-3</v>
      </c>
      <c r="AF2" s="2">
        <v>-1.1521577835082999E-3</v>
      </c>
      <c r="AG2" s="2">
        <v>-7.4392184615135097E-3</v>
      </c>
      <c r="AH2" s="2">
        <v>-6.08577579259872E-3</v>
      </c>
      <c r="AI2" s="2">
        <v>9.1712772846221906E-3</v>
      </c>
      <c r="AJ2" s="2">
        <v>-1.16850510239601E-2</v>
      </c>
      <c r="AK2" s="2">
        <v>6.7583620548248204E-3</v>
      </c>
    </row>
    <row r="3" spans="1:37" x14ac:dyDescent="0.35">
      <c r="A3" s="2">
        <v>-1.44150853157043E-3</v>
      </c>
      <c r="B3" s="2">
        <v>-2.62252986431121E-3</v>
      </c>
      <c r="C3" s="2">
        <v>-1.28531455993652E-3</v>
      </c>
      <c r="D3" s="2">
        <v>-5.5392086505889797E-3</v>
      </c>
      <c r="E3" s="2">
        <v>2.3496001958846998E-3</v>
      </c>
      <c r="F3" s="2">
        <v>-2.83040106296539E-3</v>
      </c>
      <c r="G3" s="2">
        <v>2.9323250055313102E-3</v>
      </c>
      <c r="H3" s="2">
        <v>7.8152269124984707E-3</v>
      </c>
      <c r="I3" s="2">
        <v>4.93621826171875E-3</v>
      </c>
      <c r="J3" s="2">
        <v>3.9426237344741804E-3</v>
      </c>
      <c r="K3" s="2">
        <v>4.5462399721145604E-3</v>
      </c>
      <c r="L3" s="2">
        <v>7.05857574939727E-3</v>
      </c>
      <c r="M3" s="2">
        <v>5.0583332777023298E-3</v>
      </c>
      <c r="N3" s="2">
        <v>8.4459483623504604E-3</v>
      </c>
      <c r="O3" s="2">
        <v>5.6657642126083296E-3</v>
      </c>
      <c r="P3" s="2">
        <v>4.5602321624755799E-3</v>
      </c>
      <c r="Q3" s="2">
        <v>3.51576507091522E-3</v>
      </c>
      <c r="R3" s="2">
        <v>2.6781409978866499E-3</v>
      </c>
      <c r="S3" s="2">
        <v>5.9183239936828596E-3</v>
      </c>
      <c r="T3" s="2">
        <v>2.1788626909255899E-3</v>
      </c>
      <c r="U3" s="2">
        <v>3.6561489105224601E-3</v>
      </c>
      <c r="V3" s="2">
        <v>6.6575407981872504E-4</v>
      </c>
      <c r="W3" s="2">
        <v>2.3996829986572201E-3</v>
      </c>
      <c r="X3" s="2">
        <v>1.9917339086532502E-3</v>
      </c>
      <c r="Y3" s="2">
        <v>-5.7309865951537998E-5</v>
      </c>
      <c r="Z3" s="2">
        <v>8.93798470497131E-3</v>
      </c>
      <c r="AA3" s="2">
        <v>2.70555913448333E-3</v>
      </c>
      <c r="AB3" s="2">
        <v>-3.2036453485488801E-3</v>
      </c>
      <c r="AC3" s="2">
        <v>-5.3173452615737898E-3</v>
      </c>
      <c r="AD3" s="2">
        <v>-5.90228289365768E-3</v>
      </c>
      <c r="AE3" s="2">
        <v>1.12748146057128E-3</v>
      </c>
      <c r="AF3" s="2">
        <v>-2.2882223129272401E-4</v>
      </c>
      <c r="AG3" s="2">
        <v>-4.6396553516387896E-3</v>
      </c>
      <c r="AH3" s="2">
        <v>-1.6598351299762702E-2</v>
      </c>
      <c r="AI3" s="2">
        <v>1.2040108442306499E-2</v>
      </c>
      <c r="AJ3" s="2">
        <v>-2.1605193614959699E-3</v>
      </c>
      <c r="AK3" s="2">
        <v>5.1009654998779297E-3</v>
      </c>
    </row>
    <row r="4" spans="1:37" x14ac:dyDescent="0.35">
      <c r="A4" s="2">
        <v>2.6385337114334102E-3</v>
      </c>
      <c r="B4" s="2">
        <v>-3.5991072654724099E-3</v>
      </c>
      <c r="C4" s="2">
        <v>-3.75930964946746E-3</v>
      </c>
      <c r="D4" s="2">
        <v>-7.57500529289245E-3</v>
      </c>
      <c r="E4" s="2">
        <v>-2.4824738502502398E-3</v>
      </c>
      <c r="F4" s="2">
        <v>-9.0722739696502599E-4</v>
      </c>
      <c r="G4" s="2">
        <v>2.4816691875457699E-3</v>
      </c>
      <c r="H4" s="2">
        <v>8.7820589542388899E-3</v>
      </c>
      <c r="I4" s="2">
        <v>5.7667195796966501E-3</v>
      </c>
      <c r="J4" s="2">
        <v>1.8472671508789E-3</v>
      </c>
      <c r="K4" s="2">
        <v>2.2584646940231302E-3</v>
      </c>
      <c r="L4" s="2">
        <v>5.4116547107696499E-3</v>
      </c>
      <c r="M4" s="2">
        <v>5.7951360940933202E-3</v>
      </c>
      <c r="N4" s="2">
        <v>9.2175006866454991E-3</v>
      </c>
      <c r="O4" s="2">
        <v>-2.3745447397231999E-3</v>
      </c>
      <c r="P4" s="2">
        <v>7.6983869075775103E-3</v>
      </c>
      <c r="Q4" s="2">
        <v>4.2218565940856899E-3</v>
      </c>
      <c r="R4" s="2">
        <v>-3.3179521560668902E-3</v>
      </c>
      <c r="S4" s="2">
        <v>1.35370343923568E-2</v>
      </c>
      <c r="T4" s="2">
        <v>-5.7016164064407297E-3</v>
      </c>
      <c r="U4" s="2">
        <v>7.5166225433349601E-3</v>
      </c>
      <c r="V4" s="2">
        <v>6.6575407981872504E-4</v>
      </c>
      <c r="W4" s="2">
        <v>-2.4650990962982102E-4</v>
      </c>
      <c r="X4" s="2">
        <v>2.89085507392883E-3</v>
      </c>
      <c r="Y4" s="2">
        <v>1.2601166963577199E-3</v>
      </c>
      <c r="Z4" s="2">
        <v>2.7202516794204699E-3</v>
      </c>
      <c r="AA4" s="2">
        <v>5.0107389688491804E-3</v>
      </c>
      <c r="AB4" s="2">
        <v>-5.1581859588623004E-4</v>
      </c>
      <c r="AC4" s="2">
        <v>-8.8660866022109899E-3</v>
      </c>
      <c r="AD4" s="2">
        <v>-1.17558613419532E-2</v>
      </c>
      <c r="AE4" s="2">
        <v>6.9709271192550598E-3</v>
      </c>
      <c r="AF4" s="2">
        <v>2.7281045913696202E-4</v>
      </c>
      <c r="AG4" s="2">
        <v>-3.2196342945098799E-3</v>
      </c>
      <c r="AH4" s="2">
        <v>2.5137960910797102E-3</v>
      </c>
      <c r="AI4" s="2">
        <v>-6.5159797668456997E-3</v>
      </c>
      <c r="AJ4" s="2">
        <v>-8.2226768136024406E-3</v>
      </c>
      <c r="AK4" s="2">
        <v>5.8603435754776001E-3</v>
      </c>
    </row>
    <row r="5" spans="1:37" x14ac:dyDescent="0.35">
      <c r="A5" s="2">
        <v>-3.0434578657150199E-3</v>
      </c>
      <c r="B5" s="2">
        <v>-5.2228271961212097E-3</v>
      </c>
      <c r="C5" s="2">
        <v>-5.7162642478942802E-3</v>
      </c>
      <c r="D5" s="2">
        <v>-1.9018352031707701E-4</v>
      </c>
      <c r="E5" s="2">
        <v>-1.3981759548187199E-3</v>
      </c>
      <c r="F5" s="2">
        <v>9.6254050731658903E-4</v>
      </c>
      <c r="G5" s="2">
        <v>1.3743489980697599E-3</v>
      </c>
      <c r="H5" s="2">
        <v>4.21985983848571E-3</v>
      </c>
      <c r="I5" s="2">
        <v>6.2967091798782297E-3</v>
      </c>
      <c r="J5" s="2">
        <v>3.0702650547027501E-3</v>
      </c>
      <c r="K5" s="2">
        <v>2.20926105976104E-3</v>
      </c>
      <c r="L5" s="2">
        <v>6.5720528364181501E-3</v>
      </c>
      <c r="M5" s="2">
        <v>7.3444843292236302E-3</v>
      </c>
      <c r="N5" s="2">
        <v>6.4085423946380598E-3</v>
      </c>
      <c r="O5" s="2">
        <v>-3.1079351902008E-3</v>
      </c>
      <c r="P5" s="2">
        <v>8.5833966732025094E-3</v>
      </c>
      <c r="Q5" s="2">
        <v>1.16175413131713E-3</v>
      </c>
      <c r="R5" s="2">
        <v>3.6181956529617301E-3</v>
      </c>
      <c r="S5" s="2">
        <v>6.7937672138214103E-3</v>
      </c>
      <c r="T5" s="2">
        <v>-6.7776441574096604E-4</v>
      </c>
      <c r="U5" s="2">
        <v>3.4426152706146201E-3</v>
      </c>
      <c r="V5" s="2">
        <v>6.6575407981872504E-4</v>
      </c>
      <c r="W5" s="2">
        <v>4.0188729763030997E-3</v>
      </c>
      <c r="X5" s="2">
        <v>-1.22784078121185E-3</v>
      </c>
      <c r="Y5" s="2">
        <v>6.8479776382446202E-4</v>
      </c>
      <c r="Z5" s="2">
        <v>5.8603882789611799E-3</v>
      </c>
      <c r="AA5" s="2">
        <v>3.4396052360534599E-3</v>
      </c>
      <c r="AB5" s="2">
        <v>-4.8652738332748396E-3</v>
      </c>
      <c r="AC5" s="2">
        <v>-4.3382644653320304E-3</v>
      </c>
      <c r="AD5" s="2">
        <v>-8.7161287665367092E-3</v>
      </c>
      <c r="AE5" s="2">
        <v>-4.9802958965301496E-3</v>
      </c>
      <c r="AF5" s="2">
        <v>-9.8501145839691097E-4</v>
      </c>
      <c r="AG5" s="2">
        <v>-5.9387311339378296E-3</v>
      </c>
      <c r="AH5" s="2">
        <v>-5.0619393587112401E-3</v>
      </c>
      <c r="AI5" s="2">
        <v>2.73761302232742E-2</v>
      </c>
      <c r="AJ5" s="2">
        <v>-6.9167762994766201E-3</v>
      </c>
      <c r="AK5" s="2">
        <v>-9.4859302043914795E-4</v>
      </c>
    </row>
    <row r="6" spans="1:37" x14ac:dyDescent="0.35">
      <c r="A6" s="2">
        <v>-3.2500624656677198E-3</v>
      </c>
      <c r="B6" s="2">
        <v>-4.3545514345168998E-3</v>
      </c>
      <c r="C6" s="2">
        <v>-7.3932483792304897E-3</v>
      </c>
      <c r="D6" s="2">
        <v>-2.0683854818344099E-3</v>
      </c>
      <c r="E6" s="2">
        <v>-1.8863230943679801E-3</v>
      </c>
      <c r="F6" s="2">
        <v>-4.6549588441848703E-3</v>
      </c>
      <c r="G6" s="2">
        <v>9.5699727535247803E-4</v>
      </c>
      <c r="H6" s="2">
        <v>5.6436955928802403E-3</v>
      </c>
      <c r="I6" s="2">
        <v>5.6757181882858198E-3</v>
      </c>
      <c r="J6" s="2">
        <v>2.0440965890884399E-3</v>
      </c>
      <c r="K6" s="2">
        <v>3.6393851041793802E-3</v>
      </c>
      <c r="L6" s="2">
        <v>5.9856623411178502E-3</v>
      </c>
      <c r="M6" s="2">
        <v>4.4848173856735203E-3</v>
      </c>
      <c r="N6" s="2">
        <v>7.7075511217117301E-3</v>
      </c>
      <c r="O6" s="2">
        <v>2.22422182559967E-3</v>
      </c>
      <c r="P6" s="2">
        <v>4.5340657234191799E-3</v>
      </c>
      <c r="Q6" s="2">
        <v>7.3186010122299099E-3</v>
      </c>
      <c r="R6" s="2">
        <v>-3.14778089523315E-3</v>
      </c>
      <c r="S6" s="2">
        <v>7.0016831159591597E-3</v>
      </c>
      <c r="T6" s="2">
        <v>1.5132337808609E-2</v>
      </c>
      <c r="U6" s="2">
        <v>3.8123428821563699E-3</v>
      </c>
      <c r="V6" s="2">
        <v>6.6575407981872504E-4</v>
      </c>
      <c r="W6" s="2">
        <v>5.6046694517135603E-3</v>
      </c>
      <c r="X6" s="2">
        <v>5.0487965345382604E-3</v>
      </c>
      <c r="Y6" s="2">
        <v>-1.03712081909179E-4</v>
      </c>
      <c r="Z6" s="2">
        <v>2.2528916597366298E-3</v>
      </c>
      <c r="AA6" s="2">
        <v>9.9024623632430996E-3</v>
      </c>
      <c r="AB6" s="2">
        <v>1.72825157642364E-3</v>
      </c>
      <c r="AC6" s="2">
        <v>-4.9058645963668797E-3</v>
      </c>
      <c r="AD6" s="2">
        <v>-1.0121963918209E-2</v>
      </c>
      <c r="AE6" s="2">
        <v>3.39388847351074E-4</v>
      </c>
      <c r="AF6" s="2">
        <v>-2.1419078111648499E-3</v>
      </c>
      <c r="AG6" s="2">
        <v>-1.0932013392448399E-2</v>
      </c>
      <c r="AH6" s="2">
        <v>7.9084783792495693E-3</v>
      </c>
      <c r="AI6" s="2">
        <v>1.0898977518081601E-2</v>
      </c>
      <c r="AJ6" s="2">
        <v>-2.5002211332321102E-3</v>
      </c>
      <c r="AK6" s="2">
        <v>2.8179436922073299E-3</v>
      </c>
    </row>
    <row r="7" spans="1:37" x14ac:dyDescent="0.35">
      <c r="A7" s="2">
        <v>5.9000998735427796E-3</v>
      </c>
      <c r="B7" s="2">
        <v>-4.9064159393310504E-3</v>
      </c>
      <c r="C7" s="2">
        <v>-4.5081973075866699E-3</v>
      </c>
      <c r="D7" s="2">
        <v>-9.3147158622741699E-4</v>
      </c>
      <c r="E7" s="2">
        <v>-4.1475445032119699E-3</v>
      </c>
      <c r="F7" s="2">
        <v>-4.1627734899520796E-3</v>
      </c>
      <c r="G7" s="2">
        <v>3.4742057323455802E-3</v>
      </c>
      <c r="H7" s="2">
        <v>6.3757300376892003E-3</v>
      </c>
      <c r="I7" s="2">
        <v>5.1897466182708697E-3</v>
      </c>
      <c r="J7" s="2">
        <v>4.3539553880691502E-3</v>
      </c>
      <c r="K7" s="2">
        <v>4.9242079257965001E-3</v>
      </c>
      <c r="L7" s="2">
        <v>5.2244663238525304E-3</v>
      </c>
      <c r="M7" s="2">
        <v>7.5683742761611904E-3</v>
      </c>
      <c r="N7" s="2">
        <v>8.6117833852767892E-3</v>
      </c>
      <c r="O7" s="2">
        <v>4.6206861734390198E-3</v>
      </c>
      <c r="P7" s="2">
        <v>2.4320632219314501E-3</v>
      </c>
      <c r="Q7" s="2">
        <v>-5.0841420888900696E-3</v>
      </c>
      <c r="R7" s="2">
        <v>-2.5872290134429901E-3</v>
      </c>
      <c r="S7" s="2">
        <v>4.2229443788528399E-3</v>
      </c>
      <c r="T7" s="2">
        <v>5.0627738237380903E-3</v>
      </c>
      <c r="U7" s="2">
        <v>-8.2686543464660604E-5</v>
      </c>
      <c r="V7" s="2">
        <v>6.6575407981872504E-4</v>
      </c>
      <c r="W7" s="2">
        <v>2.7965903282165501E-3</v>
      </c>
      <c r="X7" s="2">
        <v>5.1989704370498597E-3</v>
      </c>
      <c r="Y7" s="2">
        <v>5.1297247409820502E-4</v>
      </c>
      <c r="Z7" s="2">
        <v>1.81752443313598E-3</v>
      </c>
      <c r="AA7" s="2">
        <v>4.8813670873641898E-3</v>
      </c>
      <c r="AB7" s="2">
        <v>5.1235854625701904E-3</v>
      </c>
      <c r="AC7" s="2">
        <v>-7.0297047495841902E-3</v>
      </c>
      <c r="AD7" s="2">
        <v>-4.3278038501739502E-3</v>
      </c>
      <c r="AE7" s="2">
        <v>-1.4643371105194E-4</v>
      </c>
      <c r="AF7" s="2">
        <v>8.5172057151794401E-4</v>
      </c>
      <c r="AG7" s="2">
        <v>-5.1424801349639797E-3</v>
      </c>
      <c r="AH7" s="2">
        <v>1.8887177109718298E-2</v>
      </c>
      <c r="AI7" s="2">
        <v>-6.0355290770530701E-3</v>
      </c>
      <c r="AJ7" s="2">
        <v>7.3924660682678196E-5</v>
      </c>
      <c r="AK7" s="2">
        <v>5.6785643100738499E-3</v>
      </c>
    </row>
    <row r="8" spans="1:37" x14ac:dyDescent="0.35">
      <c r="A8" s="2">
        <v>3.37487459182739E-3</v>
      </c>
      <c r="B8" s="2">
        <v>-3.4112781286239598E-3</v>
      </c>
      <c r="C8" s="2">
        <v>-2.54811346530914E-3</v>
      </c>
      <c r="D8" s="2">
        <v>-2.4596750736236499E-3</v>
      </c>
      <c r="E8" s="2">
        <v>-5.7625770568847602E-4</v>
      </c>
      <c r="F8" s="2">
        <v>-5.7398453354835502E-3</v>
      </c>
      <c r="G8" s="2">
        <v>3.0131042003631501E-3</v>
      </c>
      <c r="H8" s="2">
        <v>6.0821473598480199E-3</v>
      </c>
      <c r="I8" s="2">
        <v>6.6637843847274702E-3</v>
      </c>
      <c r="J8" s="2">
        <v>4.81463968753814E-3</v>
      </c>
      <c r="K8" s="2">
        <v>2.3409575223922699E-3</v>
      </c>
      <c r="L8" s="2">
        <v>6.1124861240386902E-3</v>
      </c>
      <c r="M8" s="2">
        <v>6.6915303468704198E-3</v>
      </c>
      <c r="N8" s="2">
        <v>7.5112134218215899E-3</v>
      </c>
      <c r="O8" s="2">
        <v>5.1023364067077602E-3</v>
      </c>
      <c r="P8" s="2">
        <v>4.6949237585067697E-3</v>
      </c>
      <c r="Q8" s="2">
        <v>-4.4498890638351397E-3</v>
      </c>
      <c r="R8" s="2">
        <v>-7.7731907367706299E-4</v>
      </c>
      <c r="S8" s="2">
        <v>4.5509040355682304E-3</v>
      </c>
      <c r="T8" s="2">
        <v>1.91502273082733E-3</v>
      </c>
      <c r="U8" s="2">
        <v>-6.7505240440368598E-4</v>
      </c>
      <c r="V8" s="2">
        <v>6.6575407981872504E-4</v>
      </c>
      <c r="W8" s="2">
        <v>5.1756948232650696E-3</v>
      </c>
      <c r="X8" s="2">
        <v>3.8636028766632002E-3</v>
      </c>
      <c r="Y8" s="2">
        <v>-4.4113546609878497E-3</v>
      </c>
      <c r="Z8" s="2">
        <v>5.78436255455017E-3</v>
      </c>
      <c r="AA8" s="2">
        <v>1.8022060394287101E-3</v>
      </c>
      <c r="AB8" s="2">
        <v>-7.3899328708648595E-4</v>
      </c>
      <c r="AC8" s="2">
        <v>-5.89226931333541E-3</v>
      </c>
      <c r="AD8" s="2">
        <v>2.8958469629287698E-3</v>
      </c>
      <c r="AE8" s="2">
        <v>1.02694779634475E-2</v>
      </c>
      <c r="AF8" s="2">
        <v>-3.3205747604370101E-4</v>
      </c>
      <c r="AG8" s="2">
        <v>-7.2473958134651097E-3</v>
      </c>
      <c r="AH8" s="2">
        <v>9.9487155675887992E-3</v>
      </c>
      <c r="AI8" s="2">
        <v>3.1661391258239698E-3</v>
      </c>
      <c r="AJ8" s="2">
        <v>-1.2840986251830999E-2</v>
      </c>
      <c r="AK8" s="2">
        <v>3.9169639348983704E-3</v>
      </c>
    </row>
    <row r="9" spans="1:37" x14ac:dyDescent="0.35">
      <c r="A9" s="2">
        <v>1.1637508869171099E-3</v>
      </c>
      <c r="B9" s="2">
        <v>-1.8772035837173399E-3</v>
      </c>
      <c r="C9" s="2">
        <v>-2.2311359643936101E-3</v>
      </c>
      <c r="D9" s="2">
        <v>-3.9811283349990801E-3</v>
      </c>
      <c r="E9" s="2">
        <v>8.9375674724578803E-4</v>
      </c>
      <c r="F9" s="2">
        <v>-1.31914019584655E-3</v>
      </c>
      <c r="G9" s="2">
        <v>3.68320941925048E-3</v>
      </c>
      <c r="H9" s="2">
        <v>5.4878592491149902E-3</v>
      </c>
      <c r="I9" s="2">
        <v>5.9824138879776001E-3</v>
      </c>
      <c r="J9" s="2">
        <v>1.3365000486373899E-3</v>
      </c>
      <c r="K9" s="2">
        <v>4.7194957733154297E-3</v>
      </c>
      <c r="L9" s="2">
        <v>6.3069015741348197E-3</v>
      </c>
      <c r="M9" s="2">
        <v>5.1311999559402396E-3</v>
      </c>
      <c r="N9" s="2">
        <v>6.1277002096176104E-3</v>
      </c>
      <c r="O9" s="2">
        <v>4.7539174556732102E-4</v>
      </c>
      <c r="P9" s="2">
        <v>5.1141083240508999E-3</v>
      </c>
      <c r="Q9" s="2">
        <v>-4.18506562709808E-3</v>
      </c>
      <c r="R9" s="2">
        <v>-3.4936219453811602E-3</v>
      </c>
      <c r="S9" s="2">
        <v>9.2884749174118007E-3</v>
      </c>
      <c r="T9" s="2">
        <v>-1.1484622955322201E-3</v>
      </c>
      <c r="U9" s="2">
        <v>2.8608739376068099E-4</v>
      </c>
      <c r="V9" s="2">
        <v>6.6575407981872504E-4</v>
      </c>
      <c r="W9" s="2">
        <v>3.4302026033401398E-3</v>
      </c>
      <c r="X9" s="2">
        <v>4.2032301425933803E-3</v>
      </c>
      <c r="Y9" s="2">
        <v>-2.45063006877899E-3</v>
      </c>
      <c r="Z9" s="2">
        <v>3.6868453025817802E-3</v>
      </c>
      <c r="AA9" s="2">
        <v>8.0074667930602993E-3</v>
      </c>
      <c r="AB9" s="2">
        <v>1.3282895088195801E-3</v>
      </c>
      <c r="AC9" s="2">
        <v>-5.8764144778251596E-3</v>
      </c>
      <c r="AD9" s="2">
        <v>-1.7281770706176699E-3</v>
      </c>
      <c r="AE9" s="2">
        <v>-2.5628656148910501E-3</v>
      </c>
      <c r="AF9" s="2">
        <v>-1.01777911186218E-3</v>
      </c>
      <c r="AG9" s="2">
        <v>-3.1922906637191699E-3</v>
      </c>
      <c r="AH9" s="2">
        <v>3.07662785053253E-3</v>
      </c>
      <c r="AI9" s="2">
        <v>7.9185217618942191E-3</v>
      </c>
      <c r="AJ9" s="2">
        <v>-3.4180879592895499E-3</v>
      </c>
      <c r="AK9" s="2">
        <v>2.8428137302398599E-3</v>
      </c>
    </row>
    <row r="10" spans="1:37" x14ac:dyDescent="0.35">
      <c r="A10" s="2">
        <v>3.1195133924484201E-3</v>
      </c>
      <c r="B10" s="2">
        <v>-2.1686851978302002E-3</v>
      </c>
      <c r="C10" s="2">
        <v>-4.4755935668945304E-3</v>
      </c>
      <c r="D10" s="2">
        <v>-6.18308782577514E-4</v>
      </c>
      <c r="E10" s="2">
        <v>-3.29422950744628E-3</v>
      </c>
      <c r="F10" s="2">
        <v>-1.24120712280273E-3</v>
      </c>
      <c r="G10" s="2">
        <v>9.4807147979736296E-4</v>
      </c>
      <c r="H10" s="2">
        <v>4.4673234224319397E-3</v>
      </c>
      <c r="I10" s="2">
        <v>3.1211525201797399E-3</v>
      </c>
      <c r="J10" s="2">
        <v>4.49241697788238E-3</v>
      </c>
      <c r="K10" s="2">
        <v>3.3299326896667398E-3</v>
      </c>
      <c r="L10" s="2">
        <v>5.4937750101089399E-3</v>
      </c>
      <c r="M10" s="2">
        <v>5.3365677595138498E-3</v>
      </c>
      <c r="N10" s="2">
        <v>8.3104670047759992E-3</v>
      </c>
      <c r="O10" s="2">
        <v>-2.39869952201843E-3</v>
      </c>
      <c r="P10" s="2">
        <v>7.2035640478134103E-3</v>
      </c>
      <c r="Q10" s="2">
        <v>-9.4351917505264195E-3</v>
      </c>
      <c r="R10" s="2">
        <v>-1.6602873802184999E-4</v>
      </c>
      <c r="S10" s="2">
        <v>7.8295171260833706E-3</v>
      </c>
      <c r="T10" s="2">
        <v>4.7424435615539499E-3</v>
      </c>
      <c r="U10" s="2">
        <v>8.0349743366241403E-3</v>
      </c>
      <c r="V10" s="2">
        <v>6.6575407981872504E-4</v>
      </c>
      <c r="W10" s="2">
        <v>2.5394558906555102E-3</v>
      </c>
      <c r="X10" s="2">
        <v>2.6002079248428301E-3</v>
      </c>
      <c r="Y10" s="2">
        <v>8.7198615074157704E-4</v>
      </c>
      <c r="Z10" s="2">
        <v>2.09748744964599E-3</v>
      </c>
      <c r="AA10" s="2">
        <v>2.83952057361602E-3</v>
      </c>
      <c r="AB10" s="2">
        <v>-2.8706789016723598E-3</v>
      </c>
      <c r="AC10" s="2">
        <v>-7.5515732169151297E-3</v>
      </c>
      <c r="AD10" s="2">
        <v>-6.1684250831604004E-3</v>
      </c>
      <c r="AE10" s="2">
        <v>9.7399801015853795E-3</v>
      </c>
      <c r="AF10" s="2">
        <v>-1.00535154342651E-3</v>
      </c>
      <c r="AG10" s="2">
        <v>-9.6602737903594901E-3</v>
      </c>
      <c r="AH10" s="2">
        <v>-1.00790932774543E-2</v>
      </c>
      <c r="AI10" s="2">
        <v>-3.02352011203765E-3</v>
      </c>
      <c r="AJ10" s="2">
        <v>-3.3818632364273002E-3</v>
      </c>
      <c r="AK10" s="2">
        <v>6.2691122293472203E-3</v>
      </c>
    </row>
    <row r="11" spans="1:37" x14ac:dyDescent="0.35">
      <c r="A11" s="2">
        <v>-2.3641735315322798E-3</v>
      </c>
      <c r="B11" s="2">
        <v>-2.2089332342147801E-3</v>
      </c>
      <c r="C11" s="2">
        <v>-3.3602714538574201E-3</v>
      </c>
      <c r="D11" s="2">
        <v>-1.70369446277618E-3</v>
      </c>
      <c r="E11" s="2">
        <v>4.7402083873748698E-4</v>
      </c>
      <c r="F11" s="2">
        <v>1.3645589351654001E-3</v>
      </c>
      <c r="G11" s="2">
        <v>4.70109283924102E-3</v>
      </c>
      <c r="H11" s="2">
        <v>6.6657513380050598E-3</v>
      </c>
      <c r="I11" s="2">
        <v>3.4556090831756501E-3</v>
      </c>
      <c r="J11" s="2">
        <v>3.27380001544952E-3</v>
      </c>
      <c r="K11" s="2">
        <v>5.42211532592773E-3</v>
      </c>
      <c r="L11" s="2">
        <v>5.1624327898025504E-3</v>
      </c>
      <c r="M11" s="2">
        <v>8.2307010889053293E-3</v>
      </c>
      <c r="N11" s="2">
        <v>8.6660981178283691E-3</v>
      </c>
      <c r="O11" s="2">
        <v>2.8318166732787999E-3</v>
      </c>
      <c r="P11" s="2">
        <v>3.0206292867660501E-3</v>
      </c>
      <c r="Q11" s="2">
        <v>-3.3430904150009099E-3</v>
      </c>
      <c r="R11" s="2">
        <v>3.12903523445129E-3</v>
      </c>
      <c r="S11" s="2">
        <v>7.8212767839431693E-3</v>
      </c>
      <c r="T11" s="2">
        <v>3.8692802190780601E-3</v>
      </c>
      <c r="U11" s="2">
        <v>6.6575407981872504E-4</v>
      </c>
      <c r="V11" s="2">
        <v>6.6575407981872504E-4</v>
      </c>
      <c r="W11" s="2">
        <v>2.9494315385818399E-3</v>
      </c>
      <c r="X11" s="2">
        <v>6.0014426708221403E-4</v>
      </c>
      <c r="Y11" s="2">
        <v>1.7806589603424001E-3</v>
      </c>
      <c r="Z11" s="2">
        <v>9.18410718441009E-3</v>
      </c>
      <c r="AA11" s="2">
        <v>3.4469515085220298E-3</v>
      </c>
      <c r="AB11" s="2">
        <v>-8.9017599821090698E-3</v>
      </c>
      <c r="AC11" s="2">
        <v>-4.8220455646514797E-3</v>
      </c>
      <c r="AD11" s="2">
        <v>-2.2231787443161002E-3</v>
      </c>
      <c r="AE11" s="2">
        <v>-2.20845639705657E-3</v>
      </c>
      <c r="AF11" s="2">
        <v>-2.8180629014968798E-3</v>
      </c>
      <c r="AG11" s="2">
        <v>-6.4969062805175705E-4</v>
      </c>
      <c r="AH11" s="2">
        <v>3.2263994216918902E-4</v>
      </c>
      <c r="AI11" s="2">
        <v>-4.80939447879791E-3</v>
      </c>
      <c r="AJ11" s="2">
        <v>3.98235023021698E-3</v>
      </c>
      <c r="AK11" s="2">
        <v>9.6174776554107597E-3</v>
      </c>
    </row>
    <row r="13" spans="1:37" x14ac:dyDescent="0.35">
      <c r="A13" s="3" t="s">
        <v>38</v>
      </c>
    </row>
    <row r="14" spans="1:37" x14ac:dyDescent="0.35">
      <c r="A14" s="2">
        <f>AVERAGE(FI_OTU_filo[F_TOTAL])</f>
        <v>4.5454800128936904E-4</v>
      </c>
      <c r="B14" s="2">
        <f>AVERAGE(FI_OTU_filo[F_CITMLB])</f>
        <v>-3.466251492500301E-3</v>
      </c>
      <c r="C14" s="2">
        <f>AVERAGE(FI_OTU_filo[F_OTHER])</f>
        <v>-3.991075605154033E-3</v>
      </c>
      <c r="D14" s="2">
        <f>AVERAGE(FI_OTU_filo[F_JUICE])</f>
        <v>-2.5506064295768701E-3</v>
      </c>
      <c r="E14" s="2">
        <f>AVERAGE(FI_OTU_filo[V_TOTAL])</f>
        <v>-1.327207684516904E-3</v>
      </c>
      <c r="F14" s="2">
        <f>AVERAGE(FI_OTU_filo[V_DRKGR])</f>
        <v>-2.0897082984447451E-3</v>
      </c>
      <c r="G14" s="2">
        <f>AVERAGE(FI_OTU_filo[V_REDOR_TOTAL])</f>
        <v>2.4985864758491471E-3</v>
      </c>
      <c r="H14" s="2">
        <f>AVERAGE(FI_OTU_filo[V_REDOR_TOMATO])</f>
        <v>6.2631160020828209E-3</v>
      </c>
      <c r="I14" s="2">
        <f>AVERAGE(FI_OTU_filo[V_REDOR_OTHER])</f>
        <v>5.3406402468681282E-3</v>
      </c>
      <c r="J14" s="2">
        <f>AVERAGE(FI_OTU_filo[V_STARCHY_TOTAL])</f>
        <v>3.3900514245033216E-3</v>
      </c>
      <c r="K14" s="2">
        <f>AVERAGE(FI_OTU_filo[V_STARCHY_POTATO])</f>
        <v>3.8279086351394606E-3</v>
      </c>
      <c r="L14" s="2">
        <f>AVERAGE(FI_OTU_filo[V_STARCHY_OTHER])</f>
        <v>5.9553459286689706E-3</v>
      </c>
      <c r="M14" s="2">
        <f>AVERAGE(FI_OTU_filo[V_OTHER])</f>
        <v>6.0105517506599381E-3</v>
      </c>
      <c r="N14" s="2">
        <f>AVERAGE(FI_OTU_filo[V_LEGUMES])</f>
        <v>8.0098986625671345E-3</v>
      </c>
      <c r="O14" s="2">
        <f>AVERAGE(FI_OTU_filo[G_TOTAL])</f>
        <v>2.3110777139663669E-3</v>
      </c>
      <c r="P14" s="2">
        <f>AVERAGE(FI_OTU_filo[G_WHOLE])</f>
        <v>5.5778652429580638E-3</v>
      </c>
      <c r="Q14" s="2">
        <f>AVERAGE(FI_OTU_filo[G_REFINED])</f>
        <v>-4.6258121728897094E-4</v>
      </c>
      <c r="R14" s="2">
        <f>AVERAGE(FI_OTU_filo[PF_TOTAL])</f>
        <v>-7.9279392957687345E-4</v>
      </c>
      <c r="S14" s="2">
        <f>AVERAGE(FI_OTU_filo[PF_MPS_TOTAL])</f>
        <v>7.3400452733039748E-3</v>
      </c>
      <c r="T14" s="2">
        <f>AVERAGE(FI_OTU_filo[PF_MEAT])</f>
        <v>3.16149294376373E-3</v>
      </c>
      <c r="U14" s="2">
        <f>AVERAGE(FI_OTU_filo[PF_CUREDMEAT])</f>
        <v>2.6768714189529404E-3</v>
      </c>
      <c r="V14" s="2">
        <f>AVERAGE(FI_OTU_filo[PF_ORGAN])</f>
        <v>6.6575407981872494E-4</v>
      </c>
      <c r="W14" s="2">
        <f>AVERAGE(FI_OTU_filo[PF_POULT])</f>
        <v>3.2186582684516859E-3</v>
      </c>
      <c r="X14" s="2">
        <f>AVERAGE(FI_OTU_filo[PF_SEAFD_HI])</f>
        <v>2.6626363396644549E-3</v>
      </c>
      <c r="Y14" s="2">
        <f>AVERAGE(FI_OTU_filo[PF_SEAFD_LOW])</f>
        <v>-2.99364328384523E-6</v>
      </c>
      <c r="Z14" s="2">
        <f>AVERAGE(FI_OTU_filo[PF_EGGS])</f>
        <v>5.0785869359970042E-3</v>
      </c>
      <c r="AA14" s="2">
        <f>AVERAGE(FI_OTU_filo[PF_SOY])</f>
        <v>4.4977739453315691E-3</v>
      </c>
      <c r="AB14" s="2">
        <f>AVERAGE(FI_OTU_filo[PF_NUTSDS])</f>
        <v>-1.6929656267166125E-3</v>
      </c>
      <c r="AC14" s="2">
        <f>AVERAGE(FI_OTU_filo[PF_LEGUMES])</f>
        <v>-6.1729729175567577E-3</v>
      </c>
      <c r="AD14" s="2">
        <f>AVERAGE(FI_OTU_filo[D_TOTAL])</f>
        <v>-5.426169186830504E-3</v>
      </c>
      <c r="AE14" s="2">
        <f>AVERAGE(FI_OTU_filo[D_MILK])</f>
        <v>2.1572455763816745E-3</v>
      </c>
      <c r="AF14" s="2">
        <f>AVERAGE(FI_OTU_filo[D_YOGURT])</f>
        <v>-8.5566192865371509E-4</v>
      </c>
      <c r="AG14" s="2">
        <f>AVERAGE(FI_OTU_filo[D_CHEESE])</f>
        <v>-5.806138366460792E-3</v>
      </c>
      <c r="AH14" s="2">
        <f>AVERAGE(FI_OTU_filo[OILS])</f>
        <v>4.832275211811137E-4</v>
      </c>
      <c r="AI14" s="2">
        <f>AVERAGE(FI_OTU_filo[SOLID_FATS])</f>
        <v>5.0186730921268343E-3</v>
      </c>
      <c r="AJ14" s="2">
        <f>AVERAGE(FI_OTU_filo[ADD_SUGARS])</f>
        <v>-4.7069907188415439E-3</v>
      </c>
      <c r="AK14" s="2">
        <f>AVERAGE(FI_OTU_filo[A_DRINKS])</f>
        <v>4.7913953661918593E-3</v>
      </c>
    </row>
    <row r="15" spans="1:37" x14ac:dyDescent="0.35">
      <c r="A15" s="3" t="s">
        <v>39</v>
      </c>
    </row>
    <row r="16" spans="1:37" x14ac:dyDescent="0.35">
      <c r="A16" s="2">
        <f>STDEV(FI_OTU_filo[F_TOTAL])</f>
        <v>3.1986828351140925E-3</v>
      </c>
      <c r="B16" s="2">
        <f>STDEV(FI_OTU_filo[F_CITMLB])</f>
        <v>1.2088116514168234E-3</v>
      </c>
      <c r="C16" s="2">
        <f>STDEV(FI_OTU_filo[F_OTHER])</f>
        <v>1.7769508573534003E-3</v>
      </c>
      <c r="D16" s="2">
        <f>STDEV(FI_OTU_filo[F_JUICE])</f>
        <v>2.4396407353020682E-3</v>
      </c>
      <c r="E16" s="2">
        <f>STDEV(FI_OTU_filo[V_TOTAL])</f>
        <v>2.0885866855336241E-3</v>
      </c>
      <c r="F16" s="2">
        <f>STDEV(FI_OTU_filo[V_DRKGR])</f>
        <v>2.3282852053904748E-3</v>
      </c>
      <c r="G16" s="2">
        <f>STDEV(FI_OTU_filo[V_REDOR_TOTAL])</f>
        <v>1.2851883812735204E-3</v>
      </c>
      <c r="H16" s="2">
        <f>STDEV(FI_OTU_filo[V_REDOR_TOMATO])</f>
        <v>1.4154846929037967E-3</v>
      </c>
      <c r="I16" s="2">
        <f>STDEV(FI_OTU_filo[V_REDOR_OTHER])</f>
        <v>1.2014872949974065E-3</v>
      </c>
      <c r="J16" s="2">
        <f>STDEV(FI_OTU_filo[V_STARCHY_TOTAL])</f>
        <v>1.2817388525520961E-3</v>
      </c>
      <c r="K16" s="2">
        <f>STDEV(FI_OTU_filo[V_STARCHY_POTATO])</f>
        <v>1.2363918985300413E-3</v>
      </c>
      <c r="L16" s="2">
        <f>STDEV(FI_OTU_filo[V_STARCHY_OTHER])</f>
        <v>6.228204875383806E-4</v>
      </c>
      <c r="M16" s="2">
        <f>STDEV(FI_OTU_filo[V_OTHER])</f>
        <v>1.3539306607426819E-3</v>
      </c>
      <c r="N16" s="2">
        <f>STDEV(FI_OTU_filo[V_LEGUMES])</f>
        <v>1.0619739080028373E-3</v>
      </c>
      <c r="O16" s="2">
        <f>STDEV(FI_OTU_filo[G_TOTAL])</f>
        <v>4.2394762027349537E-3</v>
      </c>
      <c r="P16" s="2">
        <f>STDEV(FI_OTU_filo[G_WHOLE])</f>
        <v>2.142035730415188E-3</v>
      </c>
      <c r="Q16" s="2">
        <f>STDEV(FI_OTU_filo[G_REFINED])</f>
        <v>5.5606096876208233E-3</v>
      </c>
      <c r="R16" s="2">
        <f>STDEV(FI_OTU_filo[PF_TOTAL])</f>
        <v>2.9654189929841164E-3</v>
      </c>
      <c r="S16" s="2">
        <f>STDEV(FI_OTU_filo[PF_MPS_TOTAL])</f>
        <v>2.6544803059537769E-3</v>
      </c>
      <c r="T16" s="2">
        <f>STDEV(FI_OTU_filo[PF_MEAT])</f>
        <v>5.5155917847081034E-3</v>
      </c>
      <c r="U16" s="2">
        <f>STDEV(FI_OTU_filo[PF_CUREDMEAT])</f>
        <v>3.1650370326843126E-3</v>
      </c>
      <c r="V16" s="2">
        <f>STDEV(FI_OTU_filo[PF_ORGAN])</f>
        <v>1.1428494363856449E-19</v>
      </c>
      <c r="W16" s="2">
        <f>STDEV(FI_OTU_filo[PF_POULT])</f>
        <v>1.622346980547282E-3</v>
      </c>
      <c r="X16" s="2">
        <f>STDEV(FI_OTU_filo[PF_SEAFD_HI])</f>
        <v>2.0355902674027873E-3</v>
      </c>
      <c r="Y16" s="2">
        <f>STDEV(FI_OTU_filo[PF_SEAFD_LOW])</f>
        <v>1.9797482374752772E-3</v>
      </c>
      <c r="Z16" s="2">
        <f>STDEV(FI_OTU_filo[PF_EGGS])</f>
        <v>2.9663012435987872E-3</v>
      </c>
      <c r="AA16" s="2">
        <f>STDEV(FI_OTU_filo[PF_SOY])</f>
        <v>2.5779322824714098E-3</v>
      </c>
      <c r="AB16" s="2">
        <f>STDEV(FI_OTU_filo[PF_NUTSDS])</f>
        <v>3.9536008574694824E-3</v>
      </c>
      <c r="AC16" s="2">
        <f>STDEV(FI_OTU_filo[PF_LEGUMES])</f>
        <v>1.4336883996328308E-3</v>
      </c>
      <c r="AD16" s="2">
        <f>STDEV(FI_OTU_filo[D_TOTAL])</f>
        <v>4.3299196495189974E-3</v>
      </c>
      <c r="AE16" s="2">
        <f>STDEV(FI_OTU_filo[D_MILK])</f>
        <v>5.261843057460535E-3</v>
      </c>
      <c r="AF16" s="2">
        <f>STDEV(FI_OTU_filo[D_YOGURT])</f>
        <v>1.080867484118645E-3</v>
      </c>
      <c r="AG16" s="2">
        <f>STDEV(FI_OTU_filo[D_CHEESE])</f>
        <v>3.1234416628950234E-3</v>
      </c>
      <c r="AH16" s="2">
        <f>STDEV(FI_OTU_filo[OILS])</f>
        <v>1.038991783202956E-2</v>
      </c>
      <c r="AI16" s="2">
        <f>STDEV(FI_OTU_filo[SOLID_FATS])</f>
        <v>1.0694395914366724E-2</v>
      </c>
      <c r="AJ16" s="2">
        <f>STDEV(FI_OTU_filo[ADD_SUGARS])</f>
        <v>5.2199594455957701E-3</v>
      </c>
      <c r="AK16" s="2">
        <f>STDEV(FI_OTU_filo[A_DRINKS])</f>
        <v>2.8435659719046546E-3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30E-BDBC-4364-8F91-542E61919957}">
  <dimension ref="A1:AK16"/>
  <sheetViews>
    <sheetView workbookViewId="0">
      <selection activeCell="A16" sqref="A16:AK16"/>
    </sheetView>
  </sheetViews>
  <sheetFormatPr baseColWidth="10" defaultRowHeight="14.5" x14ac:dyDescent="0.35"/>
  <cols>
    <col min="1" max="1" width="23.1796875" style="2" bestFit="1" customWidth="1"/>
    <col min="2" max="2" width="21.54296875" style="2" bestFit="1" customWidth="1"/>
    <col min="3" max="3" width="20.453125" style="2" bestFit="1" customWidth="1"/>
    <col min="4" max="6" width="21.54296875" style="2" bestFit="1" customWidth="1"/>
    <col min="7" max="9" width="20.453125" style="2" bestFit="1" customWidth="1"/>
    <col min="10" max="10" width="21.54296875" style="2" bestFit="1" customWidth="1"/>
    <col min="11" max="11" width="21.08984375" style="2" bestFit="1" customWidth="1"/>
    <col min="12" max="12" width="20.453125" style="2" bestFit="1" customWidth="1"/>
    <col min="13" max="14" width="21.54296875" style="2" bestFit="1" customWidth="1"/>
    <col min="15" max="15" width="22.81640625" style="2" bestFit="1" customWidth="1"/>
    <col min="16" max="16" width="23.1796875" style="2" bestFit="1" customWidth="1"/>
    <col min="17" max="18" width="22.1796875" style="2" bestFit="1" customWidth="1"/>
    <col min="19" max="19" width="20.453125" style="2" bestFit="1" customWidth="1"/>
    <col min="20" max="20" width="22.54296875" style="2" bestFit="1" customWidth="1"/>
    <col min="21" max="21" width="21.54296875" style="2" bestFit="1" customWidth="1"/>
    <col min="22" max="22" width="20.453125" style="2" bestFit="1" customWidth="1"/>
    <col min="23" max="23" width="21.54296875" style="2" bestFit="1" customWidth="1"/>
    <col min="24" max="37" width="20.453125" style="2" bestFit="1" customWidth="1"/>
  </cols>
  <sheetData>
    <row r="1" spans="1:3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35">
      <c r="A2" s="2">
        <v>9.4074010848999006E-3</v>
      </c>
      <c r="B2" s="2">
        <v>7.3207616806030204E-3</v>
      </c>
      <c r="C2" s="2">
        <v>1.08407139778137E-2</v>
      </c>
      <c r="D2" s="2">
        <v>7.7449679374694798E-3</v>
      </c>
      <c r="E2" s="2">
        <v>1.0495871305465599E-2</v>
      </c>
      <c r="F2" s="2">
        <v>5.3671598434448199E-3</v>
      </c>
      <c r="G2" s="2">
        <v>1.10126137733459E-2</v>
      </c>
      <c r="H2" s="2">
        <v>8.68403911590576E-3</v>
      </c>
      <c r="I2" s="2">
        <v>1.01478695869445E-2</v>
      </c>
      <c r="J2" s="2">
        <v>6.4294934272766096E-3</v>
      </c>
      <c r="K2" s="2">
        <v>1.11648142337799E-2</v>
      </c>
      <c r="L2" s="2">
        <v>1.2096494436264E-2</v>
      </c>
      <c r="M2" s="2">
        <v>8.5923373699188198E-3</v>
      </c>
      <c r="N2" s="2">
        <v>4.4368803501129098E-3</v>
      </c>
      <c r="O2" s="2">
        <v>-1.33737921714782E-3</v>
      </c>
      <c r="P2" s="2">
        <v>7.92139768600463E-3</v>
      </c>
      <c r="Q2" s="2">
        <v>-3.0732750892639099E-3</v>
      </c>
      <c r="R2" s="2">
        <v>-3.22258472442626E-3</v>
      </c>
      <c r="S2" s="2">
        <v>1.7648875713348298E-2</v>
      </c>
      <c r="T2" s="2">
        <v>1.4499992132186799E-2</v>
      </c>
      <c r="U2" s="2">
        <v>5.9320926666259696E-3</v>
      </c>
      <c r="V2" s="2">
        <v>5.9862136840820304E-3</v>
      </c>
      <c r="W2" s="2">
        <v>1.21753811836242E-2</v>
      </c>
      <c r="X2" s="2">
        <v>1.6194790601730302E-2</v>
      </c>
      <c r="Y2" s="2">
        <v>1.4176368713378899E-2</v>
      </c>
      <c r="Z2" s="2">
        <v>1.99063718318939E-2</v>
      </c>
      <c r="AA2" s="2">
        <v>5.4236948490142801E-2</v>
      </c>
      <c r="AB2" s="2">
        <v>3.7160456180572503E-2</v>
      </c>
      <c r="AC2" s="2">
        <v>3.6689698696136398E-2</v>
      </c>
      <c r="AD2" s="2">
        <v>4.8612713813781697E-2</v>
      </c>
      <c r="AE2" s="2">
        <v>3.9773195981979301E-2</v>
      </c>
      <c r="AF2" s="2">
        <v>3.1968384981155298E-2</v>
      </c>
      <c r="AG2" s="2">
        <v>4.1900753974914502E-2</v>
      </c>
      <c r="AH2" s="2">
        <v>2.99747586250305E-2</v>
      </c>
      <c r="AI2" s="2">
        <v>2.3194134235382E-2</v>
      </c>
      <c r="AJ2" s="2">
        <v>2.69799530506134E-2</v>
      </c>
      <c r="AK2" s="2">
        <v>2.99561917781829E-2</v>
      </c>
    </row>
    <row r="3" spans="1:37" x14ac:dyDescent="0.35">
      <c r="A3" s="2">
        <v>6.5950453281402501E-3</v>
      </c>
      <c r="B3" s="2">
        <v>1.22299194335937E-2</v>
      </c>
      <c r="C3" s="2">
        <v>1.8930315971374501E-2</v>
      </c>
      <c r="D3" s="2">
        <v>1.13093554973602E-2</v>
      </c>
      <c r="E3" s="2">
        <v>9.6038281917572004E-3</v>
      </c>
      <c r="F3" s="2">
        <v>8.7903439998626692E-3</v>
      </c>
      <c r="G3" s="2">
        <v>1.21257007122039E-2</v>
      </c>
      <c r="H3" s="2">
        <v>1.3085186481475801E-2</v>
      </c>
      <c r="I3" s="2">
        <v>1.1096447706222499E-2</v>
      </c>
      <c r="J3" s="2">
        <v>1.03985965251922E-2</v>
      </c>
      <c r="K3" s="2">
        <v>1.07948780059814E-2</v>
      </c>
      <c r="L3" s="2">
        <v>1.0628402233123699E-2</v>
      </c>
      <c r="M3" s="2">
        <v>1.01561844348907E-2</v>
      </c>
      <c r="N3" s="2">
        <v>3.9477050304412798E-3</v>
      </c>
      <c r="O3" s="2">
        <v>1.35070085525512E-3</v>
      </c>
      <c r="P3" s="2">
        <v>7.98431038856506E-3</v>
      </c>
      <c r="Q3" s="2">
        <v>-9.8446309566497803E-3</v>
      </c>
      <c r="R3" s="2">
        <v>-1.1751651763916E-3</v>
      </c>
      <c r="S3" s="2">
        <v>1.10276639461517E-2</v>
      </c>
      <c r="T3" s="2">
        <v>2.7930736541747998E-4</v>
      </c>
      <c r="U3" s="2">
        <v>2.7732849121093698E-3</v>
      </c>
      <c r="V3" s="2">
        <v>5.9862136840820304E-3</v>
      </c>
      <c r="W3" s="2">
        <v>1.02701485157012E-2</v>
      </c>
      <c r="X3" s="2">
        <v>2.03675925731658E-2</v>
      </c>
      <c r="Y3" s="2">
        <v>1.54598951339721E-2</v>
      </c>
      <c r="Z3" s="2">
        <v>2.6808917522430399E-2</v>
      </c>
      <c r="AA3" s="2">
        <v>6.0305148363113403E-2</v>
      </c>
      <c r="AB3" s="2">
        <v>2.56891846656799E-2</v>
      </c>
      <c r="AC3" s="2">
        <v>2.7139693498611402E-2</v>
      </c>
      <c r="AD3" s="2">
        <v>3.40431928634643E-2</v>
      </c>
      <c r="AE3" s="2">
        <v>5.8839589357376099E-2</v>
      </c>
      <c r="AF3" s="2">
        <v>2.8787493705749501E-2</v>
      </c>
      <c r="AG3" s="2">
        <v>5.1750689744949299E-2</v>
      </c>
      <c r="AH3" s="2">
        <v>5.0697743892669601E-2</v>
      </c>
      <c r="AI3" s="2">
        <v>2.5912016630172698E-2</v>
      </c>
      <c r="AJ3" s="2">
        <v>2.5943785905837999E-2</v>
      </c>
      <c r="AK3" s="2">
        <v>2.6894450187683099E-2</v>
      </c>
    </row>
    <row r="4" spans="1:37" x14ac:dyDescent="0.35">
      <c r="A4" s="2">
        <v>4.9167871475219705E-4</v>
      </c>
      <c r="B4" s="2">
        <v>7.3119997978210397E-3</v>
      </c>
      <c r="C4" s="2">
        <v>1.16195082664489E-2</v>
      </c>
      <c r="D4" s="2">
        <v>5.9652030467987E-3</v>
      </c>
      <c r="E4" s="2">
        <v>1.0089874267578101E-2</v>
      </c>
      <c r="F4" s="2">
        <v>3.0829012393951399E-3</v>
      </c>
      <c r="G4" s="2">
        <v>9.8615884780883702E-3</v>
      </c>
      <c r="H4" s="2">
        <v>1.0575979948043801E-2</v>
      </c>
      <c r="I4" s="2">
        <v>1.0015487670898399E-2</v>
      </c>
      <c r="J4" s="2">
        <v>8.6836516857147199E-3</v>
      </c>
      <c r="K4" s="2">
        <v>1.28184556961059E-2</v>
      </c>
      <c r="L4" s="2">
        <v>1.2531697750091501E-2</v>
      </c>
      <c r="M4" s="2">
        <v>6.4862966537475499E-3</v>
      </c>
      <c r="N4" s="2">
        <v>3.9768517017364502E-3</v>
      </c>
      <c r="O4" s="2">
        <v>-5.7131052017211901E-5</v>
      </c>
      <c r="P4" s="2">
        <v>6.4617395401000901E-4</v>
      </c>
      <c r="Q4" s="2">
        <v>-3.7446320056915201E-3</v>
      </c>
      <c r="R4" s="2">
        <v>-2.3795962333679199E-3</v>
      </c>
      <c r="S4" s="2">
        <v>1.7442286014556801E-2</v>
      </c>
      <c r="T4" s="2">
        <v>1.41216814517974E-2</v>
      </c>
      <c r="U4" s="2">
        <v>1.7741322517395001E-4</v>
      </c>
      <c r="V4" s="2">
        <v>5.9862136840820304E-3</v>
      </c>
      <c r="W4" s="2">
        <v>3.43361496925354E-3</v>
      </c>
      <c r="X4" s="2">
        <v>2.3961156606674101E-2</v>
      </c>
      <c r="Y4" s="2">
        <v>1.9853323698043799E-2</v>
      </c>
      <c r="Z4" s="2">
        <v>1.74514353275299E-2</v>
      </c>
      <c r="AA4" s="2">
        <v>4.8553973436355501E-2</v>
      </c>
      <c r="AB4" s="2">
        <v>4.3952226638793897E-2</v>
      </c>
      <c r="AC4" s="2">
        <v>2.54758298397064E-2</v>
      </c>
      <c r="AD4" s="2">
        <v>3.5395503044128397E-2</v>
      </c>
      <c r="AE4" s="2">
        <v>5.3979307413101099E-2</v>
      </c>
      <c r="AF4" s="2">
        <v>2.96316146850585E-2</v>
      </c>
      <c r="AG4" s="2">
        <v>4.0840089321136398E-2</v>
      </c>
      <c r="AH4" s="2">
        <v>3.5499215126037598E-2</v>
      </c>
      <c r="AI4" s="2">
        <v>2.5543332099914499E-2</v>
      </c>
      <c r="AJ4" s="2">
        <v>2.7150273323058999E-2</v>
      </c>
      <c r="AK4" s="2">
        <v>3.1351119279861402E-2</v>
      </c>
    </row>
    <row r="5" spans="1:37" x14ac:dyDescent="0.35">
      <c r="A5" s="2">
        <v>6.5366327762603699E-3</v>
      </c>
      <c r="B5" s="2">
        <v>8.9354515075683594E-3</v>
      </c>
      <c r="C5" s="2">
        <v>8.3878934383392299E-3</v>
      </c>
      <c r="D5" s="2">
        <v>3.8208067417144702E-3</v>
      </c>
      <c r="E5" s="2">
        <v>6.5048933029174796E-3</v>
      </c>
      <c r="F5" s="2">
        <v>4.3614804744720398E-3</v>
      </c>
      <c r="G5" s="2">
        <v>9.6719861030578596E-3</v>
      </c>
      <c r="H5" s="2">
        <v>1.08483135700225E-2</v>
      </c>
      <c r="I5" s="2">
        <v>1.10710561275482E-2</v>
      </c>
      <c r="J5" s="2">
        <v>7.0393383502960196E-3</v>
      </c>
      <c r="K5" s="2">
        <v>1.16432607173919E-2</v>
      </c>
      <c r="L5" s="2">
        <v>1.08271241188049E-2</v>
      </c>
      <c r="M5" s="2">
        <v>1.19615793228149E-2</v>
      </c>
      <c r="N5" s="2">
        <v>2.8186440467834399E-3</v>
      </c>
      <c r="O5" s="2">
        <v>2.8749406337737998E-3</v>
      </c>
      <c r="P5" s="2">
        <v>2.2636950016021698E-3</v>
      </c>
      <c r="Q5" s="2">
        <v>3.6498606204986499E-3</v>
      </c>
      <c r="R5" s="2">
        <v>9.3433260917663498E-4</v>
      </c>
      <c r="S5" s="2">
        <v>4.5317411422729397E-3</v>
      </c>
      <c r="T5" s="2">
        <v>4.3753683567047102E-3</v>
      </c>
      <c r="U5" s="2">
        <v>7.3864161968231201E-3</v>
      </c>
      <c r="V5" s="2">
        <v>5.9862136840820304E-3</v>
      </c>
      <c r="W5" s="2">
        <v>5.5583417415618896E-3</v>
      </c>
      <c r="X5" s="2">
        <v>1.97940468788146E-2</v>
      </c>
      <c r="Y5" s="2">
        <v>2.1354675292968701E-2</v>
      </c>
      <c r="Z5" s="2">
        <v>2.22288072109222E-2</v>
      </c>
      <c r="AA5" s="2">
        <v>4.4416040182113599E-2</v>
      </c>
      <c r="AB5" s="2">
        <v>5.5253654718398999E-2</v>
      </c>
      <c r="AC5" s="2">
        <v>2.85992622375488E-2</v>
      </c>
      <c r="AD5" s="2">
        <v>4.2842149734497001E-2</v>
      </c>
      <c r="AE5" s="2">
        <v>4.2660653591155999E-2</v>
      </c>
      <c r="AF5" s="2">
        <v>2.5835037231445299E-2</v>
      </c>
      <c r="AG5" s="2">
        <v>4.8279494047164903E-2</v>
      </c>
      <c r="AH5" s="2">
        <v>1.34571194648742E-2</v>
      </c>
      <c r="AI5" s="2">
        <v>2.45103240013122E-2</v>
      </c>
      <c r="AJ5" s="2">
        <v>1.7600029706954901E-2</v>
      </c>
      <c r="AK5" s="2">
        <v>2.7684092521667401E-2</v>
      </c>
    </row>
    <row r="6" spans="1:37" x14ac:dyDescent="0.35">
      <c r="A6" s="2">
        <v>6.2888562679290702E-3</v>
      </c>
      <c r="B6" s="2">
        <v>4.9252808094024597E-3</v>
      </c>
      <c r="C6" s="2">
        <v>8.3552598953247001E-3</v>
      </c>
      <c r="D6" s="2">
        <v>5.2763819694519E-3</v>
      </c>
      <c r="E6" s="2">
        <v>7.7525377273559501E-3</v>
      </c>
      <c r="F6" s="2">
        <v>5.7259798049926697E-3</v>
      </c>
      <c r="G6" s="2">
        <v>1.15165114402771E-2</v>
      </c>
      <c r="H6" s="2">
        <v>1.07102692127227E-2</v>
      </c>
      <c r="I6" s="2">
        <v>1.0142982006072899E-2</v>
      </c>
      <c r="J6" s="2">
        <v>1.02787017822265E-2</v>
      </c>
      <c r="K6" s="2">
        <v>9.6854269504547102E-3</v>
      </c>
      <c r="L6" s="2">
        <v>1.2908518314361499E-2</v>
      </c>
      <c r="M6" s="2">
        <v>8.9754164218902501E-3</v>
      </c>
      <c r="N6" s="2">
        <v>4.2091012001037598E-3</v>
      </c>
      <c r="O6" s="2">
        <v>1.2424916028976401E-2</v>
      </c>
      <c r="P6" s="2">
        <v>-4.7619342803955E-3</v>
      </c>
      <c r="Q6" s="2">
        <v>8.3739459514617903E-3</v>
      </c>
      <c r="R6" s="2">
        <v>4.2057037353515599E-3</v>
      </c>
      <c r="S6" s="2">
        <v>1.55011117458343E-2</v>
      </c>
      <c r="T6" s="2">
        <v>2.2253483533859201E-2</v>
      </c>
      <c r="U6" s="2">
        <v>3.2159686088561999E-3</v>
      </c>
      <c r="V6" s="2">
        <v>5.9862136840820304E-3</v>
      </c>
      <c r="W6" s="2">
        <v>1.9229233264922999E-2</v>
      </c>
      <c r="X6" s="2">
        <v>2.1345764398574801E-2</v>
      </c>
      <c r="Y6" s="2">
        <v>1.9790917634963899E-2</v>
      </c>
      <c r="Z6" s="2">
        <v>1.9959360361099202E-2</v>
      </c>
      <c r="AA6" s="2">
        <v>4.5272976160049397E-2</v>
      </c>
      <c r="AB6" s="2">
        <v>3.4889936447143499E-2</v>
      </c>
      <c r="AC6" s="2">
        <v>3.3461451530456501E-2</v>
      </c>
      <c r="AD6" s="2">
        <v>4.5617938041686998E-2</v>
      </c>
      <c r="AE6" s="2">
        <v>4.3505042791366501E-2</v>
      </c>
      <c r="AF6" s="2">
        <v>3.1036645174026399E-2</v>
      </c>
      <c r="AG6" s="2">
        <v>3.8111686706542899E-2</v>
      </c>
      <c r="AH6" s="2">
        <v>3.95185351371765E-2</v>
      </c>
      <c r="AI6" s="2">
        <v>2.59667932987213E-2</v>
      </c>
      <c r="AJ6" s="2">
        <v>1.6984850168228101E-2</v>
      </c>
      <c r="AK6" s="2">
        <v>2.93387770652771E-2</v>
      </c>
    </row>
    <row r="7" spans="1:37" x14ac:dyDescent="0.35">
      <c r="A7" s="2">
        <v>3.6824643611907898E-3</v>
      </c>
      <c r="B7" s="2">
        <v>8.12569260597229E-3</v>
      </c>
      <c r="C7" s="2">
        <v>9.1199278831481899E-3</v>
      </c>
      <c r="D7" s="2">
        <v>1.05247497558593E-2</v>
      </c>
      <c r="E7" s="2">
        <v>1.27868056297302E-2</v>
      </c>
      <c r="F7" s="2">
        <v>1.14030241966247E-2</v>
      </c>
      <c r="G7" s="2">
        <v>1.37377381324768E-2</v>
      </c>
      <c r="H7" s="2">
        <v>2.53960490226745E-3</v>
      </c>
      <c r="I7" s="2">
        <v>9.14973020553588E-3</v>
      </c>
      <c r="J7" s="2">
        <v>9.4574689865112305E-3</v>
      </c>
      <c r="K7" s="2">
        <v>9.6475481986999494E-3</v>
      </c>
      <c r="L7" s="2">
        <v>1.1550694704055699E-2</v>
      </c>
      <c r="M7" s="2">
        <v>7.1698129177093497E-3</v>
      </c>
      <c r="N7" s="2">
        <v>3.64091992378234E-3</v>
      </c>
      <c r="O7" s="2">
        <v>5.4705440998077297E-3</v>
      </c>
      <c r="P7" s="2">
        <v>1.33520364761352E-3</v>
      </c>
      <c r="Q7" s="2">
        <v>-4.9388408660888602E-3</v>
      </c>
      <c r="R7" s="2">
        <v>4.8741698265075597E-3</v>
      </c>
      <c r="S7" s="2">
        <v>1.11552476882934E-2</v>
      </c>
      <c r="T7" s="2">
        <v>3.8722157478332498E-3</v>
      </c>
      <c r="U7" s="2">
        <v>4.3991208076476999E-3</v>
      </c>
      <c r="V7" s="2">
        <v>5.9862136840820304E-3</v>
      </c>
      <c r="W7" s="2">
        <v>4.2232275009155204E-3</v>
      </c>
      <c r="X7" s="2">
        <v>2.3383975028991699E-2</v>
      </c>
      <c r="Y7" s="2">
        <v>1.79401934146881E-2</v>
      </c>
      <c r="Z7" s="2">
        <v>2.4015575647354102E-2</v>
      </c>
      <c r="AA7" s="2">
        <v>4.1621178388595498E-2</v>
      </c>
      <c r="AB7" s="2">
        <v>3.9628118276596E-2</v>
      </c>
      <c r="AC7" s="2">
        <v>2.4391055107116699E-2</v>
      </c>
      <c r="AD7" s="2">
        <v>3.4085124731063801E-2</v>
      </c>
      <c r="AE7" s="2">
        <v>4.9231886863708399E-2</v>
      </c>
      <c r="AF7" s="2">
        <v>3.2390147447585997E-2</v>
      </c>
      <c r="AG7" s="2">
        <v>4.4689387083053499E-2</v>
      </c>
      <c r="AH7" s="2">
        <v>3.6153584718704203E-2</v>
      </c>
      <c r="AI7" s="2">
        <v>4.69638705253601E-2</v>
      </c>
      <c r="AJ7" s="2">
        <v>2.3264259099960299E-2</v>
      </c>
      <c r="AK7" s="2">
        <v>2.3164868354797301E-2</v>
      </c>
    </row>
    <row r="8" spans="1:37" x14ac:dyDescent="0.35">
      <c r="A8" s="2">
        <v>-2.9227137565612701E-4</v>
      </c>
      <c r="B8" s="2">
        <v>3.67569923400878E-3</v>
      </c>
      <c r="C8" s="2">
        <v>8.0851316452026298E-3</v>
      </c>
      <c r="D8" s="2">
        <v>8.9934766292572004E-3</v>
      </c>
      <c r="E8" s="2">
        <v>8.4681510925292899E-3</v>
      </c>
      <c r="F8" s="2">
        <v>3.2322406768798802E-3</v>
      </c>
      <c r="G8" s="2">
        <v>1.23189389705657E-2</v>
      </c>
      <c r="H8" s="2">
        <v>1.5745580196380601E-2</v>
      </c>
      <c r="I8" s="2">
        <v>9.4036161899566598E-3</v>
      </c>
      <c r="J8" s="2">
        <v>9.9692046642303397E-3</v>
      </c>
      <c r="K8" s="2">
        <v>1.06255114078521E-2</v>
      </c>
      <c r="L8" s="2">
        <v>1.3968169689178399E-2</v>
      </c>
      <c r="M8" s="2">
        <v>1.03788673877716E-2</v>
      </c>
      <c r="N8" s="2">
        <v>4.7678053379058803E-3</v>
      </c>
      <c r="O8" s="2">
        <v>-3.8159191608428899E-3</v>
      </c>
      <c r="P8" s="2">
        <v>-3.9511919021606402E-4</v>
      </c>
      <c r="Q8" s="2">
        <v>9.2726051807403495E-3</v>
      </c>
      <c r="R8" s="2">
        <v>-3.0865967273712102E-3</v>
      </c>
      <c r="S8" s="2">
        <v>1.7782211303710899E-2</v>
      </c>
      <c r="T8" s="2">
        <v>4.8886537551879796E-3</v>
      </c>
      <c r="U8" s="2">
        <v>6.3267350196838303E-4</v>
      </c>
      <c r="V8" s="2">
        <v>5.9862136840820304E-3</v>
      </c>
      <c r="W8" s="2">
        <v>2.61896848678588E-3</v>
      </c>
      <c r="X8" s="2">
        <v>1.8101990222930901E-2</v>
      </c>
      <c r="Y8" s="2">
        <v>1.9046127796172999E-2</v>
      </c>
      <c r="Z8" s="2">
        <v>1.62969529628753E-2</v>
      </c>
      <c r="AA8" s="2">
        <v>3.8648933172225897E-2</v>
      </c>
      <c r="AB8" s="2">
        <v>3.8105219602584797E-2</v>
      </c>
      <c r="AC8" s="2">
        <v>3.274467587471E-2</v>
      </c>
      <c r="AD8" s="2">
        <v>3.74869704246521E-2</v>
      </c>
      <c r="AE8" s="2">
        <v>5.2175909280776901E-2</v>
      </c>
      <c r="AF8" s="2">
        <v>3.3594846725463798E-2</v>
      </c>
      <c r="AG8" s="2">
        <v>4.24893796443939E-2</v>
      </c>
      <c r="AH8" s="2">
        <v>3.6313891410827602E-2</v>
      </c>
      <c r="AI8" s="2">
        <v>2.5436580181121798E-2</v>
      </c>
      <c r="AJ8" s="2">
        <v>2.0241916179656899E-2</v>
      </c>
      <c r="AK8" s="2">
        <v>2.1671622991561799E-2</v>
      </c>
    </row>
    <row r="9" spans="1:37" x14ac:dyDescent="0.35">
      <c r="A9" s="2">
        <v>-4.8682093620300201E-4</v>
      </c>
      <c r="B9" s="2">
        <v>1.1429488658904999E-3</v>
      </c>
      <c r="C9" s="2">
        <v>1.0406881570816E-2</v>
      </c>
      <c r="D9" s="2">
        <v>1.7230808734893699E-3</v>
      </c>
      <c r="E9" s="2">
        <v>6.7347288131713798E-3</v>
      </c>
      <c r="F9" s="2">
        <v>3.3219158649444502E-3</v>
      </c>
      <c r="G9" s="2">
        <v>1.1279851198196401E-2</v>
      </c>
      <c r="H9" s="2">
        <v>1.5099942684173501E-2</v>
      </c>
      <c r="I9" s="2">
        <v>1.0598123073577799E-2</v>
      </c>
      <c r="J9" s="2">
        <v>1.03617012500762E-2</v>
      </c>
      <c r="K9" s="2">
        <v>1.2067317962646399E-2</v>
      </c>
      <c r="L9" s="2">
        <v>1.2653708457946699E-2</v>
      </c>
      <c r="M9" s="2">
        <v>8.4491074085235596E-3</v>
      </c>
      <c r="N9" s="2">
        <v>5.1571428775787301E-3</v>
      </c>
      <c r="O9" s="2">
        <v>3.2660961151122999E-3</v>
      </c>
      <c r="P9" s="2">
        <v>4.0519833564758301E-3</v>
      </c>
      <c r="Q9" s="2">
        <v>-7.4508786201476999E-3</v>
      </c>
      <c r="R9" s="2">
        <v>-4.1532516479492101E-3</v>
      </c>
      <c r="S9" s="2">
        <v>1.87734365463256E-2</v>
      </c>
      <c r="T9" s="2">
        <v>-3.0018091201782201E-3</v>
      </c>
      <c r="U9" s="2">
        <v>2.8752386569976798E-3</v>
      </c>
      <c r="V9" s="2">
        <v>5.9862136840820304E-3</v>
      </c>
      <c r="W9" s="2">
        <v>1.0278403759002601E-2</v>
      </c>
      <c r="X9" s="2">
        <v>1.8043100833892801E-2</v>
      </c>
      <c r="Y9" s="2">
        <v>1.8440812826156599E-2</v>
      </c>
      <c r="Z9" s="2">
        <v>2.4830371141433698E-2</v>
      </c>
      <c r="AA9" s="2">
        <v>4.0252178907394402E-2</v>
      </c>
      <c r="AB9" s="2">
        <v>4.2693793773651102E-2</v>
      </c>
      <c r="AC9" s="2">
        <v>3.3345431089401197E-2</v>
      </c>
      <c r="AD9" s="2">
        <v>4.5997858047485303E-2</v>
      </c>
      <c r="AE9" s="2">
        <v>4.8831284046172999E-2</v>
      </c>
      <c r="AF9" s="2">
        <v>3.4858018159866298E-2</v>
      </c>
      <c r="AG9" s="2">
        <v>4.0031880140304503E-2</v>
      </c>
      <c r="AH9" s="2">
        <v>3.4084498882293701E-2</v>
      </c>
      <c r="AI9" s="2">
        <v>5.2187263965606599E-2</v>
      </c>
      <c r="AJ9" s="2">
        <v>1.4576345682144101E-2</v>
      </c>
      <c r="AK9" s="2">
        <v>3.3761322498321499E-2</v>
      </c>
    </row>
    <row r="10" spans="1:37" x14ac:dyDescent="0.35">
      <c r="A10" s="2">
        <v>4.18338179588317E-3</v>
      </c>
      <c r="B10" s="2">
        <v>3.3625662326812701E-3</v>
      </c>
      <c r="C10" s="2">
        <v>1.2280762195587099E-2</v>
      </c>
      <c r="D10" s="2">
        <v>4.8705935478210397E-3</v>
      </c>
      <c r="E10" s="2">
        <v>8.4657073020935007E-3</v>
      </c>
      <c r="F10" s="2">
        <v>1.1753648519515899E-2</v>
      </c>
      <c r="G10" s="2">
        <v>1.0729014873504601E-2</v>
      </c>
      <c r="H10" s="2">
        <v>8.75893235206604E-3</v>
      </c>
      <c r="I10" s="2">
        <v>1.1372059583663901E-2</v>
      </c>
      <c r="J10" s="2">
        <v>9.3950927257537807E-3</v>
      </c>
      <c r="K10" s="2">
        <v>1.18601620197296E-2</v>
      </c>
      <c r="L10" s="2">
        <v>1.28726661205291E-2</v>
      </c>
      <c r="M10" s="2">
        <v>8.6963176727294905E-3</v>
      </c>
      <c r="N10" s="2">
        <v>4.3676197528839103E-3</v>
      </c>
      <c r="O10" s="2">
        <v>9.1710388660430908E-3</v>
      </c>
      <c r="P10" s="2">
        <v>2.9667615890502899E-3</v>
      </c>
      <c r="Q10" s="2">
        <v>6.5720379352569502E-3</v>
      </c>
      <c r="R10" s="2">
        <v>-3.75208258628845E-3</v>
      </c>
      <c r="S10" s="2">
        <v>1.56502723693847E-2</v>
      </c>
      <c r="T10" s="2">
        <v>3.51715087890625E-3</v>
      </c>
      <c r="U10" s="2">
        <v>6.9791078567504796E-3</v>
      </c>
      <c r="V10" s="2">
        <v>5.9862136840820304E-3</v>
      </c>
      <c r="W10" s="2">
        <v>1.2939125299453701E-2</v>
      </c>
      <c r="X10" s="2">
        <v>8.9256167411804199E-3</v>
      </c>
      <c r="Y10" s="2">
        <v>2.2275298833847001E-2</v>
      </c>
      <c r="Z10" s="2">
        <v>3.1590014696121202E-2</v>
      </c>
      <c r="AA10" s="2">
        <v>3.8104742765426601E-2</v>
      </c>
      <c r="AB10" s="2">
        <v>3.1585514545440598E-2</v>
      </c>
      <c r="AC10" s="2">
        <v>3.4769594669341999E-2</v>
      </c>
      <c r="AD10" s="2">
        <v>4.4915229082107502E-2</v>
      </c>
      <c r="AE10" s="2">
        <v>3.9559632539749097E-2</v>
      </c>
      <c r="AF10" s="2">
        <v>3.2858401536941501E-2</v>
      </c>
      <c r="AG10" s="2">
        <v>3.9953529834747301E-2</v>
      </c>
      <c r="AH10" s="2">
        <v>7.1169942617416299E-2</v>
      </c>
      <c r="AI10" s="2">
        <v>5.3678423166274997E-2</v>
      </c>
      <c r="AJ10" s="2">
        <v>1.4021843671798701E-2</v>
      </c>
      <c r="AK10" s="2">
        <v>2.8890937566757199E-2</v>
      </c>
    </row>
    <row r="11" spans="1:37" x14ac:dyDescent="0.35">
      <c r="A11" s="2">
        <v>6.7194104194641096E-3</v>
      </c>
      <c r="B11" s="2">
        <v>5.9896409511566101E-3</v>
      </c>
      <c r="C11" s="2">
        <v>7.7018737792968698E-3</v>
      </c>
      <c r="D11" s="2">
        <v>6.24877214431762E-3</v>
      </c>
      <c r="E11" s="2">
        <v>8.6966753005981393E-3</v>
      </c>
      <c r="F11" s="2">
        <v>1.0768026113510101E-2</v>
      </c>
      <c r="G11" s="2">
        <v>9.4917416572570801E-3</v>
      </c>
      <c r="H11" s="2">
        <v>1.03443562984466E-2</v>
      </c>
      <c r="I11" s="2">
        <v>1.12735629081726E-2</v>
      </c>
      <c r="J11" s="2">
        <v>1.03238523006439E-2</v>
      </c>
      <c r="K11" s="2">
        <v>1.11824572086334E-2</v>
      </c>
      <c r="L11" s="2">
        <v>9.2732608318328805E-3</v>
      </c>
      <c r="M11" s="2">
        <v>3.46928834915161E-3</v>
      </c>
      <c r="N11" s="2">
        <v>4.3911933898925703E-3</v>
      </c>
      <c r="O11" s="2">
        <v>5.01900911331176E-4</v>
      </c>
      <c r="P11" s="2">
        <v>3.9634108543395996E-3</v>
      </c>
      <c r="Q11" s="2">
        <v>-6.3613355159759504E-3</v>
      </c>
      <c r="R11" s="2">
        <v>-2.2955834865569999E-3</v>
      </c>
      <c r="S11" s="2">
        <v>1.09843611717224E-2</v>
      </c>
      <c r="T11" s="2">
        <v>1.6839802265167199E-3</v>
      </c>
      <c r="U11" s="2">
        <v>5.9862136840820304E-3</v>
      </c>
      <c r="V11" s="2">
        <v>5.9862136840820304E-3</v>
      </c>
      <c r="W11" s="2">
        <v>1.0170519351959201E-2</v>
      </c>
      <c r="X11" s="2">
        <v>1.6973674297332701E-2</v>
      </c>
      <c r="Y11" s="2">
        <v>1.9910484552383399E-2</v>
      </c>
      <c r="Z11" s="2">
        <v>3.7051975727081299E-2</v>
      </c>
      <c r="AA11" s="2">
        <v>5.7342380285262999E-2</v>
      </c>
      <c r="AB11" s="2">
        <v>3.0332386493682799E-2</v>
      </c>
      <c r="AC11" s="2">
        <v>3.2752454280853202E-2</v>
      </c>
      <c r="AD11" s="2">
        <v>3.7344366312026901E-2</v>
      </c>
      <c r="AE11" s="2">
        <v>3.1512886285781798E-2</v>
      </c>
      <c r="AF11" s="2">
        <v>3.6240696907043402E-2</v>
      </c>
      <c r="AG11" s="2">
        <v>4.4131964445114101E-2</v>
      </c>
      <c r="AH11" s="2">
        <v>2.2650718688964799E-2</v>
      </c>
      <c r="AI11" s="2">
        <v>2.8432697057723999E-2</v>
      </c>
      <c r="AJ11" s="2">
        <v>2.3007869720458901E-2</v>
      </c>
      <c r="AK11" s="2">
        <v>3.1691282987594598E-2</v>
      </c>
    </row>
    <row r="13" spans="1:37" x14ac:dyDescent="0.35">
      <c r="A13" s="3" t="s">
        <v>38</v>
      </c>
    </row>
    <row r="14" spans="1:37" x14ac:dyDescent="0.35">
      <c r="A14" s="2">
        <f>AVERAGE(FI_OTU_genus[F_TOTAL])</f>
        <v>4.3125778436660734E-3</v>
      </c>
      <c r="B14" s="2">
        <f>AVERAGE(FI_OTU_genus[F_CITMLB])</f>
        <v>6.301996111869804E-3</v>
      </c>
      <c r="C14" s="2">
        <f>AVERAGE(FI_OTU_genus[F_OTHER])</f>
        <v>1.0572826862335181E-2</v>
      </c>
      <c r="D14" s="2">
        <f>AVERAGE(FI_OTU_genus[F_JUICE])</f>
        <v>6.6477388143539292E-3</v>
      </c>
      <c r="E14" s="2">
        <f>AVERAGE(FI_OTU_genus[V_TOTAL])</f>
        <v>8.9599072933196858E-3</v>
      </c>
      <c r="F14" s="2">
        <f>AVERAGE(FI_OTU_genus[V_DRKGR])</f>
        <v>6.7806720733642372E-3</v>
      </c>
      <c r="G14" s="2">
        <f>AVERAGE(FI_OTU_genus[V_REDOR_TOTAL])</f>
        <v>1.117456853389737E-2</v>
      </c>
      <c r="H14" s="2">
        <f>AVERAGE(FI_OTU_genus[V_REDOR_TOMATO])</f>
        <v>1.0639220476150475E-2</v>
      </c>
      <c r="I14" s="2">
        <f>AVERAGE(FI_OTU_genus[V_REDOR_OTHER])</f>
        <v>1.0427093505859334E-2</v>
      </c>
      <c r="J14" s="2">
        <f>AVERAGE(FI_OTU_genus[V_STARCHY_TOTAL])</f>
        <v>9.23371016979215E-3</v>
      </c>
      <c r="K14" s="2">
        <f>AVERAGE(FI_OTU_genus[V_STARCHY_POTATO])</f>
        <v>1.1148983240127527E-2</v>
      </c>
      <c r="L14" s="2">
        <f>AVERAGE(FI_OTU_genus[V_STARCHY_OTHER])</f>
        <v>1.193107366561884E-2</v>
      </c>
      <c r="M14" s="2">
        <f>AVERAGE(FI_OTU_genus[V_OTHER])</f>
        <v>8.4335207939147845E-3</v>
      </c>
      <c r="N14" s="2">
        <f>AVERAGE(FI_OTU_genus[V_LEGUMES])</f>
        <v>4.171386361122127E-3</v>
      </c>
      <c r="O14" s="2">
        <f>AVERAGE(FI_OTU_genus[G_TOTAL])</f>
        <v>2.98497080802917E-3</v>
      </c>
      <c r="P14" s="2">
        <f>AVERAGE(FI_OTU_genus[G_WHOLE])</f>
        <v>2.5975883007049545E-3</v>
      </c>
      <c r="Q14" s="2">
        <f>AVERAGE(FI_OTU_genus[G_REFINED])</f>
        <v>-7.5451433658599808E-4</v>
      </c>
      <c r="R14" s="2">
        <f>AVERAGE(FI_OTU_genus[PF_TOTAL])</f>
        <v>-1.0050654411315895E-3</v>
      </c>
      <c r="S14" s="2">
        <f>AVERAGE(FI_OTU_genus[PF_MPS_TOTAL])</f>
        <v>1.4049720764160107E-2</v>
      </c>
      <c r="T14" s="2">
        <f>AVERAGE(FI_OTU_genus[PF_MEAT])</f>
        <v>6.6490024328231577E-3</v>
      </c>
      <c r="U14" s="2">
        <f>AVERAGE(FI_OTU_genus[PF_CUREDMEAT])</f>
        <v>4.0357530117034884E-3</v>
      </c>
      <c r="V14" s="2">
        <f>AVERAGE(FI_OTU_genus[PF_ORGAN])</f>
        <v>5.9862136840820304E-3</v>
      </c>
      <c r="W14" s="2">
        <f>AVERAGE(FI_OTU_genus[PF_POULT])</f>
        <v>9.0896964073180729E-3</v>
      </c>
      <c r="X14" s="2">
        <f>AVERAGE(FI_OTU_genus[PF_SEAFD_HI])</f>
        <v>1.8709170818328812E-2</v>
      </c>
      <c r="Y14" s="2">
        <f>AVERAGE(FI_OTU_genus[PF_SEAFD_LOW])</f>
        <v>1.8824809789657549E-2</v>
      </c>
      <c r="Z14" s="2">
        <f>AVERAGE(FI_OTU_genus[PF_EGGS])</f>
        <v>2.4013978242874118E-2</v>
      </c>
      <c r="AA14" s="2">
        <f>AVERAGE(FI_OTU_genus[PF_SOY])</f>
        <v>4.6875450015068001E-2</v>
      </c>
      <c r="AB14" s="2">
        <f>AVERAGE(FI_OTU_genus[PF_NUTSDS])</f>
        <v>3.7929049134254413E-2</v>
      </c>
      <c r="AC14" s="2">
        <f>AVERAGE(FI_OTU_genus[PF_LEGUMES])</f>
        <v>3.093691468238826E-2</v>
      </c>
      <c r="AD14" s="2">
        <f>AVERAGE(FI_OTU_genus[D_TOTAL])</f>
        <v>4.0634104609489401E-2</v>
      </c>
      <c r="AE14" s="2">
        <f>AVERAGE(FI_OTU_genus[D_MILK])</f>
        <v>4.6006938815116818E-2</v>
      </c>
      <c r="AF14" s="2">
        <f>AVERAGE(FI_OTU_genus[D_YOGURT])</f>
        <v>3.1720128655433596E-2</v>
      </c>
      <c r="AG14" s="2">
        <f>AVERAGE(FI_OTU_genus[D_CHEESE])</f>
        <v>4.3217885494232132E-2</v>
      </c>
      <c r="AH14" s="2">
        <f>AVERAGE(FI_OTU_genus[OILS])</f>
        <v>3.6952000856399499E-2</v>
      </c>
      <c r="AI14" s="2">
        <f>AVERAGE(FI_OTU_genus[SOLID_FATS])</f>
        <v>3.3182543516159027E-2</v>
      </c>
      <c r="AJ14" s="2">
        <f>AVERAGE(FI_OTU_genus[ADD_SUGARS])</f>
        <v>2.0977112650871231E-2</v>
      </c>
      <c r="AK14" s="2">
        <f>AVERAGE(FI_OTU_genus[A_DRINKS])</f>
        <v>2.8440466523170432E-2</v>
      </c>
    </row>
    <row r="15" spans="1:37" x14ac:dyDescent="0.35">
      <c r="A15" s="3" t="s">
        <v>39</v>
      </c>
    </row>
    <row r="16" spans="1:37" x14ac:dyDescent="0.35">
      <c r="A16" s="2">
        <f>STDEV(FI_OTU_genus[F_TOTAL])</f>
        <v>3.4166860362413723E-3</v>
      </c>
      <c r="B16" s="2">
        <f>STDEV(FI_OTU_genus[F_CITMLB])</f>
        <v>3.1903602099604914E-3</v>
      </c>
      <c r="C16" s="2">
        <f>STDEV(FI_OTU_genus[F_OTHER])</f>
        <v>3.3365478247394235E-3</v>
      </c>
      <c r="D16" s="2">
        <f>STDEV(FI_OTU_genus[F_JUICE])</f>
        <v>3.0069544713466514E-3</v>
      </c>
      <c r="E16" s="2">
        <f>STDEV(FI_OTU_genus[V_TOTAL])</f>
        <v>1.8763853819667128E-3</v>
      </c>
      <c r="F16" s="2">
        <f>STDEV(FI_OTU_genus[V_DRKGR])</f>
        <v>3.546910345664693E-3</v>
      </c>
      <c r="G16" s="2">
        <f>STDEV(FI_OTU_genus[V_REDOR_TOTAL])</f>
        <v>1.3312654043993513E-3</v>
      </c>
      <c r="H16" s="2">
        <f>STDEV(FI_OTU_genus[V_REDOR_TOMATO])</f>
        <v>3.7276355929882743E-3</v>
      </c>
      <c r="I16" s="2">
        <f>STDEV(FI_OTU_genus[V_REDOR_OTHER])</f>
        <v>7.8235491205317731E-4</v>
      </c>
      <c r="J16" s="2">
        <f>STDEV(FI_OTU_genus[V_STARCHY_TOTAL])</f>
        <v>1.434041277865523E-3</v>
      </c>
      <c r="K16" s="2">
        <f>STDEV(FI_OTU_genus[V_STARCHY_POTATO])</f>
        <v>1.0098212726667099E-3</v>
      </c>
      <c r="L16" s="2">
        <f>STDEV(FI_OTU_genus[V_STARCHY_OTHER])</f>
        <v>1.3754346239878263E-3</v>
      </c>
      <c r="M16" s="2">
        <f>STDEV(FI_OTU_genus[V_OTHER])</f>
        <v>2.3480384793858819E-3</v>
      </c>
      <c r="N16" s="2">
        <f>STDEV(FI_OTU_genus[V_LEGUMES])</f>
        <v>6.3990859836534622E-4</v>
      </c>
      <c r="O16" s="2">
        <f>STDEV(FI_OTU_genus[G_TOTAL])</f>
        <v>4.9066269097729721E-3</v>
      </c>
      <c r="P16" s="2">
        <f>STDEV(FI_OTU_genus[G_WHOLE])</f>
        <v>3.8021738637830744E-3</v>
      </c>
      <c r="Q16" s="2">
        <f>STDEV(FI_OTU_genus[G_REFINED])</f>
        <v>7.0528386887896127E-3</v>
      </c>
      <c r="R16" s="2">
        <f>STDEV(FI_OTU_genus[PF_TOTAL])</f>
        <v>3.2620688227743642E-3</v>
      </c>
      <c r="S16" s="2">
        <f>STDEV(FI_OTU_genus[PF_MPS_TOTAL])</f>
        <v>4.5077200479898818E-3</v>
      </c>
      <c r="T16" s="2">
        <f>STDEV(FI_OTU_genus[PF_MEAT])</f>
        <v>7.7826638087037468E-3</v>
      </c>
      <c r="U16" s="2">
        <f>STDEV(FI_OTU_genus[PF_CUREDMEAT])</f>
        <v>2.5276937313477477E-3</v>
      </c>
      <c r="V16" s="2">
        <f>STDEV(FI_OTU_genus[PF_ORGAN])</f>
        <v>0</v>
      </c>
      <c r="W16" s="2">
        <f>STDEV(FI_OTU_genus[PF_POULT])</f>
        <v>5.1762169160151899E-3</v>
      </c>
      <c r="X16" s="2">
        <f>STDEV(FI_OTU_genus[PF_SEAFD_HI])</f>
        <v>4.2970325361169799E-3</v>
      </c>
      <c r="Y16" s="2">
        <f>STDEV(FI_OTU_genus[PF_SEAFD_LOW])</f>
        <v>2.4807173148635154E-3</v>
      </c>
      <c r="Z16" s="2">
        <f>STDEV(FI_OTU_genus[PF_EGGS])</f>
        <v>6.4548219110296791E-3</v>
      </c>
      <c r="AA16" s="2">
        <f>STDEV(FI_OTU_genus[PF_SOY])</f>
        <v>7.9694912870715978E-3</v>
      </c>
      <c r="AB16" s="2">
        <f>STDEV(FI_OTU_genus[PF_NUTSDS])</f>
        <v>8.297471013487618E-3</v>
      </c>
      <c r="AC16" s="2">
        <f>STDEV(FI_OTU_genus[PF_LEGUMES])</f>
        <v>4.2041991553806056E-3</v>
      </c>
      <c r="AD16" s="2">
        <f>STDEV(FI_OTU_genus[D_TOTAL])</f>
        <v>5.5273981680968266E-3</v>
      </c>
      <c r="AE16" s="2">
        <f>STDEV(FI_OTU_genus[D_MILK])</f>
        <v>8.1146709980773144E-3</v>
      </c>
      <c r="AF16" s="2">
        <f>STDEV(FI_OTU_genus[D_YOGURT])</f>
        <v>3.0489773573387849E-3</v>
      </c>
      <c r="AG16" s="2">
        <f>STDEV(FI_OTU_genus[D_CHEESE])</f>
        <v>4.1663849461828391E-3</v>
      </c>
      <c r="AH16" s="2">
        <f>STDEV(FI_OTU_genus[OILS])</f>
        <v>1.5574180650917936E-2</v>
      </c>
      <c r="AI16" s="2">
        <f>STDEV(FI_OTU_genus[SOLID_FATS])</f>
        <v>1.2436538104539891E-2</v>
      </c>
      <c r="AJ16" s="2">
        <f>STDEV(FI_OTU_genus[ADD_SUGARS])</f>
        <v>5.0043737434499174E-3</v>
      </c>
      <c r="AK16" s="2">
        <f>STDEV(FI_OTU_genus[A_DRINKS])</f>
        <v>3.7604664520485415E-3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18B1-1DA1-4233-A710-F21C0C423BD8}">
  <dimension ref="A1:AK15"/>
  <sheetViews>
    <sheetView tabSelected="1" topLeftCell="R1" workbookViewId="0">
      <selection activeCell="A14" sqref="A14"/>
    </sheetView>
  </sheetViews>
  <sheetFormatPr baseColWidth="10" defaultRowHeight="14.5" x14ac:dyDescent="0.35"/>
  <cols>
    <col min="1" max="1" width="10.453125" bestFit="1" customWidth="1"/>
    <col min="2" max="2" width="11.453125" bestFit="1" customWidth="1"/>
    <col min="3" max="3" width="10.7265625" bestFit="1" customWidth="1"/>
    <col min="4" max="4" width="9.81640625" bestFit="1" customWidth="1"/>
    <col min="5" max="5" width="10.7265625" bestFit="1" customWidth="1"/>
    <col min="6" max="6" width="11.26953125" bestFit="1" customWidth="1"/>
    <col min="7" max="7" width="17.453125" bestFit="1" customWidth="1"/>
    <col min="8" max="8" width="19.90625" bestFit="1" customWidth="1"/>
    <col min="9" max="9" width="17.81640625" bestFit="1" customWidth="1"/>
    <col min="10" max="10" width="19.453125" bestFit="1" customWidth="1"/>
    <col min="11" max="11" width="21.08984375" bestFit="1" customWidth="1"/>
    <col min="12" max="12" width="19.7265625" bestFit="1" customWidth="1"/>
    <col min="13" max="13" width="11" bestFit="1" customWidth="1"/>
    <col min="14" max="14" width="13.6328125" bestFit="1" customWidth="1"/>
    <col min="16" max="16" width="11.81640625" bestFit="1" customWidth="1"/>
    <col min="17" max="17" width="12.6328125" bestFit="1" customWidth="1"/>
    <col min="18" max="18" width="11.54296875" bestFit="1" customWidth="1"/>
    <col min="19" max="19" width="16.36328125" bestFit="1" customWidth="1"/>
    <col min="20" max="20" width="11.1796875" bestFit="1" customWidth="1"/>
    <col min="21" max="21" width="16.90625" bestFit="1" customWidth="1"/>
    <col min="22" max="22" width="12.6328125" bestFit="1" customWidth="1"/>
    <col min="23" max="23" width="11.81640625" bestFit="1" customWidth="1"/>
    <col min="24" max="24" width="14.26953125" bestFit="1" customWidth="1"/>
    <col min="25" max="25" width="16.6328125" bestFit="1" customWidth="1"/>
    <col min="27" max="27" width="9.6328125" bestFit="1" customWidth="1"/>
    <col min="28" max="28" width="13.08984375" bestFit="1" customWidth="1"/>
    <col min="29" max="29" width="14.453125" bestFit="1" customWidth="1"/>
    <col min="30" max="30" width="10.7265625" bestFit="1" customWidth="1"/>
    <col min="31" max="31" width="9.6328125" bestFit="1" customWidth="1"/>
    <col min="32" max="32" width="12.6328125" bestFit="1" customWidth="1"/>
    <col min="33" max="33" width="11.6328125" bestFit="1" customWidth="1"/>
    <col min="34" max="34" width="6.90625" bestFit="1" customWidth="1"/>
    <col min="35" max="35" width="13.1796875" bestFit="1" customWidth="1"/>
    <col min="36" max="36" width="14.81640625" bestFit="1" customWidth="1"/>
    <col min="37" max="37" width="11.7265625" bestFit="1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5">
      <c r="A2" s="1" t="s">
        <v>37</v>
      </c>
      <c r="B2" s="1" t="s">
        <v>37</v>
      </c>
      <c r="C2" s="1" t="s">
        <v>37</v>
      </c>
      <c r="D2" s="1" t="s">
        <v>37</v>
      </c>
      <c r="E2" s="1" t="s">
        <v>37</v>
      </c>
      <c r="F2" s="1" t="s">
        <v>37</v>
      </c>
      <c r="G2" s="1" t="s">
        <v>37</v>
      </c>
      <c r="H2" s="1" t="s">
        <v>37</v>
      </c>
      <c r="I2" s="1" t="s">
        <v>37</v>
      </c>
      <c r="J2" s="1" t="s">
        <v>37</v>
      </c>
      <c r="K2" s="1" t="s">
        <v>37</v>
      </c>
      <c r="L2" s="1" t="s">
        <v>37</v>
      </c>
      <c r="M2" s="1" t="s">
        <v>37</v>
      </c>
      <c r="N2" s="1" t="s">
        <v>37</v>
      </c>
      <c r="O2" s="1" t="s">
        <v>37</v>
      </c>
      <c r="P2" s="1" t="s">
        <v>37</v>
      </c>
      <c r="Q2" s="1" t="s">
        <v>37</v>
      </c>
      <c r="R2" s="1" t="s">
        <v>37</v>
      </c>
      <c r="S2" s="1" t="s">
        <v>37</v>
      </c>
      <c r="T2" s="1" t="s">
        <v>37</v>
      </c>
      <c r="U2" s="1" t="s">
        <v>37</v>
      </c>
      <c r="V2" s="1" t="s">
        <v>37</v>
      </c>
      <c r="W2" s="1" t="s">
        <v>37</v>
      </c>
      <c r="X2" s="1" t="s">
        <v>37</v>
      </c>
      <c r="Y2" s="1" t="s">
        <v>37</v>
      </c>
      <c r="Z2" s="1" t="s">
        <v>37</v>
      </c>
      <c r="AA2" s="1" t="s">
        <v>37</v>
      </c>
      <c r="AB2" s="1" t="s">
        <v>37</v>
      </c>
      <c r="AC2" s="1" t="s">
        <v>37</v>
      </c>
      <c r="AD2" s="1" t="s">
        <v>37</v>
      </c>
      <c r="AE2" s="1" t="s">
        <v>37</v>
      </c>
      <c r="AF2" s="1" t="s">
        <v>37</v>
      </c>
      <c r="AG2" s="1" t="s">
        <v>37</v>
      </c>
      <c r="AH2" s="1" t="s">
        <v>37</v>
      </c>
      <c r="AI2" s="1" t="s">
        <v>37</v>
      </c>
      <c r="AJ2" s="1" t="s">
        <v>37</v>
      </c>
      <c r="AK2" s="1" t="s">
        <v>37</v>
      </c>
    </row>
    <row r="3" spans="1:37" x14ac:dyDescent="0.35">
      <c r="A3" s="1" t="s">
        <v>37</v>
      </c>
      <c r="B3" s="1" t="s">
        <v>37</v>
      </c>
      <c r="C3" s="1" t="s">
        <v>37</v>
      </c>
      <c r="D3" s="1" t="s">
        <v>37</v>
      </c>
      <c r="E3" s="1" t="s">
        <v>37</v>
      </c>
      <c r="F3" s="1" t="s">
        <v>37</v>
      </c>
      <c r="G3" s="1" t="s">
        <v>37</v>
      </c>
      <c r="H3" s="1" t="s">
        <v>37</v>
      </c>
      <c r="I3" s="1" t="s">
        <v>37</v>
      </c>
      <c r="J3" s="1" t="s">
        <v>37</v>
      </c>
      <c r="K3" s="1" t="s">
        <v>37</v>
      </c>
      <c r="L3" s="1" t="s">
        <v>37</v>
      </c>
      <c r="M3" s="1" t="s">
        <v>37</v>
      </c>
      <c r="N3" s="1" t="s">
        <v>37</v>
      </c>
      <c r="O3" s="1" t="s">
        <v>37</v>
      </c>
      <c r="P3" s="1" t="s">
        <v>37</v>
      </c>
      <c r="Q3" s="1" t="s">
        <v>37</v>
      </c>
      <c r="R3" s="1" t="s">
        <v>37</v>
      </c>
      <c r="S3" s="1" t="s">
        <v>37</v>
      </c>
      <c r="T3" s="1" t="s">
        <v>37</v>
      </c>
      <c r="U3" s="1" t="s">
        <v>37</v>
      </c>
      <c r="V3" s="1" t="s">
        <v>37</v>
      </c>
      <c r="W3" s="1" t="s">
        <v>37</v>
      </c>
      <c r="X3" s="1" t="s">
        <v>37</v>
      </c>
      <c r="Y3" s="1" t="s">
        <v>37</v>
      </c>
      <c r="Z3" s="1" t="s">
        <v>37</v>
      </c>
      <c r="AA3" s="1" t="s">
        <v>37</v>
      </c>
      <c r="AB3" s="1" t="s">
        <v>37</v>
      </c>
      <c r="AC3" s="1" t="s">
        <v>37</v>
      </c>
      <c r="AD3" s="1" t="s">
        <v>37</v>
      </c>
      <c r="AE3" s="1" t="s">
        <v>37</v>
      </c>
      <c r="AF3" s="1" t="s">
        <v>37</v>
      </c>
      <c r="AG3" s="1" t="s">
        <v>37</v>
      </c>
      <c r="AH3" s="1" t="s">
        <v>37</v>
      </c>
      <c r="AI3" s="1" t="s">
        <v>37</v>
      </c>
      <c r="AJ3" s="1" t="s">
        <v>37</v>
      </c>
      <c r="AK3" s="1" t="s">
        <v>37</v>
      </c>
    </row>
    <row r="4" spans="1:37" x14ac:dyDescent="0.35">
      <c r="A4" s="1" t="s">
        <v>37</v>
      </c>
      <c r="B4" s="1" t="s">
        <v>37</v>
      </c>
      <c r="C4" s="1" t="s">
        <v>37</v>
      </c>
      <c r="D4" s="1" t="s">
        <v>37</v>
      </c>
      <c r="E4" s="1" t="s">
        <v>37</v>
      </c>
      <c r="F4" s="1" t="s">
        <v>37</v>
      </c>
      <c r="G4" s="1" t="s">
        <v>37</v>
      </c>
      <c r="H4" s="1" t="s">
        <v>37</v>
      </c>
      <c r="I4" s="1" t="s">
        <v>37</v>
      </c>
      <c r="J4" s="1" t="s">
        <v>37</v>
      </c>
      <c r="K4" s="1" t="s">
        <v>37</v>
      </c>
      <c r="L4" s="1" t="s">
        <v>37</v>
      </c>
      <c r="M4" s="1" t="s">
        <v>37</v>
      </c>
      <c r="N4" s="1" t="s">
        <v>37</v>
      </c>
      <c r="O4" s="1" t="s">
        <v>37</v>
      </c>
      <c r="P4" s="1" t="s">
        <v>37</v>
      </c>
      <c r="Q4" s="1" t="s">
        <v>37</v>
      </c>
      <c r="R4" s="1" t="s">
        <v>37</v>
      </c>
      <c r="S4" s="1" t="s">
        <v>37</v>
      </c>
      <c r="T4" s="1" t="s">
        <v>37</v>
      </c>
      <c r="U4" s="1" t="s">
        <v>37</v>
      </c>
      <c r="V4" s="1" t="s">
        <v>37</v>
      </c>
      <c r="W4" s="1" t="s">
        <v>37</v>
      </c>
      <c r="X4" s="1" t="s">
        <v>37</v>
      </c>
      <c r="Y4" s="1" t="s">
        <v>37</v>
      </c>
      <c r="Z4" s="1" t="s">
        <v>37</v>
      </c>
      <c r="AA4" s="1" t="s">
        <v>37</v>
      </c>
      <c r="AB4" s="1" t="s">
        <v>37</v>
      </c>
      <c r="AC4" s="1" t="s">
        <v>37</v>
      </c>
      <c r="AD4" s="1" t="s">
        <v>37</v>
      </c>
      <c r="AE4" s="1" t="s">
        <v>37</v>
      </c>
      <c r="AF4" s="1" t="s">
        <v>37</v>
      </c>
      <c r="AG4" s="1" t="s">
        <v>37</v>
      </c>
      <c r="AH4" s="1" t="s">
        <v>37</v>
      </c>
      <c r="AI4" s="1" t="s">
        <v>37</v>
      </c>
      <c r="AJ4" s="1" t="s">
        <v>37</v>
      </c>
      <c r="AK4" s="1" t="s">
        <v>37</v>
      </c>
    </row>
    <row r="5" spans="1:37" x14ac:dyDescent="0.35">
      <c r="A5" s="1" t="s">
        <v>37</v>
      </c>
      <c r="B5" s="1" t="s">
        <v>37</v>
      </c>
      <c r="C5" s="1" t="s">
        <v>37</v>
      </c>
      <c r="D5" s="1" t="s">
        <v>37</v>
      </c>
      <c r="E5" s="1" t="s">
        <v>37</v>
      </c>
      <c r="F5" s="1" t="s">
        <v>37</v>
      </c>
      <c r="G5" s="1" t="s">
        <v>37</v>
      </c>
      <c r="H5" s="1" t="s">
        <v>37</v>
      </c>
      <c r="I5" s="1" t="s">
        <v>37</v>
      </c>
      <c r="J5" s="1" t="s">
        <v>37</v>
      </c>
      <c r="K5" s="1" t="s">
        <v>37</v>
      </c>
      <c r="L5" s="1" t="s">
        <v>37</v>
      </c>
      <c r="M5" s="1" t="s">
        <v>37</v>
      </c>
      <c r="N5" s="1" t="s">
        <v>37</v>
      </c>
      <c r="O5" s="1" t="s">
        <v>37</v>
      </c>
      <c r="P5" s="1" t="s">
        <v>37</v>
      </c>
      <c r="Q5" s="1" t="s">
        <v>37</v>
      </c>
      <c r="R5" s="1" t="s">
        <v>37</v>
      </c>
      <c r="S5" s="1" t="s">
        <v>37</v>
      </c>
      <c r="T5" s="1" t="s">
        <v>37</v>
      </c>
      <c r="U5" s="1" t="s">
        <v>37</v>
      </c>
      <c r="V5" s="1" t="s">
        <v>37</v>
      </c>
      <c r="W5" s="1" t="s">
        <v>37</v>
      </c>
      <c r="X5" s="1" t="s">
        <v>37</v>
      </c>
      <c r="Y5" s="1" t="s">
        <v>37</v>
      </c>
      <c r="Z5" s="1" t="s">
        <v>37</v>
      </c>
      <c r="AA5" s="1" t="s">
        <v>37</v>
      </c>
      <c r="AB5" s="1" t="s">
        <v>37</v>
      </c>
      <c r="AC5" s="1" t="s">
        <v>37</v>
      </c>
      <c r="AD5" s="1" t="s">
        <v>37</v>
      </c>
      <c r="AE5" s="1" t="s">
        <v>37</v>
      </c>
      <c r="AF5" s="1" t="s">
        <v>37</v>
      </c>
      <c r="AG5" s="1" t="s">
        <v>37</v>
      </c>
      <c r="AH5" s="1" t="s">
        <v>37</v>
      </c>
      <c r="AI5" s="1" t="s">
        <v>37</v>
      </c>
      <c r="AJ5" s="1" t="s">
        <v>37</v>
      </c>
      <c r="AK5" s="1" t="s">
        <v>37</v>
      </c>
    </row>
    <row r="6" spans="1:37" x14ac:dyDescent="0.35">
      <c r="A6" s="1" t="s">
        <v>37</v>
      </c>
      <c r="B6" s="1" t="s">
        <v>37</v>
      </c>
      <c r="C6" s="1" t="s">
        <v>37</v>
      </c>
      <c r="D6" s="1" t="s">
        <v>37</v>
      </c>
      <c r="E6" s="1" t="s">
        <v>37</v>
      </c>
      <c r="F6" s="1" t="s">
        <v>37</v>
      </c>
      <c r="G6" s="1" t="s">
        <v>37</v>
      </c>
      <c r="H6" s="1" t="s">
        <v>37</v>
      </c>
      <c r="I6" s="1" t="s">
        <v>37</v>
      </c>
      <c r="J6" s="1" t="s">
        <v>37</v>
      </c>
      <c r="K6" s="1" t="s">
        <v>37</v>
      </c>
      <c r="L6" s="1" t="s">
        <v>37</v>
      </c>
      <c r="M6" s="1" t="s">
        <v>37</v>
      </c>
      <c r="N6" s="1" t="s">
        <v>37</v>
      </c>
      <c r="O6" s="1" t="s">
        <v>37</v>
      </c>
      <c r="P6" s="1" t="s">
        <v>37</v>
      </c>
      <c r="Q6" s="1" t="s">
        <v>37</v>
      </c>
      <c r="R6" s="1" t="s">
        <v>37</v>
      </c>
      <c r="S6" s="1" t="s">
        <v>37</v>
      </c>
      <c r="T6" s="1" t="s">
        <v>37</v>
      </c>
      <c r="U6" s="1" t="s">
        <v>37</v>
      </c>
      <c r="V6" s="1" t="s">
        <v>37</v>
      </c>
      <c r="W6" s="1" t="s">
        <v>37</v>
      </c>
      <c r="X6" s="1" t="s">
        <v>37</v>
      </c>
      <c r="Y6" s="1" t="s">
        <v>37</v>
      </c>
      <c r="Z6" s="1" t="s">
        <v>37</v>
      </c>
      <c r="AA6" s="1" t="s">
        <v>37</v>
      </c>
      <c r="AB6" s="1" t="s">
        <v>37</v>
      </c>
      <c r="AC6" s="1" t="s">
        <v>37</v>
      </c>
      <c r="AD6" s="1" t="s">
        <v>37</v>
      </c>
      <c r="AE6" s="1" t="s">
        <v>37</v>
      </c>
      <c r="AF6" s="1" t="s">
        <v>37</v>
      </c>
      <c r="AG6" s="1" t="s">
        <v>37</v>
      </c>
      <c r="AH6" s="1" t="s">
        <v>37</v>
      </c>
      <c r="AI6" s="1" t="s">
        <v>37</v>
      </c>
      <c r="AJ6" s="1" t="s">
        <v>37</v>
      </c>
      <c r="AK6" s="1" t="s">
        <v>37</v>
      </c>
    </row>
    <row r="7" spans="1:37" x14ac:dyDescent="0.35">
      <c r="A7" s="1" t="s">
        <v>37</v>
      </c>
      <c r="B7" s="1" t="s">
        <v>37</v>
      </c>
      <c r="C7" s="1" t="s">
        <v>37</v>
      </c>
      <c r="D7" s="1" t="s">
        <v>37</v>
      </c>
      <c r="E7" s="1" t="s">
        <v>37</v>
      </c>
      <c r="F7" s="1" t="s">
        <v>37</v>
      </c>
      <c r="G7" s="1" t="s">
        <v>37</v>
      </c>
      <c r="H7" s="1" t="s">
        <v>37</v>
      </c>
      <c r="I7" s="1" t="s">
        <v>37</v>
      </c>
      <c r="J7" s="1" t="s">
        <v>37</v>
      </c>
      <c r="K7" s="1" t="s">
        <v>37</v>
      </c>
      <c r="L7" s="1" t="s">
        <v>37</v>
      </c>
      <c r="M7" s="1" t="s">
        <v>37</v>
      </c>
      <c r="N7" s="1" t="s">
        <v>37</v>
      </c>
      <c r="O7" s="1" t="s">
        <v>37</v>
      </c>
      <c r="P7" s="1" t="s">
        <v>37</v>
      </c>
      <c r="Q7" s="1" t="s">
        <v>37</v>
      </c>
      <c r="R7" s="1" t="s">
        <v>37</v>
      </c>
      <c r="S7" s="1" t="s">
        <v>37</v>
      </c>
      <c r="T7" s="1" t="s">
        <v>37</v>
      </c>
      <c r="U7" s="1" t="s">
        <v>37</v>
      </c>
      <c r="V7" s="1" t="s">
        <v>37</v>
      </c>
      <c r="W7" s="1" t="s">
        <v>37</v>
      </c>
      <c r="X7" s="1" t="s">
        <v>37</v>
      </c>
      <c r="Y7" s="1" t="s">
        <v>37</v>
      </c>
      <c r="Z7" s="1" t="s">
        <v>37</v>
      </c>
      <c r="AA7" s="1" t="s">
        <v>37</v>
      </c>
      <c r="AB7" s="1" t="s">
        <v>37</v>
      </c>
      <c r="AC7" s="1" t="s">
        <v>37</v>
      </c>
      <c r="AD7" s="1" t="s">
        <v>37</v>
      </c>
      <c r="AE7" s="1" t="s">
        <v>37</v>
      </c>
      <c r="AF7" s="1" t="s">
        <v>37</v>
      </c>
      <c r="AG7" s="1" t="s">
        <v>37</v>
      </c>
      <c r="AH7" s="1" t="s">
        <v>37</v>
      </c>
      <c r="AI7" s="1" t="s">
        <v>37</v>
      </c>
      <c r="AJ7" s="1" t="s">
        <v>37</v>
      </c>
      <c r="AK7" s="1" t="s">
        <v>37</v>
      </c>
    </row>
    <row r="8" spans="1:37" x14ac:dyDescent="0.35">
      <c r="A8" s="1" t="s">
        <v>37</v>
      </c>
      <c r="B8" s="1" t="s">
        <v>37</v>
      </c>
      <c r="C8" s="1" t="s">
        <v>37</v>
      </c>
      <c r="D8" s="1" t="s">
        <v>37</v>
      </c>
      <c r="E8" s="1" t="s">
        <v>37</v>
      </c>
      <c r="F8" s="1" t="s">
        <v>37</v>
      </c>
      <c r="G8" s="1" t="s">
        <v>37</v>
      </c>
      <c r="H8" s="1" t="s">
        <v>37</v>
      </c>
      <c r="I8" s="1" t="s">
        <v>37</v>
      </c>
      <c r="J8" s="1" t="s">
        <v>37</v>
      </c>
      <c r="K8" s="1" t="s">
        <v>37</v>
      </c>
      <c r="L8" s="1" t="s">
        <v>37</v>
      </c>
      <c r="M8" s="1" t="s">
        <v>37</v>
      </c>
      <c r="N8" s="1" t="s">
        <v>37</v>
      </c>
      <c r="O8" s="1" t="s">
        <v>37</v>
      </c>
      <c r="P8" s="1" t="s">
        <v>37</v>
      </c>
      <c r="Q8" s="1" t="s">
        <v>37</v>
      </c>
      <c r="R8" s="1" t="s">
        <v>37</v>
      </c>
      <c r="S8" s="1" t="s">
        <v>37</v>
      </c>
      <c r="T8" s="1" t="s">
        <v>37</v>
      </c>
      <c r="U8" s="1" t="s">
        <v>37</v>
      </c>
      <c r="V8" s="1" t="s">
        <v>37</v>
      </c>
      <c r="W8" s="1" t="s">
        <v>37</v>
      </c>
      <c r="X8" s="1" t="s">
        <v>37</v>
      </c>
      <c r="Y8" s="1" t="s">
        <v>37</v>
      </c>
      <c r="Z8" s="1" t="s">
        <v>37</v>
      </c>
      <c r="AA8" s="1" t="s">
        <v>37</v>
      </c>
      <c r="AB8" s="1" t="s">
        <v>37</v>
      </c>
      <c r="AC8" s="1" t="s">
        <v>37</v>
      </c>
      <c r="AD8" s="1" t="s">
        <v>37</v>
      </c>
      <c r="AE8" s="1" t="s">
        <v>37</v>
      </c>
      <c r="AF8" s="1" t="s">
        <v>37</v>
      </c>
      <c r="AG8" s="1" t="s">
        <v>37</v>
      </c>
      <c r="AH8" s="1" t="s">
        <v>37</v>
      </c>
      <c r="AI8" s="1" t="s">
        <v>37</v>
      </c>
      <c r="AJ8" s="1" t="s">
        <v>37</v>
      </c>
      <c r="AK8" s="1" t="s">
        <v>37</v>
      </c>
    </row>
    <row r="9" spans="1:37" x14ac:dyDescent="0.35">
      <c r="A9" s="1" t="s">
        <v>37</v>
      </c>
      <c r="B9" s="1" t="s">
        <v>37</v>
      </c>
      <c r="C9" s="1" t="s">
        <v>37</v>
      </c>
      <c r="D9" s="1" t="s">
        <v>37</v>
      </c>
      <c r="E9" s="1" t="s">
        <v>37</v>
      </c>
      <c r="F9" s="1" t="s">
        <v>37</v>
      </c>
      <c r="G9" s="1" t="s">
        <v>37</v>
      </c>
      <c r="H9" s="1" t="s">
        <v>37</v>
      </c>
      <c r="I9" s="1" t="s">
        <v>37</v>
      </c>
      <c r="J9" s="1" t="s">
        <v>37</v>
      </c>
      <c r="K9" s="1" t="s">
        <v>37</v>
      </c>
      <c r="L9" s="1" t="s">
        <v>37</v>
      </c>
      <c r="M9" s="1" t="s">
        <v>37</v>
      </c>
      <c r="N9" s="1" t="s">
        <v>37</v>
      </c>
      <c r="O9" s="1" t="s">
        <v>37</v>
      </c>
      <c r="P9" s="1" t="s">
        <v>37</v>
      </c>
      <c r="Q9" s="1" t="s">
        <v>37</v>
      </c>
      <c r="R9" s="1" t="s">
        <v>37</v>
      </c>
      <c r="S9" s="1" t="s">
        <v>37</v>
      </c>
      <c r="T9" s="1" t="s">
        <v>37</v>
      </c>
      <c r="U9" s="1" t="s">
        <v>37</v>
      </c>
      <c r="V9" s="1" t="s">
        <v>37</v>
      </c>
      <c r="W9" s="1" t="s">
        <v>37</v>
      </c>
      <c r="X9" s="1" t="s">
        <v>37</v>
      </c>
      <c r="Y9" s="1" t="s">
        <v>37</v>
      </c>
      <c r="Z9" s="1" t="s">
        <v>37</v>
      </c>
      <c r="AA9" s="1" t="s">
        <v>37</v>
      </c>
      <c r="AB9" s="1" t="s">
        <v>37</v>
      </c>
      <c r="AC9" s="1" t="s">
        <v>37</v>
      </c>
      <c r="AD9" s="1" t="s">
        <v>37</v>
      </c>
      <c r="AE9" s="1" t="s">
        <v>37</v>
      </c>
      <c r="AF9" s="1" t="s">
        <v>37</v>
      </c>
      <c r="AG9" s="1" t="s">
        <v>37</v>
      </c>
      <c r="AH9" s="1" t="s">
        <v>37</v>
      </c>
      <c r="AI9" s="1" t="s">
        <v>37</v>
      </c>
      <c r="AJ9" s="1" t="s">
        <v>37</v>
      </c>
      <c r="AK9" s="1" t="s">
        <v>37</v>
      </c>
    </row>
    <row r="10" spans="1:37" x14ac:dyDescent="0.35">
      <c r="A10" s="1" t="s">
        <v>37</v>
      </c>
      <c r="B10" s="1" t="s">
        <v>37</v>
      </c>
      <c r="C10" s="1" t="s">
        <v>37</v>
      </c>
      <c r="D10" s="1" t="s">
        <v>37</v>
      </c>
      <c r="E10" s="1" t="s">
        <v>37</v>
      </c>
      <c r="F10" s="1" t="s">
        <v>37</v>
      </c>
      <c r="G10" s="1" t="s">
        <v>37</v>
      </c>
      <c r="H10" s="1" t="s">
        <v>37</v>
      </c>
      <c r="I10" s="1" t="s">
        <v>37</v>
      </c>
      <c r="J10" s="1" t="s">
        <v>37</v>
      </c>
      <c r="K10" s="1" t="s">
        <v>37</v>
      </c>
      <c r="L10" s="1" t="s">
        <v>37</v>
      </c>
      <c r="M10" s="1" t="s">
        <v>37</v>
      </c>
      <c r="N10" s="1" t="s">
        <v>37</v>
      </c>
      <c r="O10" s="1" t="s">
        <v>37</v>
      </c>
      <c r="P10" s="1" t="s">
        <v>37</v>
      </c>
      <c r="Q10" s="1" t="s">
        <v>37</v>
      </c>
      <c r="R10" s="1" t="s">
        <v>37</v>
      </c>
      <c r="S10" s="1" t="s">
        <v>37</v>
      </c>
      <c r="T10" s="1" t="s">
        <v>37</v>
      </c>
      <c r="U10" s="1" t="s">
        <v>37</v>
      </c>
      <c r="V10" s="1" t="s">
        <v>37</v>
      </c>
      <c r="W10" s="1" t="s">
        <v>37</v>
      </c>
      <c r="X10" s="1" t="s">
        <v>37</v>
      </c>
      <c r="Y10" s="1" t="s">
        <v>37</v>
      </c>
      <c r="Z10" s="1" t="s">
        <v>37</v>
      </c>
      <c r="AA10" s="1" t="s">
        <v>37</v>
      </c>
      <c r="AB10" s="1" t="s">
        <v>37</v>
      </c>
      <c r="AC10" s="1" t="s">
        <v>37</v>
      </c>
      <c r="AD10" s="1" t="s">
        <v>37</v>
      </c>
      <c r="AE10" s="1" t="s">
        <v>37</v>
      </c>
      <c r="AF10" s="1" t="s">
        <v>37</v>
      </c>
      <c r="AG10" s="1" t="s">
        <v>37</v>
      </c>
      <c r="AH10" s="1" t="s">
        <v>37</v>
      </c>
      <c r="AI10" s="1" t="s">
        <v>37</v>
      </c>
      <c r="AJ10" s="1" t="s">
        <v>37</v>
      </c>
      <c r="AK10" s="1" t="s">
        <v>37</v>
      </c>
    </row>
    <row r="11" spans="1:37" x14ac:dyDescent="0.35">
      <c r="A11" s="1" t="s">
        <v>37</v>
      </c>
      <c r="B11" s="1" t="s">
        <v>37</v>
      </c>
      <c r="C11" s="1" t="s">
        <v>37</v>
      </c>
      <c r="D11" s="1" t="s">
        <v>37</v>
      </c>
      <c r="E11" s="1" t="s">
        <v>37</v>
      </c>
      <c r="F11" s="1" t="s">
        <v>37</v>
      </c>
      <c r="G11" s="1" t="s">
        <v>37</v>
      </c>
      <c r="H11" s="1" t="s">
        <v>37</v>
      </c>
      <c r="I11" s="1" t="s">
        <v>37</v>
      </c>
      <c r="J11" s="1" t="s">
        <v>37</v>
      </c>
      <c r="K11" s="1" t="s">
        <v>37</v>
      </c>
      <c r="L11" s="1" t="s">
        <v>37</v>
      </c>
      <c r="M11" s="1" t="s">
        <v>37</v>
      </c>
      <c r="N11" s="1" t="s">
        <v>37</v>
      </c>
      <c r="O11" s="1" t="s">
        <v>37</v>
      </c>
      <c r="P11" s="1" t="s">
        <v>37</v>
      </c>
      <c r="Q11" s="1" t="s">
        <v>37</v>
      </c>
      <c r="R11" s="1" t="s">
        <v>37</v>
      </c>
      <c r="S11" s="1" t="s">
        <v>37</v>
      </c>
      <c r="T11" s="1" t="s">
        <v>37</v>
      </c>
      <c r="U11" s="1" t="s">
        <v>37</v>
      </c>
      <c r="V11" s="1" t="s">
        <v>37</v>
      </c>
      <c r="W11" s="1" t="s">
        <v>37</v>
      </c>
      <c r="X11" s="1" t="s">
        <v>37</v>
      </c>
      <c r="Y11" s="1" t="s">
        <v>37</v>
      </c>
      <c r="Z11" s="1" t="s">
        <v>37</v>
      </c>
      <c r="AA11" s="1" t="s">
        <v>37</v>
      </c>
      <c r="AB11" s="1" t="s">
        <v>37</v>
      </c>
      <c r="AC11" s="1" t="s">
        <v>37</v>
      </c>
      <c r="AD11" s="1" t="s">
        <v>37</v>
      </c>
      <c r="AE11" s="1" t="s">
        <v>37</v>
      </c>
      <c r="AF11" s="1" t="s">
        <v>37</v>
      </c>
      <c r="AG11" s="1" t="s">
        <v>37</v>
      </c>
      <c r="AH11" s="1" t="s">
        <v>37</v>
      </c>
      <c r="AI11" s="1" t="s">
        <v>37</v>
      </c>
      <c r="AJ11" s="1" t="s">
        <v>37</v>
      </c>
      <c r="AK11" s="1" t="s">
        <v>37</v>
      </c>
    </row>
    <row r="13" spans="1:37" x14ac:dyDescent="0.35">
      <c r="A13" s="4" t="s">
        <v>38</v>
      </c>
    </row>
    <row r="15" spans="1:37" x14ac:dyDescent="0.35">
      <c r="A15" s="4" t="s">
        <v>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F A A B Q S w M E F A A C A A g A D q 6 7 U t z + Y r m k A A A A 9 Q A A A B I A H A B D b 2 5 m a W c v U G F j a 2 F n Z S 5 4 b W w g o h g A K K A U A A A A A A A A A A A A A A A A A A A A A A A A A A A A h Y + x D o I w G I R f h X S n L Z V B y U 8 Z j J s k J i T G t S k V G q E Y W i z v 5 u A j + Q p i F H U z u e X u v u H u f r 1 B N r Z N c F G 9 1 Z 1 J U Y Q p C p S R X a l N l a L B H c M l y j j s h D y J S g U T b G w y 2 j J F t X P n h B D v P f Y L 3 P U V Y Z R G 5 J B v C 1 m r V q A P r P / D o T b W C S M V 4 r B / j e E M r y b F M a Z A 5 g x y b b 4 9 m + Y + 2 5 8 Q 1 k P j h l 5 x Z c N N A W S 2 Q N 4 X + A N Q S w M E F A A C A A g A D q 6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u u 1 I d I y Q X m Q I A A L 8 h A A A T A B w A R m 9 y b X V s Y X M v U 2 V j d G l v b j E u b S C i G A A o o B Q A A A A A A A A A A A A A A A A A A A A A A A A A A A D t l F F v m z A Q x 9 8 j 5 T s g 9 p J K N G o z T Z M 2 5 Y F h I K w k z s C k q s q E X H A 7 S 4 A j b K J m V b / 7 n K Z R O 2 H 2 n s V 5 S M j / f 3 e + O 4 s f J 7 m g r D b i / e / l 1 + F g O O C / c E M K w w s y i J I s L z E n x t Q o i R g O D P m B D X 0 g t V Q c v h k D l r c V q c X I o y U Z O 6 w W 8 g 8 f m c 6 X N O G k 4 S m u c Y V T W B P Q 0 A 1 J D / G M p 5 O L y c W 5 / L p M 1 w 2 W x + e Y p 6 L B N c / b h r O 0 o E R w 0 R b b T J Y o t 5 z w 8 w p z Q Z o 0 I r w t B U 9 z V t E C p 1 6 Q v m 9 1 n P O N e W b d A l L S i s r 4 q W m Z l u G w s q 1 q P v 3 4 2 T L c O m c F r R + m l 5 N P E 8 v 4 0 T J B Y r E t y f T t c b x g N f l 5 Z u 1 n / m D K H H x H f u O C c W P d s I p t q H w 0 5 R o Q v p P h y 5 0 m y I z g Q o 4 9 2 i / J M m 5 f d b s s 4 x y X u O F T 0 b T v C y O 6 Z k a O q z s q a 7 / V Q 7 t N 3 L O m 2 j e O t m v C R 7 1 t W E 9 P p p c h i O x Q z i p k s C H I o 3 i 2 j J 3 u B G g e f l M Y E M 3 c S K F / T w L H 7 e i r n g N W G Y i u / G 6 d V R a 5 A E a 9 W Q d 3 b i P Y a 6 t b X G U x s i N n d t N b / O A v p a 8 s f w j o O 6 B P D 1 0 / m b t x x / F 7 W v G z 6 x k M u 9 v 0 5 Y B e s H B B x 1 n 2 3 a Q 0 5 s v 4 H 6 Z r I 5 X u J H K X f S a M f H u h M p Y w C Z U Z s W t 7 I J s F / V 4 I r 1 W m 6 / v d v e 2 S 4 I 1 K X i Q o B s q E v j s A P b s B 2 T w I r x T y D f S T q D s k y J y Z 6 8 b d S 4 N B 2 D 0 1 h m E A M s 9 G X c s G I I s T 3 4 4 U l n x r g s X V 3 8 b z 2 X B A a z U a F G w m f E 1 y e i R 0 f m 1 W 8 1 n z W f N Z 8 / k U + H y P K 1 p S f B x 8 f m 1 W 8 1 n z W f N Z 8 / k k + E x L d i R w l p 1 q M m s y a z J r M p 8 C m S V i W n 4 c a H 5 p V b N Z s 1 m z W b P 5 F N j M m u K F x E f A 5 p d W N Z s 1 m z W b N Z v / P z b / A V B L A Q I t A B Q A A g A I A A 6 u u 1 L c / m K 5 p A A A A P U A A A A S A A A A A A A A A A A A A A A A A A A A A A B D b 2 5 m a W c v U G F j a 2 F n Z S 5 4 b W x Q S w E C L Q A U A A I A C A A O r r t S D 8 r p q 6 Q A A A D p A A A A E w A A A A A A A A A A A A A A A A D w A A A A W 0 N v b n R l b n R f V H l w Z X N d L n h t b F B L A Q I t A B Q A A g A I A A 6 u u 1 I d I y Q X m Q I A A L 8 h A A A T A A A A A A A A A A A A A A A A A O E B A A B G b 3 J t d W x h c y 9 T Z W N 0 a W 9 u M S 5 t U E s F B g A A A A A D A A M A w g A A A M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2 A A A A A A A A Q r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P V F V f Y 2 x h c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Z J X 0 9 U V V 9 j b G F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1 Q x O T o 0 N j o 1 N C 4 y M D Q x M z U 4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R l 9 U T 1 R B T C Z x d W 9 0 O y w m c X V v d D t G X 0 N J V E 1 M Q i Z x d W 9 0 O y w m c X V v d D t G X 0 9 U S E V S J n F 1 b 3 Q 7 L C Z x d W 9 0 O 0 Z f S l V J Q 0 U m c X V v d D s s J n F 1 b 3 Q 7 V l 9 U T 1 R B T C Z x d W 9 0 O y w m c X V v d D t W X 0 R S S 0 d S J n F 1 b 3 Q 7 L C Z x d W 9 0 O 1 Z f U k V E T 1 J f V E 9 U Q U w m c X V v d D s s J n F 1 b 3 Q 7 V l 9 S R U R P U l 9 U T 0 1 B V E 8 m c X V v d D s s J n F 1 b 3 Q 7 V l 9 S R U R P U l 9 P V E h F U i Z x d W 9 0 O y w m c X V v d D t W X 1 N U Q V J D S F l f V E 9 U Q U w m c X V v d D s s J n F 1 b 3 Q 7 V l 9 T V E F S Q 0 h Z X 1 B P V E F U T y Z x d W 9 0 O y w m c X V v d D t W X 1 N U Q V J D S F l f T 1 R I R V I m c X V v d D s s J n F 1 b 3 Q 7 V l 9 P V E h F U i Z x d W 9 0 O y w m c X V v d D t W X 0 x F R 1 V N R V M m c X V v d D s s J n F 1 b 3 Q 7 R 1 9 U T 1 R B T C Z x d W 9 0 O y w m c X V v d D t H X 1 d I T 0 x F J n F 1 b 3 Q 7 L C Z x d W 9 0 O 0 d f U k V G S U 5 F R C Z x d W 9 0 O y w m c X V v d D t Q R l 9 U T 1 R B T C Z x d W 9 0 O y w m c X V v d D t Q R l 9 N U F N f V E 9 U Q U w m c X V v d D s s J n F 1 b 3 Q 7 U E Z f T U V B V C Z x d W 9 0 O y w m c X V v d D t Q R l 9 D V V J F R E 1 F Q V Q m c X V v d D s s J n F 1 b 3 Q 7 U E Z f T 1 J H Q U 4 m c X V v d D s s J n F 1 b 3 Q 7 U E Z f U E 9 V T F Q m c X V v d D s s J n F 1 b 3 Q 7 U E Z f U 0 V B R k R f S E k m c X V v d D s s J n F 1 b 3 Q 7 U E Z f U 0 V B R k R f T E 9 X J n F 1 b 3 Q 7 L C Z x d W 9 0 O 1 B G X 0 V H R 1 M m c X V v d D s s J n F 1 b 3 Q 7 U E Z f U 0 9 Z J n F 1 b 3 Q 7 L C Z x d W 9 0 O 1 B G X 0 5 V V F N E U y Z x d W 9 0 O y w m c X V v d D t Q R l 9 M R U d V T U V T J n F 1 b 3 Q 7 L C Z x d W 9 0 O 0 R f V E 9 U Q U w m c X V v d D s s J n F 1 b 3 Q 7 R F 9 N S U x L J n F 1 b 3 Q 7 L C Z x d W 9 0 O 0 R f W U 9 H V V J U J n F 1 b 3 Q 7 L C Z x d W 9 0 O 0 R f Q 0 h F R V N F J n F 1 b 3 Q 7 L C Z x d W 9 0 O 0 9 J T F M m c X V v d D s s J n F 1 b 3 Q 7 U 0 9 M S U R f R k F U U y Z x d W 9 0 O y w m c X V v d D t B R E R f U 1 V H Q V J T J n F 1 b 3 Q 7 L C Z x d W 9 0 O 0 F f R F J J T k t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X 0 9 U V V 9 j b G F z Z S 9 B d X R v U m V t b 3 Z l Z E N v b H V t b n M x L n t G X 1 R P V E F M L D B 9 J n F 1 b 3 Q 7 L C Z x d W 9 0 O 1 N l Y 3 R p b 2 4 x L 0 Z J X 0 9 U V V 9 j b G F z Z S 9 B d X R v U m V t b 3 Z l Z E N v b H V t b n M x L n t G X 0 N J V E 1 M Q i w x f S Z x d W 9 0 O y w m c X V v d D t T Z W N 0 a W 9 u M S 9 G S V 9 P V F V f Y 2 x h c 2 U v Q X V 0 b 1 J l b W 9 2 Z W R D b 2 x 1 b W 5 z M S 5 7 R l 9 P V E h F U i w y f S Z x d W 9 0 O y w m c X V v d D t T Z W N 0 a W 9 u M S 9 G S V 9 P V F V f Y 2 x h c 2 U v Q X V 0 b 1 J l b W 9 2 Z W R D b 2 x 1 b W 5 z M S 5 7 R l 9 K V U l D R S w z f S Z x d W 9 0 O y w m c X V v d D t T Z W N 0 a W 9 u M S 9 G S V 9 P V F V f Y 2 x h c 2 U v Q X V 0 b 1 J l b W 9 2 Z W R D b 2 x 1 b W 5 z M S 5 7 V l 9 U T 1 R B T C w 0 f S Z x d W 9 0 O y w m c X V v d D t T Z W N 0 a W 9 u M S 9 G S V 9 P V F V f Y 2 x h c 2 U v Q X V 0 b 1 J l b W 9 2 Z W R D b 2 x 1 b W 5 z M S 5 7 V l 9 E U k t H U i w 1 f S Z x d W 9 0 O y w m c X V v d D t T Z W N 0 a W 9 u M S 9 G S V 9 P V F V f Y 2 x h c 2 U v Q X V 0 b 1 J l b W 9 2 Z W R D b 2 x 1 b W 5 z M S 5 7 V l 9 S R U R P U l 9 U T 1 R B T C w 2 f S Z x d W 9 0 O y w m c X V v d D t T Z W N 0 a W 9 u M S 9 G S V 9 P V F V f Y 2 x h c 2 U v Q X V 0 b 1 J l b W 9 2 Z W R D b 2 x 1 b W 5 z M S 5 7 V l 9 S R U R P U l 9 U T 0 1 B V E 8 s N 3 0 m c X V v d D s s J n F 1 b 3 Q 7 U 2 V j d G l v b j E v R k l f T 1 R V X 2 N s Y X N l L 0 F 1 d G 9 S Z W 1 v d m V k Q 2 9 s d W 1 u c z E u e 1 Z f U k V E T 1 J f T 1 R I R V I s O H 0 m c X V v d D s s J n F 1 b 3 Q 7 U 2 V j d G l v b j E v R k l f T 1 R V X 2 N s Y X N l L 0 F 1 d G 9 S Z W 1 v d m V k Q 2 9 s d W 1 u c z E u e 1 Z f U 1 R B U k N I W V 9 U T 1 R B T C w 5 f S Z x d W 9 0 O y w m c X V v d D t T Z W N 0 a W 9 u M S 9 G S V 9 P V F V f Y 2 x h c 2 U v Q X V 0 b 1 J l b W 9 2 Z W R D b 2 x 1 b W 5 z M S 5 7 V l 9 T V E F S Q 0 h Z X 1 B P V E F U T y w x M H 0 m c X V v d D s s J n F 1 b 3 Q 7 U 2 V j d G l v b j E v R k l f T 1 R V X 2 N s Y X N l L 0 F 1 d G 9 S Z W 1 v d m V k Q 2 9 s d W 1 u c z E u e 1 Z f U 1 R B U k N I W V 9 P V E h F U i w x M X 0 m c X V v d D s s J n F 1 b 3 Q 7 U 2 V j d G l v b j E v R k l f T 1 R V X 2 N s Y X N l L 0 F 1 d G 9 S Z W 1 v d m V k Q 2 9 s d W 1 u c z E u e 1 Z f T 1 R I R V I s M T J 9 J n F 1 b 3 Q 7 L C Z x d W 9 0 O 1 N l Y 3 R p b 2 4 x L 0 Z J X 0 9 U V V 9 j b G F z Z S 9 B d X R v U m V t b 3 Z l Z E N v b H V t b n M x L n t W X 0 x F R 1 V N R V M s M T N 9 J n F 1 b 3 Q 7 L C Z x d W 9 0 O 1 N l Y 3 R p b 2 4 x L 0 Z J X 0 9 U V V 9 j b G F z Z S 9 B d X R v U m V t b 3 Z l Z E N v b H V t b n M x L n t H X 1 R P V E F M L D E 0 f S Z x d W 9 0 O y w m c X V v d D t T Z W N 0 a W 9 u M S 9 G S V 9 P V F V f Y 2 x h c 2 U v Q X V 0 b 1 J l b W 9 2 Z W R D b 2 x 1 b W 5 z M S 5 7 R 1 9 X S E 9 M R S w x N X 0 m c X V v d D s s J n F 1 b 3 Q 7 U 2 V j d G l v b j E v R k l f T 1 R V X 2 N s Y X N l L 0 F 1 d G 9 S Z W 1 v d m V k Q 2 9 s d W 1 u c z E u e 0 d f U k V G S U 5 F R C w x N n 0 m c X V v d D s s J n F 1 b 3 Q 7 U 2 V j d G l v b j E v R k l f T 1 R V X 2 N s Y X N l L 0 F 1 d G 9 S Z W 1 v d m V k Q 2 9 s d W 1 u c z E u e 1 B G X 1 R P V E F M L D E 3 f S Z x d W 9 0 O y w m c X V v d D t T Z W N 0 a W 9 u M S 9 G S V 9 P V F V f Y 2 x h c 2 U v Q X V 0 b 1 J l b W 9 2 Z W R D b 2 x 1 b W 5 z M S 5 7 U E Z f T V B T X 1 R P V E F M L D E 4 f S Z x d W 9 0 O y w m c X V v d D t T Z W N 0 a W 9 u M S 9 G S V 9 P V F V f Y 2 x h c 2 U v Q X V 0 b 1 J l b W 9 2 Z W R D b 2 x 1 b W 5 z M S 5 7 U E Z f T U V B V C w x O X 0 m c X V v d D s s J n F 1 b 3 Q 7 U 2 V j d G l v b j E v R k l f T 1 R V X 2 N s Y X N l L 0 F 1 d G 9 S Z W 1 v d m V k Q 2 9 s d W 1 u c z E u e 1 B G X 0 N V U k V E T U V B V C w y M H 0 m c X V v d D s s J n F 1 b 3 Q 7 U 2 V j d G l v b j E v R k l f T 1 R V X 2 N s Y X N l L 0 F 1 d G 9 S Z W 1 v d m V k Q 2 9 s d W 1 u c z E u e 1 B G X 0 9 S R 0 F O L D I x f S Z x d W 9 0 O y w m c X V v d D t T Z W N 0 a W 9 u M S 9 G S V 9 P V F V f Y 2 x h c 2 U v Q X V 0 b 1 J l b W 9 2 Z W R D b 2 x 1 b W 5 z M S 5 7 U E Z f U E 9 V T F Q s M j J 9 J n F 1 b 3 Q 7 L C Z x d W 9 0 O 1 N l Y 3 R p b 2 4 x L 0 Z J X 0 9 U V V 9 j b G F z Z S 9 B d X R v U m V t b 3 Z l Z E N v b H V t b n M x L n t Q R l 9 T R U F G R F 9 I S S w y M 3 0 m c X V v d D s s J n F 1 b 3 Q 7 U 2 V j d G l v b j E v R k l f T 1 R V X 2 N s Y X N l L 0 F 1 d G 9 S Z W 1 v d m V k Q 2 9 s d W 1 u c z E u e 1 B G X 1 N F Q U Z E X 0 x P V y w y N H 0 m c X V v d D s s J n F 1 b 3 Q 7 U 2 V j d G l v b j E v R k l f T 1 R V X 2 N s Y X N l L 0 F 1 d G 9 S Z W 1 v d m V k Q 2 9 s d W 1 u c z E u e 1 B G X 0 V H R 1 M s M j V 9 J n F 1 b 3 Q 7 L C Z x d W 9 0 O 1 N l Y 3 R p b 2 4 x L 0 Z J X 0 9 U V V 9 j b G F z Z S 9 B d X R v U m V t b 3 Z l Z E N v b H V t b n M x L n t Q R l 9 T T 1 k s M j Z 9 J n F 1 b 3 Q 7 L C Z x d W 9 0 O 1 N l Y 3 R p b 2 4 x L 0 Z J X 0 9 U V V 9 j b G F z Z S 9 B d X R v U m V t b 3 Z l Z E N v b H V t b n M x L n t Q R l 9 O V V R T R F M s M j d 9 J n F 1 b 3 Q 7 L C Z x d W 9 0 O 1 N l Y 3 R p b 2 4 x L 0 Z J X 0 9 U V V 9 j b G F z Z S 9 B d X R v U m V t b 3 Z l Z E N v b H V t b n M x L n t Q R l 9 M R U d V T U V T L D I 4 f S Z x d W 9 0 O y w m c X V v d D t T Z W N 0 a W 9 u M S 9 G S V 9 P V F V f Y 2 x h c 2 U v Q X V 0 b 1 J l b W 9 2 Z W R D b 2 x 1 b W 5 z M S 5 7 R F 9 U T 1 R B T C w y O X 0 m c X V v d D s s J n F 1 b 3 Q 7 U 2 V j d G l v b j E v R k l f T 1 R V X 2 N s Y X N l L 0 F 1 d G 9 S Z W 1 v d m V k Q 2 9 s d W 1 u c z E u e 0 R f T U l M S y w z M H 0 m c X V v d D s s J n F 1 b 3 Q 7 U 2 V j d G l v b j E v R k l f T 1 R V X 2 N s Y X N l L 0 F 1 d G 9 S Z W 1 v d m V k Q 2 9 s d W 1 u c z E u e 0 R f W U 9 H V V J U L D M x f S Z x d W 9 0 O y w m c X V v d D t T Z W N 0 a W 9 u M S 9 G S V 9 P V F V f Y 2 x h c 2 U v Q X V 0 b 1 J l b W 9 2 Z W R D b 2 x 1 b W 5 z M S 5 7 R F 9 D S E V F U 0 U s M z J 9 J n F 1 b 3 Q 7 L C Z x d W 9 0 O 1 N l Y 3 R p b 2 4 x L 0 Z J X 0 9 U V V 9 j b G F z Z S 9 B d X R v U m V t b 3 Z l Z E N v b H V t b n M x L n t P S U x T L D M z f S Z x d W 9 0 O y w m c X V v d D t T Z W N 0 a W 9 u M S 9 G S V 9 P V F V f Y 2 x h c 2 U v Q X V 0 b 1 J l b W 9 2 Z W R D b 2 x 1 b W 5 z M S 5 7 U 0 9 M S U R f R k F U U y w z N H 0 m c X V v d D s s J n F 1 b 3 Q 7 U 2 V j d G l v b j E v R k l f T 1 R V X 2 N s Y X N l L 0 F 1 d G 9 S Z W 1 v d m V k Q 2 9 s d W 1 u c z E u e 0 F E R F 9 T V U d B U l M s M z V 9 J n F 1 b 3 Q 7 L C Z x d W 9 0 O 1 N l Y 3 R p b 2 4 x L 0 Z J X 0 9 U V V 9 j b G F z Z S 9 B d X R v U m V t b 3 Z l Z E N v b H V t b n M x L n t B X 0 R S S U 5 L U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0 Z J X 0 9 U V V 9 j b G F z Z S 9 B d X R v U m V t b 3 Z l Z E N v b H V t b n M x L n t G X 1 R P V E F M L D B 9 J n F 1 b 3 Q 7 L C Z x d W 9 0 O 1 N l Y 3 R p b 2 4 x L 0 Z J X 0 9 U V V 9 j b G F z Z S 9 B d X R v U m V t b 3 Z l Z E N v b H V t b n M x L n t G X 0 N J V E 1 M Q i w x f S Z x d W 9 0 O y w m c X V v d D t T Z W N 0 a W 9 u M S 9 G S V 9 P V F V f Y 2 x h c 2 U v Q X V 0 b 1 J l b W 9 2 Z W R D b 2 x 1 b W 5 z M S 5 7 R l 9 P V E h F U i w y f S Z x d W 9 0 O y w m c X V v d D t T Z W N 0 a W 9 u M S 9 G S V 9 P V F V f Y 2 x h c 2 U v Q X V 0 b 1 J l b W 9 2 Z W R D b 2 x 1 b W 5 z M S 5 7 R l 9 K V U l D R S w z f S Z x d W 9 0 O y w m c X V v d D t T Z W N 0 a W 9 u M S 9 G S V 9 P V F V f Y 2 x h c 2 U v Q X V 0 b 1 J l b W 9 2 Z W R D b 2 x 1 b W 5 z M S 5 7 V l 9 U T 1 R B T C w 0 f S Z x d W 9 0 O y w m c X V v d D t T Z W N 0 a W 9 u M S 9 G S V 9 P V F V f Y 2 x h c 2 U v Q X V 0 b 1 J l b W 9 2 Z W R D b 2 x 1 b W 5 z M S 5 7 V l 9 E U k t H U i w 1 f S Z x d W 9 0 O y w m c X V v d D t T Z W N 0 a W 9 u M S 9 G S V 9 P V F V f Y 2 x h c 2 U v Q X V 0 b 1 J l b W 9 2 Z W R D b 2 x 1 b W 5 z M S 5 7 V l 9 S R U R P U l 9 U T 1 R B T C w 2 f S Z x d W 9 0 O y w m c X V v d D t T Z W N 0 a W 9 u M S 9 G S V 9 P V F V f Y 2 x h c 2 U v Q X V 0 b 1 J l b W 9 2 Z W R D b 2 x 1 b W 5 z M S 5 7 V l 9 S R U R P U l 9 U T 0 1 B V E 8 s N 3 0 m c X V v d D s s J n F 1 b 3 Q 7 U 2 V j d G l v b j E v R k l f T 1 R V X 2 N s Y X N l L 0 F 1 d G 9 S Z W 1 v d m V k Q 2 9 s d W 1 u c z E u e 1 Z f U k V E T 1 J f T 1 R I R V I s O H 0 m c X V v d D s s J n F 1 b 3 Q 7 U 2 V j d G l v b j E v R k l f T 1 R V X 2 N s Y X N l L 0 F 1 d G 9 S Z W 1 v d m V k Q 2 9 s d W 1 u c z E u e 1 Z f U 1 R B U k N I W V 9 U T 1 R B T C w 5 f S Z x d W 9 0 O y w m c X V v d D t T Z W N 0 a W 9 u M S 9 G S V 9 P V F V f Y 2 x h c 2 U v Q X V 0 b 1 J l b W 9 2 Z W R D b 2 x 1 b W 5 z M S 5 7 V l 9 T V E F S Q 0 h Z X 1 B P V E F U T y w x M H 0 m c X V v d D s s J n F 1 b 3 Q 7 U 2 V j d G l v b j E v R k l f T 1 R V X 2 N s Y X N l L 0 F 1 d G 9 S Z W 1 v d m V k Q 2 9 s d W 1 u c z E u e 1 Z f U 1 R B U k N I W V 9 P V E h F U i w x M X 0 m c X V v d D s s J n F 1 b 3 Q 7 U 2 V j d G l v b j E v R k l f T 1 R V X 2 N s Y X N l L 0 F 1 d G 9 S Z W 1 v d m V k Q 2 9 s d W 1 u c z E u e 1 Z f T 1 R I R V I s M T J 9 J n F 1 b 3 Q 7 L C Z x d W 9 0 O 1 N l Y 3 R p b 2 4 x L 0 Z J X 0 9 U V V 9 j b G F z Z S 9 B d X R v U m V t b 3 Z l Z E N v b H V t b n M x L n t W X 0 x F R 1 V N R V M s M T N 9 J n F 1 b 3 Q 7 L C Z x d W 9 0 O 1 N l Y 3 R p b 2 4 x L 0 Z J X 0 9 U V V 9 j b G F z Z S 9 B d X R v U m V t b 3 Z l Z E N v b H V t b n M x L n t H X 1 R P V E F M L D E 0 f S Z x d W 9 0 O y w m c X V v d D t T Z W N 0 a W 9 u M S 9 G S V 9 P V F V f Y 2 x h c 2 U v Q X V 0 b 1 J l b W 9 2 Z W R D b 2 x 1 b W 5 z M S 5 7 R 1 9 X S E 9 M R S w x N X 0 m c X V v d D s s J n F 1 b 3 Q 7 U 2 V j d G l v b j E v R k l f T 1 R V X 2 N s Y X N l L 0 F 1 d G 9 S Z W 1 v d m V k Q 2 9 s d W 1 u c z E u e 0 d f U k V G S U 5 F R C w x N n 0 m c X V v d D s s J n F 1 b 3 Q 7 U 2 V j d G l v b j E v R k l f T 1 R V X 2 N s Y X N l L 0 F 1 d G 9 S Z W 1 v d m V k Q 2 9 s d W 1 u c z E u e 1 B G X 1 R P V E F M L D E 3 f S Z x d W 9 0 O y w m c X V v d D t T Z W N 0 a W 9 u M S 9 G S V 9 P V F V f Y 2 x h c 2 U v Q X V 0 b 1 J l b W 9 2 Z W R D b 2 x 1 b W 5 z M S 5 7 U E Z f T V B T X 1 R P V E F M L D E 4 f S Z x d W 9 0 O y w m c X V v d D t T Z W N 0 a W 9 u M S 9 G S V 9 P V F V f Y 2 x h c 2 U v Q X V 0 b 1 J l b W 9 2 Z W R D b 2 x 1 b W 5 z M S 5 7 U E Z f T U V B V C w x O X 0 m c X V v d D s s J n F 1 b 3 Q 7 U 2 V j d G l v b j E v R k l f T 1 R V X 2 N s Y X N l L 0 F 1 d G 9 S Z W 1 v d m V k Q 2 9 s d W 1 u c z E u e 1 B G X 0 N V U k V E T U V B V C w y M H 0 m c X V v d D s s J n F 1 b 3 Q 7 U 2 V j d G l v b j E v R k l f T 1 R V X 2 N s Y X N l L 0 F 1 d G 9 S Z W 1 v d m V k Q 2 9 s d W 1 u c z E u e 1 B G X 0 9 S R 0 F O L D I x f S Z x d W 9 0 O y w m c X V v d D t T Z W N 0 a W 9 u M S 9 G S V 9 P V F V f Y 2 x h c 2 U v Q X V 0 b 1 J l b W 9 2 Z W R D b 2 x 1 b W 5 z M S 5 7 U E Z f U E 9 V T F Q s M j J 9 J n F 1 b 3 Q 7 L C Z x d W 9 0 O 1 N l Y 3 R p b 2 4 x L 0 Z J X 0 9 U V V 9 j b G F z Z S 9 B d X R v U m V t b 3 Z l Z E N v b H V t b n M x L n t Q R l 9 T R U F G R F 9 I S S w y M 3 0 m c X V v d D s s J n F 1 b 3 Q 7 U 2 V j d G l v b j E v R k l f T 1 R V X 2 N s Y X N l L 0 F 1 d G 9 S Z W 1 v d m V k Q 2 9 s d W 1 u c z E u e 1 B G X 1 N F Q U Z E X 0 x P V y w y N H 0 m c X V v d D s s J n F 1 b 3 Q 7 U 2 V j d G l v b j E v R k l f T 1 R V X 2 N s Y X N l L 0 F 1 d G 9 S Z W 1 v d m V k Q 2 9 s d W 1 u c z E u e 1 B G X 0 V H R 1 M s M j V 9 J n F 1 b 3 Q 7 L C Z x d W 9 0 O 1 N l Y 3 R p b 2 4 x L 0 Z J X 0 9 U V V 9 j b G F z Z S 9 B d X R v U m V t b 3 Z l Z E N v b H V t b n M x L n t Q R l 9 T T 1 k s M j Z 9 J n F 1 b 3 Q 7 L C Z x d W 9 0 O 1 N l Y 3 R p b 2 4 x L 0 Z J X 0 9 U V V 9 j b G F z Z S 9 B d X R v U m V t b 3 Z l Z E N v b H V t b n M x L n t Q R l 9 O V V R T R F M s M j d 9 J n F 1 b 3 Q 7 L C Z x d W 9 0 O 1 N l Y 3 R p b 2 4 x L 0 Z J X 0 9 U V V 9 j b G F z Z S 9 B d X R v U m V t b 3 Z l Z E N v b H V t b n M x L n t Q R l 9 M R U d V T U V T L D I 4 f S Z x d W 9 0 O y w m c X V v d D t T Z W N 0 a W 9 u M S 9 G S V 9 P V F V f Y 2 x h c 2 U v Q X V 0 b 1 J l b W 9 2 Z W R D b 2 x 1 b W 5 z M S 5 7 R F 9 U T 1 R B T C w y O X 0 m c X V v d D s s J n F 1 b 3 Q 7 U 2 V j d G l v b j E v R k l f T 1 R V X 2 N s Y X N l L 0 F 1 d G 9 S Z W 1 v d m V k Q 2 9 s d W 1 u c z E u e 0 R f T U l M S y w z M H 0 m c X V v d D s s J n F 1 b 3 Q 7 U 2 V j d G l v b j E v R k l f T 1 R V X 2 N s Y X N l L 0 F 1 d G 9 S Z W 1 v d m V k Q 2 9 s d W 1 u c z E u e 0 R f W U 9 H V V J U L D M x f S Z x d W 9 0 O y w m c X V v d D t T Z W N 0 a W 9 u M S 9 G S V 9 P V F V f Y 2 x h c 2 U v Q X V 0 b 1 J l b W 9 2 Z W R D b 2 x 1 b W 5 z M S 5 7 R F 9 D S E V F U 0 U s M z J 9 J n F 1 b 3 Q 7 L C Z x d W 9 0 O 1 N l Y 3 R p b 2 4 x L 0 Z J X 0 9 U V V 9 j b G F z Z S 9 B d X R v U m V t b 3 Z l Z E N v b H V t b n M x L n t P S U x T L D M z f S Z x d W 9 0 O y w m c X V v d D t T Z W N 0 a W 9 u M S 9 G S V 9 P V F V f Y 2 x h c 2 U v Q X V 0 b 1 J l b W 9 2 Z W R D b 2 x 1 b W 5 z M S 5 7 U 0 9 M S U R f R k F U U y w z N H 0 m c X V v d D s s J n F 1 b 3 Q 7 U 2 V j d G l v b j E v R k l f T 1 R V X 2 N s Y X N l L 0 F 1 d G 9 S Z W 1 v d m V k Q 2 9 s d W 1 u c z E u e 0 F E R F 9 T V U d B U l M s M z V 9 J n F 1 b 3 Q 7 L C Z x d W 9 0 O 1 N l Y 3 R p b 2 4 x L 0 Z J X 0 9 U V V 9 j b G F z Z S 9 B d X R v U m V t b 3 Z l Z E N v b H V t b n M x L n t B X 0 R S S U 5 L U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X 0 9 U V V 9 j b G F z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P V F V f Y 2 x h c 2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T 1 R V X 2 N s Y X N l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9 U V V 9 l c 3 B l Y 2 l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G S V 9 P V F V f Z X N w Z W N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N 1 Q x O T o 0 N z o x M y 4 x N j E 5 O D I y W i I g L z 4 8 R W 5 0 c n k g V H l w Z T 0 i R m l s b E N v b H V t b l R 5 c G V z I i B W Y W x 1 Z T 0 i c 0 J n W U d C Z 1 l H Q m d Z R 0 J n W U d C Z 1 l H Q m d Z R 0 J n W U d C Z 1 l H Q m d Z R 0 J n W U d C Z 1 l H Q m d Z R 0 J n P T 0 i I C 8 + P E V u d H J 5 I F R 5 c G U 9 I k Z p b G x D b 2 x 1 b W 5 O Y W 1 l c y I g V m F s d W U 9 I n N b J n F 1 b 3 Q 7 R l 9 U T 1 R B T C Z x d W 9 0 O y w m c X V v d D t G X 0 N J V E 1 M Q i Z x d W 9 0 O y w m c X V v d D t G X 0 9 U S E V S J n F 1 b 3 Q 7 L C Z x d W 9 0 O 0 Z f S l V J Q 0 U m c X V v d D s s J n F 1 b 3 Q 7 V l 9 U T 1 R B T C Z x d W 9 0 O y w m c X V v d D t W X 0 R S S 0 d S J n F 1 b 3 Q 7 L C Z x d W 9 0 O 1 Z f U k V E T 1 J f V E 9 U Q U w m c X V v d D s s J n F 1 b 3 Q 7 V l 9 S R U R P U l 9 U T 0 1 B V E 8 m c X V v d D s s J n F 1 b 3 Q 7 V l 9 S R U R P U l 9 P V E h F U i Z x d W 9 0 O y w m c X V v d D t W X 1 N U Q V J D S F l f V E 9 U Q U w m c X V v d D s s J n F 1 b 3 Q 7 V l 9 T V E F S Q 0 h Z X 1 B P V E F U T y Z x d W 9 0 O y w m c X V v d D t W X 1 N U Q V J D S F l f T 1 R I R V I m c X V v d D s s J n F 1 b 3 Q 7 V l 9 P V E h F U i Z x d W 9 0 O y w m c X V v d D t W X 0 x F R 1 V N R V M m c X V v d D s s J n F 1 b 3 Q 7 R 1 9 U T 1 R B T C Z x d W 9 0 O y w m c X V v d D t H X 1 d I T 0 x F J n F 1 b 3 Q 7 L C Z x d W 9 0 O 0 d f U k V G S U 5 F R C Z x d W 9 0 O y w m c X V v d D t Q R l 9 U T 1 R B T C Z x d W 9 0 O y w m c X V v d D t Q R l 9 N U F N f V E 9 U Q U w m c X V v d D s s J n F 1 b 3 Q 7 U E Z f T U V B V C Z x d W 9 0 O y w m c X V v d D t Q R l 9 D V V J F R E 1 F Q V Q m c X V v d D s s J n F 1 b 3 Q 7 U E Z f T 1 J H Q U 4 m c X V v d D s s J n F 1 b 3 Q 7 U E Z f U E 9 V T F Q m c X V v d D s s J n F 1 b 3 Q 7 U E Z f U 0 V B R k R f S E k m c X V v d D s s J n F 1 b 3 Q 7 U E Z f U 0 V B R k R f T E 9 X J n F 1 b 3 Q 7 L C Z x d W 9 0 O 1 B G X 0 V H R 1 M m c X V v d D s s J n F 1 b 3 Q 7 U E Z f U 0 9 Z J n F 1 b 3 Q 7 L C Z x d W 9 0 O 1 B G X 0 5 V V F N E U y Z x d W 9 0 O y w m c X V v d D t Q R l 9 M R U d V T U V T J n F 1 b 3 Q 7 L C Z x d W 9 0 O 0 R f V E 9 U Q U w m c X V v d D s s J n F 1 b 3 Q 7 R F 9 N S U x L J n F 1 b 3 Q 7 L C Z x d W 9 0 O 0 R f W U 9 H V V J U J n F 1 b 3 Q 7 L C Z x d W 9 0 O 0 R f Q 0 h F R V N F J n F 1 b 3 Q 7 L C Z x d W 9 0 O 0 9 J T F M m c X V v d D s s J n F 1 b 3 Q 7 U 0 9 M S U R f R k F U U y Z x d W 9 0 O y w m c X V v d D t B R E R f U 1 V H Q V J T J n F 1 b 3 Q 7 L C Z x d W 9 0 O 0 F f R F J J T k t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J X 0 9 U V V 9 l c 3 B l Y 2 l l L 0 F 1 d G 9 S Z W 1 v d m V k Q 2 9 s d W 1 u c z E u e 0 Z f V E 9 U Q U w s M H 0 m c X V v d D s s J n F 1 b 3 Q 7 U 2 V j d G l v b j E v R k l f T 1 R V X 2 V z c G V j a W U v Q X V 0 b 1 J l b W 9 2 Z W R D b 2 x 1 b W 5 z M S 5 7 R l 9 D S V R N T E I s M X 0 m c X V v d D s s J n F 1 b 3 Q 7 U 2 V j d G l v b j E v R k l f T 1 R V X 2 V z c G V j a W U v Q X V 0 b 1 J l b W 9 2 Z W R D b 2 x 1 b W 5 z M S 5 7 R l 9 P V E h F U i w y f S Z x d W 9 0 O y w m c X V v d D t T Z W N 0 a W 9 u M S 9 G S V 9 P V F V f Z X N w Z W N p Z S 9 B d X R v U m V t b 3 Z l Z E N v b H V t b n M x L n t G X 0 p V S U N F L D N 9 J n F 1 b 3 Q 7 L C Z x d W 9 0 O 1 N l Y 3 R p b 2 4 x L 0 Z J X 0 9 U V V 9 l c 3 B l Y 2 l l L 0 F 1 d G 9 S Z W 1 v d m V k Q 2 9 s d W 1 u c z E u e 1 Z f V E 9 U Q U w s N H 0 m c X V v d D s s J n F 1 b 3 Q 7 U 2 V j d G l v b j E v R k l f T 1 R V X 2 V z c G V j a W U v Q X V 0 b 1 J l b W 9 2 Z W R D b 2 x 1 b W 5 z M S 5 7 V l 9 E U k t H U i w 1 f S Z x d W 9 0 O y w m c X V v d D t T Z W N 0 a W 9 u M S 9 G S V 9 P V F V f Z X N w Z W N p Z S 9 B d X R v U m V t b 3 Z l Z E N v b H V t b n M x L n t W X 1 J F R E 9 S X 1 R P V E F M L D Z 9 J n F 1 b 3 Q 7 L C Z x d W 9 0 O 1 N l Y 3 R p b 2 4 x L 0 Z J X 0 9 U V V 9 l c 3 B l Y 2 l l L 0 F 1 d G 9 S Z W 1 v d m V k Q 2 9 s d W 1 u c z E u e 1 Z f U k V E T 1 J f V E 9 N Q V R P L D d 9 J n F 1 b 3 Q 7 L C Z x d W 9 0 O 1 N l Y 3 R p b 2 4 x L 0 Z J X 0 9 U V V 9 l c 3 B l Y 2 l l L 0 F 1 d G 9 S Z W 1 v d m V k Q 2 9 s d W 1 u c z E u e 1 Z f U k V E T 1 J f T 1 R I R V I s O H 0 m c X V v d D s s J n F 1 b 3 Q 7 U 2 V j d G l v b j E v R k l f T 1 R V X 2 V z c G V j a W U v Q X V 0 b 1 J l b W 9 2 Z W R D b 2 x 1 b W 5 z M S 5 7 V l 9 T V E F S Q 0 h Z X 1 R P V E F M L D l 9 J n F 1 b 3 Q 7 L C Z x d W 9 0 O 1 N l Y 3 R p b 2 4 x L 0 Z J X 0 9 U V V 9 l c 3 B l Y 2 l l L 0 F 1 d G 9 S Z W 1 v d m V k Q 2 9 s d W 1 u c z E u e 1 Z f U 1 R B U k N I W V 9 Q T 1 R B V E 8 s M T B 9 J n F 1 b 3 Q 7 L C Z x d W 9 0 O 1 N l Y 3 R p b 2 4 x L 0 Z J X 0 9 U V V 9 l c 3 B l Y 2 l l L 0 F 1 d G 9 S Z W 1 v d m V k Q 2 9 s d W 1 u c z E u e 1 Z f U 1 R B U k N I W V 9 P V E h F U i w x M X 0 m c X V v d D s s J n F 1 b 3 Q 7 U 2 V j d G l v b j E v R k l f T 1 R V X 2 V z c G V j a W U v Q X V 0 b 1 J l b W 9 2 Z W R D b 2 x 1 b W 5 z M S 5 7 V l 9 P V E h F U i w x M n 0 m c X V v d D s s J n F 1 b 3 Q 7 U 2 V j d G l v b j E v R k l f T 1 R V X 2 V z c G V j a W U v Q X V 0 b 1 J l b W 9 2 Z W R D b 2 x 1 b W 5 z M S 5 7 V l 9 M R U d V T U V T L D E z f S Z x d W 9 0 O y w m c X V v d D t T Z W N 0 a W 9 u M S 9 G S V 9 P V F V f Z X N w Z W N p Z S 9 B d X R v U m V t b 3 Z l Z E N v b H V t b n M x L n t H X 1 R P V E F M L D E 0 f S Z x d W 9 0 O y w m c X V v d D t T Z W N 0 a W 9 u M S 9 G S V 9 P V F V f Z X N w Z W N p Z S 9 B d X R v U m V t b 3 Z l Z E N v b H V t b n M x L n t H X 1 d I T 0 x F L D E 1 f S Z x d W 9 0 O y w m c X V v d D t T Z W N 0 a W 9 u M S 9 G S V 9 P V F V f Z X N w Z W N p Z S 9 B d X R v U m V t b 3 Z l Z E N v b H V t b n M x L n t H X 1 J F R k l O R U Q s M T Z 9 J n F 1 b 3 Q 7 L C Z x d W 9 0 O 1 N l Y 3 R p b 2 4 x L 0 Z J X 0 9 U V V 9 l c 3 B l Y 2 l l L 0 F 1 d G 9 S Z W 1 v d m V k Q 2 9 s d W 1 u c z E u e 1 B G X 1 R P V E F M L D E 3 f S Z x d W 9 0 O y w m c X V v d D t T Z W N 0 a W 9 u M S 9 G S V 9 P V F V f Z X N w Z W N p Z S 9 B d X R v U m V t b 3 Z l Z E N v b H V t b n M x L n t Q R l 9 N U F N f V E 9 U Q U w s M T h 9 J n F 1 b 3 Q 7 L C Z x d W 9 0 O 1 N l Y 3 R p b 2 4 x L 0 Z J X 0 9 U V V 9 l c 3 B l Y 2 l l L 0 F 1 d G 9 S Z W 1 v d m V k Q 2 9 s d W 1 u c z E u e 1 B G X 0 1 F Q V Q s M T l 9 J n F 1 b 3 Q 7 L C Z x d W 9 0 O 1 N l Y 3 R p b 2 4 x L 0 Z J X 0 9 U V V 9 l c 3 B l Y 2 l l L 0 F 1 d G 9 S Z W 1 v d m V k Q 2 9 s d W 1 u c z E u e 1 B G X 0 N V U k V E T U V B V C w y M H 0 m c X V v d D s s J n F 1 b 3 Q 7 U 2 V j d G l v b j E v R k l f T 1 R V X 2 V z c G V j a W U v Q X V 0 b 1 J l b W 9 2 Z W R D b 2 x 1 b W 5 z M S 5 7 U E Z f T 1 J H Q U 4 s M j F 9 J n F 1 b 3 Q 7 L C Z x d W 9 0 O 1 N l Y 3 R p b 2 4 x L 0 Z J X 0 9 U V V 9 l c 3 B l Y 2 l l L 0 F 1 d G 9 S Z W 1 v d m V k Q 2 9 s d W 1 u c z E u e 1 B G X 1 B P V U x U L D I y f S Z x d W 9 0 O y w m c X V v d D t T Z W N 0 a W 9 u M S 9 G S V 9 P V F V f Z X N w Z W N p Z S 9 B d X R v U m V t b 3 Z l Z E N v b H V t b n M x L n t Q R l 9 T R U F G R F 9 I S S w y M 3 0 m c X V v d D s s J n F 1 b 3 Q 7 U 2 V j d G l v b j E v R k l f T 1 R V X 2 V z c G V j a W U v Q X V 0 b 1 J l b W 9 2 Z W R D b 2 x 1 b W 5 z M S 5 7 U E Z f U 0 V B R k R f T E 9 X L D I 0 f S Z x d W 9 0 O y w m c X V v d D t T Z W N 0 a W 9 u M S 9 G S V 9 P V F V f Z X N w Z W N p Z S 9 B d X R v U m V t b 3 Z l Z E N v b H V t b n M x L n t Q R l 9 F R 0 d T L D I 1 f S Z x d W 9 0 O y w m c X V v d D t T Z W N 0 a W 9 u M S 9 G S V 9 P V F V f Z X N w Z W N p Z S 9 B d X R v U m V t b 3 Z l Z E N v b H V t b n M x L n t Q R l 9 T T 1 k s M j Z 9 J n F 1 b 3 Q 7 L C Z x d W 9 0 O 1 N l Y 3 R p b 2 4 x L 0 Z J X 0 9 U V V 9 l c 3 B l Y 2 l l L 0 F 1 d G 9 S Z W 1 v d m V k Q 2 9 s d W 1 u c z E u e 1 B G X 0 5 V V F N E U y w y N 3 0 m c X V v d D s s J n F 1 b 3 Q 7 U 2 V j d G l v b j E v R k l f T 1 R V X 2 V z c G V j a W U v Q X V 0 b 1 J l b W 9 2 Z W R D b 2 x 1 b W 5 z M S 5 7 U E Z f T E V H V U 1 F U y w y O H 0 m c X V v d D s s J n F 1 b 3 Q 7 U 2 V j d G l v b j E v R k l f T 1 R V X 2 V z c G V j a W U v Q X V 0 b 1 J l b W 9 2 Z W R D b 2 x 1 b W 5 z M S 5 7 R F 9 U T 1 R B T C w y O X 0 m c X V v d D s s J n F 1 b 3 Q 7 U 2 V j d G l v b j E v R k l f T 1 R V X 2 V z c G V j a W U v Q X V 0 b 1 J l b W 9 2 Z W R D b 2 x 1 b W 5 z M S 5 7 R F 9 N S U x L L D M w f S Z x d W 9 0 O y w m c X V v d D t T Z W N 0 a W 9 u M S 9 G S V 9 P V F V f Z X N w Z W N p Z S 9 B d X R v U m V t b 3 Z l Z E N v b H V t b n M x L n t E X 1 l P R 1 V S V C w z M X 0 m c X V v d D s s J n F 1 b 3 Q 7 U 2 V j d G l v b j E v R k l f T 1 R V X 2 V z c G V j a W U v Q X V 0 b 1 J l b W 9 2 Z W R D b 2 x 1 b W 5 z M S 5 7 R F 9 D S E V F U 0 U s M z J 9 J n F 1 b 3 Q 7 L C Z x d W 9 0 O 1 N l Y 3 R p b 2 4 x L 0 Z J X 0 9 U V V 9 l c 3 B l Y 2 l l L 0 F 1 d G 9 S Z W 1 v d m V k Q 2 9 s d W 1 u c z E u e 0 9 J T F M s M z N 9 J n F 1 b 3 Q 7 L C Z x d W 9 0 O 1 N l Y 3 R p b 2 4 x L 0 Z J X 0 9 U V V 9 l c 3 B l Y 2 l l L 0 F 1 d G 9 S Z W 1 v d m V k Q 2 9 s d W 1 u c z E u e 1 N P T E l E X 0 Z B V F M s M z R 9 J n F 1 b 3 Q 7 L C Z x d W 9 0 O 1 N l Y 3 R p b 2 4 x L 0 Z J X 0 9 U V V 9 l c 3 B l Y 2 l l L 0 F 1 d G 9 S Z W 1 v d m V k Q 2 9 s d W 1 u c z E u e 0 F E R F 9 T V U d B U l M s M z V 9 J n F 1 b 3 Q 7 L C Z x d W 9 0 O 1 N l Y 3 R p b 2 4 x L 0 Z J X 0 9 U V V 9 l c 3 B l Y 2 l l L 0 F 1 d G 9 S Z W 1 v d m V k Q 2 9 s d W 1 u c z E u e 0 F f R F J J T k t T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R k l f T 1 R V X 2 V z c G V j a W U v Q X V 0 b 1 J l b W 9 2 Z W R D b 2 x 1 b W 5 z M S 5 7 R l 9 U T 1 R B T C w w f S Z x d W 9 0 O y w m c X V v d D t T Z W N 0 a W 9 u M S 9 G S V 9 P V F V f Z X N w Z W N p Z S 9 B d X R v U m V t b 3 Z l Z E N v b H V t b n M x L n t G X 0 N J V E 1 M Q i w x f S Z x d W 9 0 O y w m c X V v d D t T Z W N 0 a W 9 u M S 9 G S V 9 P V F V f Z X N w Z W N p Z S 9 B d X R v U m V t b 3 Z l Z E N v b H V t b n M x L n t G X 0 9 U S E V S L D J 9 J n F 1 b 3 Q 7 L C Z x d W 9 0 O 1 N l Y 3 R p b 2 4 x L 0 Z J X 0 9 U V V 9 l c 3 B l Y 2 l l L 0 F 1 d G 9 S Z W 1 v d m V k Q 2 9 s d W 1 u c z E u e 0 Z f S l V J Q 0 U s M 3 0 m c X V v d D s s J n F 1 b 3 Q 7 U 2 V j d G l v b j E v R k l f T 1 R V X 2 V z c G V j a W U v Q X V 0 b 1 J l b W 9 2 Z W R D b 2 x 1 b W 5 z M S 5 7 V l 9 U T 1 R B T C w 0 f S Z x d W 9 0 O y w m c X V v d D t T Z W N 0 a W 9 u M S 9 G S V 9 P V F V f Z X N w Z W N p Z S 9 B d X R v U m V t b 3 Z l Z E N v b H V t b n M x L n t W X 0 R S S 0 d S L D V 9 J n F 1 b 3 Q 7 L C Z x d W 9 0 O 1 N l Y 3 R p b 2 4 x L 0 Z J X 0 9 U V V 9 l c 3 B l Y 2 l l L 0 F 1 d G 9 S Z W 1 v d m V k Q 2 9 s d W 1 u c z E u e 1 Z f U k V E T 1 J f V E 9 U Q U w s N n 0 m c X V v d D s s J n F 1 b 3 Q 7 U 2 V j d G l v b j E v R k l f T 1 R V X 2 V z c G V j a W U v Q X V 0 b 1 J l b W 9 2 Z W R D b 2 x 1 b W 5 z M S 5 7 V l 9 S R U R P U l 9 U T 0 1 B V E 8 s N 3 0 m c X V v d D s s J n F 1 b 3 Q 7 U 2 V j d G l v b j E v R k l f T 1 R V X 2 V z c G V j a W U v Q X V 0 b 1 J l b W 9 2 Z W R D b 2 x 1 b W 5 z M S 5 7 V l 9 S R U R P U l 9 P V E h F U i w 4 f S Z x d W 9 0 O y w m c X V v d D t T Z W N 0 a W 9 u M S 9 G S V 9 P V F V f Z X N w Z W N p Z S 9 B d X R v U m V t b 3 Z l Z E N v b H V t b n M x L n t W X 1 N U Q V J D S F l f V E 9 U Q U w s O X 0 m c X V v d D s s J n F 1 b 3 Q 7 U 2 V j d G l v b j E v R k l f T 1 R V X 2 V z c G V j a W U v Q X V 0 b 1 J l b W 9 2 Z W R D b 2 x 1 b W 5 z M S 5 7 V l 9 T V E F S Q 0 h Z X 1 B P V E F U T y w x M H 0 m c X V v d D s s J n F 1 b 3 Q 7 U 2 V j d G l v b j E v R k l f T 1 R V X 2 V z c G V j a W U v Q X V 0 b 1 J l b W 9 2 Z W R D b 2 x 1 b W 5 z M S 5 7 V l 9 T V E F S Q 0 h Z X 0 9 U S E V S L D E x f S Z x d W 9 0 O y w m c X V v d D t T Z W N 0 a W 9 u M S 9 G S V 9 P V F V f Z X N w Z W N p Z S 9 B d X R v U m V t b 3 Z l Z E N v b H V t b n M x L n t W X 0 9 U S E V S L D E y f S Z x d W 9 0 O y w m c X V v d D t T Z W N 0 a W 9 u M S 9 G S V 9 P V F V f Z X N w Z W N p Z S 9 B d X R v U m V t b 3 Z l Z E N v b H V t b n M x L n t W X 0 x F R 1 V N R V M s M T N 9 J n F 1 b 3 Q 7 L C Z x d W 9 0 O 1 N l Y 3 R p b 2 4 x L 0 Z J X 0 9 U V V 9 l c 3 B l Y 2 l l L 0 F 1 d G 9 S Z W 1 v d m V k Q 2 9 s d W 1 u c z E u e 0 d f V E 9 U Q U w s M T R 9 J n F 1 b 3 Q 7 L C Z x d W 9 0 O 1 N l Y 3 R p b 2 4 x L 0 Z J X 0 9 U V V 9 l c 3 B l Y 2 l l L 0 F 1 d G 9 S Z W 1 v d m V k Q 2 9 s d W 1 u c z E u e 0 d f V 0 h P T E U s M T V 9 J n F 1 b 3 Q 7 L C Z x d W 9 0 O 1 N l Y 3 R p b 2 4 x L 0 Z J X 0 9 U V V 9 l c 3 B l Y 2 l l L 0 F 1 d G 9 S Z W 1 v d m V k Q 2 9 s d W 1 u c z E u e 0 d f U k V G S U 5 F R C w x N n 0 m c X V v d D s s J n F 1 b 3 Q 7 U 2 V j d G l v b j E v R k l f T 1 R V X 2 V z c G V j a W U v Q X V 0 b 1 J l b W 9 2 Z W R D b 2 x 1 b W 5 z M S 5 7 U E Z f V E 9 U Q U w s M T d 9 J n F 1 b 3 Q 7 L C Z x d W 9 0 O 1 N l Y 3 R p b 2 4 x L 0 Z J X 0 9 U V V 9 l c 3 B l Y 2 l l L 0 F 1 d G 9 S Z W 1 v d m V k Q 2 9 s d W 1 u c z E u e 1 B G X 0 1 Q U 1 9 U T 1 R B T C w x O H 0 m c X V v d D s s J n F 1 b 3 Q 7 U 2 V j d G l v b j E v R k l f T 1 R V X 2 V z c G V j a W U v Q X V 0 b 1 J l b W 9 2 Z W R D b 2 x 1 b W 5 z M S 5 7 U E Z f T U V B V C w x O X 0 m c X V v d D s s J n F 1 b 3 Q 7 U 2 V j d G l v b j E v R k l f T 1 R V X 2 V z c G V j a W U v Q X V 0 b 1 J l b W 9 2 Z W R D b 2 x 1 b W 5 z M S 5 7 U E Z f Q 1 V S R U R N R U F U L D I w f S Z x d W 9 0 O y w m c X V v d D t T Z W N 0 a W 9 u M S 9 G S V 9 P V F V f Z X N w Z W N p Z S 9 B d X R v U m V t b 3 Z l Z E N v b H V t b n M x L n t Q R l 9 P U k d B T i w y M X 0 m c X V v d D s s J n F 1 b 3 Q 7 U 2 V j d G l v b j E v R k l f T 1 R V X 2 V z c G V j a W U v Q X V 0 b 1 J l b W 9 2 Z W R D b 2 x 1 b W 5 z M S 5 7 U E Z f U E 9 V T F Q s M j J 9 J n F 1 b 3 Q 7 L C Z x d W 9 0 O 1 N l Y 3 R p b 2 4 x L 0 Z J X 0 9 U V V 9 l c 3 B l Y 2 l l L 0 F 1 d G 9 S Z W 1 v d m V k Q 2 9 s d W 1 u c z E u e 1 B G X 1 N F Q U Z E X 0 h J L D I z f S Z x d W 9 0 O y w m c X V v d D t T Z W N 0 a W 9 u M S 9 G S V 9 P V F V f Z X N w Z W N p Z S 9 B d X R v U m V t b 3 Z l Z E N v b H V t b n M x L n t Q R l 9 T R U F G R F 9 M T 1 c s M j R 9 J n F 1 b 3 Q 7 L C Z x d W 9 0 O 1 N l Y 3 R p b 2 4 x L 0 Z J X 0 9 U V V 9 l c 3 B l Y 2 l l L 0 F 1 d G 9 S Z W 1 v d m V k Q 2 9 s d W 1 u c z E u e 1 B G X 0 V H R 1 M s M j V 9 J n F 1 b 3 Q 7 L C Z x d W 9 0 O 1 N l Y 3 R p b 2 4 x L 0 Z J X 0 9 U V V 9 l c 3 B l Y 2 l l L 0 F 1 d G 9 S Z W 1 v d m V k Q 2 9 s d W 1 u c z E u e 1 B G X 1 N P W S w y N n 0 m c X V v d D s s J n F 1 b 3 Q 7 U 2 V j d G l v b j E v R k l f T 1 R V X 2 V z c G V j a W U v Q X V 0 b 1 J l b W 9 2 Z W R D b 2 x 1 b W 5 z M S 5 7 U E Z f T l V U U 0 R T L D I 3 f S Z x d W 9 0 O y w m c X V v d D t T Z W N 0 a W 9 u M S 9 G S V 9 P V F V f Z X N w Z W N p Z S 9 B d X R v U m V t b 3 Z l Z E N v b H V t b n M x L n t Q R l 9 M R U d V T U V T L D I 4 f S Z x d W 9 0 O y w m c X V v d D t T Z W N 0 a W 9 u M S 9 G S V 9 P V F V f Z X N w Z W N p Z S 9 B d X R v U m V t b 3 Z l Z E N v b H V t b n M x L n t E X 1 R P V E F M L D I 5 f S Z x d W 9 0 O y w m c X V v d D t T Z W N 0 a W 9 u M S 9 G S V 9 P V F V f Z X N w Z W N p Z S 9 B d X R v U m V t b 3 Z l Z E N v b H V t b n M x L n t E X 0 1 J T E s s M z B 9 J n F 1 b 3 Q 7 L C Z x d W 9 0 O 1 N l Y 3 R p b 2 4 x L 0 Z J X 0 9 U V V 9 l c 3 B l Y 2 l l L 0 F 1 d G 9 S Z W 1 v d m V k Q 2 9 s d W 1 u c z E u e 0 R f W U 9 H V V J U L D M x f S Z x d W 9 0 O y w m c X V v d D t T Z W N 0 a W 9 u M S 9 G S V 9 P V F V f Z X N w Z W N p Z S 9 B d X R v U m V t b 3 Z l Z E N v b H V t b n M x L n t E X 0 N I R U V T R S w z M n 0 m c X V v d D s s J n F 1 b 3 Q 7 U 2 V j d G l v b j E v R k l f T 1 R V X 2 V z c G V j a W U v Q X V 0 b 1 J l b W 9 2 Z W R D b 2 x 1 b W 5 z M S 5 7 T 0 l M U y w z M 3 0 m c X V v d D s s J n F 1 b 3 Q 7 U 2 V j d G l v b j E v R k l f T 1 R V X 2 V z c G V j a W U v Q X V 0 b 1 J l b W 9 2 Z W R D b 2 x 1 b W 5 z M S 5 7 U 0 9 M S U R f R k F U U y w z N H 0 m c X V v d D s s J n F 1 b 3 Q 7 U 2 V j d G l v b j E v R k l f T 1 R V X 2 V z c G V j a W U v Q X V 0 b 1 J l b W 9 2 Z W R D b 2 x 1 b W 5 z M S 5 7 Q U R E X 1 N V R 0 F S U y w z N X 0 m c X V v d D s s J n F 1 b 3 Q 7 U 2 V j d G l v b j E v R k l f T 1 R V X 2 V z c G V j a W U v Q X V 0 b 1 J l b W 9 2 Z W R D b 2 x 1 b W 5 z M S 5 7 Q V 9 E U k l O S 1 M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S V 9 P V F V f Z X N w Z W N p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P V F V f Z X N w Z W N p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P V F V f Z X N w Z W N p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P V F V f Z m F t a W x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k l f T 1 R V X 2 Z h b W l s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d U M T k 6 N D c 6 M z E u M D I 2 O T M 1 M 1 o i I C 8 + P E V u d H J 5 I F R 5 c G U 9 I k Z p b G x D b 2 x 1 b W 5 U e X B l c y I g V m F s d W U 9 I n N C Z 1 l H Q m d Z R 0 J n W U d C Z 1 l H Q m d Z R 0 J n W U d C Z 1 l H Q m d Z R 0 J n W U d C Z 1 l H Q m d Z R 0 J n W U d C Z z 0 9 I i A v P j x F b n R y e S B U e X B l P S J G a W x s Q 2 9 s d W 1 u T m F t Z X M i I F Z h b H V l P S J z W y Z x d W 9 0 O 0 Z f V E 9 U Q U w m c X V v d D s s J n F 1 b 3 Q 7 R l 9 D S V R N T E I m c X V v d D s s J n F 1 b 3 Q 7 R l 9 P V E h F U i Z x d W 9 0 O y w m c X V v d D t G X 0 p V S U N F J n F 1 b 3 Q 7 L C Z x d W 9 0 O 1 Z f V E 9 U Q U w m c X V v d D s s J n F 1 b 3 Q 7 V l 9 E U k t H U i Z x d W 9 0 O y w m c X V v d D t W X 1 J F R E 9 S X 1 R P V E F M J n F 1 b 3 Q 7 L C Z x d W 9 0 O 1 Z f U k V E T 1 J f V E 9 N Q V R P J n F 1 b 3 Q 7 L C Z x d W 9 0 O 1 Z f U k V E T 1 J f T 1 R I R V I m c X V v d D s s J n F 1 b 3 Q 7 V l 9 T V E F S Q 0 h Z X 1 R P V E F M J n F 1 b 3 Q 7 L C Z x d W 9 0 O 1 Z f U 1 R B U k N I W V 9 Q T 1 R B V E 8 m c X V v d D s s J n F 1 b 3 Q 7 V l 9 T V E F S Q 0 h Z X 0 9 U S E V S J n F 1 b 3 Q 7 L C Z x d W 9 0 O 1 Z f T 1 R I R V I m c X V v d D s s J n F 1 b 3 Q 7 V l 9 M R U d V T U V T J n F 1 b 3 Q 7 L C Z x d W 9 0 O 0 d f V E 9 U Q U w m c X V v d D s s J n F 1 b 3 Q 7 R 1 9 X S E 9 M R S Z x d W 9 0 O y w m c X V v d D t H X 1 J F R k l O R U Q m c X V v d D s s J n F 1 b 3 Q 7 U E Z f V E 9 U Q U w m c X V v d D s s J n F 1 b 3 Q 7 U E Z f T V B T X 1 R P V E F M J n F 1 b 3 Q 7 L C Z x d W 9 0 O 1 B G X 0 1 F Q V Q m c X V v d D s s J n F 1 b 3 Q 7 U E Z f Q 1 V S R U R N R U F U J n F 1 b 3 Q 7 L C Z x d W 9 0 O 1 B G X 0 9 S R 0 F O J n F 1 b 3 Q 7 L C Z x d W 9 0 O 1 B G X 1 B P V U x U J n F 1 b 3 Q 7 L C Z x d W 9 0 O 1 B G X 1 N F Q U Z E X 0 h J J n F 1 b 3 Q 7 L C Z x d W 9 0 O 1 B G X 1 N F Q U Z E X 0 x P V y Z x d W 9 0 O y w m c X V v d D t Q R l 9 F R 0 d T J n F 1 b 3 Q 7 L C Z x d W 9 0 O 1 B G X 1 N P W S Z x d W 9 0 O y w m c X V v d D t Q R l 9 O V V R T R F M m c X V v d D s s J n F 1 b 3 Q 7 U E Z f T E V H V U 1 F U y Z x d W 9 0 O y w m c X V v d D t E X 1 R P V E F M J n F 1 b 3 Q 7 L C Z x d W 9 0 O 0 R f T U l M S y Z x d W 9 0 O y w m c X V v d D t E X 1 l P R 1 V S V C Z x d W 9 0 O y w m c X V v d D t E X 0 N I R U V T R S Z x d W 9 0 O y w m c X V v d D t P S U x T J n F 1 b 3 Q 7 L C Z x d W 9 0 O 1 N P T E l E X 0 Z B V F M m c X V v d D s s J n F 1 b 3 Q 7 Q U R E X 1 N V R 0 F S U y Z x d W 9 0 O y w m c X V v d D t B X 0 R S S U 5 L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V 9 P V F V f Z m F t a W x p Y S 9 B d X R v U m V t b 3 Z l Z E N v b H V t b n M x L n t G X 1 R P V E F M L D B 9 J n F 1 b 3 Q 7 L C Z x d W 9 0 O 1 N l Y 3 R p b 2 4 x L 0 Z J X 0 9 U V V 9 m Y W 1 p b G l h L 0 F 1 d G 9 S Z W 1 v d m V k Q 2 9 s d W 1 u c z E u e 0 Z f Q 0 l U T U x C L D F 9 J n F 1 b 3 Q 7 L C Z x d W 9 0 O 1 N l Y 3 R p b 2 4 x L 0 Z J X 0 9 U V V 9 m Y W 1 p b G l h L 0 F 1 d G 9 S Z W 1 v d m V k Q 2 9 s d W 1 u c z E u e 0 Z f T 1 R I R V I s M n 0 m c X V v d D s s J n F 1 b 3 Q 7 U 2 V j d G l v b j E v R k l f T 1 R V X 2 Z h b W l s a W E v Q X V 0 b 1 J l b W 9 2 Z W R D b 2 x 1 b W 5 z M S 5 7 R l 9 K V U l D R S w z f S Z x d W 9 0 O y w m c X V v d D t T Z W N 0 a W 9 u M S 9 G S V 9 P V F V f Z m F t a W x p Y S 9 B d X R v U m V t b 3 Z l Z E N v b H V t b n M x L n t W X 1 R P V E F M L D R 9 J n F 1 b 3 Q 7 L C Z x d W 9 0 O 1 N l Y 3 R p b 2 4 x L 0 Z J X 0 9 U V V 9 m Y W 1 p b G l h L 0 F 1 d G 9 S Z W 1 v d m V k Q 2 9 s d W 1 u c z E u e 1 Z f R F J L R 1 I s N X 0 m c X V v d D s s J n F 1 b 3 Q 7 U 2 V j d G l v b j E v R k l f T 1 R V X 2 Z h b W l s a W E v Q X V 0 b 1 J l b W 9 2 Z W R D b 2 x 1 b W 5 z M S 5 7 V l 9 S R U R P U l 9 U T 1 R B T C w 2 f S Z x d W 9 0 O y w m c X V v d D t T Z W N 0 a W 9 u M S 9 G S V 9 P V F V f Z m F t a W x p Y S 9 B d X R v U m V t b 3 Z l Z E N v b H V t b n M x L n t W X 1 J F R E 9 S X 1 R P T U F U T y w 3 f S Z x d W 9 0 O y w m c X V v d D t T Z W N 0 a W 9 u M S 9 G S V 9 P V F V f Z m F t a W x p Y S 9 B d X R v U m V t b 3 Z l Z E N v b H V t b n M x L n t W X 1 J F R E 9 S X 0 9 U S E V S L D h 9 J n F 1 b 3 Q 7 L C Z x d W 9 0 O 1 N l Y 3 R p b 2 4 x L 0 Z J X 0 9 U V V 9 m Y W 1 p b G l h L 0 F 1 d G 9 S Z W 1 v d m V k Q 2 9 s d W 1 u c z E u e 1 Z f U 1 R B U k N I W V 9 U T 1 R B T C w 5 f S Z x d W 9 0 O y w m c X V v d D t T Z W N 0 a W 9 u M S 9 G S V 9 P V F V f Z m F t a W x p Y S 9 B d X R v U m V t b 3 Z l Z E N v b H V t b n M x L n t W X 1 N U Q V J D S F l f U E 9 U Q V R P L D E w f S Z x d W 9 0 O y w m c X V v d D t T Z W N 0 a W 9 u M S 9 G S V 9 P V F V f Z m F t a W x p Y S 9 B d X R v U m V t b 3 Z l Z E N v b H V t b n M x L n t W X 1 N U Q V J D S F l f T 1 R I R V I s M T F 9 J n F 1 b 3 Q 7 L C Z x d W 9 0 O 1 N l Y 3 R p b 2 4 x L 0 Z J X 0 9 U V V 9 m Y W 1 p b G l h L 0 F 1 d G 9 S Z W 1 v d m V k Q 2 9 s d W 1 u c z E u e 1 Z f T 1 R I R V I s M T J 9 J n F 1 b 3 Q 7 L C Z x d W 9 0 O 1 N l Y 3 R p b 2 4 x L 0 Z J X 0 9 U V V 9 m Y W 1 p b G l h L 0 F 1 d G 9 S Z W 1 v d m V k Q 2 9 s d W 1 u c z E u e 1 Z f T E V H V U 1 F U y w x M 3 0 m c X V v d D s s J n F 1 b 3 Q 7 U 2 V j d G l v b j E v R k l f T 1 R V X 2 Z h b W l s a W E v Q X V 0 b 1 J l b W 9 2 Z W R D b 2 x 1 b W 5 z M S 5 7 R 1 9 U T 1 R B T C w x N H 0 m c X V v d D s s J n F 1 b 3 Q 7 U 2 V j d G l v b j E v R k l f T 1 R V X 2 Z h b W l s a W E v Q X V 0 b 1 J l b W 9 2 Z W R D b 2 x 1 b W 5 z M S 5 7 R 1 9 X S E 9 M R S w x N X 0 m c X V v d D s s J n F 1 b 3 Q 7 U 2 V j d G l v b j E v R k l f T 1 R V X 2 Z h b W l s a W E v Q X V 0 b 1 J l b W 9 2 Z W R D b 2 x 1 b W 5 z M S 5 7 R 1 9 S R U Z J T k V E L D E 2 f S Z x d W 9 0 O y w m c X V v d D t T Z W N 0 a W 9 u M S 9 G S V 9 P V F V f Z m F t a W x p Y S 9 B d X R v U m V t b 3 Z l Z E N v b H V t b n M x L n t Q R l 9 U T 1 R B T C w x N 3 0 m c X V v d D s s J n F 1 b 3 Q 7 U 2 V j d G l v b j E v R k l f T 1 R V X 2 Z h b W l s a W E v Q X V 0 b 1 J l b W 9 2 Z W R D b 2 x 1 b W 5 z M S 5 7 U E Z f T V B T X 1 R P V E F M L D E 4 f S Z x d W 9 0 O y w m c X V v d D t T Z W N 0 a W 9 u M S 9 G S V 9 P V F V f Z m F t a W x p Y S 9 B d X R v U m V t b 3 Z l Z E N v b H V t b n M x L n t Q R l 9 N R U F U L D E 5 f S Z x d W 9 0 O y w m c X V v d D t T Z W N 0 a W 9 u M S 9 G S V 9 P V F V f Z m F t a W x p Y S 9 B d X R v U m V t b 3 Z l Z E N v b H V t b n M x L n t Q R l 9 D V V J F R E 1 F Q V Q s M j B 9 J n F 1 b 3 Q 7 L C Z x d W 9 0 O 1 N l Y 3 R p b 2 4 x L 0 Z J X 0 9 U V V 9 m Y W 1 p b G l h L 0 F 1 d G 9 S Z W 1 v d m V k Q 2 9 s d W 1 u c z E u e 1 B G X 0 9 S R 0 F O L D I x f S Z x d W 9 0 O y w m c X V v d D t T Z W N 0 a W 9 u M S 9 G S V 9 P V F V f Z m F t a W x p Y S 9 B d X R v U m V t b 3 Z l Z E N v b H V t b n M x L n t Q R l 9 Q T 1 V M V C w y M n 0 m c X V v d D s s J n F 1 b 3 Q 7 U 2 V j d G l v b j E v R k l f T 1 R V X 2 Z h b W l s a W E v Q X V 0 b 1 J l b W 9 2 Z W R D b 2 x 1 b W 5 z M S 5 7 U E Z f U 0 V B R k R f S E k s M j N 9 J n F 1 b 3 Q 7 L C Z x d W 9 0 O 1 N l Y 3 R p b 2 4 x L 0 Z J X 0 9 U V V 9 m Y W 1 p b G l h L 0 F 1 d G 9 S Z W 1 v d m V k Q 2 9 s d W 1 u c z E u e 1 B G X 1 N F Q U Z E X 0 x P V y w y N H 0 m c X V v d D s s J n F 1 b 3 Q 7 U 2 V j d G l v b j E v R k l f T 1 R V X 2 Z h b W l s a W E v Q X V 0 b 1 J l b W 9 2 Z W R D b 2 x 1 b W 5 z M S 5 7 U E Z f R U d H U y w y N X 0 m c X V v d D s s J n F 1 b 3 Q 7 U 2 V j d G l v b j E v R k l f T 1 R V X 2 Z h b W l s a W E v Q X V 0 b 1 J l b W 9 2 Z W R D b 2 x 1 b W 5 z M S 5 7 U E Z f U 0 9 Z L D I 2 f S Z x d W 9 0 O y w m c X V v d D t T Z W N 0 a W 9 u M S 9 G S V 9 P V F V f Z m F t a W x p Y S 9 B d X R v U m V t b 3 Z l Z E N v b H V t b n M x L n t Q R l 9 O V V R T R F M s M j d 9 J n F 1 b 3 Q 7 L C Z x d W 9 0 O 1 N l Y 3 R p b 2 4 x L 0 Z J X 0 9 U V V 9 m Y W 1 p b G l h L 0 F 1 d G 9 S Z W 1 v d m V k Q 2 9 s d W 1 u c z E u e 1 B G X 0 x F R 1 V N R V M s M j h 9 J n F 1 b 3 Q 7 L C Z x d W 9 0 O 1 N l Y 3 R p b 2 4 x L 0 Z J X 0 9 U V V 9 m Y W 1 p b G l h L 0 F 1 d G 9 S Z W 1 v d m V k Q 2 9 s d W 1 u c z E u e 0 R f V E 9 U Q U w s M j l 9 J n F 1 b 3 Q 7 L C Z x d W 9 0 O 1 N l Y 3 R p b 2 4 x L 0 Z J X 0 9 U V V 9 m Y W 1 p b G l h L 0 F 1 d G 9 S Z W 1 v d m V k Q 2 9 s d W 1 u c z E u e 0 R f T U l M S y w z M H 0 m c X V v d D s s J n F 1 b 3 Q 7 U 2 V j d G l v b j E v R k l f T 1 R V X 2 Z h b W l s a W E v Q X V 0 b 1 J l b W 9 2 Z W R D b 2 x 1 b W 5 z M S 5 7 R F 9 Z T 0 d V U l Q s M z F 9 J n F 1 b 3 Q 7 L C Z x d W 9 0 O 1 N l Y 3 R p b 2 4 x L 0 Z J X 0 9 U V V 9 m Y W 1 p b G l h L 0 F 1 d G 9 S Z W 1 v d m V k Q 2 9 s d W 1 u c z E u e 0 R f Q 0 h F R V N F L D M y f S Z x d W 9 0 O y w m c X V v d D t T Z W N 0 a W 9 u M S 9 G S V 9 P V F V f Z m F t a W x p Y S 9 B d X R v U m V t b 3 Z l Z E N v b H V t b n M x L n t P S U x T L D M z f S Z x d W 9 0 O y w m c X V v d D t T Z W N 0 a W 9 u M S 9 G S V 9 P V F V f Z m F t a W x p Y S 9 B d X R v U m V t b 3 Z l Z E N v b H V t b n M x L n t T T 0 x J R F 9 G Q V R T L D M 0 f S Z x d W 9 0 O y w m c X V v d D t T Z W N 0 a W 9 u M S 9 G S V 9 P V F V f Z m F t a W x p Y S 9 B d X R v U m V t b 3 Z l Z E N v b H V t b n M x L n t B R E R f U 1 V H Q V J T L D M 1 f S Z x d W 9 0 O y w m c X V v d D t T Z W N 0 a W 9 u M S 9 G S V 9 P V F V f Z m F t a W x p Y S 9 B d X R v U m V t b 3 Z l Z E N v b H V t b n M x L n t B X 0 R S S U 5 L U y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0 Z J X 0 9 U V V 9 m Y W 1 p b G l h L 0 F 1 d G 9 S Z W 1 v d m V k Q 2 9 s d W 1 u c z E u e 0 Z f V E 9 U Q U w s M H 0 m c X V v d D s s J n F 1 b 3 Q 7 U 2 V j d G l v b j E v R k l f T 1 R V X 2 Z h b W l s a W E v Q X V 0 b 1 J l b W 9 2 Z W R D b 2 x 1 b W 5 z M S 5 7 R l 9 D S V R N T E I s M X 0 m c X V v d D s s J n F 1 b 3 Q 7 U 2 V j d G l v b j E v R k l f T 1 R V X 2 Z h b W l s a W E v Q X V 0 b 1 J l b W 9 2 Z W R D b 2 x 1 b W 5 z M S 5 7 R l 9 P V E h F U i w y f S Z x d W 9 0 O y w m c X V v d D t T Z W N 0 a W 9 u M S 9 G S V 9 P V F V f Z m F t a W x p Y S 9 B d X R v U m V t b 3 Z l Z E N v b H V t b n M x L n t G X 0 p V S U N F L D N 9 J n F 1 b 3 Q 7 L C Z x d W 9 0 O 1 N l Y 3 R p b 2 4 x L 0 Z J X 0 9 U V V 9 m Y W 1 p b G l h L 0 F 1 d G 9 S Z W 1 v d m V k Q 2 9 s d W 1 u c z E u e 1 Z f V E 9 U Q U w s N H 0 m c X V v d D s s J n F 1 b 3 Q 7 U 2 V j d G l v b j E v R k l f T 1 R V X 2 Z h b W l s a W E v Q X V 0 b 1 J l b W 9 2 Z W R D b 2 x 1 b W 5 z M S 5 7 V l 9 E U k t H U i w 1 f S Z x d W 9 0 O y w m c X V v d D t T Z W N 0 a W 9 u M S 9 G S V 9 P V F V f Z m F t a W x p Y S 9 B d X R v U m V t b 3 Z l Z E N v b H V t b n M x L n t W X 1 J F R E 9 S X 1 R P V E F M L D Z 9 J n F 1 b 3 Q 7 L C Z x d W 9 0 O 1 N l Y 3 R p b 2 4 x L 0 Z J X 0 9 U V V 9 m Y W 1 p b G l h L 0 F 1 d G 9 S Z W 1 v d m V k Q 2 9 s d W 1 u c z E u e 1 Z f U k V E T 1 J f V E 9 N Q V R P L D d 9 J n F 1 b 3 Q 7 L C Z x d W 9 0 O 1 N l Y 3 R p b 2 4 x L 0 Z J X 0 9 U V V 9 m Y W 1 p b G l h L 0 F 1 d G 9 S Z W 1 v d m V k Q 2 9 s d W 1 u c z E u e 1 Z f U k V E T 1 J f T 1 R I R V I s O H 0 m c X V v d D s s J n F 1 b 3 Q 7 U 2 V j d G l v b j E v R k l f T 1 R V X 2 Z h b W l s a W E v Q X V 0 b 1 J l b W 9 2 Z W R D b 2 x 1 b W 5 z M S 5 7 V l 9 T V E F S Q 0 h Z X 1 R P V E F M L D l 9 J n F 1 b 3 Q 7 L C Z x d W 9 0 O 1 N l Y 3 R p b 2 4 x L 0 Z J X 0 9 U V V 9 m Y W 1 p b G l h L 0 F 1 d G 9 S Z W 1 v d m V k Q 2 9 s d W 1 u c z E u e 1 Z f U 1 R B U k N I W V 9 Q T 1 R B V E 8 s M T B 9 J n F 1 b 3 Q 7 L C Z x d W 9 0 O 1 N l Y 3 R p b 2 4 x L 0 Z J X 0 9 U V V 9 m Y W 1 p b G l h L 0 F 1 d G 9 S Z W 1 v d m V k Q 2 9 s d W 1 u c z E u e 1 Z f U 1 R B U k N I W V 9 P V E h F U i w x M X 0 m c X V v d D s s J n F 1 b 3 Q 7 U 2 V j d G l v b j E v R k l f T 1 R V X 2 Z h b W l s a W E v Q X V 0 b 1 J l b W 9 2 Z W R D b 2 x 1 b W 5 z M S 5 7 V l 9 P V E h F U i w x M n 0 m c X V v d D s s J n F 1 b 3 Q 7 U 2 V j d G l v b j E v R k l f T 1 R V X 2 Z h b W l s a W E v Q X V 0 b 1 J l b W 9 2 Z W R D b 2 x 1 b W 5 z M S 5 7 V l 9 M R U d V T U V T L D E z f S Z x d W 9 0 O y w m c X V v d D t T Z W N 0 a W 9 u M S 9 G S V 9 P V F V f Z m F t a W x p Y S 9 B d X R v U m V t b 3 Z l Z E N v b H V t b n M x L n t H X 1 R P V E F M L D E 0 f S Z x d W 9 0 O y w m c X V v d D t T Z W N 0 a W 9 u M S 9 G S V 9 P V F V f Z m F t a W x p Y S 9 B d X R v U m V t b 3 Z l Z E N v b H V t b n M x L n t H X 1 d I T 0 x F L D E 1 f S Z x d W 9 0 O y w m c X V v d D t T Z W N 0 a W 9 u M S 9 G S V 9 P V F V f Z m F t a W x p Y S 9 B d X R v U m V t b 3 Z l Z E N v b H V t b n M x L n t H X 1 J F R k l O R U Q s M T Z 9 J n F 1 b 3 Q 7 L C Z x d W 9 0 O 1 N l Y 3 R p b 2 4 x L 0 Z J X 0 9 U V V 9 m Y W 1 p b G l h L 0 F 1 d G 9 S Z W 1 v d m V k Q 2 9 s d W 1 u c z E u e 1 B G X 1 R P V E F M L D E 3 f S Z x d W 9 0 O y w m c X V v d D t T Z W N 0 a W 9 u M S 9 G S V 9 P V F V f Z m F t a W x p Y S 9 B d X R v U m V t b 3 Z l Z E N v b H V t b n M x L n t Q R l 9 N U F N f V E 9 U Q U w s M T h 9 J n F 1 b 3 Q 7 L C Z x d W 9 0 O 1 N l Y 3 R p b 2 4 x L 0 Z J X 0 9 U V V 9 m Y W 1 p b G l h L 0 F 1 d G 9 S Z W 1 v d m V k Q 2 9 s d W 1 u c z E u e 1 B G X 0 1 F Q V Q s M T l 9 J n F 1 b 3 Q 7 L C Z x d W 9 0 O 1 N l Y 3 R p b 2 4 x L 0 Z J X 0 9 U V V 9 m Y W 1 p b G l h L 0 F 1 d G 9 S Z W 1 v d m V k Q 2 9 s d W 1 u c z E u e 1 B G X 0 N V U k V E T U V B V C w y M H 0 m c X V v d D s s J n F 1 b 3 Q 7 U 2 V j d G l v b j E v R k l f T 1 R V X 2 Z h b W l s a W E v Q X V 0 b 1 J l b W 9 2 Z W R D b 2 x 1 b W 5 z M S 5 7 U E Z f T 1 J H Q U 4 s M j F 9 J n F 1 b 3 Q 7 L C Z x d W 9 0 O 1 N l Y 3 R p b 2 4 x L 0 Z J X 0 9 U V V 9 m Y W 1 p b G l h L 0 F 1 d G 9 S Z W 1 v d m V k Q 2 9 s d W 1 u c z E u e 1 B G X 1 B P V U x U L D I y f S Z x d W 9 0 O y w m c X V v d D t T Z W N 0 a W 9 u M S 9 G S V 9 P V F V f Z m F t a W x p Y S 9 B d X R v U m V t b 3 Z l Z E N v b H V t b n M x L n t Q R l 9 T R U F G R F 9 I S S w y M 3 0 m c X V v d D s s J n F 1 b 3 Q 7 U 2 V j d G l v b j E v R k l f T 1 R V X 2 Z h b W l s a W E v Q X V 0 b 1 J l b W 9 2 Z W R D b 2 x 1 b W 5 z M S 5 7 U E Z f U 0 V B R k R f T E 9 X L D I 0 f S Z x d W 9 0 O y w m c X V v d D t T Z W N 0 a W 9 u M S 9 G S V 9 P V F V f Z m F t a W x p Y S 9 B d X R v U m V t b 3 Z l Z E N v b H V t b n M x L n t Q R l 9 F R 0 d T L D I 1 f S Z x d W 9 0 O y w m c X V v d D t T Z W N 0 a W 9 u M S 9 G S V 9 P V F V f Z m F t a W x p Y S 9 B d X R v U m V t b 3 Z l Z E N v b H V t b n M x L n t Q R l 9 T T 1 k s M j Z 9 J n F 1 b 3 Q 7 L C Z x d W 9 0 O 1 N l Y 3 R p b 2 4 x L 0 Z J X 0 9 U V V 9 m Y W 1 p b G l h L 0 F 1 d G 9 S Z W 1 v d m V k Q 2 9 s d W 1 u c z E u e 1 B G X 0 5 V V F N E U y w y N 3 0 m c X V v d D s s J n F 1 b 3 Q 7 U 2 V j d G l v b j E v R k l f T 1 R V X 2 Z h b W l s a W E v Q X V 0 b 1 J l b W 9 2 Z W R D b 2 x 1 b W 5 z M S 5 7 U E Z f T E V H V U 1 F U y w y O H 0 m c X V v d D s s J n F 1 b 3 Q 7 U 2 V j d G l v b j E v R k l f T 1 R V X 2 Z h b W l s a W E v Q X V 0 b 1 J l b W 9 2 Z W R D b 2 x 1 b W 5 z M S 5 7 R F 9 U T 1 R B T C w y O X 0 m c X V v d D s s J n F 1 b 3 Q 7 U 2 V j d G l v b j E v R k l f T 1 R V X 2 Z h b W l s a W E v Q X V 0 b 1 J l b W 9 2 Z W R D b 2 x 1 b W 5 z M S 5 7 R F 9 N S U x L L D M w f S Z x d W 9 0 O y w m c X V v d D t T Z W N 0 a W 9 u M S 9 G S V 9 P V F V f Z m F t a W x p Y S 9 B d X R v U m V t b 3 Z l Z E N v b H V t b n M x L n t E X 1 l P R 1 V S V C w z M X 0 m c X V v d D s s J n F 1 b 3 Q 7 U 2 V j d G l v b j E v R k l f T 1 R V X 2 Z h b W l s a W E v Q X V 0 b 1 J l b W 9 2 Z W R D b 2 x 1 b W 5 z M S 5 7 R F 9 D S E V F U 0 U s M z J 9 J n F 1 b 3 Q 7 L C Z x d W 9 0 O 1 N l Y 3 R p b 2 4 x L 0 Z J X 0 9 U V V 9 m Y W 1 p b G l h L 0 F 1 d G 9 S Z W 1 v d m V k Q 2 9 s d W 1 u c z E u e 0 9 J T F M s M z N 9 J n F 1 b 3 Q 7 L C Z x d W 9 0 O 1 N l Y 3 R p b 2 4 x L 0 Z J X 0 9 U V V 9 m Y W 1 p b G l h L 0 F 1 d G 9 S Z W 1 v d m V k Q 2 9 s d W 1 u c z E u e 1 N P T E l E X 0 Z B V F M s M z R 9 J n F 1 b 3 Q 7 L C Z x d W 9 0 O 1 N l Y 3 R p b 2 4 x L 0 Z J X 0 9 U V V 9 m Y W 1 p b G l h L 0 F 1 d G 9 S Z W 1 v d m V k Q 2 9 s d W 1 u c z E u e 0 F E R F 9 T V U d B U l M s M z V 9 J n F 1 b 3 Q 7 L C Z x d W 9 0 O 1 N l Y 3 R p b 2 4 x L 0 Z J X 0 9 U V V 9 m Y W 1 p b G l h L 0 F 1 d G 9 S Z W 1 v d m V k Q 2 9 s d W 1 u c z E u e 0 F f R F J J T k t T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f T 1 R V X 2 Z h b W l s a W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T 1 R V X 2 Z h b W l s a W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T 1 R V X 2 Z h b W l s a W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T 1 R V X 2 Z p b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Z J X 0 9 U V V 9 m a W x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3 V D E 5 O j Q 3 O j Q 3 L j c 5 N z M w M D F a I i A v P j x F b n R y e S B U e X B l P S J G a W x s Q 2 9 s d W 1 u V H l w Z X M i I F Z h b H V l P S J z Q m d Z R 0 J n W U d C Z 1 l H Q m d Z R 0 J n W U d C Z 1 l H Q m d Z R 0 J n W U d C Z 1 l H Q m d Z R 0 J n W U d C Z 1 l H Q m c 9 P S I g L z 4 8 R W 5 0 c n k g V H l w Z T 0 i R m l s b E N v b H V t b k 5 h b W V z I i B W Y W x 1 Z T 0 i c 1 s m c X V v d D t G X 1 R P V E F M J n F 1 b 3 Q 7 L C Z x d W 9 0 O 0 Z f Q 0 l U T U x C J n F 1 b 3 Q 7 L C Z x d W 9 0 O 0 Z f T 1 R I R V I m c X V v d D s s J n F 1 b 3 Q 7 R l 9 K V U l D R S Z x d W 9 0 O y w m c X V v d D t W X 1 R P V E F M J n F 1 b 3 Q 7 L C Z x d W 9 0 O 1 Z f R F J L R 1 I m c X V v d D s s J n F 1 b 3 Q 7 V l 9 S R U R P U l 9 U T 1 R B T C Z x d W 9 0 O y w m c X V v d D t W X 1 J F R E 9 S X 1 R P T U F U T y Z x d W 9 0 O y w m c X V v d D t W X 1 J F R E 9 S X 0 9 U S E V S J n F 1 b 3 Q 7 L C Z x d W 9 0 O 1 Z f U 1 R B U k N I W V 9 U T 1 R B T C Z x d W 9 0 O y w m c X V v d D t W X 1 N U Q V J D S F l f U E 9 U Q V R P J n F 1 b 3 Q 7 L C Z x d W 9 0 O 1 Z f U 1 R B U k N I W V 9 P V E h F U i Z x d W 9 0 O y w m c X V v d D t W X 0 9 U S E V S J n F 1 b 3 Q 7 L C Z x d W 9 0 O 1 Z f T E V H V U 1 F U y Z x d W 9 0 O y w m c X V v d D t H X 1 R P V E F M J n F 1 b 3 Q 7 L C Z x d W 9 0 O 0 d f V 0 h P T E U m c X V v d D s s J n F 1 b 3 Q 7 R 1 9 S R U Z J T k V E J n F 1 b 3 Q 7 L C Z x d W 9 0 O 1 B G X 1 R P V E F M J n F 1 b 3 Q 7 L C Z x d W 9 0 O 1 B G X 0 1 Q U 1 9 U T 1 R B T C Z x d W 9 0 O y w m c X V v d D t Q R l 9 N R U F U J n F 1 b 3 Q 7 L C Z x d W 9 0 O 1 B G X 0 N V U k V E T U V B V C Z x d W 9 0 O y w m c X V v d D t Q R l 9 P U k d B T i Z x d W 9 0 O y w m c X V v d D t Q R l 9 Q T 1 V M V C Z x d W 9 0 O y w m c X V v d D t Q R l 9 T R U F G R F 9 I S S Z x d W 9 0 O y w m c X V v d D t Q R l 9 T R U F G R F 9 M T 1 c m c X V v d D s s J n F 1 b 3 Q 7 U E Z f R U d H U y Z x d W 9 0 O y w m c X V v d D t Q R l 9 T T 1 k m c X V v d D s s J n F 1 b 3 Q 7 U E Z f T l V U U 0 R T J n F 1 b 3 Q 7 L C Z x d W 9 0 O 1 B G X 0 x F R 1 V N R V M m c X V v d D s s J n F 1 b 3 Q 7 R F 9 U T 1 R B T C Z x d W 9 0 O y w m c X V v d D t E X 0 1 J T E s m c X V v d D s s J n F 1 b 3 Q 7 R F 9 Z T 0 d V U l Q m c X V v d D s s J n F 1 b 3 Q 7 R F 9 D S E V F U 0 U m c X V v d D s s J n F 1 b 3 Q 7 T 0 l M U y Z x d W 9 0 O y w m c X V v d D t T T 0 x J R F 9 G Q V R T J n F 1 b 3 Q 7 L C Z x d W 9 0 O 0 F E R F 9 T V U d B U l M m c X V v d D s s J n F 1 b 3 Q 7 Q V 9 E U k l O S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f T 1 R V X 2 Z p b G 8 v Q X V 0 b 1 J l b W 9 2 Z W R D b 2 x 1 b W 5 z M S 5 7 R l 9 U T 1 R B T C w w f S Z x d W 9 0 O y w m c X V v d D t T Z W N 0 a W 9 u M S 9 G S V 9 P V F V f Z m l s b y 9 B d X R v U m V t b 3 Z l Z E N v b H V t b n M x L n t G X 0 N J V E 1 M Q i w x f S Z x d W 9 0 O y w m c X V v d D t T Z W N 0 a W 9 u M S 9 G S V 9 P V F V f Z m l s b y 9 B d X R v U m V t b 3 Z l Z E N v b H V t b n M x L n t G X 0 9 U S E V S L D J 9 J n F 1 b 3 Q 7 L C Z x d W 9 0 O 1 N l Y 3 R p b 2 4 x L 0 Z J X 0 9 U V V 9 m a W x v L 0 F 1 d G 9 S Z W 1 v d m V k Q 2 9 s d W 1 u c z E u e 0 Z f S l V J Q 0 U s M 3 0 m c X V v d D s s J n F 1 b 3 Q 7 U 2 V j d G l v b j E v R k l f T 1 R V X 2 Z p b G 8 v Q X V 0 b 1 J l b W 9 2 Z W R D b 2 x 1 b W 5 z M S 5 7 V l 9 U T 1 R B T C w 0 f S Z x d W 9 0 O y w m c X V v d D t T Z W N 0 a W 9 u M S 9 G S V 9 P V F V f Z m l s b y 9 B d X R v U m V t b 3 Z l Z E N v b H V t b n M x L n t W X 0 R S S 0 d S L D V 9 J n F 1 b 3 Q 7 L C Z x d W 9 0 O 1 N l Y 3 R p b 2 4 x L 0 Z J X 0 9 U V V 9 m a W x v L 0 F 1 d G 9 S Z W 1 v d m V k Q 2 9 s d W 1 u c z E u e 1 Z f U k V E T 1 J f V E 9 U Q U w s N n 0 m c X V v d D s s J n F 1 b 3 Q 7 U 2 V j d G l v b j E v R k l f T 1 R V X 2 Z p b G 8 v Q X V 0 b 1 J l b W 9 2 Z W R D b 2 x 1 b W 5 z M S 5 7 V l 9 S R U R P U l 9 U T 0 1 B V E 8 s N 3 0 m c X V v d D s s J n F 1 b 3 Q 7 U 2 V j d G l v b j E v R k l f T 1 R V X 2 Z p b G 8 v Q X V 0 b 1 J l b W 9 2 Z W R D b 2 x 1 b W 5 z M S 5 7 V l 9 S R U R P U l 9 P V E h F U i w 4 f S Z x d W 9 0 O y w m c X V v d D t T Z W N 0 a W 9 u M S 9 G S V 9 P V F V f Z m l s b y 9 B d X R v U m V t b 3 Z l Z E N v b H V t b n M x L n t W X 1 N U Q V J D S F l f V E 9 U Q U w s O X 0 m c X V v d D s s J n F 1 b 3 Q 7 U 2 V j d G l v b j E v R k l f T 1 R V X 2 Z p b G 8 v Q X V 0 b 1 J l b W 9 2 Z W R D b 2 x 1 b W 5 z M S 5 7 V l 9 T V E F S Q 0 h Z X 1 B P V E F U T y w x M H 0 m c X V v d D s s J n F 1 b 3 Q 7 U 2 V j d G l v b j E v R k l f T 1 R V X 2 Z p b G 8 v Q X V 0 b 1 J l b W 9 2 Z W R D b 2 x 1 b W 5 z M S 5 7 V l 9 T V E F S Q 0 h Z X 0 9 U S E V S L D E x f S Z x d W 9 0 O y w m c X V v d D t T Z W N 0 a W 9 u M S 9 G S V 9 P V F V f Z m l s b y 9 B d X R v U m V t b 3 Z l Z E N v b H V t b n M x L n t W X 0 9 U S E V S L D E y f S Z x d W 9 0 O y w m c X V v d D t T Z W N 0 a W 9 u M S 9 G S V 9 P V F V f Z m l s b y 9 B d X R v U m V t b 3 Z l Z E N v b H V t b n M x L n t W X 0 x F R 1 V N R V M s M T N 9 J n F 1 b 3 Q 7 L C Z x d W 9 0 O 1 N l Y 3 R p b 2 4 x L 0 Z J X 0 9 U V V 9 m a W x v L 0 F 1 d G 9 S Z W 1 v d m V k Q 2 9 s d W 1 u c z E u e 0 d f V E 9 U Q U w s M T R 9 J n F 1 b 3 Q 7 L C Z x d W 9 0 O 1 N l Y 3 R p b 2 4 x L 0 Z J X 0 9 U V V 9 m a W x v L 0 F 1 d G 9 S Z W 1 v d m V k Q 2 9 s d W 1 u c z E u e 0 d f V 0 h P T E U s M T V 9 J n F 1 b 3 Q 7 L C Z x d W 9 0 O 1 N l Y 3 R p b 2 4 x L 0 Z J X 0 9 U V V 9 m a W x v L 0 F 1 d G 9 S Z W 1 v d m V k Q 2 9 s d W 1 u c z E u e 0 d f U k V G S U 5 F R C w x N n 0 m c X V v d D s s J n F 1 b 3 Q 7 U 2 V j d G l v b j E v R k l f T 1 R V X 2 Z p b G 8 v Q X V 0 b 1 J l b W 9 2 Z W R D b 2 x 1 b W 5 z M S 5 7 U E Z f V E 9 U Q U w s M T d 9 J n F 1 b 3 Q 7 L C Z x d W 9 0 O 1 N l Y 3 R p b 2 4 x L 0 Z J X 0 9 U V V 9 m a W x v L 0 F 1 d G 9 S Z W 1 v d m V k Q 2 9 s d W 1 u c z E u e 1 B G X 0 1 Q U 1 9 U T 1 R B T C w x O H 0 m c X V v d D s s J n F 1 b 3 Q 7 U 2 V j d G l v b j E v R k l f T 1 R V X 2 Z p b G 8 v Q X V 0 b 1 J l b W 9 2 Z W R D b 2 x 1 b W 5 z M S 5 7 U E Z f T U V B V C w x O X 0 m c X V v d D s s J n F 1 b 3 Q 7 U 2 V j d G l v b j E v R k l f T 1 R V X 2 Z p b G 8 v Q X V 0 b 1 J l b W 9 2 Z W R D b 2 x 1 b W 5 z M S 5 7 U E Z f Q 1 V S R U R N R U F U L D I w f S Z x d W 9 0 O y w m c X V v d D t T Z W N 0 a W 9 u M S 9 G S V 9 P V F V f Z m l s b y 9 B d X R v U m V t b 3 Z l Z E N v b H V t b n M x L n t Q R l 9 P U k d B T i w y M X 0 m c X V v d D s s J n F 1 b 3 Q 7 U 2 V j d G l v b j E v R k l f T 1 R V X 2 Z p b G 8 v Q X V 0 b 1 J l b W 9 2 Z W R D b 2 x 1 b W 5 z M S 5 7 U E Z f U E 9 V T F Q s M j J 9 J n F 1 b 3 Q 7 L C Z x d W 9 0 O 1 N l Y 3 R p b 2 4 x L 0 Z J X 0 9 U V V 9 m a W x v L 0 F 1 d G 9 S Z W 1 v d m V k Q 2 9 s d W 1 u c z E u e 1 B G X 1 N F Q U Z E X 0 h J L D I z f S Z x d W 9 0 O y w m c X V v d D t T Z W N 0 a W 9 u M S 9 G S V 9 P V F V f Z m l s b y 9 B d X R v U m V t b 3 Z l Z E N v b H V t b n M x L n t Q R l 9 T R U F G R F 9 M T 1 c s M j R 9 J n F 1 b 3 Q 7 L C Z x d W 9 0 O 1 N l Y 3 R p b 2 4 x L 0 Z J X 0 9 U V V 9 m a W x v L 0 F 1 d G 9 S Z W 1 v d m V k Q 2 9 s d W 1 u c z E u e 1 B G X 0 V H R 1 M s M j V 9 J n F 1 b 3 Q 7 L C Z x d W 9 0 O 1 N l Y 3 R p b 2 4 x L 0 Z J X 0 9 U V V 9 m a W x v L 0 F 1 d G 9 S Z W 1 v d m V k Q 2 9 s d W 1 u c z E u e 1 B G X 1 N P W S w y N n 0 m c X V v d D s s J n F 1 b 3 Q 7 U 2 V j d G l v b j E v R k l f T 1 R V X 2 Z p b G 8 v Q X V 0 b 1 J l b W 9 2 Z W R D b 2 x 1 b W 5 z M S 5 7 U E Z f T l V U U 0 R T L D I 3 f S Z x d W 9 0 O y w m c X V v d D t T Z W N 0 a W 9 u M S 9 G S V 9 P V F V f Z m l s b y 9 B d X R v U m V t b 3 Z l Z E N v b H V t b n M x L n t Q R l 9 M R U d V T U V T L D I 4 f S Z x d W 9 0 O y w m c X V v d D t T Z W N 0 a W 9 u M S 9 G S V 9 P V F V f Z m l s b y 9 B d X R v U m V t b 3 Z l Z E N v b H V t b n M x L n t E X 1 R P V E F M L D I 5 f S Z x d W 9 0 O y w m c X V v d D t T Z W N 0 a W 9 u M S 9 G S V 9 P V F V f Z m l s b y 9 B d X R v U m V t b 3 Z l Z E N v b H V t b n M x L n t E X 0 1 J T E s s M z B 9 J n F 1 b 3 Q 7 L C Z x d W 9 0 O 1 N l Y 3 R p b 2 4 x L 0 Z J X 0 9 U V V 9 m a W x v L 0 F 1 d G 9 S Z W 1 v d m V k Q 2 9 s d W 1 u c z E u e 0 R f W U 9 H V V J U L D M x f S Z x d W 9 0 O y w m c X V v d D t T Z W N 0 a W 9 u M S 9 G S V 9 P V F V f Z m l s b y 9 B d X R v U m V t b 3 Z l Z E N v b H V t b n M x L n t E X 0 N I R U V T R S w z M n 0 m c X V v d D s s J n F 1 b 3 Q 7 U 2 V j d G l v b j E v R k l f T 1 R V X 2 Z p b G 8 v Q X V 0 b 1 J l b W 9 2 Z W R D b 2 x 1 b W 5 z M S 5 7 T 0 l M U y w z M 3 0 m c X V v d D s s J n F 1 b 3 Q 7 U 2 V j d G l v b j E v R k l f T 1 R V X 2 Z p b G 8 v Q X V 0 b 1 J l b W 9 2 Z W R D b 2 x 1 b W 5 z M S 5 7 U 0 9 M S U R f R k F U U y w z N H 0 m c X V v d D s s J n F 1 b 3 Q 7 U 2 V j d G l v b j E v R k l f T 1 R V X 2 Z p b G 8 v Q X V 0 b 1 J l b W 9 2 Z W R D b 2 x 1 b W 5 z M S 5 7 Q U R E X 1 N V R 0 F S U y w z N X 0 m c X V v d D s s J n F 1 b 3 Q 7 U 2 V j d G l v b j E v R k l f T 1 R V X 2 Z p b G 8 v Q X V 0 b 1 J l b W 9 2 Z W R D b 2 x 1 b W 5 z M S 5 7 Q V 9 E U k l O S 1 M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G S V 9 P V F V f Z m l s b y 9 B d X R v U m V t b 3 Z l Z E N v b H V t b n M x L n t G X 1 R P V E F M L D B 9 J n F 1 b 3 Q 7 L C Z x d W 9 0 O 1 N l Y 3 R p b 2 4 x L 0 Z J X 0 9 U V V 9 m a W x v L 0 F 1 d G 9 S Z W 1 v d m V k Q 2 9 s d W 1 u c z E u e 0 Z f Q 0 l U T U x C L D F 9 J n F 1 b 3 Q 7 L C Z x d W 9 0 O 1 N l Y 3 R p b 2 4 x L 0 Z J X 0 9 U V V 9 m a W x v L 0 F 1 d G 9 S Z W 1 v d m V k Q 2 9 s d W 1 u c z E u e 0 Z f T 1 R I R V I s M n 0 m c X V v d D s s J n F 1 b 3 Q 7 U 2 V j d G l v b j E v R k l f T 1 R V X 2 Z p b G 8 v Q X V 0 b 1 J l b W 9 2 Z W R D b 2 x 1 b W 5 z M S 5 7 R l 9 K V U l D R S w z f S Z x d W 9 0 O y w m c X V v d D t T Z W N 0 a W 9 u M S 9 G S V 9 P V F V f Z m l s b y 9 B d X R v U m V t b 3 Z l Z E N v b H V t b n M x L n t W X 1 R P V E F M L D R 9 J n F 1 b 3 Q 7 L C Z x d W 9 0 O 1 N l Y 3 R p b 2 4 x L 0 Z J X 0 9 U V V 9 m a W x v L 0 F 1 d G 9 S Z W 1 v d m V k Q 2 9 s d W 1 u c z E u e 1 Z f R F J L R 1 I s N X 0 m c X V v d D s s J n F 1 b 3 Q 7 U 2 V j d G l v b j E v R k l f T 1 R V X 2 Z p b G 8 v Q X V 0 b 1 J l b W 9 2 Z W R D b 2 x 1 b W 5 z M S 5 7 V l 9 S R U R P U l 9 U T 1 R B T C w 2 f S Z x d W 9 0 O y w m c X V v d D t T Z W N 0 a W 9 u M S 9 G S V 9 P V F V f Z m l s b y 9 B d X R v U m V t b 3 Z l Z E N v b H V t b n M x L n t W X 1 J F R E 9 S X 1 R P T U F U T y w 3 f S Z x d W 9 0 O y w m c X V v d D t T Z W N 0 a W 9 u M S 9 G S V 9 P V F V f Z m l s b y 9 B d X R v U m V t b 3 Z l Z E N v b H V t b n M x L n t W X 1 J F R E 9 S X 0 9 U S E V S L D h 9 J n F 1 b 3 Q 7 L C Z x d W 9 0 O 1 N l Y 3 R p b 2 4 x L 0 Z J X 0 9 U V V 9 m a W x v L 0 F 1 d G 9 S Z W 1 v d m V k Q 2 9 s d W 1 u c z E u e 1 Z f U 1 R B U k N I W V 9 U T 1 R B T C w 5 f S Z x d W 9 0 O y w m c X V v d D t T Z W N 0 a W 9 u M S 9 G S V 9 P V F V f Z m l s b y 9 B d X R v U m V t b 3 Z l Z E N v b H V t b n M x L n t W X 1 N U Q V J D S F l f U E 9 U Q V R P L D E w f S Z x d W 9 0 O y w m c X V v d D t T Z W N 0 a W 9 u M S 9 G S V 9 P V F V f Z m l s b y 9 B d X R v U m V t b 3 Z l Z E N v b H V t b n M x L n t W X 1 N U Q V J D S F l f T 1 R I R V I s M T F 9 J n F 1 b 3 Q 7 L C Z x d W 9 0 O 1 N l Y 3 R p b 2 4 x L 0 Z J X 0 9 U V V 9 m a W x v L 0 F 1 d G 9 S Z W 1 v d m V k Q 2 9 s d W 1 u c z E u e 1 Z f T 1 R I R V I s M T J 9 J n F 1 b 3 Q 7 L C Z x d W 9 0 O 1 N l Y 3 R p b 2 4 x L 0 Z J X 0 9 U V V 9 m a W x v L 0 F 1 d G 9 S Z W 1 v d m V k Q 2 9 s d W 1 u c z E u e 1 Z f T E V H V U 1 F U y w x M 3 0 m c X V v d D s s J n F 1 b 3 Q 7 U 2 V j d G l v b j E v R k l f T 1 R V X 2 Z p b G 8 v Q X V 0 b 1 J l b W 9 2 Z W R D b 2 x 1 b W 5 z M S 5 7 R 1 9 U T 1 R B T C w x N H 0 m c X V v d D s s J n F 1 b 3 Q 7 U 2 V j d G l v b j E v R k l f T 1 R V X 2 Z p b G 8 v Q X V 0 b 1 J l b W 9 2 Z W R D b 2 x 1 b W 5 z M S 5 7 R 1 9 X S E 9 M R S w x N X 0 m c X V v d D s s J n F 1 b 3 Q 7 U 2 V j d G l v b j E v R k l f T 1 R V X 2 Z p b G 8 v Q X V 0 b 1 J l b W 9 2 Z W R D b 2 x 1 b W 5 z M S 5 7 R 1 9 S R U Z J T k V E L D E 2 f S Z x d W 9 0 O y w m c X V v d D t T Z W N 0 a W 9 u M S 9 G S V 9 P V F V f Z m l s b y 9 B d X R v U m V t b 3 Z l Z E N v b H V t b n M x L n t Q R l 9 U T 1 R B T C w x N 3 0 m c X V v d D s s J n F 1 b 3 Q 7 U 2 V j d G l v b j E v R k l f T 1 R V X 2 Z p b G 8 v Q X V 0 b 1 J l b W 9 2 Z W R D b 2 x 1 b W 5 z M S 5 7 U E Z f T V B T X 1 R P V E F M L D E 4 f S Z x d W 9 0 O y w m c X V v d D t T Z W N 0 a W 9 u M S 9 G S V 9 P V F V f Z m l s b y 9 B d X R v U m V t b 3 Z l Z E N v b H V t b n M x L n t Q R l 9 N R U F U L D E 5 f S Z x d W 9 0 O y w m c X V v d D t T Z W N 0 a W 9 u M S 9 G S V 9 P V F V f Z m l s b y 9 B d X R v U m V t b 3 Z l Z E N v b H V t b n M x L n t Q R l 9 D V V J F R E 1 F Q V Q s M j B 9 J n F 1 b 3 Q 7 L C Z x d W 9 0 O 1 N l Y 3 R p b 2 4 x L 0 Z J X 0 9 U V V 9 m a W x v L 0 F 1 d G 9 S Z W 1 v d m V k Q 2 9 s d W 1 u c z E u e 1 B G X 0 9 S R 0 F O L D I x f S Z x d W 9 0 O y w m c X V v d D t T Z W N 0 a W 9 u M S 9 G S V 9 P V F V f Z m l s b y 9 B d X R v U m V t b 3 Z l Z E N v b H V t b n M x L n t Q R l 9 Q T 1 V M V C w y M n 0 m c X V v d D s s J n F 1 b 3 Q 7 U 2 V j d G l v b j E v R k l f T 1 R V X 2 Z p b G 8 v Q X V 0 b 1 J l b W 9 2 Z W R D b 2 x 1 b W 5 z M S 5 7 U E Z f U 0 V B R k R f S E k s M j N 9 J n F 1 b 3 Q 7 L C Z x d W 9 0 O 1 N l Y 3 R p b 2 4 x L 0 Z J X 0 9 U V V 9 m a W x v L 0 F 1 d G 9 S Z W 1 v d m V k Q 2 9 s d W 1 u c z E u e 1 B G X 1 N F Q U Z E X 0 x P V y w y N H 0 m c X V v d D s s J n F 1 b 3 Q 7 U 2 V j d G l v b j E v R k l f T 1 R V X 2 Z p b G 8 v Q X V 0 b 1 J l b W 9 2 Z W R D b 2 x 1 b W 5 z M S 5 7 U E Z f R U d H U y w y N X 0 m c X V v d D s s J n F 1 b 3 Q 7 U 2 V j d G l v b j E v R k l f T 1 R V X 2 Z p b G 8 v Q X V 0 b 1 J l b W 9 2 Z W R D b 2 x 1 b W 5 z M S 5 7 U E Z f U 0 9 Z L D I 2 f S Z x d W 9 0 O y w m c X V v d D t T Z W N 0 a W 9 u M S 9 G S V 9 P V F V f Z m l s b y 9 B d X R v U m V t b 3 Z l Z E N v b H V t b n M x L n t Q R l 9 O V V R T R F M s M j d 9 J n F 1 b 3 Q 7 L C Z x d W 9 0 O 1 N l Y 3 R p b 2 4 x L 0 Z J X 0 9 U V V 9 m a W x v L 0 F 1 d G 9 S Z W 1 v d m V k Q 2 9 s d W 1 u c z E u e 1 B G X 0 x F R 1 V N R V M s M j h 9 J n F 1 b 3 Q 7 L C Z x d W 9 0 O 1 N l Y 3 R p b 2 4 x L 0 Z J X 0 9 U V V 9 m a W x v L 0 F 1 d G 9 S Z W 1 v d m V k Q 2 9 s d W 1 u c z E u e 0 R f V E 9 U Q U w s M j l 9 J n F 1 b 3 Q 7 L C Z x d W 9 0 O 1 N l Y 3 R p b 2 4 x L 0 Z J X 0 9 U V V 9 m a W x v L 0 F 1 d G 9 S Z W 1 v d m V k Q 2 9 s d W 1 u c z E u e 0 R f T U l M S y w z M H 0 m c X V v d D s s J n F 1 b 3 Q 7 U 2 V j d G l v b j E v R k l f T 1 R V X 2 Z p b G 8 v Q X V 0 b 1 J l b W 9 2 Z W R D b 2 x 1 b W 5 z M S 5 7 R F 9 Z T 0 d V U l Q s M z F 9 J n F 1 b 3 Q 7 L C Z x d W 9 0 O 1 N l Y 3 R p b 2 4 x L 0 Z J X 0 9 U V V 9 m a W x v L 0 F 1 d G 9 S Z W 1 v d m V k Q 2 9 s d W 1 u c z E u e 0 R f Q 0 h F R V N F L D M y f S Z x d W 9 0 O y w m c X V v d D t T Z W N 0 a W 9 u M S 9 G S V 9 P V F V f Z m l s b y 9 B d X R v U m V t b 3 Z l Z E N v b H V t b n M x L n t P S U x T L D M z f S Z x d W 9 0 O y w m c X V v d D t T Z W N 0 a W 9 u M S 9 G S V 9 P V F V f Z m l s b y 9 B d X R v U m V t b 3 Z l Z E N v b H V t b n M x L n t T T 0 x J R F 9 G Q V R T L D M 0 f S Z x d W 9 0 O y w m c X V v d D t T Z W N 0 a W 9 u M S 9 G S V 9 P V F V f Z m l s b y 9 B d X R v U m V t b 3 Z l Z E N v b H V t b n M x L n t B R E R f U 1 V H Q V J T L D M 1 f S Z x d W 9 0 O y w m c X V v d D t T Z W N 0 a W 9 u M S 9 G S V 9 P V F V f Z m l s b y 9 B d X R v U m V t b 3 Z l Z E N v b H V t b n M x L n t B X 0 R S S U 5 L U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X 0 9 U V V 9 m a W x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9 U V V 9 m a W x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9 U V V 9 m a W x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9 U V V 9 n Z W 5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k l f T 1 R V X 2 d l b n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3 V D E 5 O j Q 4 O j A 1 L j g 1 N j g 4 M z B a I i A v P j x F b n R y e S B U e X B l P S J G a W x s Q 2 9 s d W 1 u V H l w Z X M i I F Z h b H V l P S J z Q m d Z R 0 J n W U d C Z 1 l H Q m d Z R 0 J n W U d C Z 1 l H Q m d Z R 0 J n W U d C Z 1 l H Q m d Z R 0 J n W U d C Z 1 l H Q m c 9 P S I g L z 4 8 R W 5 0 c n k g V H l w Z T 0 i R m l s b E N v b H V t b k 5 h b W V z I i B W Y W x 1 Z T 0 i c 1 s m c X V v d D t G X 1 R P V E F M J n F 1 b 3 Q 7 L C Z x d W 9 0 O 0 Z f Q 0 l U T U x C J n F 1 b 3 Q 7 L C Z x d W 9 0 O 0 Z f T 1 R I R V I m c X V v d D s s J n F 1 b 3 Q 7 R l 9 K V U l D R S Z x d W 9 0 O y w m c X V v d D t W X 1 R P V E F M J n F 1 b 3 Q 7 L C Z x d W 9 0 O 1 Z f R F J L R 1 I m c X V v d D s s J n F 1 b 3 Q 7 V l 9 S R U R P U l 9 U T 1 R B T C Z x d W 9 0 O y w m c X V v d D t W X 1 J F R E 9 S X 1 R P T U F U T y Z x d W 9 0 O y w m c X V v d D t W X 1 J F R E 9 S X 0 9 U S E V S J n F 1 b 3 Q 7 L C Z x d W 9 0 O 1 Z f U 1 R B U k N I W V 9 U T 1 R B T C Z x d W 9 0 O y w m c X V v d D t W X 1 N U Q V J D S F l f U E 9 U Q V R P J n F 1 b 3 Q 7 L C Z x d W 9 0 O 1 Z f U 1 R B U k N I W V 9 P V E h F U i Z x d W 9 0 O y w m c X V v d D t W X 0 9 U S E V S J n F 1 b 3 Q 7 L C Z x d W 9 0 O 1 Z f T E V H V U 1 F U y Z x d W 9 0 O y w m c X V v d D t H X 1 R P V E F M J n F 1 b 3 Q 7 L C Z x d W 9 0 O 0 d f V 0 h P T E U m c X V v d D s s J n F 1 b 3 Q 7 R 1 9 S R U Z J T k V E J n F 1 b 3 Q 7 L C Z x d W 9 0 O 1 B G X 1 R P V E F M J n F 1 b 3 Q 7 L C Z x d W 9 0 O 1 B G X 0 1 Q U 1 9 U T 1 R B T C Z x d W 9 0 O y w m c X V v d D t Q R l 9 N R U F U J n F 1 b 3 Q 7 L C Z x d W 9 0 O 1 B G X 0 N V U k V E T U V B V C Z x d W 9 0 O y w m c X V v d D t Q R l 9 P U k d B T i Z x d W 9 0 O y w m c X V v d D t Q R l 9 Q T 1 V M V C Z x d W 9 0 O y w m c X V v d D t Q R l 9 T R U F G R F 9 I S S Z x d W 9 0 O y w m c X V v d D t Q R l 9 T R U F G R F 9 M T 1 c m c X V v d D s s J n F 1 b 3 Q 7 U E Z f R U d H U y Z x d W 9 0 O y w m c X V v d D t Q R l 9 T T 1 k m c X V v d D s s J n F 1 b 3 Q 7 U E Z f T l V U U 0 R T J n F 1 b 3 Q 7 L C Z x d W 9 0 O 1 B G X 0 x F R 1 V N R V M m c X V v d D s s J n F 1 b 3 Q 7 R F 9 U T 1 R B T C Z x d W 9 0 O y w m c X V v d D t E X 0 1 J T E s m c X V v d D s s J n F 1 b 3 Q 7 R F 9 Z T 0 d V U l Q m c X V v d D s s J n F 1 b 3 Q 7 R F 9 D S E V F U 0 U m c X V v d D s s J n F 1 b 3 Q 7 T 0 l M U y Z x d W 9 0 O y w m c X V v d D t T T 0 x J R F 9 G Q V R T J n F 1 b 3 Q 7 L C Z x d W 9 0 O 0 F E R F 9 T V U d B U l M m c X V v d D s s J n F 1 b 3 Q 7 Q V 9 E U k l O S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f T 1 R V X 2 d l b n V z L 0 F 1 d G 9 S Z W 1 v d m V k Q 2 9 s d W 1 u c z E u e 0 Z f V E 9 U Q U w s M H 0 m c X V v d D s s J n F 1 b 3 Q 7 U 2 V j d G l v b j E v R k l f T 1 R V X 2 d l b n V z L 0 F 1 d G 9 S Z W 1 v d m V k Q 2 9 s d W 1 u c z E u e 0 Z f Q 0 l U T U x C L D F 9 J n F 1 b 3 Q 7 L C Z x d W 9 0 O 1 N l Y 3 R p b 2 4 x L 0 Z J X 0 9 U V V 9 n Z W 5 1 c y 9 B d X R v U m V t b 3 Z l Z E N v b H V t b n M x L n t G X 0 9 U S E V S L D J 9 J n F 1 b 3 Q 7 L C Z x d W 9 0 O 1 N l Y 3 R p b 2 4 x L 0 Z J X 0 9 U V V 9 n Z W 5 1 c y 9 B d X R v U m V t b 3 Z l Z E N v b H V t b n M x L n t G X 0 p V S U N F L D N 9 J n F 1 b 3 Q 7 L C Z x d W 9 0 O 1 N l Y 3 R p b 2 4 x L 0 Z J X 0 9 U V V 9 n Z W 5 1 c y 9 B d X R v U m V t b 3 Z l Z E N v b H V t b n M x L n t W X 1 R P V E F M L D R 9 J n F 1 b 3 Q 7 L C Z x d W 9 0 O 1 N l Y 3 R p b 2 4 x L 0 Z J X 0 9 U V V 9 n Z W 5 1 c y 9 B d X R v U m V t b 3 Z l Z E N v b H V t b n M x L n t W X 0 R S S 0 d S L D V 9 J n F 1 b 3 Q 7 L C Z x d W 9 0 O 1 N l Y 3 R p b 2 4 x L 0 Z J X 0 9 U V V 9 n Z W 5 1 c y 9 B d X R v U m V t b 3 Z l Z E N v b H V t b n M x L n t W X 1 J F R E 9 S X 1 R P V E F M L D Z 9 J n F 1 b 3 Q 7 L C Z x d W 9 0 O 1 N l Y 3 R p b 2 4 x L 0 Z J X 0 9 U V V 9 n Z W 5 1 c y 9 B d X R v U m V t b 3 Z l Z E N v b H V t b n M x L n t W X 1 J F R E 9 S X 1 R P T U F U T y w 3 f S Z x d W 9 0 O y w m c X V v d D t T Z W N 0 a W 9 u M S 9 G S V 9 P V F V f Z 2 V u d X M v Q X V 0 b 1 J l b W 9 2 Z W R D b 2 x 1 b W 5 z M S 5 7 V l 9 S R U R P U l 9 P V E h F U i w 4 f S Z x d W 9 0 O y w m c X V v d D t T Z W N 0 a W 9 u M S 9 G S V 9 P V F V f Z 2 V u d X M v Q X V 0 b 1 J l b W 9 2 Z W R D b 2 x 1 b W 5 z M S 5 7 V l 9 T V E F S Q 0 h Z X 1 R P V E F M L D l 9 J n F 1 b 3 Q 7 L C Z x d W 9 0 O 1 N l Y 3 R p b 2 4 x L 0 Z J X 0 9 U V V 9 n Z W 5 1 c y 9 B d X R v U m V t b 3 Z l Z E N v b H V t b n M x L n t W X 1 N U Q V J D S F l f U E 9 U Q V R P L D E w f S Z x d W 9 0 O y w m c X V v d D t T Z W N 0 a W 9 u M S 9 G S V 9 P V F V f Z 2 V u d X M v Q X V 0 b 1 J l b W 9 2 Z W R D b 2 x 1 b W 5 z M S 5 7 V l 9 T V E F S Q 0 h Z X 0 9 U S E V S L D E x f S Z x d W 9 0 O y w m c X V v d D t T Z W N 0 a W 9 u M S 9 G S V 9 P V F V f Z 2 V u d X M v Q X V 0 b 1 J l b W 9 2 Z W R D b 2 x 1 b W 5 z M S 5 7 V l 9 P V E h F U i w x M n 0 m c X V v d D s s J n F 1 b 3 Q 7 U 2 V j d G l v b j E v R k l f T 1 R V X 2 d l b n V z L 0 F 1 d G 9 S Z W 1 v d m V k Q 2 9 s d W 1 u c z E u e 1 Z f T E V H V U 1 F U y w x M 3 0 m c X V v d D s s J n F 1 b 3 Q 7 U 2 V j d G l v b j E v R k l f T 1 R V X 2 d l b n V z L 0 F 1 d G 9 S Z W 1 v d m V k Q 2 9 s d W 1 u c z E u e 0 d f V E 9 U Q U w s M T R 9 J n F 1 b 3 Q 7 L C Z x d W 9 0 O 1 N l Y 3 R p b 2 4 x L 0 Z J X 0 9 U V V 9 n Z W 5 1 c y 9 B d X R v U m V t b 3 Z l Z E N v b H V t b n M x L n t H X 1 d I T 0 x F L D E 1 f S Z x d W 9 0 O y w m c X V v d D t T Z W N 0 a W 9 u M S 9 G S V 9 P V F V f Z 2 V u d X M v Q X V 0 b 1 J l b W 9 2 Z W R D b 2 x 1 b W 5 z M S 5 7 R 1 9 S R U Z J T k V E L D E 2 f S Z x d W 9 0 O y w m c X V v d D t T Z W N 0 a W 9 u M S 9 G S V 9 P V F V f Z 2 V u d X M v Q X V 0 b 1 J l b W 9 2 Z W R D b 2 x 1 b W 5 z M S 5 7 U E Z f V E 9 U Q U w s M T d 9 J n F 1 b 3 Q 7 L C Z x d W 9 0 O 1 N l Y 3 R p b 2 4 x L 0 Z J X 0 9 U V V 9 n Z W 5 1 c y 9 B d X R v U m V t b 3 Z l Z E N v b H V t b n M x L n t Q R l 9 N U F N f V E 9 U Q U w s M T h 9 J n F 1 b 3 Q 7 L C Z x d W 9 0 O 1 N l Y 3 R p b 2 4 x L 0 Z J X 0 9 U V V 9 n Z W 5 1 c y 9 B d X R v U m V t b 3 Z l Z E N v b H V t b n M x L n t Q R l 9 N R U F U L D E 5 f S Z x d W 9 0 O y w m c X V v d D t T Z W N 0 a W 9 u M S 9 G S V 9 P V F V f Z 2 V u d X M v Q X V 0 b 1 J l b W 9 2 Z W R D b 2 x 1 b W 5 z M S 5 7 U E Z f Q 1 V S R U R N R U F U L D I w f S Z x d W 9 0 O y w m c X V v d D t T Z W N 0 a W 9 u M S 9 G S V 9 P V F V f Z 2 V u d X M v Q X V 0 b 1 J l b W 9 2 Z W R D b 2 x 1 b W 5 z M S 5 7 U E Z f T 1 J H Q U 4 s M j F 9 J n F 1 b 3 Q 7 L C Z x d W 9 0 O 1 N l Y 3 R p b 2 4 x L 0 Z J X 0 9 U V V 9 n Z W 5 1 c y 9 B d X R v U m V t b 3 Z l Z E N v b H V t b n M x L n t Q R l 9 Q T 1 V M V C w y M n 0 m c X V v d D s s J n F 1 b 3 Q 7 U 2 V j d G l v b j E v R k l f T 1 R V X 2 d l b n V z L 0 F 1 d G 9 S Z W 1 v d m V k Q 2 9 s d W 1 u c z E u e 1 B G X 1 N F Q U Z E X 0 h J L D I z f S Z x d W 9 0 O y w m c X V v d D t T Z W N 0 a W 9 u M S 9 G S V 9 P V F V f Z 2 V u d X M v Q X V 0 b 1 J l b W 9 2 Z W R D b 2 x 1 b W 5 z M S 5 7 U E Z f U 0 V B R k R f T E 9 X L D I 0 f S Z x d W 9 0 O y w m c X V v d D t T Z W N 0 a W 9 u M S 9 G S V 9 P V F V f Z 2 V u d X M v Q X V 0 b 1 J l b W 9 2 Z W R D b 2 x 1 b W 5 z M S 5 7 U E Z f R U d H U y w y N X 0 m c X V v d D s s J n F 1 b 3 Q 7 U 2 V j d G l v b j E v R k l f T 1 R V X 2 d l b n V z L 0 F 1 d G 9 S Z W 1 v d m V k Q 2 9 s d W 1 u c z E u e 1 B G X 1 N P W S w y N n 0 m c X V v d D s s J n F 1 b 3 Q 7 U 2 V j d G l v b j E v R k l f T 1 R V X 2 d l b n V z L 0 F 1 d G 9 S Z W 1 v d m V k Q 2 9 s d W 1 u c z E u e 1 B G X 0 5 V V F N E U y w y N 3 0 m c X V v d D s s J n F 1 b 3 Q 7 U 2 V j d G l v b j E v R k l f T 1 R V X 2 d l b n V z L 0 F 1 d G 9 S Z W 1 v d m V k Q 2 9 s d W 1 u c z E u e 1 B G X 0 x F R 1 V N R V M s M j h 9 J n F 1 b 3 Q 7 L C Z x d W 9 0 O 1 N l Y 3 R p b 2 4 x L 0 Z J X 0 9 U V V 9 n Z W 5 1 c y 9 B d X R v U m V t b 3 Z l Z E N v b H V t b n M x L n t E X 1 R P V E F M L D I 5 f S Z x d W 9 0 O y w m c X V v d D t T Z W N 0 a W 9 u M S 9 G S V 9 P V F V f Z 2 V u d X M v Q X V 0 b 1 J l b W 9 2 Z W R D b 2 x 1 b W 5 z M S 5 7 R F 9 N S U x L L D M w f S Z x d W 9 0 O y w m c X V v d D t T Z W N 0 a W 9 u M S 9 G S V 9 P V F V f Z 2 V u d X M v Q X V 0 b 1 J l b W 9 2 Z W R D b 2 x 1 b W 5 z M S 5 7 R F 9 Z T 0 d V U l Q s M z F 9 J n F 1 b 3 Q 7 L C Z x d W 9 0 O 1 N l Y 3 R p b 2 4 x L 0 Z J X 0 9 U V V 9 n Z W 5 1 c y 9 B d X R v U m V t b 3 Z l Z E N v b H V t b n M x L n t E X 0 N I R U V T R S w z M n 0 m c X V v d D s s J n F 1 b 3 Q 7 U 2 V j d G l v b j E v R k l f T 1 R V X 2 d l b n V z L 0 F 1 d G 9 S Z W 1 v d m V k Q 2 9 s d W 1 u c z E u e 0 9 J T F M s M z N 9 J n F 1 b 3 Q 7 L C Z x d W 9 0 O 1 N l Y 3 R p b 2 4 x L 0 Z J X 0 9 U V V 9 n Z W 5 1 c y 9 B d X R v U m V t b 3 Z l Z E N v b H V t b n M x L n t T T 0 x J R F 9 G Q V R T L D M 0 f S Z x d W 9 0 O y w m c X V v d D t T Z W N 0 a W 9 u M S 9 G S V 9 P V F V f Z 2 V u d X M v Q X V 0 b 1 J l b W 9 2 Z W R D b 2 x 1 b W 5 z M S 5 7 Q U R E X 1 N V R 0 F S U y w z N X 0 m c X V v d D s s J n F 1 b 3 Q 7 U 2 V j d G l v b j E v R k l f T 1 R V X 2 d l b n V z L 0 F 1 d G 9 S Z W 1 v d m V k Q 2 9 s d W 1 u c z E u e 0 F f R F J J T k t T L D M 2 f S Z x d W 9 0 O 1 0 s J n F 1 b 3 Q 7 Q 2 9 s d W 1 u Q 2 9 1 b n Q m c X V v d D s 6 M z c s J n F 1 b 3 Q 7 S 2 V 5 Q 2 9 s d W 1 u T m F t Z X M m c X V v d D s 6 W 1 0 s J n F 1 b 3 Q 7 Q 2 9 s d W 1 u S W R l b n R p d G l l c y Z x d W 9 0 O z p b J n F 1 b 3 Q 7 U 2 V j d G l v b j E v R k l f T 1 R V X 2 d l b n V z L 0 F 1 d G 9 S Z W 1 v d m V k Q 2 9 s d W 1 u c z E u e 0 Z f V E 9 U Q U w s M H 0 m c X V v d D s s J n F 1 b 3 Q 7 U 2 V j d G l v b j E v R k l f T 1 R V X 2 d l b n V z L 0 F 1 d G 9 S Z W 1 v d m V k Q 2 9 s d W 1 u c z E u e 0 Z f Q 0 l U T U x C L D F 9 J n F 1 b 3 Q 7 L C Z x d W 9 0 O 1 N l Y 3 R p b 2 4 x L 0 Z J X 0 9 U V V 9 n Z W 5 1 c y 9 B d X R v U m V t b 3 Z l Z E N v b H V t b n M x L n t G X 0 9 U S E V S L D J 9 J n F 1 b 3 Q 7 L C Z x d W 9 0 O 1 N l Y 3 R p b 2 4 x L 0 Z J X 0 9 U V V 9 n Z W 5 1 c y 9 B d X R v U m V t b 3 Z l Z E N v b H V t b n M x L n t G X 0 p V S U N F L D N 9 J n F 1 b 3 Q 7 L C Z x d W 9 0 O 1 N l Y 3 R p b 2 4 x L 0 Z J X 0 9 U V V 9 n Z W 5 1 c y 9 B d X R v U m V t b 3 Z l Z E N v b H V t b n M x L n t W X 1 R P V E F M L D R 9 J n F 1 b 3 Q 7 L C Z x d W 9 0 O 1 N l Y 3 R p b 2 4 x L 0 Z J X 0 9 U V V 9 n Z W 5 1 c y 9 B d X R v U m V t b 3 Z l Z E N v b H V t b n M x L n t W X 0 R S S 0 d S L D V 9 J n F 1 b 3 Q 7 L C Z x d W 9 0 O 1 N l Y 3 R p b 2 4 x L 0 Z J X 0 9 U V V 9 n Z W 5 1 c y 9 B d X R v U m V t b 3 Z l Z E N v b H V t b n M x L n t W X 1 J F R E 9 S X 1 R P V E F M L D Z 9 J n F 1 b 3 Q 7 L C Z x d W 9 0 O 1 N l Y 3 R p b 2 4 x L 0 Z J X 0 9 U V V 9 n Z W 5 1 c y 9 B d X R v U m V t b 3 Z l Z E N v b H V t b n M x L n t W X 1 J F R E 9 S X 1 R P T U F U T y w 3 f S Z x d W 9 0 O y w m c X V v d D t T Z W N 0 a W 9 u M S 9 G S V 9 P V F V f Z 2 V u d X M v Q X V 0 b 1 J l b W 9 2 Z W R D b 2 x 1 b W 5 z M S 5 7 V l 9 S R U R P U l 9 P V E h F U i w 4 f S Z x d W 9 0 O y w m c X V v d D t T Z W N 0 a W 9 u M S 9 G S V 9 P V F V f Z 2 V u d X M v Q X V 0 b 1 J l b W 9 2 Z W R D b 2 x 1 b W 5 z M S 5 7 V l 9 T V E F S Q 0 h Z X 1 R P V E F M L D l 9 J n F 1 b 3 Q 7 L C Z x d W 9 0 O 1 N l Y 3 R p b 2 4 x L 0 Z J X 0 9 U V V 9 n Z W 5 1 c y 9 B d X R v U m V t b 3 Z l Z E N v b H V t b n M x L n t W X 1 N U Q V J D S F l f U E 9 U Q V R P L D E w f S Z x d W 9 0 O y w m c X V v d D t T Z W N 0 a W 9 u M S 9 G S V 9 P V F V f Z 2 V u d X M v Q X V 0 b 1 J l b W 9 2 Z W R D b 2 x 1 b W 5 z M S 5 7 V l 9 T V E F S Q 0 h Z X 0 9 U S E V S L D E x f S Z x d W 9 0 O y w m c X V v d D t T Z W N 0 a W 9 u M S 9 G S V 9 P V F V f Z 2 V u d X M v Q X V 0 b 1 J l b W 9 2 Z W R D b 2 x 1 b W 5 z M S 5 7 V l 9 P V E h F U i w x M n 0 m c X V v d D s s J n F 1 b 3 Q 7 U 2 V j d G l v b j E v R k l f T 1 R V X 2 d l b n V z L 0 F 1 d G 9 S Z W 1 v d m V k Q 2 9 s d W 1 u c z E u e 1 Z f T E V H V U 1 F U y w x M 3 0 m c X V v d D s s J n F 1 b 3 Q 7 U 2 V j d G l v b j E v R k l f T 1 R V X 2 d l b n V z L 0 F 1 d G 9 S Z W 1 v d m V k Q 2 9 s d W 1 u c z E u e 0 d f V E 9 U Q U w s M T R 9 J n F 1 b 3 Q 7 L C Z x d W 9 0 O 1 N l Y 3 R p b 2 4 x L 0 Z J X 0 9 U V V 9 n Z W 5 1 c y 9 B d X R v U m V t b 3 Z l Z E N v b H V t b n M x L n t H X 1 d I T 0 x F L D E 1 f S Z x d W 9 0 O y w m c X V v d D t T Z W N 0 a W 9 u M S 9 G S V 9 P V F V f Z 2 V u d X M v Q X V 0 b 1 J l b W 9 2 Z W R D b 2 x 1 b W 5 z M S 5 7 R 1 9 S R U Z J T k V E L D E 2 f S Z x d W 9 0 O y w m c X V v d D t T Z W N 0 a W 9 u M S 9 G S V 9 P V F V f Z 2 V u d X M v Q X V 0 b 1 J l b W 9 2 Z W R D b 2 x 1 b W 5 z M S 5 7 U E Z f V E 9 U Q U w s M T d 9 J n F 1 b 3 Q 7 L C Z x d W 9 0 O 1 N l Y 3 R p b 2 4 x L 0 Z J X 0 9 U V V 9 n Z W 5 1 c y 9 B d X R v U m V t b 3 Z l Z E N v b H V t b n M x L n t Q R l 9 N U F N f V E 9 U Q U w s M T h 9 J n F 1 b 3 Q 7 L C Z x d W 9 0 O 1 N l Y 3 R p b 2 4 x L 0 Z J X 0 9 U V V 9 n Z W 5 1 c y 9 B d X R v U m V t b 3 Z l Z E N v b H V t b n M x L n t Q R l 9 N R U F U L D E 5 f S Z x d W 9 0 O y w m c X V v d D t T Z W N 0 a W 9 u M S 9 G S V 9 P V F V f Z 2 V u d X M v Q X V 0 b 1 J l b W 9 2 Z W R D b 2 x 1 b W 5 z M S 5 7 U E Z f Q 1 V S R U R N R U F U L D I w f S Z x d W 9 0 O y w m c X V v d D t T Z W N 0 a W 9 u M S 9 G S V 9 P V F V f Z 2 V u d X M v Q X V 0 b 1 J l b W 9 2 Z W R D b 2 x 1 b W 5 z M S 5 7 U E Z f T 1 J H Q U 4 s M j F 9 J n F 1 b 3 Q 7 L C Z x d W 9 0 O 1 N l Y 3 R p b 2 4 x L 0 Z J X 0 9 U V V 9 n Z W 5 1 c y 9 B d X R v U m V t b 3 Z l Z E N v b H V t b n M x L n t Q R l 9 Q T 1 V M V C w y M n 0 m c X V v d D s s J n F 1 b 3 Q 7 U 2 V j d G l v b j E v R k l f T 1 R V X 2 d l b n V z L 0 F 1 d G 9 S Z W 1 v d m V k Q 2 9 s d W 1 u c z E u e 1 B G X 1 N F Q U Z E X 0 h J L D I z f S Z x d W 9 0 O y w m c X V v d D t T Z W N 0 a W 9 u M S 9 G S V 9 P V F V f Z 2 V u d X M v Q X V 0 b 1 J l b W 9 2 Z W R D b 2 x 1 b W 5 z M S 5 7 U E Z f U 0 V B R k R f T E 9 X L D I 0 f S Z x d W 9 0 O y w m c X V v d D t T Z W N 0 a W 9 u M S 9 G S V 9 P V F V f Z 2 V u d X M v Q X V 0 b 1 J l b W 9 2 Z W R D b 2 x 1 b W 5 z M S 5 7 U E Z f R U d H U y w y N X 0 m c X V v d D s s J n F 1 b 3 Q 7 U 2 V j d G l v b j E v R k l f T 1 R V X 2 d l b n V z L 0 F 1 d G 9 S Z W 1 v d m V k Q 2 9 s d W 1 u c z E u e 1 B G X 1 N P W S w y N n 0 m c X V v d D s s J n F 1 b 3 Q 7 U 2 V j d G l v b j E v R k l f T 1 R V X 2 d l b n V z L 0 F 1 d G 9 S Z W 1 v d m V k Q 2 9 s d W 1 u c z E u e 1 B G X 0 5 V V F N E U y w y N 3 0 m c X V v d D s s J n F 1 b 3 Q 7 U 2 V j d G l v b j E v R k l f T 1 R V X 2 d l b n V z L 0 F 1 d G 9 S Z W 1 v d m V k Q 2 9 s d W 1 u c z E u e 1 B G X 0 x F R 1 V N R V M s M j h 9 J n F 1 b 3 Q 7 L C Z x d W 9 0 O 1 N l Y 3 R p b 2 4 x L 0 Z J X 0 9 U V V 9 n Z W 5 1 c y 9 B d X R v U m V t b 3 Z l Z E N v b H V t b n M x L n t E X 1 R P V E F M L D I 5 f S Z x d W 9 0 O y w m c X V v d D t T Z W N 0 a W 9 u M S 9 G S V 9 P V F V f Z 2 V u d X M v Q X V 0 b 1 J l b W 9 2 Z W R D b 2 x 1 b W 5 z M S 5 7 R F 9 N S U x L L D M w f S Z x d W 9 0 O y w m c X V v d D t T Z W N 0 a W 9 u M S 9 G S V 9 P V F V f Z 2 V u d X M v Q X V 0 b 1 J l b W 9 2 Z W R D b 2 x 1 b W 5 z M S 5 7 R F 9 Z T 0 d V U l Q s M z F 9 J n F 1 b 3 Q 7 L C Z x d W 9 0 O 1 N l Y 3 R p b 2 4 x L 0 Z J X 0 9 U V V 9 n Z W 5 1 c y 9 B d X R v U m V t b 3 Z l Z E N v b H V t b n M x L n t E X 0 N I R U V T R S w z M n 0 m c X V v d D s s J n F 1 b 3 Q 7 U 2 V j d G l v b j E v R k l f T 1 R V X 2 d l b n V z L 0 F 1 d G 9 S Z W 1 v d m V k Q 2 9 s d W 1 u c z E u e 0 9 J T F M s M z N 9 J n F 1 b 3 Q 7 L C Z x d W 9 0 O 1 N l Y 3 R p b 2 4 x L 0 Z J X 0 9 U V V 9 n Z W 5 1 c y 9 B d X R v U m V t b 3 Z l Z E N v b H V t b n M x L n t T T 0 x J R F 9 G Q V R T L D M 0 f S Z x d W 9 0 O y w m c X V v d D t T Z W N 0 a W 9 u M S 9 G S V 9 P V F V f Z 2 V u d X M v Q X V 0 b 1 J l b W 9 2 Z W R D b 2 x 1 b W 5 z M S 5 7 Q U R E X 1 N V R 0 F S U y w z N X 0 m c X V v d D s s J n F 1 b 3 Q 7 U 2 V j d G l v b j E v R k l f T 1 R V X 2 d l b n V z L 0 F 1 d G 9 S Z W 1 v d m V k Q 2 9 s d W 1 u c z E u e 0 F f R F J J T k t T L D M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f T 1 R V X 2 d l b n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9 U V V 9 n Z W 5 1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V 9 P V F V f Z 2 V u d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T 1 R V X 2 9 y Z G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G S V 9 P V F V f b 3 J k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d U M T k 6 N D g 6 M j k u N j A y N D Q x N l o i I C 8 + P E V u d H J 5 I F R 5 c G U 9 I k Z p b G x D b 2 x 1 b W 5 U e X B l c y I g V m F s d W U 9 I n N C Z 1 l H Q m d Z R 0 J n W U d C Z 1 l H Q m d Z R 0 J n W U d C Z 1 l H Q m d Z R 0 J n W U d C Z 1 l H Q m d Z R 0 J n W U d C Z z 0 9 I i A v P j x F b n R y e S B U e X B l P S J G a W x s Q 2 9 s d W 1 u T m F t Z X M i I F Z h b H V l P S J z W y Z x d W 9 0 O 0 Z f V E 9 U Q U w m c X V v d D s s J n F 1 b 3 Q 7 R l 9 D S V R N T E I m c X V v d D s s J n F 1 b 3 Q 7 R l 9 P V E h F U i Z x d W 9 0 O y w m c X V v d D t G X 0 p V S U N F J n F 1 b 3 Q 7 L C Z x d W 9 0 O 1 Z f V E 9 U Q U w m c X V v d D s s J n F 1 b 3 Q 7 V l 9 E U k t H U i Z x d W 9 0 O y w m c X V v d D t W X 1 J F R E 9 S X 1 R P V E F M J n F 1 b 3 Q 7 L C Z x d W 9 0 O 1 Z f U k V E T 1 J f V E 9 N Q V R P J n F 1 b 3 Q 7 L C Z x d W 9 0 O 1 Z f U k V E T 1 J f T 1 R I R V I m c X V v d D s s J n F 1 b 3 Q 7 V l 9 T V E F S Q 0 h Z X 1 R P V E F M J n F 1 b 3 Q 7 L C Z x d W 9 0 O 1 Z f U 1 R B U k N I W V 9 Q T 1 R B V E 8 m c X V v d D s s J n F 1 b 3 Q 7 V l 9 T V E F S Q 0 h Z X 0 9 U S E V S J n F 1 b 3 Q 7 L C Z x d W 9 0 O 1 Z f T 1 R I R V I m c X V v d D s s J n F 1 b 3 Q 7 V l 9 M R U d V T U V T J n F 1 b 3 Q 7 L C Z x d W 9 0 O 0 d f V E 9 U Q U w m c X V v d D s s J n F 1 b 3 Q 7 R 1 9 X S E 9 M R S Z x d W 9 0 O y w m c X V v d D t H X 1 J F R k l O R U Q m c X V v d D s s J n F 1 b 3 Q 7 U E Z f V E 9 U Q U w m c X V v d D s s J n F 1 b 3 Q 7 U E Z f T V B T X 1 R P V E F M J n F 1 b 3 Q 7 L C Z x d W 9 0 O 1 B G X 0 1 F Q V Q m c X V v d D s s J n F 1 b 3 Q 7 U E Z f Q 1 V S R U R N R U F U J n F 1 b 3 Q 7 L C Z x d W 9 0 O 1 B G X 0 9 S R 0 F O J n F 1 b 3 Q 7 L C Z x d W 9 0 O 1 B G X 1 B P V U x U J n F 1 b 3 Q 7 L C Z x d W 9 0 O 1 B G X 1 N F Q U Z E X 0 h J J n F 1 b 3 Q 7 L C Z x d W 9 0 O 1 B G X 1 N F Q U Z E X 0 x P V y Z x d W 9 0 O y w m c X V v d D t Q R l 9 F R 0 d T J n F 1 b 3 Q 7 L C Z x d W 9 0 O 1 B G X 1 N P W S Z x d W 9 0 O y w m c X V v d D t Q R l 9 O V V R T R F M m c X V v d D s s J n F 1 b 3 Q 7 U E Z f T E V H V U 1 F U y Z x d W 9 0 O y w m c X V v d D t E X 1 R P V E F M J n F 1 b 3 Q 7 L C Z x d W 9 0 O 0 R f T U l M S y Z x d W 9 0 O y w m c X V v d D t E X 1 l P R 1 V S V C Z x d W 9 0 O y w m c X V v d D t E X 0 N I R U V T R S Z x d W 9 0 O y w m c X V v d D t P S U x T J n F 1 b 3 Q 7 L C Z x d W 9 0 O 1 N P T E l E X 0 Z B V F M m c X V v d D s s J n F 1 b 3 Q 7 Q U R E X 1 N V R 0 F S U y Z x d W 9 0 O y w m c X V v d D t B X 0 R S S U 5 L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V 9 P V F V f b 3 J k Z W 4 v Q X V 0 b 1 J l b W 9 2 Z W R D b 2 x 1 b W 5 z M S 5 7 R l 9 U T 1 R B T C w w f S Z x d W 9 0 O y w m c X V v d D t T Z W N 0 a W 9 u M S 9 G S V 9 P V F V f b 3 J k Z W 4 v Q X V 0 b 1 J l b W 9 2 Z W R D b 2 x 1 b W 5 z M S 5 7 R l 9 D S V R N T E I s M X 0 m c X V v d D s s J n F 1 b 3 Q 7 U 2 V j d G l v b j E v R k l f T 1 R V X 2 9 y Z G V u L 0 F 1 d G 9 S Z W 1 v d m V k Q 2 9 s d W 1 u c z E u e 0 Z f T 1 R I R V I s M n 0 m c X V v d D s s J n F 1 b 3 Q 7 U 2 V j d G l v b j E v R k l f T 1 R V X 2 9 y Z G V u L 0 F 1 d G 9 S Z W 1 v d m V k Q 2 9 s d W 1 u c z E u e 0 Z f S l V J Q 0 U s M 3 0 m c X V v d D s s J n F 1 b 3 Q 7 U 2 V j d G l v b j E v R k l f T 1 R V X 2 9 y Z G V u L 0 F 1 d G 9 S Z W 1 v d m V k Q 2 9 s d W 1 u c z E u e 1 Z f V E 9 U Q U w s N H 0 m c X V v d D s s J n F 1 b 3 Q 7 U 2 V j d G l v b j E v R k l f T 1 R V X 2 9 y Z G V u L 0 F 1 d G 9 S Z W 1 v d m V k Q 2 9 s d W 1 u c z E u e 1 Z f R F J L R 1 I s N X 0 m c X V v d D s s J n F 1 b 3 Q 7 U 2 V j d G l v b j E v R k l f T 1 R V X 2 9 y Z G V u L 0 F 1 d G 9 S Z W 1 v d m V k Q 2 9 s d W 1 u c z E u e 1 Z f U k V E T 1 J f V E 9 U Q U w s N n 0 m c X V v d D s s J n F 1 b 3 Q 7 U 2 V j d G l v b j E v R k l f T 1 R V X 2 9 y Z G V u L 0 F 1 d G 9 S Z W 1 v d m V k Q 2 9 s d W 1 u c z E u e 1 Z f U k V E T 1 J f V E 9 N Q V R P L D d 9 J n F 1 b 3 Q 7 L C Z x d W 9 0 O 1 N l Y 3 R p b 2 4 x L 0 Z J X 0 9 U V V 9 v c m R l b i 9 B d X R v U m V t b 3 Z l Z E N v b H V t b n M x L n t W X 1 J F R E 9 S X 0 9 U S E V S L D h 9 J n F 1 b 3 Q 7 L C Z x d W 9 0 O 1 N l Y 3 R p b 2 4 x L 0 Z J X 0 9 U V V 9 v c m R l b i 9 B d X R v U m V t b 3 Z l Z E N v b H V t b n M x L n t W X 1 N U Q V J D S F l f V E 9 U Q U w s O X 0 m c X V v d D s s J n F 1 b 3 Q 7 U 2 V j d G l v b j E v R k l f T 1 R V X 2 9 y Z G V u L 0 F 1 d G 9 S Z W 1 v d m V k Q 2 9 s d W 1 u c z E u e 1 Z f U 1 R B U k N I W V 9 Q T 1 R B V E 8 s M T B 9 J n F 1 b 3 Q 7 L C Z x d W 9 0 O 1 N l Y 3 R p b 2 4 x L 0 Z J X 0 9 U V V 9 v c m R l b i 9 B d X R v U m V t b 3 Z l Z E N v b H V t b n M x L n t W X 1 N U Q V J D S F l f T 1 R I R V I s M T F 9 J n F 1 b 3 Q 7 L C Z x d W 9 0 O 1 N l Y 3 R p b 2 4 x L 0 Z J X 0 9 U V V 9 v c m R l b i 9 B d X R v U m V t b 3 Z l Z E N v b H V t b n M x L n t W X 0 9 U S E V S L D E y f S Z x d W 9 0 O y w m c X V v d D t T Z W N 0 a W 9 u M S 9 G S V 9 P V F V f b 3 J k Z W 4 v Q X V 0 b 1 J l b W 9 2 Z W R D b 2 x 1 b W 5 z M S 5 7 V l 9 M R U d V T U V T L D E z f S Z x d W 9 0 O y w m c X V v d D t T Z W N 0 a W 9 u M S 9 G S V 9 P V F V f b 3 J k Z W 4 v Q X V 0 b 1 J l b W 9 2 Z W R D b 2 x 1 b W 5 z M S 5 7 R 1 9 U T 1 R B T C w x N H 0 m c X V v d D s s J n F 1 b 3 Q 7 U 2 V j d G l v b j E v R k l f T 1 R V X 2 9 y Z G V u L 0 F 1 d G 9 S Z W 1 v d m V k Q 2 9 s d W 1 u c z E u e 0 d f V 0 h P T E U s M T V 9 J n F 1 b 3 Q 7 L C Z x d W 9 0 O 1 N l Y 3 R p b 2 4 x L 0 Z J X 0 9 U V V 9 v c m R l b i 9 B d X R v U m V t b 3 Z l Z E N v b H V t b n M x L n t H X 1 J F R k l O R U Q s M T Z 9 J n F 1 b 3 Q 7 L C Z x d W 9 0 O 1 N l Y 3 R p b 2 4 x L 0 Z J X 0 9 U V V 9 v c m R l b i 9 B d X R v U m V t b 3 Z l Z E N v b H V t b n M x L n t Q R l 9 U T 1 R B T C w x N 3 0 m c X V v d D s s J n F 1 b 3 Q 7 U 2 V j d G l v b j E v R k l f T 1 R V X 2 9 y Z G V u L 0 F 1 d G 9 S Z W 1 v d m V k Q 2 9 s d W 1 u c z E u e 1 B G X 0 1 Q U 1 9 U T 1 R B T C w x O H 0 m c X V v d D s s J n F 1 b 3 Q 7 U 2 V j d G l v b j E v R k l f T 1 R V X 2 9 y Z G V u L 0 F 1 d G 9 S Z W 1 v d m V k Q 2 9 s d W 1 u c z E u e 1 B G X 0 1 F Q V Q s M T l 9 J n F 1 b 3 Q 7 L C Z x d W 9 0 O 1 N l Y 3 R p b 2 4 x L 0 Z J X 0 9 U V V 9 v c m R l b i 9 B d X R v U m V t b 3 Z l Z E N v b H V t b n M x L n t Q R l 9 D V V J F R E 1 F Q V Q s M j B 9 J n F 1 b 3 Q 7 L C Z x d W 9 0 O 1 N l Y 3 R p b 2 4 x L 0 Z J X 0 9 U V V 9 v c m R l b i 9 B d X R v U m V t b 3 Z l Z E N v b H V t b n M x L n t Q R l 9 P U k d B T i w y M X 0 m c X V v d D s s J n F 1 b 3 Q 7 U 2 V j d G l v b j E v R k l f T 1 R V X 2 9 y Z G V u L 0 F 1 d G 9 S Z W 1 v d m V k Q 2 9 s d W 1 u c z E u e 1 B G X 1 B P V U x U L D I y f S Z x d W 9 0 O y w m c X V v d D t T Z W N 0 a W 9 u M S 9 G S V 9 P V F V f b 3 J k Z W 4 v Q X V 0 b 1 J l b W 9 2 Z W R D b 2 x 1 b W 5 z M S 5 7 U E Z f U 0 V B R k R f S E k s M j N 9 J n F 1 b 3 Q 7 L C Z x d W 9 0 O 1 N l Y 3 R p b 2 4 x L 0 Z J X 0 9 U V V 9 v c m R l b i 9 B d X R v U m V t b 3 Z l Z E N v b H V t b n M x L n t Q R l 9 T R U F G R F 9 M T 1 c s M j R 9 J n F 1 b 3 Q 7 L C Z x d W 9 0 O 1 N l Y 3 R p b 2 4 x L 0 Z J X 0 9 U V V 9 v c m R l b i 9 B d X R v U m V t b 3 Z l Z E N v b H V t b n M x L n t Q R l 9 F R 0 d T L D I 1 f S Z x d W 9 0 O y w m c X V v d D t T Z W N 0 a W 9 u M S 9 G S V 9 P V F V f b 3 J k Z W 4 v Q X V 0 b 1 J l b W 9 2 Z W R D b 2 x 1 b W 5 z M S 5 7 U E Z f U 0 9 Z L D I 2 f S Z x d W 9 0 O y w m c X V v d D t T Z W N 0 a W 9 u M S 9 G S V 9 P V F V f b 3 J k Z W 4 v Q X V 0 b 1 J l b W 9 2 Z W R D b 2 x 1 b W 5 z M S 5 7 U E Z f T l V U U 0 R T L D I 3 f S Z x d W 9 0 O y w m c X V v d D t T Z W N 0 a W 9 u M S 9 G S V 9 P V F V f b 3 J k Z W 4 v Q X V 0 b 1 J l b W 9 2 Z W R D b 2 x 1 b W 5 z M S 5 7 U E Z f T E V H V U 1 F U y w y O H 0 m c X V v d D s s J n F 1 b 3 Q 7 U 2 V j d G l v b j E v R k l f T 1 R V X 2 9 y Z G V u L 0 F 1 d G 9 S Z W 1 v d m V k Q 2 9 s d W 1 u c z E u e 0 R f V E 9 U Q U w s M j l 9 J n F 1 b 3 Q 7 L C Z x d W 9 0 O 1 N l Y 3 R p b 2 4 x L 0 Z J X 0 9 U V V 9 v c m R l b i 9 B d X R v U m V t b 3 Z l Z E N v b H V t b n M x L n t E X 0 1 J T E s s M z B 9 J n F 1 b 3 Q 7 L C Z x d W 9 0 O 1 N l Y 3 R p b 2 4 x L 0 Z J X 0 9 U V V 9 v c m R l b i 9 B d X R v U m V t b 3 Z l Z E N v b H V t b n M x L n t E X 1 l P R 1 V S V C w z M X 0 m c X V v d D s s J n F 1 b 3 Q 7 U 2 V j d G l v b j E v R k l f T 1 R V X 2 9 y Z G V u L 0 F 1 d G 9 S Z W 1 v d m V k Q 2 9 s d W 1 u c z E u e 0 R f Q 0 h F R V N F L D M y f S Z x d W 9 0 O y w m c X V v d D t T Z W N 0 a W 9 u M S 9 G S V 9 P V F V f b 3 J k Z W 4 v Q X V 0 b 1 J l b W 9 2 Z W R D b 2 x 1 b W 5 z M S 5 7 T 0 l M U y w z M 3 0 m c X V v d D s s J n F 1 b 3 Q 7 U 2 V j d G l v b j E v R k l f T 1 R V X 2 9 y Z G V u L 0 F 1 d G 9 S Z W 1 v d m V k Q 2 9 s d W 1 u c z E u e 1 N P T E l E X 0 Z B V F M s M z R 9 J n F 1 b 3 Q 7 L C Z x d W 9 0 O 1 N l Y 3 R p b 2 4 x L 0 Z J X 0 9 U V V 9 v c m R l b i 9 B d X R v U m V t b 3 Z l Z E N v b H V t b n M x L n t B R E R f U 1 V H Q V J T L D M 1 f S Z x d W 9 0 O y w m c X V v d D t T Z W N 0 a W 9 u M S 9 G S V 9 P V F V f b 3 J k Z W 4 v Q X V 0 b 1 J l b W 9 2 Z W R D b 2 x 1 b W 5 z M S 5 7 Q V 9 E U k l O S 1 M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G S V 9 P V F V f b 3 J k Z W 4 v Q X V 0 b 1 J l b W 9 2 Z W R D b 2 x 1 b W 5 z M S 5 7 R l 9 U T 1 R B T C w w f S Z x d W 9 0 O y w m c X V v d D t T Z W N 0 a W 9 u M S 9 G S V 9 P V F V f b 3 J k Z W 4 v Q X V 0 b 1 J l b W 9 2 Z W R D b 2 x 1 b W 5 z M S 5 7 R l 9 D S V R N T E I s M X 0 m c X V v d D s s J n F 1 b 3 Q 7 U 2 V j d G l v b j E v R k l f T 1 R V X 2 9 y Z G V u L 0 F 1 d G 9 S Z W 1 v d m V k Q 2 9 s d W 1 u c z E u e 0 Z f T 1 R I R V I s M n 0 m c X V v d D s s J n F 1 b 3 Q 7 U 2 V j d G l v b j E v R k l f T 1 R V X 2 9 y Z G V u L 0 F 1 d G 9 S Z W 1 v d m V k Q 2 9 s d W 1 u c z E u e 0 Z f S l V J Q 0 U s M 3 0 m c X V v d D s s J n F 1 b 3 Q 7 U 2 V j d G l v b j E v R k l f T 1 R V X 2 9 y Z G V u L 0 F 1 d G 9 S Z W 1 v d m V k Q 2 9 s d W 1 u c z E u e 1 Z f V E 9 U Q U w s N H 0 m c X V v d D s s J n F 1 b 3 Q 7 U 2 V j d G l v b j E v R k l f T 1 R V X 2 9 y Z G V u L 0 F 1 d G 9 S Z W 1 v d m V k Q 2 9 s d W 1 u c z E u e 1 Z f R F J L R 1 I s N X 0 m c X V v d D s s J n F 1 b 3 Q 7 U 2 V j d G l v b j E v R k l f T 1 R V X 2 9 y Z G V u L 0 F 1 d G 9 S Z W 1 v d m V k Q 2 9 s d W 1 u c z E u e 1 Z f U k V E T 1 J f V E 9 U Q U w s N n 0 m c X V v d D s s J n F 1 b 3 Q 7 U 2 V j d G l v b j E v R k l f T 1 R V X 2 9 y Z G V u L 0 F 1 d G 9 S Z W 1 v d m V k Q 2 9 s d W 1 u c z E u e 1 Z f U k V E T 1 J f V E 9 N Q V R P L D d 9 J n F 1 b 3 Q 7 L C Z x d W 9 0 O 1 N l Y 3 R p b 2 4 x L 0 Z J X 0 9 U V V 9 v c m R l b i 9 B d X R v U m V t b 3 Z l Z E N v b H V t b n M x L n t W X 1 J F R E 9 S X 0 9 U S E V S L D h 9 J n F 1 b 3 Q 7 L C Z x d W 9 0 O 1 N l Y 3 R p b 2 4 x L 0 Z J X 0 9 U V V 9 v c m R l b i 9 B d X R v U m V t b 3 Z l Z E N v b H V t b n M x L n t W X 1 N U Q V J D S F l f V E 9 U Q U w s O X 0 m c X V v d D s s J n F 1 b 3 Q 7 U 2 V j d G l v b j E v R k l f T 1 R V X 2 9 y Z G V u L 0 F 1 d G 9 S Z W 1 v d m V k Q 2 9 s d W 1 u c z E u e 1 Z f U 1 R B U k N I W V 9 Q T 1 R B V E 8 s M T B 9 J n F 1 b 3 Q 7 L C Z x d W 9 0 O 1 N l Y 3 R p b 2 4 x L 0 Z J X 0 9 U V V 9 v c m R l b i 9 B d X R v U m V t b 3 Z l Z E N v b H V t b n M x L n t W X 1 N U Q V J D S F l f T 1 R I R V I s M T F 9 J n F 1 b 3 Q 7 L C Z x d W 9 0 O 1 N l Y 3 R p b 2 4 x L 0 Z J X 0 9 U V V 9 v c m R l b i 9 B d X R v U m V t b 3 Z l Z E N v b H V t b n M x L n t W X 0 9 U S E V S L D E y f S Z x d W 9 0 O y w m c X V v d D t T Z W N 0 a W 9 u M S 9 G S V 9 P V F V f b 3 J k Z W 4 v Q X V 0 b 1 J l b W 9 2 Z W R D b 2 x 1 b W 5 z M S 5 7 V l 9 M R U d V T U V T L D E z f S Z x d W 9 0 O y w m c X V v d D t T Z W N 0 a W 9 u M S 9 G S V 9 P V F V f b 3 J k Z W 4 v Q X V 0 b 1 J l b W 9 2 Z W R D b 2 x 1 b W 5 z M S 5 7 R 1 9 U T 1 R B T C w x N H 0 m c X V v d D s s J n F 1 b 3 Q 7 U 2 V j d G l v b j E v R k l f T 1 R V X 2 9 y Z G V u L 0 F 1 d G 9 S Z W 1 v d m V k Q 2 9 s d W 1 u c z E u e 0 d f V 0 h P T E U s M T V 9 J n F 1 b 3 Q 7 L C Z x d W 9 0 O 1 N l Y 3 R p b 2 4 x L 0 Z J X 0 9 U V V 9 v c m R l b i 9 B d X R v U m V t b 3 Z l Z E N v b H V t b n M x L n t H X 1 J F R k l O R U Q s M T Z 9 J n F 1 b 3 Q 7 L C Z x d W 9 0 O 1 N l Y 3 R p b 2 4 x L 0 Z J X 0 9 U V V 9 v c m R l b i 9 B d X R v U m V t b 3 Z l Z E N v b H V t b n M x L n t Q R l 9 U T 1 R B T C w x N 3 0 m c X V v d D s s J n F 1 b 3 Q 7 U 2 V j d G l v b j E v R k l f T 1 R V X 2 9 y Z G V u L 0 F 1 d G 9 S Z W 1 v d m V k Q 2 9 s d W 1 u c z E u e 1 B G X 0 1 Q U 1 9 U T 1 R B T C w x O H 0 m c X V v d D s s J n F 1 b 3 Q 7 U 2 V j d G l v b j E v R k l f T 1 R V X 2 9 y Z G V u L 0 F 1 d G 9 S Z W 1 v d m V k Q 2 9 s d W 1 u c z E u e 1 B G X 0 1 F Q V Q s M T l 9 J n F 1 b 3 Q 7 L C Z x d W 9 0 O 1 N l Y 3 R p b 2 4 x L 0 Z J X 0 9 U V V 9 v c m R l b i 9 B d X R v U m V t b 3 Z l Z E N v b H V t b n M x L n t Q R l 9 D V V J F R E 1 F Q V Q s M j B 9 J n F 1 b 3 Q 7 L C Z x d W 9 0 O 1 N l Y 3 R p b 2 4 x L 0 Z J X 0 9 U V V 9 v c m R l b i 9 B d X R v U m V t b 3 Z l Z E N v b H V t b n M x L n t Q R l 9 P U k d B T i w y M X 0 m c X V v d D s s J n F 1 b 3 Q 7 U 2 V j d G l v b j E v R k l f T 1 R V X 2 9 y Z G V u L 0 F 1 d G 9 S Z W 1 v d m V k Q 2 9 s d W 1 u c z E u e 1 B G X 1 B P V U x U L D I y f S Z x d W 9 0 O y w m c X V v d D t T Z W N 0 a W 9 u M S 9 G S V 9 P V F V f b 3 J k Z W 4 v Q X V 0 b 1 J l b W 9 2 Z W R D b 2 x 1 b W 5 z M S 5 7 U E Z f U 0 V B R k R f S E k s M j N 9 J n F 1 b 3 Q 7 L C Z x d W 9 0 O 1 N l Y 3 R p b 2 4 x L 0 Z J X 0 9 U V V 9 v c m R l b i 9 B d X R v U m V t b 3 Z l Z E N v b H V t b n M x L n t Q R l 9 T R U F G R F 9 M T 1 c s M j R 9 J n F 1 b 3 Q 7 L C Z x d W 9 0 O 1 N l Y 3 R p b 2 4 x L 0 Z J X 0 9 U V V 9 v c m R l b i 9 B d X R v U m V t b 3 Z l Z E N v b H V t b n M x L n t Q R l 9 F R 0 d T L D I 1 f S Z x d W 9 0 O y w m c X V v d D t T Z W N 0 a W 9 u M S 9 G S V 9 P V F V f b 3 J k Z W 4 v Q X V 0 b 1 J l b W 9 2 Z W R D b 2 x 1 b W 5 z M S 5 7 U E Z f U 0 9 Z L D I 2 f S Z x d W 9 0 O y w m c X V v d D t T Z W N 0 a W 9 u M S 9 G S V 9 P V F V f b 3 J k Z W 4 v Q X V 0 b 1 J l b W 9 2 Z W R D b 2 x 1 b W 5 z M S 5 7 U E Z f T l V U U 0 R T L D I 3 f S Z x d W 9 0 O y w m c X V v d D t T Z W N 0 a W 9 u M S 9 G S V 9 P V F V f b 3 J k Z W 4 v Q X V 0 b 1 J l b W 9 2 Z W R D b 2 x 1 b W 5 z M S 5 7 U E Z f T E V H V U 1 F U y w y O H 0 m c X V v d D s s J n F 1 b 3 Q 7 U 2 V j d G l v b j E v R k l f T 1 R V X 2 9 y Z G V u L 0 F 1 d G 9 S Z W 1 v d m V k Q 2 9 s d W 1 u c z E u e 0 R f V E 9 U Q U w s M j l 9 J n F 1 b 3 Q 7 L C Z x d W 9 0 O 1 N l Y 3 R p b 2 4 x L 0 Z J X 0 9 U V V 9 v c m R l b i 9 B d X R v U m V t b 3 Z l Z E N v b H V t b n M x L n t E X 0 1 J T E s s M z B 9 J n F 1 b 3 Q 7 L C Z x d W 9 0 O 1 N l Y 3 R p b 2 4 x L 0 Z J X 0 9 U V V 9 v c m R l b i 9 B d X R v U m V t b 3 Z l Z E N v b H V t b n M x L n t E X 1 l P R 1 V S V C w z M X 0 m c X V v d D s s J n F 1 b 3 Q 7 U 2 V j d G l v b j E v R k l f T 1 R V X 2 9 y Z G V u L 0 F 1 d G 9 S Z W 1 v d m V k Q 2 9 s d W 1 u c z E u e 0 R f Q 0 h F R V N F L D M y f S Z x d W 9 0 O y w m c X V v d D t T Z W N 0 a W 9 u M S 9 G S V 9 P V F V f b 3 J k Z W 4 v Q X V 0 b 1 J l b W 9 2 Z W R D b 2 x 1 b W 5 z M S 5 7 T 0 l M U y w z M 3 0 m c X V v d D s s J n F 1 b 3 Q 7 U 2 V j d G l v b j E v R k l f T 1 R V X 2 9 y Z G V u L 0 F 1 d G 9 S Z W 1 v d m V k Q 2 9 s d W 1 u c z E u e 1 N P T E l E X 0 Z B V F M s M z R 9 J n F 1 b 3 Q 7 L C Z x d W 9 0 O 1 N l Y 3 R p b 2 4 x L 0 Z J X 0 9 U V V 9 v c m R l b i 9 B d X R v U m V t b 3 Z l Z E N v b H V t b n M x L n t B R E R f U 1 V H Q V J T L D M 1 f S Z x d W 9 0 O y w m c X V v d D t T Z W N 0 a W 9 u M S 9 G S V 9 P V F V f b 3 J k Z W 4 v Q X V 0 b 1 J l b W 9 2 Z W R D b 2 x 1 b W 5 z M S 5 7 Q V 9 E U k l O S 1 M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S V 9 P V F V f b 3 J k Z W 4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f T 1 R V X 2 9 y Z G V u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X 0 9 U V V 9 v c m R l b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P / E Q D j 3 P 0 a m 0 W M i y V u 0 2 A A A A A A C A A A A A A A Q Z g A A A A E A A C A A A A B x X Z f c F 5 z Q i q w R 4 F L N f I x q y B R q + N O W N i H M Q l L 1 u S C 2 T g A A A A A O g A A A A A I A A C A A A A D Z 7 Q X i P a P 1 B 7 7 I 2 H h V p p d o v W 6 i 0 d y T V u e D j F F R P K 0 2 f l A A A A A 2 + e t y u m j N O X U e g U a Z s A m y e o + H F 3 W 8 F T O t p W o G 0 V d Q b U x S 1 R 6 K D B W W T 0 / O x d D v F y E P a J Z W n I F p J P g f 9 U S v 0 I r 5 y c r N 5 t X 3 G s / t R r A 1 b Q L I 7 k A A A A B B X R 5 Z V v S Y y K q l t C S l C I 1 5 3 g y A N R r w a H b U r U 6 z y b U d Y 1 9 V v t e a T b j + l k E t 9 k h t W z b h 4 C y C 0 t 0 v O z i w M h n L 2 H P F < / D a t a M a s h u p > 
</file>

<file path=customXml/itemProps1.xml><?xml version="1.0" encoding="utf-8"?>
<ds:datastoreItem xmlns:ds="http://schemas.openxmlformats.org/officeDocument/2006/customXml" ds:itemID="{B1E6F3BC-C1B0-4677-B78B-A0529D2193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FI_OTU_clase</vt:lpstr>
      <vt:lpstr>FI_OTU_especie</vt:lpstr>
      <vt:lpstr>FI_OTU_familia</vt:lpstr>
      <vt:lpstr>FI_OTU_filo</vt:lpstr>
      <vt:lpstr>FI_OTU_genus</vt:lpstr>
      <vt:lpstr>FI_OTU_orden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María Anhel Valdés</dc:creator>
  <cp:lastModifiedBy>Ana María Anhel Valdés</cp:lastModifiedBy>
  <dcterms:created xsi:type="dcterms:W3CDTF">2021-05-27T19:44:07Z</dcterms:created>
  <dcterms:modified xsi:type="dcterms:W3CDTF">2021-05-27T20:29:32Z</dcterms:modified>
</cp:coreProperties>
</file>