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turk\Desktop\Codes SMPC V3\DATA and FIGURES\"/>
    </mc:Choice>
  </mc:AlternateContent>
  <bookViews>
    <workbookView xWindow="0" yWindow="0" windowWidth="23040" windowHeight="9060" firstSheet="1" activeTab="9"/>
  </bookViews>
  <sheets>
    <sheet name="ALL NODES_DK" sheetId="9" r:id="rId1"/>
    <sheet name="Data DK Gas" sheetId="10" r:id="rId2"/>
    <sheet name="Pipeline parameters" sheetId="14" r:id="rId3"/>
    <sheet name="Compressor parameters" sheetId="15" r:id="rId4"/>
    <sheet name="Generation" sheetId="11" r:id="rId5"/>
    <sheet name="Load" sheetId="12" r:id="rId6"/>
    <sheet name="Daily simulated load" sheetId="17" r:id="rId7"/>
    <sheet name="Prices" sheetId="16" r:id="rId8"/>
    <sheet name="Figure" sheetId="18" r:id="rId9"/>
    <sheet name="References" sheetId="13" r:id="rId10"/>
  </sheets>
  <definedNames>
    <definedName name="_Ref36901374" localSheetId="5">Load!#REF!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12" l="1"/>
  <c r="J23" i="12"/>
  <c r="J22" i="12"/>
  <c r="J21" i="12"/>
  <c r="J20" i="12"/>
  <c r="J18" i="12"/>
  <c r="J6" i="12"/>
  <c r="D52" i="10" l="1"/>
  <c r="D51" i="10"/>
  <c r="D50" i="10"/>
  <c r="D49" i="10"/>
  <c r="D48" i="10"/>
  <c r="D46" i="10"/>
  <c r="D44" i="10"/>
  <c r="D39" i="10"/>
  <c r="D38" i="10"/>
  <c r="D37" i="10"/>
  <c r="D36" i="10"/>
  <c r="D35" i="10"/>
  <c r="D34" i="10"/>
  <c r="D33" i="10"/>
  <c r="D32" i="10"/>
  <c r="D31" i="10"/>
  <c r="D29" i="10"/>
  <c r="D27" i="10"/>
  <c r="D26" i="10"/>
  <c r="D25" i="10"/>
  <c r="D23" i="10"/>
  <c r="D22" i="10"/>
  <c r="D20" i="10"/>
  <c r="D19" i="10"/>
  <c r="D14" i="10"/>
  <c r="D13" i="10"/>
  <c r="D11" i="10"/>
  <c r="D9" i="10"/>
  <c r="D8" i="10"/>
  <c r="D7" i="10"/>
  <c r="D6" i="10"/>
  <c r="D4" i="10"/>
  <c r="D3" i="10"/>
  <c r="D2" i="10"/>
  <c r="D58" i="9" l="1"/>
  <c r="D57" i="9"/>
  <c r="D56" i="9"/>
  <c r="D55" i="9"/>
  <c r="D54" i="9"/>
  <c r="D53" i="9"/>
  <c r="D51" i="9"/>
  <c r="D49" i="9"/>
  <c r="D44" i="9"/>
  <c r="D43" i="9"/>
  <c r="D42" i="9"/>
  <c r="D41" i="9"/>
  <c r="D40" i="9"/>
  <c r="D39" i="9"/>
  <c r="D38" i="9"/>
  <c r="D37" i="9"/>
  <c r="D36" i="9"/>
  <c r="D34" i="9"/>
  <c r="D33" i="9"/>
  <c r="D32" i="9"/>
  <c r="D31" i="9"/>
  <c r="D30" i="9"/>
  <c r="D27" i="9"/>
  <c r="D26" i="9"/>
  <c r="D25" i="9"/>
  <c r="D23" i="9"/>
  <c r="D22" i="9"/>
  <c r="D20" i="9"/>
  <c r="D19" i="9"/>
  <c r="D18" i="9"/>
  <c r="D17" i="9"/>
  <c r="D12" i="9"/>
  <c r="D11" i="9"/>
  <c r="D9" i="9"/>
  <c r="D7" i="9"/>
  <c r="D6" i="9"/>
  <c r="D4" i="9"/>
  <c r="D3" i="9"/>
  <c r="D2" i="9"/>
</calcChain>
</file>

<file path=xl/comments1.xml><?xml version="1.0" encoding="utf-8"?>
<comments xmlns="http://schemas.openxmlformats.org/spreadsheetml/2006/main">
  <authors>
    <author>Ana Turk</author>
  </authors>
  <commentList>
    <comment ref="E52" authorId="0" shapeId="0">
      <text>
        <r>
          <rPr>
            <b/>
            <sz val="9"/>
            <color indexed="81"/>
            <rFont val="Tahoma"/>
            <family val="2"/>
          </rPr>
          <t>Ana Turk:</t>
        </r>
        <r>
          <rPr>
            <sz val="9"/>
            <color indexed="81"/>
            <rFont val="Tahoma"/>
            <family val="2"/>
          </rPr>
          <t xml:space="preserve">
according to Slagelse-after Konsmark</t>
        </r>
      </text>
    </comment>
  </commentList>
</comments>
</file>

<file path=xl/sharedStrings.xml><?xml version="1.0" encoding="utf-8"?>
<sst xmlns="http://schemas.openxmlformats.org/spreadsheetml/2006/main" count="513" uniqueCount="171">
  <si>
    <t>Pipe</t>
  </si>
  <si>
    <t>To node</t>
  </si>
  <si>
    <t>From node</t>
  </si>
  <si>
    <t>Node</t>
  </si>
  <si>
    <t>Nybro</t>
  </si>
  <si>
    <t>Egtved</t>
  </si>
  <si>
    <t>Lilballe</t>
  </si>
  <si>
    <t>Taulov</t>
  </si>
  <si>
    <t>Frøslev</t>
  </si>
  <si>
    <t>Terkelsbøl</t>
  </si>
  <si>
    <t>Plantagevej</t>
  </si>
  <si>
    <t>LL.Selskær</t>
  </si>
  <si>
    <t>Pottehuse</t>
  </si>
  <si>
    <t>St. Andst</t>
  </si>
  <si>
    <t>Nørskov</t>
  </si>
  <si>
    <t>Brande</t>
  </si>
  <si>
    <t>Herning</t>
  </si>
  <si>
    <t>Karup</t>
  </si>
  <si>
    <t>Viborg</t>
  </si>
  <si>
    <t>Ll.Torup</t>
  </si>
  <si>
    <t>Varde</t>
  </si>
  <si>
    <t>Haverslev</t>
  </si>
  <si>
    <t>Ellidshøj</t>
  </si>
  <si>
    <t>Aalborg</t>
  </si>
  <si>
    <t>Double pipe</t>
  </si>
  <si>
    <t>Double pipe1</t>
  </si>
  <si>
    <t>Varde 2</t>
  </si>
  <si>
    <t>Engesvang</t>
  </si>
  <si>
    <t>50/80</t>
  </si>
  <si>
    <t>Silkeborg</t>
  </si>
  <si>
    <t>Skjoldelev</t>
  </si>
  <si>
    <t>Ellund Border</t>
  </si>
  <si>
    <t>DOUBLE ELLUND</t>
  </si>
  <si>
    <t>Skærbækværket</t>
  </si>
  <si>
    <t>Middelfart</t>
  </si>
  <si>
    <t>Billesbølle</t>
  </si>
  <si>
    <t>Koelbjerg</t>
  </si>
  <si>
    <t>Højby</t>
  </si>
  <si>
    <t>Ullerslev</t>
  </si>
  <si>
    <t>Nyborg</t>
  </si>
  <si>
    <t>Torslunde</t>
  </si>
  <si>
    <t>Maløv 2</t>
  </si>
  <si>
    <t>Lynge</t>
  </si>
  <si>
    <t>Lyngsodde</t>
  </si>
  <si>
    <t>Lillbelt Syd</t>
  </si>
  <si>
    <t>Kongsmark</t>
  </si>
  <si>
    <t>Slagelse</t>
  </si>
  <si>
    <t>Sorø</t>
  </si>
  <si>
    <t>Ringsted</t>
  </si>
  <si>
    <t>Køge</t>
  </si>
  <si>
    <t>Karlslunde</t>
  </si>
  <si>
    <t>Vallensbæk</t>
  </si>
  <si>
    <t>Brøndby</t>
  </si>
  <si>
    <t>Dragør</t>
  </si>
  <si>
    <t>Dragør border</t>
  </si>
  <si>
    <t>Vestmager</t>
  </si>
  <si>
    <t>Amager Fælled</t>
  </si>
  <si>
    <t>Enghave Brygge</t>
  </si>
  <si>
    <t>Hvidovre</t>
  </si>
  <si>
    <t>Avedøreværket</t>
  </si>
  <si>
    <t>Stenllile</t>
  </si>
  <si>
    <t xml:space="preserve">Nyborg </t>
  </si>
  <si>
    <t>Bevtoft</t>
  </si>
  <si>
    <t>Double pipes</t>
  </si>
  <si>
    <t>STORAGE LL.Torup</t>
  </si>
  <si>
    <t>55 pressure</t>
  </si>
  <si>
    <t>DOUBLE PIPE</t>
  </si>
  <si>
    <t>Storebælt</t>
  </si>
  <si>
    <t>Length (km)</t>
  </si>
  <si>
    <t>Diameter (inch)</t>
  </si>
  <si>
    <t>From</t>
  </si>
  <si>
    <t>To</t>
  </si>
  <si>
    <t>#</t>
  </si>
  <si>
    <t># Pipe</t>
  </si>
  <si>
    <t>Pressure range (bar)</t>
  </si>
  <si>
    <t>Maximum flow(m3/h)</t>
  </si>
  <si>
    <t>Energinet, “Security of gas supply 2018,” Energinet, 2018.</t>
  </si>
  <si>
    <t>Energinet, “Future Natural Gas Qualities - Fact sheet,” Energinet, Fredericia, 2017,Feb.</t>
  </si>
  <si>
    <t>S. Mokhatab, W. A. Poe, J. G. Speight, Handbook of natural gas transmission and processing, Elsevier, 2006.</t>
  </si>
  <si>
    <t>[6]</t>
  </si>
  <si>
    <t>[7]</t>
  </si>
  <si>
    <t>Energinet, “System plan 2018 - Electricity and Gas in Denmark,” Energinet, 2018.</t>
  </si>
  <si>
    <t>Energinet, “ANALYSIS ASSUMPTIONS 2017,” March 2017. [Online]. Available: https://en.energinet.dk/Analysis-and-Research/Analysis-assumptions/Analysis-assumptions-2017.</t>
  </si>
  <si>
    <t>Parameter</t>
  </si>
  <si>
    <t>Value</t>
  </si>
  <si>
    <t>Unit</t>
  </si>
  <si>
    <t>Reference</t>
  </si>
  <si>
    <t xml:space="preserve"> - </t>
  </si>
  <si>
    <t>K</t>
  </si>
  <si>
    <t>MJ/m³</t>
  </si>
  <si>
    <t>[1]</t>
  </si>
  <si>
    <t>[2]</t>
  </si>
  <si>
    <t>[1], [2]</t>
  </si>
  <si>
    <t>Energinet</t>
  </si>
  <si>
    <t>[3]</t>
  </si>
  <si>
    <t>C</t>
  </si>
  <si>
    <t>[4]</t>
  </si>
  <si>
    <t>[5]</t>
  </si>
  <si>
    <t xml:space="preserve">           Wobbe index</t>
  </si>
  <si>
    <t>friction constant</t>
  </si>
  <si>
    <t>°R</t>
  </si>
  <si>
    <t>8,496 e-4</t>
  </si>
  <si>
    <t>6,7109 e4</t>
  </si>
  <si>
    <t>Note</t>
  </si>
  <si>
    <t>Gas source</t>
  </si>
  <si>
    <t>Reference [6]</t>
  </si>
  <si>
    <t>Name</t>
  </si>
  <si>
    <t>P2G</t>
  </si>
  <si>
    <t>Gas source*</t>
  </si>
  <si>
    <t>Gas storage*</t>
  </si>
  <si>
    <t>Max gas entry  (MWh/h)</t>
  </si>
  <si>
    <t>Maximum gas exit (MWh/h)</t>
  </si>
  <si>
    <t>Maximum gas entry (MWh/h)</t>
  </si>
  <si>
    <t>Interconnections*</t>
  </si>
  <si>
    <r>
      <t>* values based on Wobbe index of 53,644 MJ/m</t>
    </r>
    <r>
      <rPr>
        <b/>
        <sz val="11"/>
        <color theme="1"/>
        <rFont val="Calibri"/>
        <family val="2"/>
      </rPr>
      <t>³</t>
    </r>
  </si>
  <si>
    <t>Maximum gas entry (extraction) (MWh/h)</t>
  </si>
  <si>
    <t>Maximum gas exit (injection) (MWh/h)</t>
  </si>
  <si>
    <t>Capacity (GWh)</t>
  </si>
  <si>
    <t>Initial capacity (GWh)</t>
  </si>
  <si>
    <t>Energinet, "Technology Data for Renewable Fuels," Energinet, 2018</t>
  </si>
  <si>
    <t>Up-regulation cost (DKK/MWh)</t>
  </si>
  <si>
    <t>Down-regulation cost (DKK/MWh)</t>
  </si>
  <si>
    <t>1,1*Production cost</t>
  </si>
  <si>
    <t>0,9*Production cost</t>
  </si>
  <si>
    <t>Penalty</t>
  </si>
  <si>
    <t>Gas production cost(DKK/MWh)</t>
  </si>
  <si>
    <t>Conversion efficiency to gas  [7]</t>
  </si>
  <si>
    <t>Import of gas</t>
  </si>
  <si>
    <t>Export of gas</t>
  </si>
  <si>
    <t>Variable</t>
  </si>
  <si>
    <t>Yearly load</t>
  </si>
  <si>
    <t>27303 GWh</t>
  </si>
  <si>
    <t>Consumption of GFP</t>
  </si>
  <si>
    <t>Area</t>
  </si>
  <si>
    <t>Fyn</t>
  </si>
  <si>
    <t>Nordjylland</t>
  </si>
  <si>
    <t>NordVestJylland</t>
  </si>
  <si>
    <t>NordøstJylland</t>
  </si>
  <si>
    <t>Storkøbenhavn</t>
  </si>
  <si>
    <t>Sydmidtjylland</t>
  </si>
  <si>
    <t>SydSjælland</t>
  </si>
  <si>
    <t>Sydvestjylland</t>
  </si>
  <si>
    <t>Sydøstjylland</t>
  </si>
  <si>
    <t>Sønderjylland</t>
  </si>
  <si>
    <t>VestSjælland</t>
  </si>
  <si>
    <t>ØstJylland</t>
  </si>
  <si>
    <t>Gas demand on yearly basis of different areas in Danish NGS</t>
  </si>
  <si>
    <t>MN</t>
  </si>
  <si>
    <t>DONGE</t>
  </si>
  <si>
    <t>DONGW</t>
  </si>
  <si>
    <t>https://en.energinet.dk/Gas/Gas-Market#Model</t>
  </si>
  <si>
    <t>[8]</t>
  </si>
  <si>
    <r>
      <t xml:space="preserve">Zeng Q, Fang J, Li J, Chen Z. , “Steady-state analysis of the integrated natural gas and electric power system with bi-directional energy conversion,” </t>
    </r>
    <r>
      <rPr>
        <i/>
        <sz val="11"/>
        <color theme="1"/>
        <rFont val="Calibri"/>
        <family val="2"/>
        <scheme val="minor"/>
      </rPr>
      <t xml:space="preserve">Applied Energy, </t>
    </r>
    <r>
      <rPr>
        <sz val="11"/>
        <color theme="1"/>
        <rFont val="Calibri"/>
        <family val="2"/>
        <scheme val="minor"/>
      </rPr>
      <t>vol. 184, pp. 1483-1492, 2016.</t>
    </r>
  </si>
  <si>
    <t>The Danish distribution system operators [8]</t>
  </si>
  <si>
    <t>NGF</t>
  </si>
  <si>
    <t>AKG</t>
  </si>
  <si>
    <t>HNG</t>
  </si>
  <si>
    <t>Areas according to Figure</t>
  </si>
  <si>
    <t>Yearly load(kWh)</t>
  </si>
  <si>
    <t>Yearly load (GWh)</t>
  </si>
  <si>
    <t>Connection to larger area:</t>
  </si>
  <si>
    <t>Ratio per specific area</t>
  </si>
  <si>
    <t>Nordjylland, Aalborg</t>
  </si>
  <si>
    <t>0,5    1</t>
  </si>
  <si>
    <t>MPa</t>
  </si>
  <si>
    <t>Daily load (pu)</t>
  </si>
  <si>
    <t>hour</t>
  </si>
  <si>
    <t>Legend:</t>
  </si>
  <si>
    <t>reference pressure</t>
  </si>
  <si>
    <t>Menon, E. Shashi, Gas pipeline hydraulics, 6000 Broken Sound Parkway NW, Suite 300, Boca Raton, FL 33487-2742: CRC Press, Taylor &amp; Francis Group, 2005</t>
  </si>
  <si>
    <t>[9]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</si>
</sst>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  <xf numFmtId="0" fontId="7" fillId="7" borderId="1" applyNumberFormat="0" applyAlignment="0" applyProtection="0"/>
    <xf numFmtId="0" fontId="16" fillId="8" borderId="0" applyNumberFormat="0" applyBorder="0" applyAlignment="0" applyProtection="0"/>
    <xf numFmtId="0" fontId="17" fillId="9" borderId="0" applyNumberFormat="0" applyBorder="0" applyAlignment="0" applyProtection="0"/>
  </cellStyleXfs>
  <cellXfs count="34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3" fillId="0" borderId="0" xfId="0" applyFont="1" applyAlignment="1">
      <alignment horizontal="right"/>
    </xf>
    <xf numFmtId="0" fontId="8" fillId="0" borderId="0" xfId="0" applyFont="1" applyAlignment="1">
      <alignment horizontal="justify" vertical="center" wrapText="1"/>
    </xf>
    <xf numFmtId="0" fontId="0" fillId="0" borderId="2" xfId="0" applyBorder="1"/>
    <xf numFmtId="0" fontId="10" fillId="0" borderId="2" xfId="0" applyFont="1" applyBorder="1"/>
    <xf numFmtId="0" fontId="9" fillId="0" borderId="2" xfId="0" applyFont="1" applyBorder="1"/>
    <xf numFmtId="0" fontId="3" fillId="0" borderId="2" xfId="0" applyFont="1" applyBorder="1"/>
    <xf numFmtId="11" fontId="0" fillId="0" borderId="2" xfId="0" applyNumberFormat="1" applyBorder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/>
    <xf numFmtId="0" fontId="6" fillId="0" borderId="2" xfId="0" applyFont="1" applyFill="1" applyBorder="1" applyAlignment="1">
      <alignment horizontal="center"/>
    </xf>
    <xf numFmtId="0" fontId="6" fillId="0" borderId="2" xfId="0" applyFont="1" applyFill="1" applyBorder="1"/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left" vertical="center" readingOrder="1"/>
    </xf>
    <xf numFmtId="0" fontId="14" fillId="0" borderId="0" xfId="0" applyFont="1"/>
    <xf numFmtId="0" fontId="11" fillId="7" borderId="2" xfId="6" applyFont="1" applyBorder="1"/>
    <xf numFmtId="0" fontId="11" fillId="7" borderId="3" xfId="6" applyFont="1" applyBorder="1"/>
    <xf numFmtId="0" fontId="11" fillId="7" borderId="4" xfId="6" applyFont="1" applyBorder="1"/>
    <xf numFmtId="0" fontId="7" fillId="7" borderId="3" xfId="6" applyBorder="1"/>
    <xf numFmtId="0" fontId="11" fillId="7" borderId="1" xfId="6" applyFont="1"/>
    <xf numFmtId="0" fontId="16" fillId="8" borderId="0" xfId="7"/>
    <xf numFmtId="0" fontId="16" fillId="8" borderId="0" xfId="7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justify" vertical="center" wrapText="1"/>
    </xf>
    <xf numFmtId="0" fontId="7" fillId="7" borderId="1" xfId="6"/>
    <xf numFmtId="0" fontId="17" fillId="9" borderId="0" xfId="8"/>
  </cellXfs>
  <cellStyles count="9">
    <cellStyle name="60% - Accent1 2" xfId="2"/>
    <cellStyle name="60% - Accent3 2" xfId="5"/>
    <cellStyle name="Accent1 2" xfId="1"/>
    <cellStyle name="Accent3 2" xfId="4"/>
    <cellStyle name="Accent6 2" xfId="3"/>
    <cellStyle name="Good" xfId="7" builtinId="26"/>
    <cellStyle name="Input" xfId="6" builtinId="20"/>
    <cellStyle name="Neutral" xfId="8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285750</xdr:colOff>
      <xdr:row>16</xdr:row>
      <xdr:rowOff>9525</xdr:rowOff>
    </xdr:from>
    <xdr:ext cx="65" cy="172227"/>
    <xdr:sp macro="" textlink="">
      <xdr:nvSpPr>
        <xdr:cNvPr id="10" name="TextBox 9"/>
        <xdr:cNvSpPr txBox="1"/>
      </xdr:nvSpPr>
      <xdr:spPr>
        <a:xfrm>
          <a:off x="8582025" y="3314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2</xdr:row>
      <xdr:rowOff>19050</xdr:rowOff>
    </xdr:from>
    <xdr:ext cx="17088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0" y="400050"/>
              <a:ext cx="17088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a-DK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da-DK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𝑏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0" y="400050"/>
              <a:ext cx="17088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a-DK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𝑇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da-DK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𝑏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2</xdr:row>
      <xdr:rowOff>19050</xdr:rowOff>
    </xdr:from>
    <xdr:ext cx="65" cy="172227"/>
    <xdr:sp macro="" textlink="">
      <xdr:nvSpPr>
        <xdr:cNvPr id="13" name="TextBox 12"/>
        <xdr:cNvSpPr txBox="1"/>
      </xdr:nvSpPr>
      <xdr:spPr>
        <a:xfrm>
          <a:off x="609600" y="40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3</xdr:row>
      <xdr:rowOff>19050</xdr:rowOff>
    </xdr:from>
    <xdr:ext cx="1762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/>
            <xdr:cNvSpPr txBox="1"/>
          </xdr:nvSpPr>
          <xdr:spPr>
            <a:xfrm>
              <a:off x="609600" y="590550"/>
              <a:ext cx="1762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a-DK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da-DK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𝑏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609600" y="590550"/>
              <a:ext cx="1762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a-DK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𝑝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da-DK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𝑏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3</xdr:row>
      <xdr:rowOff>19050</xdr:rowOff>
    </xdr:from>
    <xdr:ext cx="65" cy="172227"/>
    <xdr:sp macro="" textlink="">
      <xdr:nvSpPr>
        <xdr:cNvPr id="15" name="TextBox 14"/>
        <xdr:cNvSpPr txBox="1"/>
      </xdr:nvSpPr>
      <xdr:spPr>
        <a:xfrm>
          <a:off x="609600" y="590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4</xdr:row>
      <xdr:rowOff>19050</xdr:rowOff>
    </xdr:from>
    <xdr:ext cx="17152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/>
            <xdr:cNvSpPr txBox="1"/>
          </xdr:nvSpPr>
          <xdr:spPr>
            <a:xfrm>
              <a:off x="609600" y="781050"/>
              <a:ext cx="17152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𝛾</m:t>
                        </m:r>
                      </m:e>
                      <m:sub>
                        <m:r>
                          <a:rPr lang="da-DK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𝑏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609600" y="781050"/>
              <a:ext cx="17152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𝛾_</a:t>
              </a:r>
              <a:r>
                <a:rPr lang="da-DK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𝑏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4</xdr:row>
      <xdr:rowOff>19050</xdr:rowOff>
    </xdr:from>
    <xdr:ext cx="65" cy="172227"/>
    <xdr:sp macro="" textlink="">
      <xdr:nvSpPr>
        <xdr:cNvPr id="17" name="TextBox 16"/>
        <xdr:cNvSpPr txBox="1"/>
      </xdr:nvSpPr>
      <xdr:spPr>
        <a:xfrm>
          <a:off x="609600" y="781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4</xdr:row>
      <xdr:rowOff>19050</xdr:rowOff>
    </xdr:from>
    <xdr:ext cx="65" cy="172227"/>
    <xdr:sp macro="" textlink="">
      <xdr:nvSpPr>
        <xdr:cNvPr id="18" name="TextBox 17"/>
        <xdr:cNvSpPr txBox="1"/>
      </xdr:nvSpPr>
      <xdr:spPr>
        <a:xfrm>
          <a:off x="609600" y="781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5</xdr:row>
      <xdr:rowOff>19050</xdr:rowOff>
    </xdr:from>
    <xdr:ext cx="16914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/>
            <xdr:cNvSpPr txBox="1"/>
          </xdr:nvSpPr>
          <xdr:spPr>
            <a:xfrm>
              <a:off x="609600" y="971550"/>
              <a:ext cx="1691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a-DK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da-DK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𝑎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9" name="TextBox 18"/>
            <xdr:cNvSpPr txBox="1"/>
          </xdr:nvSpPr>
          <xdr:spPr>
            <a:xfrm>
              <a:off x="609600" y="971550"/>
              <a:ext cx="1691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a-DK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𝑇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da-DK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𝑎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5</xdr:row>
      <xdr:rowOff>19050</xdr:rowOff>
    </xdr:from>
    <xdr:ext cx="65" cy="172227"/>
    <xdr:sp macro="" textlink="">
      <xdr:nvSpPr>
        <xdr:cNvPr id="20" name="TextBox 19"/>
        <xdr:cNvSpPr txBox="1"/>
      </xdr:nvSpPr>
      <xdr:spPr>
        <a:xfrm>
          <a:off x="609600" y="971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5</xdr:row>
      <xdr:rowOff>19050</xdr:rowOff>
    </xdr:from>
    <xdr:ext cx="65" cy="172227"/>
    <xdr:sp macro="" textlink="">
      <xdr:nvSpPr>
        <xdr:cNvPr id="21" name="TextBox 20"/>
        <xdr:cNvSpPr txBox="1"/>
      </xdr:nvSpPr>
      <xdr:spPr>
        <a:xfrm>
          <a:off x="609600" y="971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5</xdr:row>
      <xdr:rowOff>19050</xdr:rowOff>
    </xdr:from>
    <xdr:ext cx="65" cy="172227"/>
    <xdr:sp macro="" textlink="">
      <xdr:nvSpPr>
        <xdr:cNvPr id="22" name="TextBox 21"/>
        <xdr:cNvSpPr txBox="1"/>
      </xdr:nvSpPr>
      <xdr:spPr>
        <a:xfrm>
          <a:off x="609600" y="781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5</xdr:row>
      <xdr:rowOff>19050</xdr:rowOff>
    </xdr:from>
    <xdr:ext cx="65" cy="172227"/>
    <xdr:sp macro="" textlink="">
      <xdr:nvSpPr>
        <xdr:cNvPr id="23" name="TextBox 22"/>
        <xdr:cNvSpPr txBox="1"/>
      </xdr:nvSpPr>
      <xdr:spPr>
        <a:xfrm>
          <a:off x="609600" y="781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6</xdr:row>
      <xdr:rowOff>19050</xdr:rowOff>
    </xdr:from>
    <xdr:ext cx="18396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/>
            <xdr:cNvSpPr txBox="1"/>
          </xdr:nvSpPr>
          <xdr:spPr>
            <a:xfrm>
              <a:off x="609600" y="1162050"/>
              <a:ext cx="18396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a-DK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𝑍</m:t>
                        </m:r>
                      </m:e>
                      <m:sub>
                        <m:r>
                          <a:rPr lang="da-DK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𝑎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4" name="TextBox 23"/>
            <xdr:cNvSpPr txBox="1"/>
          </xdr:nvSpPr>
          <xdr:spPr>
            <a:xfrm>
              <a:off x="609600" y="1162050"/>
              <a:ext cx="18396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a-DK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𝑍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da-DK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𝑎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6</xdr:row>
      <xdr:rowOff>19050</xdr:rowOff>
    </xdr:from>
    <xdr:ext cx="65" cy="172227"/>
    <xdr:sp macro="" textlink="">
      <xdr:nvSpPr>
        <xdr:cNvPr id="25" name="TextBox 24"/>
        <xdr:cNvSpPr txBox="1"/>
      </xdr:nvSpPr>
      <xdr:spPr>
        <a:xfrm>
          <a:off x="609600" y="971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7</xdr:row>
      <xdr:rowOff>19050</xdr:rowOff>
    </xdr:from>
    <xdr:ext cx="363818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/>
            <xdr:cNvSpPr txBox="1"/>
          </xdr:nvSpPr>
          <xdr:spPr>
            <a:xfrm>
              <a:off x="609600" y="1352550"/>
              <a:ext cx="363818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𝜂</m:t>
                        </m:r>
                      </m:e>
                      <m:sub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𝑝</m:t>
                        </m:r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𝑛𝑚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6" name="TextBox 25"/>
            <xdr:cNvSpPr txBox="1"/>
          </xdr:nvSpPr>
          <xdr:spPr>
            <a:xfrm>
              <a:off x="609600" y="1352550"/>
              <a:ext cx="363818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𝜂_(</a:t>
              </a:r>
              <a:r>
                <a:rPr lang="da-DK" sz="1100" b="0" i="0">
                  <a:latin typeface="Cambria Math" panose="02040503050406030204" pitchFamily="18" charset="0"/>
                </a:rPr>
                <a:t>𝑝,𝑛𝑚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8</xdr:row>
      <xdr:rowOff>0</xdr:rowOff>
    </xdr:from>
    <xdr:ext cx="30598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/>
            <xdr:cNvSpPr txBox="1"/>
          </xdr:nvSpPr>
          <xdr:spPr>
            <a:xfrm>
              <a:off x="619125" y="1524000"/>
              <a:ext cx="30598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a-DK" sz="1100" b="0" i="1">
                        <a:latin typeface="Cambria Math" panose="02040503050406030204" pitchFamily="18" charset="0"/>
                      </a:rPr>
                      <m:t>𝑈𝐶𝑉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7" name="TextBox 26"/>
            <xdr:cNvSpPr txBox="1"/>
          </xdr:nvSpPr>
          <xdr:spPr>
            <a:xfrm>
              <a:off x="619125" y="1524000"/>
              <a:ext cx="30598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a-DK" sz="1100" b="0" i="0">
                  <a:latin typeface="Cambria Math" panose="02040503050406030204" pitchFamily="18" charset="0"/>
                </a:rPr>
                <a:t>𝑈𝐶𝑉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1</xdr:row>
      <xdr:rowOff>19050</xdr:rowOff>
    </xdr:from>
    <xdr:to>
      <xdr:col>1</xdr:col>
      <xdr:colOff>228600</xdr:colOff>
      <xdr:row>1</xdr:row>
      <xdr:rowOff>152400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209550"/>
          <a:ext cx="1714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28575</xdr:colOff>
      <xdr:row>6</xdr:row>
      <xdr:rowOff>38100</xdr:rowOff>
    </xdr:from>
    <xdr:to>
      <xdr:col>1</xdr:col>
      <xdr:colOff>180975</xdr:colOff>
      <xdr:row>6</xdr:row>
      <xdr:rowOff>180975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1181100"/>
          <a:ext cx="1524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76200</xdr:colOff>
      <xdr:row>2</xdr:row>
      <xdr:rowOff>28575</xdr:rowOff>
    </xdr:from>
    <xdr:to>
      <xdr:col>1</xdr:col>
      <xdr:colOff>190500</xdr:colOff>
      <xdr:row>2</xdr:row>
      <xdr:rowOff>152400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09575"/>
          <a:ext cx="1143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38100</xdr:colOff>
      <xdr:row>7</xdr:row>
      <xdr:rowOff>38100</xdr:rowOff>
    </xdr:from>
    <xdr:to>
      <xdr:col>1</xdr:col>
      <xdr:colOff>133350</xdr:colOff>
      <xdr:row>7</xdr:row>
      <xdr:rowOff>161925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371600"/>
          <a:ext cx="952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38100</xdr:colOff>
      <xdr:row>3</xdr:row>
      <xdr:rowOff>28575</xdr:rowOff>
    </xdr:from>
    <xdr:to>
      <xdr:col>1</xdr:col>
      <xdr:colOff>142875</xdr:colOff>
      <xdr:row>3</xdr:row>
      <xdr:rowOff>152400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600075"/>
          <a:ext cx="1047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9525</xdr:colOff>
      <xdr:row>8</xdr:row>
      <xdr:rowOff>28575</xdr:rowOff>
    </xdr:from>
    <xdr:to>
      <xdr:col>1</xdr:col>
      <xdr:colOff>142875</xdr:colOff>
      <xdr:row>8</xdr:row>
      <xdr:rowOff>152400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15525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38100</xdr:colOff>
      <xdr:row>4</xdr:row>
      <xdr:rowOff>28575</xdr:rowOff>
    </xdr:from>
    <xdr:to>
      <xdr:col>1</xdr:col>
      <xdr:colOff>200025</xdr:colOff>
      <xdr:row>4</xdr:row>
      <xdr:rowOff>161925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790575"/>
          <a:ext cx="1619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57150</xdr:colOff>
      <xdr:row>9</xdr:row>
      <xdr:rowOff>9525</xdr:rowOff>
    </xdr:from>
    <xdr:to>
      <xdr:col>1</xdr:col>
      <xdr:colOff>504825</xdr:colOff>
      <xdr:row>9</xdr:row>
      <xdr:rowOff>142875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1724025"/>
          <a:ext cx="4476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5</xdr:row>
      <xdr:rowOff>9525</xdr:rowOff>
    </xdr:from>
    <xdr:to>
      <xdr:col>1</xdr:col>
      <xdr:colOff>314325</xdr:colOff>
      <xdr:row>5</xdr:row>
      <xdr:rowOff>161925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962025"/>
          <a:ext cx="2952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47625</xdr:colOff>
      <xdr:row>10</xdr:row>
      <xdr:rowOff>19050</xdr:rowOff>
    </xdr:from>
    <xdr:to>
      <xdr:col>1</xdr:col>
      <xdr:colOff>428625</xdr:colOff>
      <xdr:row>10</xdr:row>
      <xdr:rowOff>171450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1924050"/>
          <a:ext cx="3810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104775</xdr:colOff>
      <xdr:row>0</xdr:row>
      <xdr:rowOff>0</xdr:rowOff>
    </xdr:from>
    <xdr:to>
      <xdr:col>7</xdr:col>
      <xdr:colOff>1333500</xdr:colOff>
      <xdr:row>12</xdr:row>
      <xdr:rowOff>104776</xdr:rowOff>
    </xdr:to>
    <xdr:pic>
      <xdr:nvPicPr>
        <xdr:cNvPr id="4" name="Picture 3" descr="C:\LOCAL FOLDER\new\Netejere i DK (1).jpg"/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1370"/>
        <a:stretch/>
      </xdr:blipFill>
      <xdr:spPr bwMode="auto">
        <a:xfrm>
          <a:off x="5800725" y="0"/>
          <a:ext cx="3429000" cy="2400301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409575</xdr:colOff>
      <xdr:row>0</xdr:row>
      <xdr:rowOff>95250</xdr:rowOff>
    </xdr:from>
    <xdr:to>
      <xdr:col>17</xdr:col>
      <xdr:colOff>322642</xdr:colOff>
      <xdr:row>49</xdr:row>
      <xdr:rowOff>170274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9175" y="95250"/>
          <a:ext cx="9666667" cy="94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workbookViewId="0">
      <selection activeCell="J11" sqref="J11"/>
    </sheetView>
  </sheetViews>
  <sheetFormatPr defaultRowHeight="15" x14ac:dyDescent="0.25"/>
  <cols>
    <col min="1" max="1" width="9.140625" style="4"/>
    <col min="2" max="2" width="11.85546875" style="3" customWidth="1"/>
    <col min="3" max="3" width="17.140625" style="3" customWidth="1"/>
    <col min="4" max="4" width="13.5703125" style="3" customWidth="1"/>
    <col min="5" max="5" width="14.5703125" style="3" customWidth="1"/>
    <col min="6" max="6" width="13.85546875" style="3" customWidth="1"/>
    <col min="7" max="7" width="18" style="3" customWidth="1"/>
  </cols>
  <sheetData>
    <row r="1" spans="1:7" x14ac:dyDescent="0.25">
      <c r="A1" s="12" t="s">
        <v>0</v>
      </c>
      <c r="B1" s="13" t="s">
        <v>2</v>
      </c>
      <c r="C1" s="13" t="s">
        <v>1</v>
      </c>
      <c r="D1" s="13" t="s">
        <v>68</v>
      </c>
      <c r="E1" s="13" t="s">
        <v>75</v>
      </c>
      <c r="F1" s="13" t="s">
        <v>69</v>
      </c>
      <c r="G1" s="13" t="s">
        <v>103</v>
      </c>
    </row>
    <row r="2" spans="1:7" x14ac:dyDescent="0.25">
      <c r="A2" s="14">
        <v>1</v>
      </c>
      <c r="B2" s="15" t="s">
        <v>4</v>
      </c>
      <c r="C2" s="15" t="s">
        <v>20</v>
      </c>
      <c r="D2" s="15">
        <f>0.235+13.599</f>
        <v>13.834</v>
      </c>
      <c r="E2" s="15">
        <v>35000</v>
      </c>
      <c r="F2" s="15">
        <v>30</v>
      </c>
      <c r="G2" s="15" t="s">
        <v>25</v>
      </c>
    </row>
    <row r="3" spans="1:7" x14ac:dyDescent="0.25">
      <c r="A3" s="14">
        <v>2</v>
      </c>
      <c r="B3" s="15" t="s">
        <v>20</v>
      </c>
      <c r="C3" s="15" t="s">
        <v>5</v>
      </c>
      <c r="D3" s="15">
        <f>12.032+11.009+12.4+7.593+0.064</f>
        <v>43.098000000000006</v>
      </c>
      <c r="E3" s="15">
        <v>70000</v>
      </c>
      <c r="F3" s="15">
        <v>30</v>
      </c>
      <c r="G3" s="15" t="s">
        <v>25</v>
      </c>
    </row>
    <row r="4" spans="1:7" x14ac:dyDescent="0.25">
      <c r="A4" s="14">
        <v>3</v>
      </c>
      <c r="B4" s="15" t="s">
        <v>5</v>
      </c>
      <c r="C4" s="15" t="s">
        <v>6</v>
      </c>
      <c r="D4" s="15">
        <f>0.024+13.029+5.08</f>
        <v>18.132999999999999</v>
      </c>
      <c r="E4" s="15">
        <v>10000</v>
      </c>
      <c r="F4" s="15">
        <v>30</v>
      </c>
      <c r="G4" s="15"/>
    </row>
    <row r="5" spans="1:7" x14ac:dyDescent="0.25">
      <c r="A5" s="14">
        <v>4</v>
      </c>
      <c r="B5" s="15" t="s">
        <v>6</v>
      </c>
      <c r="C5" s="15" t="s">
        <v>7</v>
      </c>
      <c r="D5" s="15">
        <v>8.6590000000000007</v>
      </c>
      <c r="E5" s="15">
        <v>18500</v>
      </c>
      <c r="F5" s="15">
        <v>30</v>
      </c>
      <c r="G5" s="15"/>
    </row>
    <row r="6" spans="1:7" x14ac:dyDescent="0.25">
      <c r="A6" s="14">
        <v>5</v>
      </c>
      <c r="B6" s="15" t="s">
        <v>8</v>
      </c>
      <c r="C6" s="15" t="s">
        <v>9</v>
      </c>
      <c r="D6" s="15">
        <f>0.023+6.839+11.24</f>
        <v>18.102</v>
      </c>
      <c r="E6" s="15">
        <v>18500</v>
      </c>
      <c r="F6" s="15">
        <v>24</v>
      </c>
      <c r="G6" s="15"/>
    </row>
    <row r="7" spans="1:7" x14ac:dyDescent="0.25">
      <c r="A7" s="14">
        <v>6</v>
      </c>
      <c r="B7" s="15" t="s">
        <v>9</v>
      </c>
      <c r="C7" s="15" t="s">
        <v>10</v>
      </c>
      <c r="D7" s="15">
        <f>6.633+9.096+8.552</f>
        <v>24.280999999999999</v>
      </c>
      <c r="E7" s="15">
        <v>35000</v>
      </c>
      <c r="F7" s="15">
        <v>24</v>
      </c>
      <c r="G7" s="15"/>
    </row>
    <row r="8" spans="1:7" x14ac:dyDescent="0.25">
      <c r="A8" s="14">
        <v>7</v>
      </c>
      <c r="B8" s="15" t="s">
        <v>10</v>
      </c>
      <c r="C8" s="15" t="s">
        <v>11</v>
      </c>
      <c r="D8" s="15">
        <v>15.473000000000001</v>
      </c>
      <c r="E8" s="15">
        <v>35000</v>
      </c>
      <c r="F8" s="15">
        <v>24</v>
      </c>
      <c r="G8" s="15"/>
    </row>
    <row r="9" spans="1:7" x14ac:dyDescent="0.25">
      <c r="A9" s="14">
        <v>8</v>
      </c>
      <c r="B9" s="15" t="s">
        <v>11</v>
      </c>
      <c r="C9" s="15" t="s">
        <v>12</v>
      </c>
      <c r="D9" s="15">
        <f>10.769+5.957</f>
        <v>16.725999999999999</v>
      </c>
      <c r="E9" s="15">
        <v>18500</v>
      </c>
      <c r="F9" s="15">
        <v>24</v>
      </c>
      <c r="G9" s="15"/>
    </row>
    <row r="10" spans="1:7" x14ac:dyDescent="0.25">
      <c r="A10" s="14">
        <v>9</v>
      </c>
      <c r="B10" s="15" t="s">
        <v>12</v>
      </c>
      <c r="C10" s="15" t="s">
        <v>13</v>
      </c>
      <c r="D10" s="15">
        <v>5.3410000000000002</v>
      </c>
      <c r="E10" s="15">
        <v>35000</v>
      </c>
      <c r="F10" s="15">
        <v>24</v>
      </c>
      <c r="G10" s="15"/>
    </row>
    <row r="11" spans="1:7" x14ac:dyDescent="0.25">
      <c r="A11" s="14">
        <v>10</v>
      </c>
      <c r="B11" s="15" t="s">
        <v>13</v>
      </c>
      <c r="C11" s="15" t="s">
        <v>5</v>
      </c>
      <c r="D11" s="15">
        <f>12.985+0.023</f>
        <v>13.007999999999999</v>
      </c>
      <c r="E11" s="15">
        <v>70000</v>
      </c>
      <c r="F11" s="15">
        <v>24</v>
      </c>
      <c r="G11" s="15"/>
    </row>
    <row r="12" spans="1:7" x14ac:dyDescent="0.25">
      <c r="A12" s="14">
        <v>11</v>
      </c>
      <c r="B12" s="15" t="s">
        <v>5</v>
      </c>
      <c r="C12" s="15" t="s">
        <v>14</v>
      </c>
      <c r="D12" s="15">
        <f>0.048+22.13</f>
        <v>22.177999999999997</v>
      </c>
      <c r="E12" s="15">
        <v>18500</v>
      </c>
      <c r="F12" s="15">
        <v>20</v>
      </c>
      <c r="G12" s="15"/>
    </row>
    <row r="13" spans="1:7" x14ac:dyDescent="0.25">
      <c r="A13" s="14">
        <v>12</v>
      </c>
      <c r="B13" s="15" t="s">
        <v>14</v>
      </c>
      <c r="C13" s="15" t="s">
        <v>15</v>
      </c>
      <c r="D13" s="15">
        <v>19.475999999999999</v>
      </c>
      <c r="E13" s="15">
        <v>18500</v>
      </c>
      <c r="F13" s="15">
        <v>20</v>
      </c>
      <c r="G13" s="15"/>
    </row>
    <row r="14" spans="1:7" x14ac:dyDescent="0.25">
      <c r="A14" s="14">
        <v>13</v>
      </c>
      <c r="B14" s="15" t="s">
        <v>15</v>
      </c>
      <c r="C14" s="15" t="s">
        <v>16</v>
      </c>
      <c r="D14" s="15">
        <v>21.727</v>
      </c>
      <c r="E14" s="15">
        <v>100000</v>
      </c>
      <c r="F14" s="15">
        <v>20</v>
      </c>
      <c r="G14" s="15"/>
    </row>
    <row r="15" spans="1:7" x14ac:dyDescent="0.25">
      <c r="A15" s="14">
        <v>14</v>
      </c>
      <c r="B15" s="15" t="s">
        <v>16</v>
      </c>
      <c r="C15" s="15" t="s">
        <v>17</v>
      </c>
      <c r="D15" s="15">
        <v>20.943999999999999</v>
      </c>
      <c r="E15" s="15">
        <v>18500</v>
      </c>
      <c r="F15" s="15">
        <v>20</v>
      </c>
      <c r="G15" s="15"/>
    </row>
    <row r="16" spans="1:7" x14ac:dyDescent="0.25">
      <c r="A16" s="14">
        <v>15</v>
      </c>
      <c r="B16" s="15" t="s">
        <v>17</v>
      </c>
      <c r="C16" s="15" t="s">
        <v>18</v>
      </c>
      <c r="D16" s="15">
        <v>19.297000000000001</v>
      </c>
      <c r="E16" s="15">
        <v>100000</v>
      </c>
      <c r="F16" s="15">
        <v>20</v>
      </c>
      <c r="G16" s="15"/>
    </row>
    <row r="17" spans="1:7" x14ac:dyDescent="0.25">
      <c r="A17" s="14">
        <v>16</v>
      </c>
      <c r="B17" s="15" t="s">
        <v>18</v>
      </c>
      <c r="C17" s="15" t="s">
        <v>19</v>
      </c>
      <c r="D17" s="15">
        <f>23.229+0.018</f>
        <v>23.247</v>
      </c>
      <c r="E17" s="15">
        <v>18500</v>
      </c>
      <c r="F17" s="15">
        <v>20</v>
      </c>
      <c r="G17" s="15"/>
    </row>
    <row r="18" spans="1:7" x14ac:dyDescent="0.25">
      <c r="A18" s="14">
        <v>17</v>
      </c>
      <c r="B18" s="15" t="s">
        <v>4</v>
      </c>
      <c r="C18" s="15" t="s">
        <v>26</v>
      </c>
      <c r="D18" s="15">
        <f>0.238+13.811</f>
        <v>14.048999999999999</v>
      </c>
      <c r="E18" s="15">
        <v>35000</v>
      </c>
      <c r="F18" s="15">
        <v>30</v>
      </c>
      <c r="G18" s="15" t="s">
        <v>25</v>
      </c>
    </row>
    <row r="19" spans="1:7" x14ac:dyDescent="0.25">
      <c r="A19" s="14">
        <v>18</v>
      </c>
      <c r="B19" s="15" t="s">
        <v>26</v>
      </c>
      <c r="C19" s="15" t="s">
        <v>5</v>
      </c>
      <c r="D19" s="15">
        <f>23.065+19.953+0.024</f>
        <v>43.042000000000002</v>
      </c>
      <c r="E19" s="15">
        <v>70000</v>
      </c>
      <c r="F19" s="15">
        <v>30</v>
      </c>
      <c r="G19" s="15" t="s">
        <v>25</v>
      </c>
    </row>
    <row r="20" spans="1:7" x14ac:dyDescent="0.25">
      <c r="A20" s="14">
        <v>19</v>
      </c>
      <c r="B20" s="15" t="s">
        <v>19</v>
      </c>
      <c r="C20" s="15" t="s">
        <v>21</v>
      </c>
      <c r="D20" s="15">
        <f>0.014+23.146</f>
        <v>23.16</v>
      </c>
      <c r="E20" s="15">
        <v>18500</v>
      </c>
      <c r="F20" s="15">
        <v>14</v>
      </c>
      <c r="G20" s="15"/>
    </row>
    <row r="21" spans="1:7" x14ac:dyDescent="0.25">
      <c r="A21" s="14">
        <v>20</v>
      </c>
      <c r="B21" s="15" t="s">
        <v>21</v>
      </c>
      <c r="C21" s="15" t="s">
        <v>22</v>
      </c>
      <c r="D21" s="15">
        <v>18990</v>
      </c>
      <c r="E21" s="15">
        <v>35000</v>
      </c>
      <c r="F21" s="15">
        <v>14</v>
      </c>
      <c r="G21" s="15"/>
    </row>
    <row r="22" spans="1:7" x14ac:dyDescent="0.25">
      <c r="A22" s="14">
        <v>21</v>
      </c>
      <c r="B22" s="15" t="s">
        <v>22</v>
      </c>
      <c r="C22" s="15" t="s">
        <v>23</v>
      </c>
      <c r="D22" s="15">
        <f>9.424+8.929+0.02</f>
        <v>18.373000000000001</v>
      </c>
      <c r="E22" s="15">
        <v>100000</v>
      </c>
      <c r="F22" s="15">
        <v>14</v>
      </c>
      <c r="G22" s="15"/>
    </row>
    <row r="23" spans="1:7" x14ac:dyDescent="0.25">
      <c r="A23" s="14">
        <v>22</v>
      </c>
      <c r="B23" s="15" t="s">
        <v>16</v>
      </c>
      <c r="C23" s="15" t="s">
        <v>27</v>
      </c>
      <c r="D23" s="15">
        <f>0.009+17.873</f>
        <v>17.882000000000001</v>
      </c>
      <c r="E23" s="15">
        <v>18500</v>
      </c>
      <c r="F23" s="15">
        <v>12</v>
      </c>
      <c r="G23" s="15"/>
    </row>
    <row r="24" spans="1:7" x14ac:dyDescent="0.25">
      <c r="A24" s="14">
        <v>23</v>
      </c>
      <c r="B24" s="15" t="s">
        <v>27</v>
      </c>
      <c r="C24" s="15" t="s">
        <v>29</v>
      </c>
      <c r="D24" s="15">
        <v>11.391999999999999</v>
      </c>
      <c r="E24" s="15">
        <v>18500</v>
      </c>
      <c r="F24" s="15">
        <v>12</v>
      </c>
      <c r="G24" s="15"/>
    </row>
    <row r="25" spans="1:7" x14ac:dyDescent="0.25">
      <c r="A25" s="14">
        <v>24</v>
      </c>
      <c r="B25" s="15" t="s">
        <v>29</v>
      </c>
      <c r="C25" s="15" t="s">
        <v>30</v>
      </c>
      <c r="D25" s="15">
        <f>3.678+7.288+12.294+5.112+6.15+0.013</f>
        <v>34.534999999999997</v>
      </c>
      <c r="E25" s="15">
        <v>70000</v>
      </c>
      <c r="F25" s="15">
        <v>12</v>
      </c>
      <c r="G25" s="15"/>
    </row>
    <row r="26" spans="1:7" x14ac:dyDescent="0.25">
      <c r="A26" s="14">
        <v>25</v>
      </c>
      <c r="B26" s="15" t="s">
        <v>8</v>
      </c>
      <c r="C26" s="15" t="s">
        <v>10</v>
      </c>
      <c r="D26" s="15">
        <f>0.023+24.686+17.696</f>
        <v>42.405000000000001</v>
      </c>
      <c r="E26" s="15">
        <v>70000</v>
      </c>
      <c r="F26" s="15">
        <v>30</v>
      </c>
      <c r="G26" s="15" t="s">
        <v>24</v>
      </c>
    </row>
    <row r="27" spans="1:7" x14ac:dyDescent="0.25">
      <c r="A27" s="14">
        <v>26</v>
      </c>
      <c r="B27" s="15" t="s">
        <v>10</v>
      </c>
      <c r="C27" s="15" t="s">
        <v>5</v>
      </c>
      <c r="D27" s="15">
        <f>26.274+24.286+0.023</f>
        <v>50.583000000000006</v>
      </c>
      <c r="E27" s="15">
        <v>70000</v>
      </c>
      <c r="F27" s="15">
        <v>30</v>
      </c>
      <c r="G27" s="15" t="s">
        <v>24</v>
      </c>
    </row>
    <row r="28" spans="1:7" x14ac:dyDescent="0.25">
      <c r="A28" s="14">
        <v>27</v>
      </c>
      <c r="B28" s="15" t="s">
        <v>31</v>
      </c>
      <c r="C28" s="15" t="s">
        <v>8</v>
      </c>
      <c r="D28" s="15">
        <v>0.35399999999999998</v>
      </c>
      <c r="E28" s="15">
        <v>70000</v>
      </c>
      <c r="F28" s="15">
        <v>24</v>
      </c>
      <c r="G28" s="15"/>
    </row>
    <row r="29" spans="1:7" x14ac:dyDescent="0.25">
      <c r="A29" s="14">
        <v>28</v>
      </c>
      <c r="B29" s="15" t="s">
        <v>31</v>
      </c>
      <c r="C29" s="15" t="s">
        <v>8</v>
      </c>
      <c r="D29" s="15">
        <v>0.33900000000000002</v>
      </c>
      <c r="E29" s="15">
        <v>70000</v>
      </c>
      <c r="F29" s="15">
        <v>30</v>
      </c>
      <c r="G29" s="15" t="s">
        <v>32</v>
      </c>
    </row>
    <row r="30" spans="1:7" x14ac:dyDescent="0.25">
      <c r="A30" s="14">
        <v>29</v>
      </c>
      <c r="B30" s="15" t="s">
        <v>7</v>
      </c>
      <c r="C30" s="15" t="s">
        <v>33</v>
      </c>
      <c r="D30" s="15">
        <f>0.01+3.499+0.01</f>
        <v>3.5189999999999997</v>
      </c>
      <c r="E30" s="15">
        <v>80000</v>
      </c>
      <c r="F30" s="15">
        <v>12</v>
      </c>
      <c r="G30" s="15"/>
    </row>
    <row r="31" spans="1:7" x14ac:dyDescent="0.25">
      <c r="A31" s="14">
        <v>30</v>
      </c>
      <c r="B31" s="15" t="s">
        <v>7</v>
      </c>
      <c r="C31" s="15" t="s">
        <v>43</v>
      </c>
      <c r="D31" s="15">
        <f xml:space="preserve"> 6.857+0.795</f>
        <v>7.6520000000000001</v>
      </c>
      <c r="E31" s="15">
        <v>18500</v>
      </c>
      <c r="F31" s="15">
        <v>30</v>
      </c>
      <c r="G31" s="15" t="s">
        <v>44</v>
      </c>
    </row>
    <row r="32" spans="1:7" x14ac:dyDescent="0.25">
      <c r="A32" s="14">
        <v>31</v>
      </c>
      <c r="B32" s="15" t="s">
        <v>43</v>
      </c>
      <c r="C32" s="15" t="s">
        <v>34</v>
      </c>
      <c r="D32" s="15">
        <f>1.425+1.906</f>
        <v>3.331</v>
      </c>
      <c r="E32" s="15">
        <v>18500</v>
      </c>
      <c r="F32" s="15">
        <v>30</v>
      </c>
      <c r="G32" s="15"/>
    </row>
    <row r="33" spans="1:7" x14ac:dyDescent="0.25">
      <c r="A33" s="14">
        <v>32</v>
      </c>
      <c r="B33" s="15" t="s">
        <v>43</v>
      </c>
      <c r="C33" s="15" t="s">
        <v>34</v>
      </c>
      <c r="D33" s="15">
        <f>1.437+0.814+0.019+1.663+0.049</f>
        <v>3.9819999999999998</v>
      </c>
      <c r="E33" s="15">
        <v>18500</v>
      </c>
      <c r="F33" s="15">
        <v>30</v>
      </c>
      <c r="G33" s="15"/>
    </row>
    <row r="34" spans="1:7" x14ac:dyDescent="0.25">
      <c r="A34" s="14">
        <v>33</v>
      </c>
      <c r="B34" s="15" t="s">
        <v>34</v>
      </c>
      <c r="C34" s="15" t="s">
        <v>35</v>
      </c>
      <c r="D34" s="15">
        <f>8.796+11.466</f>
        <v>20.262</v>
      </c>
      <c r="E34" s="15">
        <v>18500</v>
      </c>
      <c r="F34" s="15">
        <v>30</v>
      </c>
      <c r="G34" s="15"/>
    </row>
    <row r="35" spans="1:7" x14ac:dyDescent="0.25">
      <c r="A35" s="14">
        <v>34</v>
      </c>
      <c r="B35" s="15" t="s">
        <v>35</v>
      </c>
      <c r="C35" s="15" t="s">
        <v>36</v>
      </c>
      <c r="D35" s="15">
        <v>6.5890000000000004</v>
      </c>
      <c r="E35" s="15">
        <v>35000</v>
      </c>
      <c r="F35" s="15">
        <v>30</v>
      </c>
      <c r="G35" s="15"/>
    </row>
    <row r="36" spans="1:7" x14ac:dyDescent="0.25">
      <c r="A36" s="14">
        <v>35</v>
      </c>
      <c r="B36" s="15" t="s">
        <v>36</v>
      </c>
      <c r="C36" s="15" t="s">
        <v>37</v>
      </c>
      <c r="D36" s="15">
        <f>10.396+5.149+13.08</f>
        <v>28.625</v>
      </c>
      <c r="E36" s="15">
        <v>125000</v>
      </c>
      <c r="F36" s="15">
        <v>30</v>
      </c>
      <c r="G36" s="15"/>
    </row>
    <row r="37" spans="1:7" x14ac:dyDescent="0.25">
      <c r="A37" s="14">
        <v>36</v>
      </c>
      <c r="B37" s="15" t="s">
        <v>37</v>
      </c>
      <c r="C37" s="15" t="s">
        <v>38</v>
      </c>
      <c r="D37" s="15">
        <f>12.78</f>
        <v>12.78</v>
      </c>
      <c r="E37" s="15">
        <v>18500</v>
      </c>
      <c r="F37" s="15">
        <v>30</v>
      </c>
      <c r="G37" s="15"/>
    </row>
    <row r="38" spans="1:7" x14ac:dyDescent="0.25">
      <c r="A38" s="14">
        <v>37</v>
      </c>
      <c r="B38" s="15" t="s">
        <v>38</v>
      </c>
      <c r="C38" s="15" t="s">
        <v>39</v>
      </c>
      <c r="D38" s="15">
        <f>9.358+0.025</f>
        <v>9.3830000000000009</v>
      </c>
      <c r="E38" s="15">
        <v>18500</v>
      </c>
      <c r="F38" s="15">
        <v>30</v>
      </c>
      <c r="G38" s="15"/>
    </row>
    <row r="39" spans="1:7" x14ac:dyDescent="0.25">
      <c r="A39" s="14">
        <v>38</v>
      </c>
      <c r="B39" s="15" t="s">
        <v>40</v>
      </c>
      <c r="C39" s="15" t="s">
        <v>41</v>
      </c>
      <c r="D39" s="15">
        <f>0.013+7.717+7.484</f>
        <v>15.213999999999999</v>
      </c>
      <c r="E39" s="15">
        <v>100000</v>
      </c>
      <c r="F39" s="15">
        <v>16</v>
      </c>
      <c r="G39" s="15"/>
    </row>
    <row r="40" spans="1:7" x14ac:dyDescent="0.25">
      <c r="A40" s="14">
        <v>39</v>
      </c>
      <c r="B40" s="15" t="s">
        <v>41</v>
      </c>
      <c r="C40" s="15" t="s">
        <v>42</v>
      </c>
      <c r="D40" s="15">
        <f>10.373+0.014</f>
        <v>10.386999999999999</v>
      </c>
      <c r="E40" s="15">
        <v>100000</v>
      </c>
      <c r="F40" s="15">
        <v>16</v>
      </c>
      <c r="G40" s="15"/>
    </row>
    <row r="41" spans="1:7" x14ac:dyDescent="0.25">
      <c r="A41" s="14">
        <v>40</v>
      </c>
      <c r="B41" s="15" t="s">
        <v>45</v>
      </c>
      <c r="C41" s="15" t="s">
        <v>46</v>
      </c>
      <c r="D41" s="15">
        <f>0.018+6.558</f>
        <v>6.5759999999999996</v>
      </c>
      <c r="E41" s="15">
        <v>35000</v>
      </c>
      <c r="F41" s="15">
        <v>30</v>
      </c>
      <c r="G41" s="15"/>
    </row>
    <row r="42" spans="1:7" x14ac:dyDescent="0.25">
      <c r="A42" s="14">
        <v>41</v>
      </c>
      <c r="B42" s="15" t="s">
        <v>46</v>
      </c>
      <c r="C42" s="15" t="s">
        <v>47</v>
      </c>
      <c r="D42" s="15">
        <f>5.959+11.305</f>
        <v>17.263999999999999</v>
      </c>
      <c r="E42" s="15">
        <v>35000</v>
      </c>
      <c r="F42" s="15">
        <v>30</v>
      </c>
      <c r="G42" s="15"/>
    </row>
    <row r="43" spans="1:7" x14ac:dyDescent="0.25">
      <c r="A43" s="14">
        <v>42</v>
      </c>
      <c r="B43" s="15" t="s">
        <v>47</v>
      </c>
      <c r="C43" s="15" t="s">
        <v>48</v>
      </c>
      <c r="D43" s="15">
        <f>6.658+7.452</f>
        <v>14.11</v>
      </c>
      <c r="E43" s="15">
        <v>70000</v>
      </c>
      <c r="F43" s="15">
        <v>30</v>
      </c>
      <c r="G43" s="15"/>
    </row>
    <row r="44" spans="1:7" x14ac:dyDescent="0.25">
      <c r="A44" s="14">
        <v>43</v>
      </c>
      <c r="B44" s="15" t="s">
        <v>48</v>
      </c>
      <c r="C44" s="15" t="s">
        <v>49</v>
      </c>
      <c r="D44" s="15">
        <f>11.866+7.305</f>
        <v>19.170999999999999</v>
      </c>
      <c r="E44" s="15">
        <v>35000</v>
      </c>
      <c r="F44" s="15">
        <v>30</v>
      </c>
      <c r="G44" s="15"/>
    </row>
    <row r="45" spans="1:7" x14ac:dyDescent="0.25">
      <c r="A45" s="14">
        <v>44</v>
      </c>
      <c r="B45" s="15" t="s">
        <v>49</v>
      </c>
      <c r="C45" s="15" t="s">
        <v>50</v>
      </c>
      <c r="D45" s="15">
        <v>12.564</v>
      </c>
      <c r="E45" s="15">
        <v>70000</v>
      </c>
      <c r="F45" s="15">
        <v>30</v>
      </c>
      <c r="G45" s="15"/>
    </row>
    <row r="46" spans="1:7" x14ac:dyDescent="0.25">
      <c r="A46" s="14">
        <v>45</v>
      </c>
      <c r="B46" s="15" t="s">
        <v>50</v>
      </c>
      <c r="C46" s="15" t="s">
        <v>40</v>
      </c>
      <c r="D46" s="15">
        <v>6.5990000000000002</v>
      </c>
      <c r="E46" s="15">
        <v>35000</v>
      </c>
      <c r="F46" s="15">
        <v>30</v>
      </c>
      <c r="G46" s="15"/>
    </row>
    <row r="47" spans="1:7" x14ac:dyDescent="0.25">
      <c r="A47" s="14">
        <v>46</v>
      </c>
      <c r="B47" s="15" t="s">
        <v>40</v>
      </c>
      <c r="C47" s="15" t="s">
        <v>51</v>
      </c>
      <c r="D47" s="15">
        <v>9.2249999999999996</v>
      </c>
      <c r="E47" s="15">
        <v>35000</v>
      </c>
      <c r="F47" s="15">
        <v>30</v>
      </c>
      <c r="G47" s="15"/>
    </row>
    <row r="48" spans="1:7" x14ac:dyDescent="0.25">
      <c r="A48" s="14">
        <v>47</v>
      </c>
      <c r="B48" s="15" t="s">
        <v>51</v>
      </c>
      <c r="C48" s="15" t="s">
        <v>52</v>
      </c>
      <c r="D48" s="15">
        <v>2.9420000000000002</v>
      </c>
      <c r="E48" s="15">
        <v>100000</v>
      </c>
      <c r="F48" s="15">
        <v>30</v>
      </c>
      <c r="G48" s="15"/>
    </row>
    <row r="49" spans="1:7" x14ac:dyDescent="0.25">
      <c r="A49" s="14">
        <v>48</v>
      </c>
      <c r="B49" s="15" t="s">
        <v>52</v>
      </c>
      <c r="C49" s="15" t="s">
        <v>58</v>
      </c>
      <c r="D49" s="15">
        <f>4.691+1.756+1.249</f>
        <v>7.6959999999999997</v>
      </c>
      <c r="E49" s="15">
        <v>100000</v>
      </c>
      <c r="F49" s="15">
        <v>30</v>
      </c>
      <c r="G49" s="15"/>
    </row>
    <row r="50" spans="1:7" x14ac:dyDescent="0.25">
      <c r="A50" s="14">
        <v>49</v>
      </c>
      <c r="B50" s="15" t="s">
        <v>58</v>
      </c>
      <c r="C50" s="15" t="s">
        <v>55</v>
      </c>
      <c r="D50" s="15">
        <v>0.628</v>
      </c>
      <c r="E50" s="15">
        <v>100000</v>
      </c>
      <c r="F50" s="15">
        <v>30</v>
      </c>
      <c r="G50" s="15"/>
    </row>
    <row r="51" spans="1:7" x14ac:dyDescent="0.25">
      <c r="A51" s="14">
        <v>50</v>
      </c>
      <c r="B51" s="15" t="s">
        <v>55</v>
      </c>
      <c r="C51" s="15" t="s">
        <v>53</v>
      </c>
      <c r="D51" s="15">
        <f>7.989</f>
        <v>7.9889999999999999</v>
      </c>
      <c r="E51" s="15">
        <v>70000</v>
      </c>
      <c r="F51" s="15">
        <v>30</v>
      </c>
      <c r="G51" s="15"/>
    </row>
    <row r="52" spans="1:7" x14ac:dyDescent="0.25">
      <c r="A52" s="14">
        <v>51</v>
      </c>
      <c r="B52" s="15" t="s">
        <v>53</v>
      </c>
      <c r="C52" s="15" t="s">
        <v>54</v>
      </c>
      <c r="D52" s="15">
        <v>2.3E-2</v>
      </c>
      <c r="E52" s="15">
        <v>360000</v>
      </c>
      <c r="F52" s="15">
        <v>30</v>
      </c>
      <c r="G52" s="15"/>
    </row>
    <row r="53" spans="1:7" x14ac:dyDescent="0.25">
      <c r="A53" s="14">
        <v>52</v>
      </c>
      <c r="B53" s="15" t="s">
        <v>55</v>
      </c>
      <c r="C53" s="15" t="s">
        <v>56</v>
      </c>
      <c r="D53" s="15">
        <f>0.026+6.097+0.002</f>
        <v>6.125</v>
      </c>
      <c r="E53" s="15">
        <v>18500</v>
      </c>
      <c r="F53" s="15">
        <v>12</v>
      </c>
      <c r="G53" s="15"/>
    </row>
    <row r="54" spans="1:7" x14ac:dyDescent="0.25">
      <c r="A54" s="14">
        <v>53</v>
      </c>
      <c r="B54" s="15" t="s">
        <v>56</v>
      </c>
      <c r="C54" s="15" t="s">
        <v>57</v>
      </c>
      <c r="D54" s="15">
        <f>0.027+0.006+0.842+0.783+0.163+0.01</f>
        <v>1.831</v>
      </c>
      <c r="E54" s="15">
        <v>60000</v>
      </c>
      <c r="F54" s="15">
        <v>12</v>
      </c>
      <c r="G54" s="15"/>
    </row>
    <row r="55" spans="1:7" x14ac:dyDescent="0.25">
      <c r="A55" s="14">
        <v>54</v>
      </c>
      <c r="B55" s="15" t="s">
        <v>58</v>
      </c>
      <c r="C55" s="15" t="s">
        <v>59</v>
      </c>
      <c r="D55" s="15">
        <f>0.009+1.79+0.009</f>
        <v>1.8079999999999998</v>
      </c>
      <c r="E55" s="15">
        <v>120000</v>
      </c>
      <c r="F55" s="15">
        <v>12</v>
      </c>
      <c r="G55" s="15"/>
    </row>
    <row r="56" spans="1:7" x14ac:dyDescent="0.25">
      <c r="A56" s="14">
        <v>55</v>
      </c>
      <c r="B56" s="15" t="s">
        <v>60</v>
      </c>
      <c r="C56" s="15" t="s">
        <v>40</v>
      </c>
      <c r="D56" s="15">
        <f>0.023+11.348+18.032+13.843+0.023</f>
        <v>43.268999999999998</v>
      </c>
      <c r="E56" s="15">
        <v>50000</v>
      </c>
      <c r="F56" s="15">
        <v>24</v>
      </c>
      <c r="G56" s="15"/>
    </row>
    <row r="57" spans="1:7" x14ac:dyDescent="0.25">
      <c r="A57" s="14">
        <v>56</v>
      </c>
      <c r="B57" s="15" t="s">
        <v>61</v>
      </c>
      <c r="C57" s="15" t="s">
        <v>45</v>
      </c>
      <c r="D57" s="15">
        <f>2.243+30.54</f>
        <v>32.783000000000001</v>
      </c>
      <c r="E57" s="15">
        <v>35000</v>
      </c>
      <c r="F57" s="15">
        <v>30</v>
      </c>
      <c r="G57" s="15"/>
    </row>
    <row r="58" spans="1:7" x14ac:dyDescent="0.25">
      <c r="A58" s="14">
        <v>57</v>
      </c>
      <c r="B58" s="15" t="s">
        <v>61</v>
      </c>
      <c r="C58" s="15" t="s">
        <v>45</v>
      </c>
      <c r="D58" s="15">
        <f>2.221+29.034</f>
        <v>31.254999999999999</v>
      </c>
      <c r="E58" s="15">
        <v>35000</v>
      </c>
      <c r="F58" s="15">
        <v>30</v>
      </c>
      <c r="G58" s="1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B22" sqref="B22"/>
    </sheetView>
  </sheetViews>
  <sheetFormatPr defaultRowHeight="15" x14ac:dyDescent="0.25"/>
  <cols>
    <col min="2" max="2" width="175.7109375" customWidth="1"/>
  </cols>
  <sheetData>
    <row r="1" spans="1:9" x14ac:dyDescent="0.25">
      <c r="A1" s="30" t="s">
        <v>90</v>
      </c>
      <c r="B1" s="31" t="s">
        <v>76</v>
      </c>
    </row>
    <row r="2" spans="1:9" x14ac:dyDescent="0.25">
      <c r="A2" s="30" t="s">
        <v>91</v>
      </c>
      <c r="B2" s="31" t="s">
        <v>77</v>
      </c>
    </row>
    <row r="3" spans="1:9" x14ac:dyDescent="0.25">
      <c r="A3" s="30" t="s">
        <v>94</v>
      </c>
      <c r="B3" s="31" t="s">
        <v>78</v>
      </c>
    </row>
    <row r="4" spans="1:9" x14ac:dyDescent="0.25">
      <c r="A4" s="30" t="s">
        <v>96</v>
      </c>
      <c r="B4" s="31" t="s">
        <v>81</v>
      </c>
    </row>
    <row r="5" spans="1:9" x14ac:dyDescent="0.25">
      <c r="A5" s="30" t="s">
        <v>97</v>
      </c>
      <c r="B5" s="31" t="s">
        <v>152</v>
      </c>
    </row>
    <row r="6" spans="1:9" x14ac:dyDescent="0.25">
      <c r="A6" s="30" t="s">
        <v>79</v>
      </c>
      <c r="B6" s="31" t="s">
        <v>82</v>
      </c>
    </row>
    <row r="7" spans="1:9" x14ac:dyDescent="0.25">
      <c r="A7" s="30" t="s">
        <v>80</v>
      </c>
      <c r="B7" s="30" t="s">
        <v>119</v>
      </c>
    </row>
    <row r="8" spans="1:9" x14ac:dyDescent="0.25">
      <c r="A8" s="30" t="s">
        <v>151</v>
      </c>
      <c r="B8" s="30" t="s">
        <v>150</v>
      </c>
    </row>
    <row r="9" spans="1:9" x14ac:dyDescent="0.25">
      <c r="A9" s="30" t="s">
        <v>170</v>
      </c>
      <c r="B9" t="s">
        <v>169</v>
      </c>
    </row>
    <row r="10" spans="1:9" ht="14.25" customHeight="1" x14ac:dyDescent="0.25"/>
    <row r="11" spans="1:9" ht="15.75" customHeight="1" x14ac:dyDescent="0.25">
      <c r="A11" s="6"/>
      <c r="B11" s="6"/>
    </row>
    <row r="12" spans="1:9" ht="15.75" customHeight="1" x14ac:dyDescent="0.25">
      <c r="A12" s="6"/>
      <c r="B12" s="6"/>
      <c r="I12" s="6"/>
    </row>
    <row r="13" spans="1:9" ht="15.75" customHeight="1" x14ac:dyDescent="0.25">
      <c r="A13" s="6"/>
      <c r="B13" s="6"/>
      <c r="I13" s="6"/>
    </row>
    <row r="14" spans="1:9" ht="15.75" customHeight="1" x14ac:dyDescent="0.25">
      <c r="A14" s="6"/>
      <c r="B14" s="6"/>
      <c r="I14" s="6"/>
    </row>
    <row r="15" spans="1:9" ht="15.75" customHeight="1" x14ac:dyDescent="0.25">
      <c r="A15" s="6"/>
      <c r="B15" s="6"/>
    </row>
    <row r="16" spans="1:9" ht="15.75" customHeight="1" x14ac:dyDescent="0.25">
      <c r="A16" s="6"/>
      <c r="B16" s="6"/>
    </row>
    <row r="17" spans="1:2" ht="15.75" customHeight="1" x14ac:dyDescent="0.25">
      <c r="A17" s="6"/>
      <c r="B17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workbookViewId="0">
      <selection activeCell="T8" sqref="T8"/>
    </sheetView>
  </sheetViews>
  <sheetFormatPr defaultRowHeight="15" x14ac:dyDescent="0.25"/>
  <cols>
    <col min="1" max="1" width="9.140625" style="2"/>
    <col min="2" max="2" width="11.85546875" customWidth="1"/>
    <col min="3" max="3" width="17.140625" customWidth="1"/>
    <col min="4" max="4" width="13.5703125" customWidth="1"/>
    <col min="5" max="5" width="14.5703125" customWidth="1"/>
    <col min="6" max="6" width="13.85546875" customWidth="1"/>
    <col min="7" max="7" width="18" customWidth="1"/>
    <col min="12" max="12" width="14.5703125" customWidth="1"/>
    <col min="13" max="13" width="20.5703125" customWidth="1"/>
  </cols>
  <sheetData>
    <row r="1" spans="1:20" x14ac:dyDescent="0.25">
      <c r="A1" s="16" t="s">
        <v>73</v>
      </c>
      <c r="B1" s="10" t="s">
        <v>2</v>
      </c>
      <c r="C1" s="10" t="s">
        <v>1</v>
      </c>
      <c r="D1" s="10" t="s">
        <v>68</v>
      </c>
      <c r="E1" s="10" t="s">
        <v>75</v>
      </c>
      <c r="F1" s="10" t="s">
        <v>69</v>
      </c>
      <c r="G1" s="10" t="s">
        <v>103</v>
      </c>
      <c r="H1" s="1"/>
      <c r="I1" s="1"/>
      <c r="J1" s="1"/>
      <c r="K1" s="5" t="s">
        <v>72</v>
      </c>
      <c r="L1" s="1" t="s">
        <v>3</v>
      </c>
      <c r="M1" s="1" t="s">
        <v>74</v>
      </c>
      <c r="N1" s="1" t="s">
        <v>70</v>
      </c>
      <c r="O1" s="1" t="s">
        <v>71</v>
      </c>
      <c r="R1" s="1" t="s">
        <v>167</v>
      </c>
      <c r="S1" s="33"/>
      <c r="T1" t="s">
        <v>168</v>
      </c>
    </row>
    <row r="2" spans="1:20" x14ac:dyDescent="0.25">
      <c r="A2" s="17">
        <v>1</v>
      </c>
      <c r="B2" s="15" t="s">
        <v>4</v>
      </c>
      <c r="C2" s="15" t="s">
        <v>20</v>
      </c>
      <c r="D2" s="7">
        <f>(0.235+13.599+0.238+13.811)/2</f>
        <v>13.9415</v>
      </c>
      <c r="E2" s="7">
        <v>70000</v>
      </c>
      <c r="F2" s="7">
        <v>39.5852</v>
      </c>
      <c r="G2" s="7" t="s">
        <v>24</v>
      </c>
      <c r="K2" s="33">
        <v>1</v>
      </c>
      <c r="L2" t="s">
        <v>4</v>
      </c>
      <c r="M2">
        <v>80</v>
      </c>
      <c r="N2">
        <v>70</v>
      </c>
      <c r="O2">
        <v>80</v>
      </c>
    </row>
    <row r="3" spans="1:20" x14ac:dyDescent="0.25">
      <c r="A3" s="17">
        <v>2</v>
      </c>
      <c r="B3" s="15" t="s">
        <v>20</v>
      </c>
      <c r="C3" s="15" t="s">
        <v>5</v>
      </c>
      <c r="D3" s="7">
        <f>(12.032+11.009+12.4+7.593+0.064+(23.065+19.953+0.024))/2</f>
        <v>43.070000000000007</v>
      </c>
      <c r="E3" s="7">
        <v>140000</v>
      </c>
      <c r="F3" s="7">
        <v>39.5852</v>
      </c>
      <c r="G3" s="7" t="s">
        <v>24</v>
      </c>
      <c r="K3">
        <v>2</v>
      </c>
      <c r="L3" t="s">
        <v>20</v>
      </c>
      <c r="M3">
        <v>80</v>
      </c>
      <c r="N3">
        <v>70</v>
      </c>
      <c r="O3">
        <v>80</v>
      </c>
    </row>
    <row r="4" spans="1:20" x14ac:dyDescent="0.25">
      <c r="A4" s="17">
        <v>3</v>
      </c>
      <c r="B4" s="15" t="s">
        <v>5</v>
      </c>
      <c r="C4" s="15" t="s">
        <v>6</v>
      </c>
      <c r="D4" s="7">
        <f>0.024+13.029+5.08</f>
        <v>18.132999999999999</v>
      </c>
      <c r="E4" s="7">
        <v>10000</v>
      </c>
      <c r="F4" s="7">
        <v>30</v>
      </c>
      <c r="G4" s="7"/>
      <c r="K4">
        <v>3</v>
      </c>
      <c r="L4" t="s">
        <v>5</v>
      </c>
      <c r="M4">
        <v>80</v>
      </c>
      <c r="N4">
        <v>70</v>
      </c>
      <c r="O4">
        <v>80</v>
      </c>
    </row>
    <row r="5" spans="1:20" x14ac:dyDescent="0.25">
      <c r="A5" s="17">
        <v>4</v>
      </c>
      <c r="B5" s="15" t="s">
        <v>6</v>
      </c>
      <c r="C5" s="15" t="s">
        <v>7</v>
      </c>
      <c r="D5" s="7">
        <v>8.6590000000000007</v>
      </c>
      <c r="E5" s="7">
        <v>18500</v>
      </c>
      <c r="F5" s="7">
        <v>30</v>
      </c>
      <c r="G5" s="7"/>
      <c r="K5">
        <v>4</v>
      </c>
      <c r="L5" t="s">
        <v>6</v>
      </c>
      <c r="M5">
        <v>80</v>
      </c>
      <c r="N5">
        <v>70</v>
      </c>
      <c r="O5">
        <v>80</v>
      </c>
    </row>
    <row r="6" spans="1:20" x14ac:dyDescent="0.25">
      <c r="A6" s="17">
        <v>5</v>
      </c>
      <c r="B6" s="15" t="s">
        <v>7</v>
      </c>
      <c r="C6" s="7" t="s">
        <v>43</v>
      </c>
      <c r="D6" s="7">
        <f xml:space="preserve"> 6.857+0.795</f>
        <v>7.6520000000000001</v>
      </c>
      <c r="E6" s="7">
        <v>35000</v>
      </c>
      <c r="F6" s="7">
        <v>30</v>
      </c>
      <c r="G6" s="7" t="s">
        <v>44</v>
      </c>
      <c r="K6">
        <v>5</v>
      </c>
      <c r="L6" t="s">
        <v>7</v>
      </c>
      <c r="M6">
        <v>80</v>
      </c>
      <c r="N6">
        <v>70</v>
      </c>
      <c r="O6">
        <v>80</v>
      </c>
    </row>
    <row r="7" spans="1:20" x14ac:dyDescent="0.25">
      <c r="A7" s="17">
        <v>6</v>
      </c>
      <c r="B7" s="7" t="s">
        <v>43</v>
      </c>
      <c r="C7" s="7" t="s">
        <v>34</v>
      </c>
      <c r="D7" s="7">
        <f>(1.425+1.906+(1.437+0.814+0.019+1.663+0.049))/2</f>
        <v>3.6564999999999999</v>
      </c>
      <c r="E7" s="7">
        <v>35000</v>
      </c>
      <c r="F7" s="7">
        <v>39.5852</v>
      </c>
      <c r="G7" s="7" t="s">
        <v>24</v>
      </c>
      <c r="K7">
        <v>6</v>
      </c>
      <c r="L7" t="s">
        <v>43</v>
      </c>
      <c r="M7">
        <v>80</v>
      </c>
      <c r="N7">
        <v>70</v>
      </c>
      <c r="O7">
        <v>80</v>
      </c>
    </row>
    <row r="8" spans="1:20" x14ac:dyDescent="0.25">
      <c r="A8" s="17">
        <v>7</v>
      </c>
      <c r="B8" s="15" t="s">
        <v>8</v>
      </c>
      <c r="C8" s="15" t="s">
        <v>9</v>
      </c>
      <c r="D8" s="7">
        <f>0.023+6.839+11.24</f>
        <v>18.102</v>
      </c>
      <c r="E8" s="7">
        <v>37000</v>
      </c>
      <c r="F8" s="7">
        <v>35.9542</v>
      </c>
      <c r="G8" s="7" t="s">
        <v>63</v>
      </c>
      <c r="K8">
        <v>7</v>
      </c>
      <c r="L8" t="s">
        <v>34</v>
      </c>
      <c r="M8">
        <v>80</v>
      </c>
      <c r="N8">
        <v>70</v>
      </c>
      <c r="O8">
        <v>80</v>
      </c>
    </row>
    <row r="9" spans="1:20" x14ac:dyDescent="0.25">
      <c r="A9" s="17">
        <v>8</v>
      </c>
      <c r="B9" s="15" t="s">
        <v>9</v>
      </c>
      <c r="C9" s="15" t="s">
        <v>10</v>
      </c>
      <c r="D9" s="7">
        <f>6.633+9.096+8.552</f>
        <v>24.280999999999999</v>
      </c>
      <c r="E9" s="7">
        <v>70000</v>
      </c>
      <c r="F9" s="7">
        <v>35.9542</v>
      </c>
      <c r="G9" s="7" t="s">
        <v>63</v>
      </c>
      <c r="K9">
        <v>8</v>
      </c>
      <c r="L9" t="s">
        <v>8</v>
      </c>
      <c r="M9">
        <v>80</v>
      </c>
      <c r="N9">
        <v>70</v>
      </c>
      <c r="O9">
        <v>80</v>
      </c>
    </row>
    <row r="10" spans="1:20" x14ac:dyDescent="0.25">
      <c r="A10" s="17">
        <v>9</v>
      </c>
      <c r="B10" s="15" t="s">
        <v>10</v>
      </c>
      <c r="C10" s="15" t="s">
        <v>11</v>
      </c>
      <c r="D10" s="7">
        <v>15.473000000000001</v>
      </c>
      <c r="E10" s="7">
        <v>70000</v>
      </c>
      <c r="F10" s="7">
        <v>35.9542</v>
      </c>
      <c r="G10" s="7" t="s">
        <v>63</v>
      </c>
      <c r="K10">
        <v>9</v>
      </c>
      <c r="L10" t="s">
        <v>9</v>
      </c>
      <c r="M10">
        <v>80</v>
      </c>
      <c r="N10">
        <v>70</v>
      </c>
      <c r="O10">
        <v>80</v>
      </c>
    </row>
    <row r="11" spans="1:20" x14ac:dyDescent="0.25">
      <c r="A11" s="17">
        <v>10</v>
      </c>
      <c r="B11" s="15" t="s">
        <v>11</v>
      </c>
      <c r="C11" s="15" t="s">
        <v>12</v>
      </c>
      <c r="D11" s="7">
        <f>10.769+5.957</f>
        <v>16.725999999999999</v>
      </c>
      <c r="E11" s="7">
        <v>37000</v>
      </c>
      <c r="F11" s="7">
        <v>35.9542</v>
      </c>
      <c r="G11" s="7" t="s">
        <v>63</v>
      </c>
      <c r="K11">
        <v>10</v>
      </c>
      <c r="L11" t="s">
        <v>10</v>
      </c>
      <c r="M11">
        <v>80</v>
      </c>
      <c r="N11">
        <v>70</v>
      </c>
      <c r="O11">
        <v>80</v>
      </c>
    </row>
    <row r="12" spans="1:20" x14ac:dyDescent="0.25">
      <c r="A12" s="17">
        <v>11</v>
      </c>
      <c r="B12" s="15" t="s">
        <v>12</v>
      </c>
      <c r="C12" s="15" t="s">
        <v>13</v>
      </c>
      <c r="D12" s="7">
        <v>5.3410000000000002</v>
      </c>
      <c r="E12" s="7">
        <v>70000</v>
      </c>
      <c r="F12" s="7">
        <v>35.9542</v>
      </c>
      <c r="G12" s="7" t="s">
        <v>63</v>
      </c>
      <c r="K12">
        <v>11</v>
      </c>
      <c r="L12" t="s">
        <v>11</v>
      </c>
      <c r="M12">
        <v>80</v>
      </c>
      <c r="N12">
        <v>70</v>
      </c>
      <c r="O12">
        <v>80</v>
      </c>
    </row>
    <row r="13" spans="1:20" x14ac:dyDescent="0.25">
      <c r="A13" s="17">
        <v>12</v>
      </c>
      <c r="B13" s="15" t="s">
        <v>13</v>
      </c>
      <c r="C13" s="7" t="s">
        <v>5</v>
      </c>
      <c r="D13" s="7">
        <f>12.985+0.023</f>
        <v>13.007999999999999</v>
      </c>
      <c r="E13" s="7">
        <v>140000</v>
      </c>
      <c r="F13" s="7">
        <v>35.9542</v>
      </c>
      <c r="G13" s="7" t="s">
        <v>63</v>
      </c>
      <c r="K13">
        <v>12</v>
      </c>
      <c r="L13" t="s">
        <v>12</v>
      </c>
      <c r="M13">
        <v>80</v>
      </c>
      <c r="N13">
        <v>70</v>
      </c>
      <c r="O13">
        <v>80</v>
      </c>
    </row>
    <row r="14" spans="1:20" x14ac:dyDescent="0.25">
      <c r="A14" s="17">
        <v>13</v>
      </c>
      <c r="B14" s="15" t="s">
        <v>5</v>
      </c>
      <c r="C14" s="15" t="s">
        <v>14</v>
      </c>
      <c r="D14" s="7">
        <f>0.048+22.13</f>
        <v>22.177999999999997</v>
      </c>
      <c r="E14" s="7">
        <v>18500</v>
      </c>
      <c r="F14" s="7">
        <v>20</v>
      </c>
      <c r="G14" s="7"/>
      <c r="K14">
        <v>13</v>
      </c>
      <c r="L14" t="s">
        <v>13</v>
      </c>
      <c r="M14">
        <v>80</v>
      </c>
      <c r="N14">
        <v>70</v>
      </c>
      <c r="O14">
        <v>80</v>
      </c>
    </row>
    <row r="15" spans="1:20" x14ac:dyDescent="0.25">
      <c r="A15" s="17">
        <v>14</v>
      </c>
      <c r="B15" s="15" t="s">
        <v>14</v>
      </c>
      <c r="C15" s="15" t="s">
        <v>15</v>
      </c>
      <c r="D15" s="7">
        <v>19.475999999999999</v>
      </c>
      <c r="E15" s="7">
        <v>18500</v>
      </c>
      <c r="F15" s="7">
        <v>20</v>
      </c>
      <c r="G15" s="7"/>
      <c r="K15">
        <v>14</v>
      </c>
      <c r="L15" t="s">
        <v>14</v>
      </c>
      <c r="M15">
        <v>80</v>
      </c>
      <c r="N15">
        <v>70</v>
      </c>
      <c r="O15">
        <v>80</v>
      </c>
    </row>
    <row r="16" spans="1:20" x14ac:dyDescent="0.25">
      <c r="A16" s="17">
        <v>15</v>
      </c>
      <c r="B16" s="15" t="s">
        <v>15</v>
      </c>
      <c r="C16" s="15" t="s">
        <v>16</v>
      </c>
      <c r="D16" s="7">
        <v>21.727</v>
      </c>
      <c r="E16" s="7">
        <v>100000</v>
      </c>
      <c r="F16" s="7">
        <v>20</v>
      </c>
      <c r="G16" s="7"/>
      <c r="K16">
        <v>15</v>
      </c>
      <c r="L16" t="s">
        <v>15</v>
      </c>
      <c r="M16">
        <v>80</v>
      </c>
      <c r="N16">
        <v>70</v>
      </c>
      <c r="O16">
        <v>80</v>
      </c>
    </row>
    <row r="17" spans="1:15" x14ac:dyDescent="0.25">
      <c r="A17" s="17">
        <v>16</v>
      </c>
      <c r="B17" s="15" t="s">
        <v>16</v>
      </c>
      <c r="C17" s="15" t="s">
        <v>17</v>
      </c>
      <c r="D17" s="7">
        <v>20.943999999999999</v>
      </c>
      <c r="E17" s="7">
        <v>18500</v>
      </c>
      <c r="F17" s="7">
        <v>20</v>
      </c>
      <c r="G17" s="7"/>
      <c r="K17">
        <v>16</v>
      </c>
      <c r="L17" t="s">
        <v>16</v>
      </c>
      <c r="M17">
        <v>80</v>
      </c>
      <c r="N17">
        <v>70</v>
      </c>
      <c r="O17">
        <v>80</v>
      </c>
    </row>
    <row r="18" spans="1:15" x14ac:dyDescent="0.25">
      <c r="A18" s="17">
        <v>17</v>
      </c>
      <c r="B18" s="15" t="s">
        <v>17</v>
      </c>
      <c r="C18" s="15" t="s">
        <v>18</v>
      </c>
      <c r="D18" s="7">
        <v>19.297000000000001</v>
      </c>
      <c r="E18" s="7">
        <v>100000</v>
      </c>
      <c r="F18" s="7">
        <v>20</v>
      </c>
      <c r="G18" s="7"/>
      <c r="K18">
        <v>17</v>
      </c>
      <c r="L18" t="s">
        <v>17</v>
      </c>
      <c r="M18">
        <v>80</v>
      </c>
      <c r="N18">
        <v>70</v>
      </c>
      <c r="O18">
        <v>80</v>
      </c>
    </row>
    <row r="19" spans="1:15" x14ac:dyDescent="0.25">
      <c r="A19" s="17">
        <v>18</v>
      </c>
      <c r="B19" s="15" t="s">
        <v>18</v>
      </c>
      <c r="C19" s="15" t="s">
        <v>19</v>
      </c>
      <c r="D19" s="7">
        <f>23.329+0.018</f>
        <v>23.347000000000001</v>
      </c>
      <c r="E19" s="7">
        <v>18500</v>
      </c>
      <c r="F19" s="7">
        <v>20</v>
      </c>
      <c r="G19" s="7" t="s">
        <v>64</v>
      </c>
      <c r="K19">
        <v>18</v>
      </c>
      <c r="L19" t="s">
        <v>18</v>
      </c>
      <c r="M19">
        <v>80</v>
      </c>
      <c r="N19">
        <v>70</v>
      </c>
      <c r="O19">
        <v>80</v>
      </c>
    </row>
    <row r="20" spans="1:15" x14ac:dyDescent="0.25">
      <c r="A20" s="17">
        <v>19</v>
      </c>
      <c r="B20" s="15" t="s">
        <v>19</v>
      </c>
      <c r="C20" s="15" t="s">
        <v>21</v>
      </c>
      <c r="D20" s="7">
        <f>0.014+23.146</f>
        <v>23.16</v>
      </c>
      <c r="E20" s="7">
        <v>18500</v>
      </c>
      <c r="F20" s="7">
        <v>14</v>
      </c>
      <c r="G20" s="7"/>
      <c r="K20">
        <v>19</v>
      </c>
      <c r="L20" t="s">
        <v>19</v>
      </c>
      <c r="M20">
        <v>80</v>
      </c>
      <c r="N20">
        <v>70</v>
      </c>
      <c r="O20">
        <v>80</v>
      </c>
    </row>
    <row r="21" spans="1:15" x14ac:dyDescent="0.25">
      <c r="A21" s="17">
        <v>20</v>
      </c>
      <c r="B21" s="15" t="s">
        <v>21</v>
      </c>
      <c r="C21" s="15" t="s">
        <v>22</v>
      </c>
      <c r="D21" s="7">
        <v>18.989999999999998</v>
      </c>
      <c r="E21" s="7">
        <v>35000</v>
      </c>
      <c r="F21" s="7">
        <v>14</v>
      </c>
      <c r="G21" s="7"/>
      <c r="K21">
        <v>20</v>
      </c>
      <c r="L21" t="s">
        <v>21</v>
      </c>
      <c r="M21">
        <v>80</v>
      </c>
      <c r="N21">
        <v>70</v>
      </c>
      <c r="O21">
        <v>80</v>
      </c>
    </row>
    <row r="22" spans="1:15" x14ac:dyDescent="0.25">
      <c r="A22" s="17">
        <v>21</v>
      </c>
      <c r="B22" s="15" t="s">
        <v>22</v>
      </c>
      <c r="C22" s="15" t="s">
        <v>23</v>
      </c>
      <c r="D22" s="7">
        <f>9.424+8.929+0.02</f>
        <v>18.373000000000001</v>
      </c>
      <c r="E22" s="7">
        <v>100000</v>
      </c>
      <c r="F22" s="7">
        <v>14</v>
      </c>
      <c r="G22" s="7"/>
      <c r="K22">
        <v>21</v>
      </c>
      <c r="L22" t="s">
        <v>22</v>
      </c>
      <c r="M22">
        <v>80</v>
      </c>
      <c r="N22">
        <v>70</v>
      </c>
      <c r="O22">
        <v>80</v>
      </c>
    </row>
    <row r="23" spans="1:15" x14ac:dyDescent="0.25">
      <c r="A23" s="17">
        <v>22</v>
      </c>
      <c r="B23" s="15" t="s">
        <v>16</v>
      </c>
      <c r="C23" s="15" t="s">
        <v>27</v>
      </c>
      <c r="D23" s="7">
        <f>0.009+17.783</f>
        <v>17.792000000000002</v>
      </c>
      <c r="E23" s="7">
        <v>18500</v>
      </c>
      <c r="F23" s="7">
        <v>12</v>
      </c>
      <c r="G23" s="7"/>
      <c r="K23">
        <v>22</v>
      </c>
      <c r="L23" t="s">
        <v>23</v>
      </c>
      <c r="M23">
        <v>80</v>
      </c>
      <c r="N23">
        <v>70</v>
      </c>
      <c r="O23">
        <v>80</v>
      </c>
    </row>
    <row r="24" spans="1:15" x14ac:dyDescent="0.25">
      <c r="A24" s="17">
        <v>23</v>
      </c>
      <c r="B24" s="15" t="s">
        <v>27</v>
      </c>
      <c r="C24" s="15" t="s">
        <v>29</v>
      </c>
      <c r="D24" s="7">
        <v>11.391999999999999</v>
      </c>
      <c r="E24" s="7">
        <v>18500</v>
      </c>
      <c r="F24" s="7">
        <v>12</v>
      </c>
      <c r="G24" s="7"/>
      <c r="K24">
        <v>23</v>
      </c>
      <c r="L24" t="s">
        <v>27</v>
      </c>
      <c r="M24" t="s">
        <v>28</v>
      </c>
      <c r="N24">
        <v>50</v>
      </c>
      <c r="O24">
        <v>80</v>
      </c>
    </row>
    <row r="25" spans="1:15" x14ac:dyDescent="0.25">
      <c r="A25" s="17">
        <v>24</v>
      </c>
      <c r="B25" s="15" t="s">
        <v>29</v>
      </c>
      <c r="C25" s="15" t="s">
        <v>30</v>
      </c>
      <c r="D25" s="7">
        <f>3.678+7.288+12.294+5.112+6.15+0.013</f>
        <v>34.534999999999997</v>
      </c>
      <c r="E25" s="7">
        <v>70000</v>
      </c>
      <c r="F25" s="7">
        <v>12</v>
      </c>
      <c r="G25" s="7"/>
      <c r="K25">
        <v>24</v>
      </c>
      <c r="L25" t="s">
        <v>29</v>
      </c>
      <c r="M25" t="s">
        <v>28</v>
      </c>
      <c r="N25">
        <v>50</v>
      </c>
      <c r="O25">
        <v>80</v>
      </c>
    </row>
    <row r="26" spans="1:15" x14ac:dyDescent="0.25">
      <c r="A26" s="17">
        <v>25</v>
      </c>
      <c r="B26" s="7" t="s">
        <v>31</v>
      </c>
      <c r="C26" s="7" t="s">
        <v>8</v>
      </c>
      <c r="D26" s="7">
        <f>0.354+0.339</f>
        <v>0.69300000000000006</v>
      </c>
      <c r="E26" s="7">
        <v>140000</v>
      </c>
      <c r="F26" s="7">
        <v>35.757599999999996</v>
      </c>
      <c r="G26" s="7" t="s">
        <v>32</v>
      </c>
      <c r="K26">
        <v>25</v>
      </c>
      <c r="L26" t="s">
        <v>30</v>
      </c>
      <c r="M26" t="s">
        <v>28</v>
      </c>
      <c r="N26">
        <v>50</v>
      </c>
      <c r="O26">
        <v>80</v>
      </c>
    </row>
    <row r="27" spans="1:15" x14ac:dyDescent="0.25">
      <c r="A27" s="17">
        <v>26</v>
      </c>
      <c r="B27" s="15" t="s">
        <v>7</v>
      </c>
      <c r="C27" s="15" t="s">
        <v>33</v>
      </c>
      <c r="D27" s="7">
        <f>0.01+3.499+0.01</f>
        <v>3.5189999999999997</v>
      </c>
      <c r="E27" s="7">
        <v>80000</v>
      </c>
      <c r="F27" s="7">
        <v>12</v>
      </c>
      <c r="G27" s="7"/>
      <c r="K27">
        <v>26</v>
      </c>
      <c r="L27" t="s">
        <v>31</v>
      </c>
      <c r="M27">
        <v>80</v>
      </c>
      <c r="N27">
        <v>70</v>
      </c>
      <c r="O27">
        <v>80</v>
      </c>
    </row>
    <row r="28" spans="1:15" x14ac:dyDescent="0.25">
      <c r="A28" s="17">
        <v>27</v>
      </c>
      <c r="B28" s="7" t="s">
        <v>62</v>
      </c>
      <c r="C28" s="7" t="s">
        <v>10</v>
      </c>
      <c r="D28" s="7">
        <v>1.0669999999999999</v>
      </c>
      <c r="E28" s="18">
        <v>600</v>
      </c>
      <c r="F28" s="7">
        <v>4</v>
      </c>
      <c r="G28" s="7"/>
      <c r="K28">
        <v>27</v>
      </c>
      <c r="L28" t="s">
        <v>33</v>
      </c>
      <c r="M28">
        <v>80</v>
      </c>
      <c r="N28">
        <v>70</v>
      </c>
      <c r="O28">
        <v>80</v>
      </c>
    </row>
    <row r="29" spans="1:15" x14ac:dyDescent="0.25">
      <c r="A29" s="17">
        <v>28</v>
      </c>
      <c r="B29" s="7" t="s">
        <v>34</v>
      </c>
      <c r="C29" s="7" t="s">
        <v>35</v>
      </c>
      <c r="D29" s="7">
        <f>8.796+11.466</f>
        <v>20.262</v>
      </c>
      <c r="E29" s="7">
        <v>18500</v>
      </c>
      <c r="F29" s="7">
        <v>30</v>
      </c>
      <c r="G29" s="7"/>
      <c r="K29">
        <v>28</v>
      </c>
      <c r="L29" t="s">
        <v>62</v>
      </c>
      <c r="M29">
        <v>80</v>
      </c>
      <c r="N29">
        <v>70</v>
      </c>
      <c r="O29">
        <v>80</v>
      </c>
    </row>
    <row r="30" spans="1:15" x14ac:dyDescent="0.25">
      <c r="A30" s="17">
        <v>29</v>
      </c>
      <c r="B30" s="15" t="s">
        <v>35</v>
      </c>
      <c r="C30" s="15" t="s">
        <v>36</v>
      </c>
      <c r="D30" s="7">
        <v>6.5890000000000004</v>
      </c>
      <c r="E30" s="7">
        <v>35000</v>
      </c>
      <c r="F30" s="7">
        <v>30</v>
      </c>
      <c r="G30" s="7"/>
      <c r="K30">
        <v>29</v>
      </c>
      <c r="L30" t="s">
        <v>35</v>
      </c>
      <c r="M30">
        <v>80</v>
      </c>
      <c r="N30">
        <v>70</v>
      </c>
      <c r="O30">
        <v>80</v>
      </c>
    </row>
    <row r="31" spans="1:15" x14ac:dyDescent="0.25">
      <c r="A31" s="17">
        <v>30</v>
      </c>
      <c r="B31" s="15" t="s">
        <v>36</v>
      </c>
      <c r="C31" s="15" t="s">
        <v>37</v>
      </c>
      <c r="D31" s="7">
        <f>10.396+5.149+13.08</f>
        <v>28.625</v>
      </c>
      <c r="E31" s="7">
        <v>125000</v>
      </c>
      <c r="F31" s="7">
        <v>30</v>
      </c>
      <c r="G31" s="7"/>
      <c r="K31">
        <v>30</v>
      </c>
      <c r="L31" t="s">
        <v>36</v>
      </c>
      <c r="M31">
        <v>80</v>
      </c>
      <c r="N31">
        <v>70</v>
      </c>
      <c r="O31">
        <v>80</v>
      </c>
    </row>
    <row r="32" spans="1:15" x14ac:dyDescent="0.25">
      <c r="A32" s="17">
        <v>31</v>
      </c>
      <c r="B32" s="15" t="s">
        <v>37</v>
      </c>
      <c r="C32" s="15" t="s">
        <v>38</v>
      </c>
      <c r="D32" s="7">
        <f>12.78</f>
        <v>12.78</v>
      </c>
      <c r="E32" s="7">
        <v>18500</v>
      </c>
      <c r="F32" s="7">
        <v>30</v>
      </c>
      <c r="G32" s="7"/>
      <c r="K32">
        <v>31</v>
      </c>
      <c r="L32" t="s">
        <v>37</v>
      </c>
      <c r="M32">
        <v>80</v>
      </c>
      <c r="N32">
        <v>70</v>
      </c>
      <c r="O32">
        <v>80</v>
      </c>
    </row>
    <row r="33" spans="1:15" x14ac:dyDescent="0.25">
      <c r="A33" s="17">
        <v>32</v>
      </c>
      <c r="B33" s="15" t="s">
        <v>38</v>
      </c>
      <c r="C33" s="15" t="s">
        <v>39</v>
      </c>
      <c r="D33" s="7">
        <f>9.358+0.025</f>
        <v>9.3830000000000009</v>
      </c>
      <c r="E33" s="7">
        <v>18500</v>
      </c>
      <c r="F33" s="7">
        <v>30</v>
      </c>
      <c r="G33" s="7"/>
      <c r="K33">
        <v>32</v>
      </c>
      <c r="L33" t="s">
        <v>38</v>
      </c>
      <c r="M33">
        <v>80</v>
      </c>
      <c r="N33">
        <v>70</v>
      </c>
      <c r="O33">
        <v>80</v>
      </c>
    </row>
    <row r="34" spans="1:15" x14ac:dyDescent="0.25">
      <c r="A34" s="17">
        <v>33</v>
      </c>
      <c r="B34" s="15" t="s">
        <v>40</v>
      </c>
      <c r="C34" s="15" t="s">
        <v>41</v>
      </c>
      <c r="D34" s="7">
        <f>0.013+7.717+7.484</f>
        <v>15.213999999999999</v>
      </c>
      <c r="E34" s="7">
        <v>100000</v>
      </c>
      <c r="F34" s="7">
        <v>16</v>
      </c>
      <c r="G34" s="7"/>
      <c r="K34">
        <v>33</v>
      </c>
      <c r="L34" t="s">
        <v>39</v>
      </c>
      <c r="M34">
        <v>80</v>
      </c>
      <c r="N34">
        <v>70</v>
      </c>
      <c r="O34">
        <v>80</v>
      </c>
    </row>
    <row r="35" spans="1:15" x14ac:dyDescent="0.25">
      <c r="A35" s="17">
        <v>34</v>
      </c>
      <c r="B35" s="15" t="s">
        <v>41</v>
      </c>
      <c r="C35" s="15" t="s">
        <v>42</v>
      </c>
      <c r="D35" s="7">
        <f>10.373+0.014</f>
        <v>10.386999999999999</v>
      </c>
      <c r="E35" s="7">
        <v>100000</v>
      </c>
      <c r="F35" s="7">
        <v>16</v>
      </c>
      <c r="G35" s="7"/>
      <c r="K35">
        <v>34</v>
      </c>
      <c r="L35" t="s">
        <v>40</v>
      </c>
      <c r="M35">
        <v>80</v>
      </c>
      <c r="N35">
        <v>70</v>
      </c>
      <c r="O35">
        <v>80</v>
      </c>
    </row>
    <row r="36" spans="1:15" x14ac:dyDescent="0.25">
      <c r="A36" s="17">
        <v>35</v>
      </c>
      <c r="B36" s="15" t="s">
        <v>45</v>
      </c>
      <c r="C36" s="15" t="s">
        <v>46</v>
      </c>
      <c r="D36" s="7">
        <f>0.018+6.558</f>
        <v>6.5759999999999996</v>
      </c>
      <c r="E36" s="7">
        <v>35000</v>
      </c>
      <c r="F36" s="7">
        <v>30</v>
      </c>
      <c r="G36" s="7"/>
      <c r="K36">
        <v>35</v>
      </c>
      <c r="L36" t="s">
        <v>41</v>
      </c>
      <c r="M36">
        <v>80</v>
      </c>
      <c r="N36">
        <v>70</v>
      </c>
      <c r="O36">
        <v>80</v>
      </c>
    </row>
    <row r="37" spans="1:15" x14ac:dyDescent="0.25">
      <c r="A37" s="17">
        <v>36</v>
      </c>
      <c r="B37" s="15" t="s">
        <v>46</v>
      </c>
      <c r="C37" s="15" t="s">
        <v>47</v>
      </c>
      <c r="D37" s="7">
        <f>5.959+11.305</f>
        <v>17.263999999999999</v>
      </c>
      <c r="E37" s="7">
        <v>35000</v>
      </c>
      <c r="F37" s="7">
        <v>30</v>
      </c>
      <c r="G37" s="7"/>
      <c r="K37">
        <v>36</v>
      </c>
      <c r="L37" t="s">
        <v>42</v>
      </c>
      <c r="M37">
        <v>80</v>
      </c>
      <c r="N37">
        <v>70</v>
      </c>
      <c r="O37">
        <v>80</v>
      </c>
    </row>
    <row r="38" spans="1:15" x14ac:dyDescent="0.25">
      <c r="A38" s="17">
        <v>37</v>
      </c>
      <c r="B38" s="15" t="s">
        <v>47</v>
      </c>
      <c r="C38" s="15" t="s">
        <v>48</v>
      </c>
      <c r="D38" s="7">
        <f>9.658+7.452</f>
        <v>17.11</v>
      </c>
      <c r="E38" s="7">
        <v>70000</v>
      </c>
      <c r="F38" s="7">
        <v>30</v>
      </c>
      <c r="G38" s="7"/>
      <c r="K38">
        <v>37</v>
      </c>
      <c r="L38" t="s">
        <v>45</v>
      </c>
      <c r="M38">
        <v>80</v>
      </c>
      <c r="N38">
        <v>70</v>
      </c>
      <c r="O38">
        <v>80</v>
      </c>
    </row>
    <row r="39" spans="1:15" x14ac:dyDescent="0.25">
      <c r="A39" s="17">
        <v>38</v>
      </c>
      <c r="B39" s="15" t="s">
        <v>48</v>
      </c>
      <c r="C39" s="15" t="s">
        <v>49</v>
      </c>
      <c r="D39" s="7">
        <f>11.866+7.305</f>
        <v>19.170999999999999</v>
      </c>
      <c r="E39" s="7">
        <v>35000</v>
      </c>
      <c r="F39" s="7">
        <v>30</v>
      </c>
      <c r="G39" s="7"/>
      <c r="K39">
        <v>38</v>
      </c>
      <c r="L39" t="s">
        <v>46</v>
      </c>
      <c r="M39">
        <v>80</v>
      </c>
      <c r="N39">
        <v>70</v>
      </c>
      <c r="O39">
        <v>80</v>
      </c>
    </row>
    <row r="40" spans="1:15" x14ac:dyDescent="0.25">
      <c r="A40" s="17">
        <v>39</v>
      </c>
      <c r="B40" s="15" t="s">
        <v>49</v>
      </c>
      <c r="C40" s="15" t="s">
        <v>50</v>
      </c>
      <c r="D40" s="7">
        <v>12.564</v>
      </c>
      <c r="E40" s="7">
        <v>70000</v>
      </c>
      <c r="F40" s="7">
        <v>30</v>
      </c>
      <c r="G40" s="7"/>
      <c r="K40">
        <v>39</v>
      </c>
      <c r="L40" t="s">
        <v>47</v>
      </c>
      <c r="M40">
        <v>80</v>
      </c>
      <c r="N40">
        <v>70</v>
      </c>
      <c r="O40">
        <v>80</v>
      </c>
    </row>
    <row r="41" spans="1:15" x14ac:dyDescent="0.25">
      <c r="A41" s="17">
        <v>40</v>
      </c>
      <c r="B41" s="15" t="s">
        <v>50</v>
      </c>
      <c r="C41" s="15" t="s">
        <v>40</v>
      </c>
      <c r="D41" s="7">
        <v>6.5990000000000002</v>
      </c>
      <c r="E41" s="7">
        <v>35000</v>
      </c>
      <c r="F41" s="7">
        <v>30</v>
      </c>
      <c r="G41" s="7"/>
      <c r="K41">
        <v>40</v>
      </c>
      <c r="L41" t="s">
        <v>48</v>
      </c>
      <c r="M41">
        <v>80</v>
      </c>
      <c r="N41">
        <v>70</v>
      </c>
      <c r="O41">
        <v>80</v>
      </c>
    </row>
    <row r="42" spans="1:15" x14ac:dyDescent="0.25">
      <c r="A42" s="17">
        <v>41</v>
      </c>
      <c r="B42" s="15" t="s">
        <v>40</v>
      </c>
      <c r="C42" s="15" t="s">
        <v>51</v>
      </c>
      <c r="D42" s="7">
        <v>9.2249999999999996</v>
      </c>
      <c r="E42" s="7">
        <v>35000</v>
      </c>
      <c r="F42" s="7">
        <v>30</v>
      </c>
      <c r="G42" s="7"/>
      <c r="K42">
        <v>41</v>
      </c>
      <c r="L42" t="s">
        <v>49</v>
      </c>
      <c r="M42">
        <v>80</v>
      </c>
      <c r="N42">
        <v>70</v>
      </c>
      <c r="O42">
        <v>80</v>
      </c>
    </row>
    <row r="43" spans="1:15" x14ac:dyDescent="0.25">
      <c r="A43" s="17">
        <v>42</v>
      </c>
      <c r="B43" s="15" t="s">
        <v>51</v>
      </c>
      <c r="C43" s="15" t="s">
        <v>52</v>
      </c>
      <c r="D43" s="7">
        <v>2.9420000000000002</v>
      </c>
      <c r="E43" s="7">
        <v>100000</v>
      </c>
      <c r="F43" s="7">
        <v>30</v>
      </c>
      <c r="G43" s="7"/>
      <c r="K43">
        <v>42</v>
      </c>
      <c r="L43" t="s">
        <v>50</v>
      </c>
      <c r="M43">
        <v>80</v>
      </c>
      <c r="N43">
        <v>70</v>
      </c>
      <c r="O43">
        <v>80</v>
      </c>
    </row>
    <row r="44" spans="1:15" x14ac:dyDescent="0.25">
      <c r="A44" s="17">
        <v>43</v>
      </c>
      <c r="B44" s="15" t="s">
        <v>52</v>
      </c>
      <c r="C44" s="15" t="s">
        <v>58</v>
      </c>
      <c r="D44" s="7">
        <f>4.691+1.756+1.249</f>
        <v>7.6959999999999997</v>
      </c>
      <c r="E44" s="7">
        <v>100000</v>
      </c>
      <c r="F44" s="7">
        <v>30</v>
      </c>
      <c r="G44" s="7"/>
      <c r="K44">
        <v>43</v>
      </c>
      <c r="L44" t="s">
        <v>51</v>
      </c>
      <c r="M44">
        <v>80</v>
      </c>
      <c r="N44">
        <v>70</v>
      </c>
      <c r="O44">
        <v>80</v>
      </c>
    </row>
    <row r="45" spans="1:15" x14ac:dyDescent="0.25">
      <c r="A45" s="17">
        <v>44</v>
      </c>
      <c r="B45" s="15" t="s">
        <v>58</v>
      </c>
      <c r="C45" s="15" t="s">
        <v>55</v>
      </c>
      <c r="D45" s="7">
        <v>0.628</v>
      </c>
      <c r="E45" s="7">
        <v>100000</v>
      </c>
      <c r="F45" s="7">
        <v>30</v>
      </c>
      <c r="G45" s="7"/>
      <c r="K45">
        <v>44</v>
      </c>
      <c r="L45" t="s">
        <v>52</v>
      </c>
      <c r="M45">
        <v>80</v>
      </c>
      <c r="N45">
        <v>70</v>
      </c>
      <c r="O45">
        <v>80</v>
      </c>
    </row>
    <row r="46" spans="1:15" x14ac:dyDescent="0.25">
      <c r="A46" s="17">
        <v>45</v>
      </c>
      <c r="B46" s="15" t="s">
        <v>55</v>
      </c>
      <c r="C46" s="15" t="s">
        <v>53</v>
      </c>
      <c r="D46" s="7">
        <f>7.989</f>
        <v>7.9889999999999999</v>
      </c>
      <c r="E46" s="7">
        <v>70000</v>
      </c>
      <c r="F46" s="7">
        <v>30</v>
      </c>
      <c r="G46" s="7"/>
      <c r="K46">
        <v>45</v>
      </c>
      <c r="L46" t="s">
        <v>58</v>
      </c>
      <c r="M46">
        <v>80</v>
      </c>
      <c r="N46">
        <v>70</v>
      </c>
      <c r="O46">
        <v>80</v>
      </c>
    </row>
    <row r="47" spans="1:15" x14ac:dyDescent="0.25">
      <c r="A47" s="17">
        <v>46</v>
      </c>
      <c r="B47" s="15" t="s">
        <v>53</v>
      </c>
      <c r="C47" s="15" t="s">
        <v>54</v>
      </c>
      <c r="D47" s="7">
        <v>2.3E-2</v>
      </c>
      <c r="E47" s="7">
        <v>360000</v>
      </c>
      <c r="F47" s="7">
        <v>30</v>
      </c>
      <c r="G47" s="7"/>
      <c r="K47">
        <v>46</v>
      </c>
      <c r="L47" t="s">
        <v>55</v>
      </c>
      <c r="M47">
        <v>80</v>
      </c>
      <c r="N47">
        <v>70</v>
      </c>
      <c r="O47">
        <v>80</v>
      </c>
    </row>
    <row r="48" spans="1:15" x14ac:dyDescent="0.25">
      <c r="A48" s="17">
        <v>47</v>
      </c>
      <c r="B48" s="15" t="s">
        <v>55</v>
      </c>
      <c r="C48" s="15" t="s">
        <v>56</v>
      </c>
      <c r="D48" s="7">
        <f>0.026+6.097+0.002</f>
        <v>6.125</v>
      </c>
      <c r="E48" s="7">
        <v>18500</v>
      </c>
      <c r="F48" s="7">
        <v>12</v>
      </c>
      <c r="G48" s="7"/>
      <c r="K48">
        <v>47</v>
      </c>
      <c r="L48" t="s">
        <v>53</v>
      </c>
      <c r="M48">
        <v>80</v>
      </c>
      <c r="N48">
        <v>70</v>
      </c>
      <c r="O48">
        <v>80</v>
      </c>
    </row>
    <row r="49" spans="1:15" x14ac:dyDescent="0.25">
      <c r="A49" s="17">
        <v>48</v>
      </c>
      <c r="B49" s="15" t="s">
        <v>56</v>
      </c>
      <c r="C49" s="15" t="s">
        <v>57</v>
      </c>
      <c r="D49" s="7">
        <f>0.027+0.006+0.842+0.783+0.163+0.01</f>
        <v>1.831</v>
      </c>
      <c r="E49" s="7">
        <v>60000</v>
      </c>
      <c r="F49" s="7">
        <v>12</v>
      </c>
      <c r="G49" s="7" t="s">
        <v>65</v>
      </c>
      <c r="K49">
        <v>48</v>
      </c>
      <c r="L49" t="s">
        <v>54</v>
      </c>
      <c r="M49">
        <v>80</v>
      </c>
      <c r="N49">
        <v>70</v>
      </c>
      <c r="O49">
        <v>80</v>
      </c>
    </row>
    <row r="50" spans="1:15" x14ac:dyDescent="0.25">
      <c r="A50" s="17">
        <v>49</v>
      </c>
      <c r="B50" s="15" t="s">
        <v>58</v>
      </c>
      <c r="C50" s="15" t="s">
        <v>59</v>
      </c>
      <c r="D50" s="7">
        <f>0.009+1.79+0.009</f>
        <v>1.8079999999999998</v>
      </c>
      <c r="E50" s="7">
        <v>120000</v>
      </c>
      <c r="F50" s="7">
        <v>12</v>
      </c>
      <c r="G50" s="7"/>
      <c r="K50">
        <v>49</v>
      </c>
      <c r="L50" t="s">
        <v>56</v>
      </c>
      <c r="M50">
        <v>80</v>
      </c>
      <c r="N50">
        <v>70</v>
      </c>
      <c r="O50">
        <v>80</v>
      </c>
    </row>
    <row r="51" spans="1:15" x14ac:dyDescent="0.25">
      <c r="A51" s="17">
        <v>50</v>
      </c>
      <c r="B51" s="15" t="s">
        <v>60</v>
      </c>
      <c r="C51" s="15" t="s">
        <v>40</v>
      </c>
      <c r="D51" s="7">
        <f>0.023+11.348+18.032+13.843+0.023</f>
        <v>43.268999999999998</v>
      </c>
      <c r="E51" s="7">
        <v>50000</v>
      </c>
      <c r="F51" s="7">
        <v>24</v>
      </c>
      <c r="G51" s="7"/>
      <c r="K51">
        <v>50</v>
      </c>
      <c r="L51" t="s">
        <v>57</v>
      </c>
      <c r="M51">
        <v>55</v>
      </c>
      <c r="N51">
        <v>40</v>
      </c>
      <c r="O51">
        <v>55</v>
      </c>
    </row>
    <row r="52" spans="1:15" x14ac:dyDescent="0.25">
      <c r="A52" s="17">
        <v>51</v>
      </c>
      <c r="B52" s="15" t="s">
        <v>61</v>
      </c>
      <c r="C52" s="15" t="s">
        <v>45</v>
      </c>
      <c r="D52" s="7">
        <f>(2.243+30.54+(2.221+29.034))/2</f>
        <v>32.018999999999998</v>
      </c>
      <c r="E52" s="7">
        <v>70000</v>
      </c>
      <c r="F52" s="7">
        <v>39.5852</v>
      </c>
      <c r="G52" s="7" t="s">
        <v>66</v>
      </c>
      <c r="K52">
        <v>51</v>
      </c>
      <c r="L52" t="s">
        <v>59</v>
      </c>
      <c r="M52">
        <v>80</v>
      </c>
      <c r="N52">
        <v>70</v>
      </c>
      <c r="O52">
        <v>80</v>
      </c>
    </row>
    <row r="53" spans="1:15" x14ac:dyDescent="0.25">
      <c r="A53" s="17"/>
      <c r="B53" s="7"/>
      <c r="C53" s="7"/>
      <c r="D53" s="7"/>
      <c r="E53" s="7"/>
      <c r="F53" s="7"/>
      <c r="G53" s="7" t="s">
        <v>67</v>
      </c>
      <c r="K53">
        <v>52</v>
      </c>
      <c r="L53" t="s">
        <v>60</v>
      </c>
      <c r="M53">
        <v>80</v>
      </c>
      <c r="N53">
        <v>70</v>
      </c>
      <c r="O53">
        <v>80</v>
      </c>
    </row>
    <row r="65" spans="1:9" x14ac:dyDescent="0.25">
      <c r="A65" s="4"/>
      <c r="B65" s="3"/>
      <c r="C65" s="3"/>
      <c r="D65" s="3"/>
      <c r="E65" s="3"/>
      <c r="F65" s="3"/>
      <c r="G65" s="3"/>
      <c r="H65" s="3"/>
      <c r="I65" s="3"/>
    </row>
    <row r="66" spans="1:9" x14ac:dyDescent="0.25">
      <c r="A66" s="4"/>
      <c r="B66" s="3"/>
      <c r="C66" s="3"/>
      <c r="D66" s="3"/>
      <c r="E66" s="3"/>
      <c r="F66" s="3"/>
      <c r="G66" s="3"/>
      <c r="H66" s="3"/>
      <c r="I66" s="3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0"/>
  <sheetViews>
    <sheetView workbookViewId="0">
      <selection activeCell="F19" sqref="F19"/>
    </sheetView>
  </sheetViews>
  <sheetFormatPr defaultRowHeight="15" x14ac:dyDescent="0.25"/>
  <cols>
    <col min="2" max="2" width="17.85546875" customWidth="1"/>
    <col min="5" max="5" width="11" customWidth="1"/>
  </cols>
  <sheetData>
    <row r="1" spans="2:5" x14ac:dyDescent="0.25">
      <c r="B1" s="10" t="s">
        <v>83</v>
      </c>
      <c r="C1" s="10" t="s">
        <v>84</v>
      </c>
      <c r="D1" s="10" t="s">
        <v>85</v>
      </c>
      <c r="E1" s="10" t="s">
        <v>86</v>
      </c>
    </row>
    <row r="2" spans="2:5" x14ac:dyDescent="0.25">
      <c r="B2" s="8" t="s">
        <v>95</v>
      </c>
      <c r="C2" s="11">
        <v>4.7916659999999999E-5</v>
      </c>
      <c r="D2" s="7" t="s">
        <v>87</v>
      </c>
      <c r="E2" s="7" t="s">
        <v>170</v>
      </c>
    </row>
    <row r="3" spans="2:5" x14ac:dyDescent="0.25">
      <c r="B3" s="7"/>
      <c r="C3" s="7">
        <v>273.14999999999998</v>
      </c>
      <c r="D3" s="7" t="s">
        <v>88</v>
      </c>
      <c r="E3" s="7" t="s">
        <v>90</v>
      </c>
    </row>
    <row r="4" spans="2:5" x14ac:dyDescent="0.25">
      <c r="B4" s="7"/>
      <c r="C4" s="7">
        <v>0.101325</v>
      </c>
      <c r="D4" s="7" t="s">
        <v>164</v>
      </c>
      <c r="E4" s="7" t="s">
        <v>90</v>
      </c>
    </row>
    <row r="5" spans="2:5" x14ac:dyDescent="0.25">
      <c r="B5" s="7"/>
      <c r="C5" s="7">
        <v>0.60940000000000005</v>
      </c>
      <c r="D5" s="7" t="s">
        <v>87</v>
      </c>
      <c r="E5" s="7" t="s">
        <v>92</v>
      </c>
    </row>
    <row r="6" spans="2:5" x14ac:dyDescent="0.25">
      <c r="B6" s="7"/>
      <c r="C6" s="7">
        <v>295.64999999999998</v>
      </c>
      <c r="D6" s="9" t="s">
        <v>88</v>
      </c>
      <c r="E6" s="7" t="s">
        <v>93</v>
      </c>
    </row>
    <row r="7" spans="2:5" x14ac:dyDescent="0.25">
      <c r="B7" s="7"/>
      <c r="C7" s="7">
        <v>0.95</v>
      </c>
      <c r="D7" s="9" t="s">
        <v>87</v>
      </c>
      <c r="E7" s="7" t="s">
        <v>94</v>
      </c>
    </row>
    <row r="8" spans="2:5" x14ac:dyDescent="0.25">
      <c r="B8" s="7"/>
      <c r="C8" s="7">
        <v>0.99950000000000006</v>
      </c>
      <c r="D8" s="9" t="s">
        <v>87</v>
      </c>
      <c r="E8" s="7" t="s">
        <v>96</v>
      </c>
    </row>
    <row r="9" spans="2:5" x14ac:dyDescent="0.25">
      <c r="B9" s="7" t="s">
        <v>98</v>
      </c>
      <c r="C9" s="7">
        <v>53.643999999999998</v>
      </c>
      <c r="D9" s="9" t="s">
        <v>89</v>
      </c>
      <c r="E9" s="7" t="s">
        <v>92</v>
      </c>
    </row>
    <row r="10" spans="2:5" x14ac:dyDescent="0.25">
      <c r="B10" s="7" t="s">
        <v>99</v>
      </c>
      <c r="C10" s="7">
        <v>2.5000000000000001E-2</v>
      </c>
      <c r="D10" s="7" t="s">
        <v>87</v>
      </c>
      <c r="E10" s="7" t="s">
        <v>170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1"/>
  <sheetViews>
    <sheetView workbookViewId="0">
      <selection activeCell="K29" sqref="K29"/>
    </sheetView>
  </sheetViews>
  <sheetFormatPr defaultRowHeight="15" x14ac:dyDescent="0.25"/>
  <cols>
    <col min="2" max="5" width="12.42578125" customWidth="1"/>
  </cols>
  <sheetData>
    <row r="1" spans="2:5" x14ac:dyDescent="0.25">
      <c r="B1" s="10" t="s">
        <v>83</v>
      </c>
      <c r="C1" s="10" t="s">
        <v>84</v>
      </c>
      <c r="D1" s="10" t="s">
        <v>85</v>
      </c>
      <c r="E1" s="10" t="s">
        <v>86</v>
      </c>
    </row>
    <row r="2" spans="2:5" x14ac:dyDescent="0.25">
      <c r="B2" s="7"/>
      <c r="C2" s="7">
        <v>8.5400000000000004E-2</v>
      </c>
      <c r="D2" s="7" t="s">
        <v>87</v>
      </c>
      <c r="E2" s="7" t="s">
        <v>97</v>
      </c>
    </row>
    <row r="3" spans="2:5" x14ac:dyDescent="0.25">
      <c r="B3" s="7"/>
      <c r="C3" s="7">
        <v>0.95</v>
      </c>
      <c r="D3" s="7" t="s">
        <v>87</v>
      </c>
      <c r="E3" s="7" t="s">
        <v>94</v>
      </c>
    </row>
    <row r="4" spans="2:5" x14ac:dyDescent="0.25">
      <c r="B4" s="7"/>
      <c r="C4" s="7">
        <v>532.16999999999996</v>
      </c>
      <c r="D4" s="9" t="s">
        <v>100</v>
      </c>
      <c r="E4" s="7" t="s">
        <v>93</v>
      </c>
    </row>
    <row r="5" spans="2:5" x14ac:dyDescent="0.25">
      <c r="B5" s="7"/>
      <c r="C5" s="7">
        <v>0.99</v>
      </c>
      <c r="D5" s="7" t="s">
        <v>87</v>
      </c>
      <c r="E5" s="7" t="s">
        <v>94</v>
      </c>
    </row>
    <row r="6" spans="2:5" x14ac:dyDescent="0.25">
      <c r="B6" s="7"/>
      <c r="C6" s="11">
        <v>7.4569999999999999E-6</v>
      </c>
      <c r="D6" s="7" t="s">
        <v>87</v>
      </c>
      <c r="E6" s="7"/>
    </row>
    <row r="7" spans="2:5" x14ac:dyDescent="0.25">
      <c r="B7" s="7"/>
      <c r="C7" s="7">
        <v>0.85</v>
      </c>
      <c r="D7" s="7" t="s">
        <v>87</v>
      </c>
      <c r="E7" s="7" t="s">
        <v>94</v>
      </c>
    </row>
    <row r="8" spans="2:5" x14ac:dyDescent="0.25">
      <c r="B8" s="7"/>
      <c r="C8" s="7">
        <v>1.3</v>
      </c>
      <c r="D8" s="7" t="s">
        <v>87</v>
      </c>
      <c r="E8" s="7" t="s">
        <v>94</v>
      </c>
    </row>
    <row r="9" spans="2:5" x14ac:dyDescent="0.25">
      <c r="B9" s="7"/>
      <c r="C9" s="7">
        <v>1.143</v>
      </c>
      <c r="D9" s="7" t="s">
        <v>87</v>
      </c>
      <c r="E9" s="7" t="s">
        <v>94</v>
      </c>
    </row>
    <row r="10" spans="2:5" x14ac:dyDescent="0.25">
      <c r="B10" s="7"/>
      <c r="C10" s="11" t="s">
        <v>101</v>
      </c>
      <c r="D10" s="7" t="s">
        <v>87</v>
      </c>
      <c r="E10" s="7"/>
    </row>
    <row r="11" spans="2:5" x14ac:dyDescent="0.25">
      <c r="B11" s="7"/>
      <c r="C11" s="11" t="s">
        <v>102</v>
      </c>
      <c r="D11" s="7" t="s">
        <v>87</v>
      </c>
      <c r="E11" s="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F39" sqref="F39"/>
    </sheetView>
  </sheetViews>
  <sheetFormatPr defaultRowHeight="15" x14ac:dyDescent="0.25"/>
  <cols>
    <col min="2" max="2" width="15.140625" customWidth="1"/>
    <col min="3" max="3" width="28.5703125" customWidth="1"/>
    <col min="4" max="4" width="25.7109375" customWidth="1"/>
    <col min="5" max="5" width="39" customWidth="1"/>
    <col min="6" max="6" width="37.5703125" customWidth="1"/>
  </cols>
  <sheetData>
    <row r="1" spans="1:6" x14ac:dyDescent="0.25">
      <c r="A1" s="24" t="s">
        <v>108</v>
      </c>
      <c r="B1" s="24"/>
      <c r="E1" s="1" t="s">
        <v>114</v>
      </c>
    </row>
    <row r="2" spans="1:6" x14ac:dyDescent="0.25">
      <c r="A2" s="10" t="s">
        <v>3</v>
      </c>
      <c r="B2" s="10" t="s">
        <v>106</v>
      </c>
      <c r="C2" s="10" t="s">
        <v>110</v>
      </c>
      <c r="D2" s="1"/>
      <c r="E2" s="1" t="s">
        <v>105</v>
      </c>
    </row>
    <row r="3" spans="1:6" x14ac:dyDescent="0.25">
      <c r="A3" s="7">
        <v>1</v>
      </c>
      <c r="B3" s="7" t="s">
        <v>4</v>
      </c>
      <c r="C3" s="7">
        <v>20319.7</v>
      </c>
    </row>
    <row r="7" spans="1:6" x14ac:dyDescent="0.25">
      <c r="A7" s="24" t="s">
        <v>109</v>
      </c>
      <c r="B7" s="24"/>
    </row>
    <row r="8" spans="1:6" x14ac:dyDescent="0.25">
      <c r="A8" s="10" t="s">
        <v>3</v>
      </c>
      <c r="B8" s="10" t="s">
        <v>106</v>
      </c>
      <c r="C8" s="10" t="s">
        <v>117</v>
      </c>
      <c r="D8" s="10" t="s">
        <v>118</v>
      </c>
      <c r="E8" s="10" t="s">
        <v>115</v>
      </c>
      <c r="F8" s="10" t="s">
        <v>116</v>
      </c>
    </row>
    <row r="9" spans="1:6" x14ac:dyDescent="0.25">
      <c r="A9" s="7">
        <v>19</v>
      </c>
      <c r="B9" s="7" t="s">
        <v>19</v>
      </c>
      <c r="C9" s="7">
        <v>4965</v>
      </c>
      <c r="D9" s="7">
        <v>2482.5</v>
      </c>
      <c r="E9" s="7">
        <v>4926</v>
      </c>
      <c r="F9" s="7">
        <v>2241</v>
      </c>
    </row>
    <row r="10" spans="1:6" x14ac:dyDescent="0.25">
      <c r="A10" s="7">
        <v>52</v>
      </c>
      <c r="B10" s="7" t="s">
        <v>60</v>
      </c>
      <c r="C10" s="7">
        <v>5855</v>
      </c>
      <c r="D10" s="7">
        <v>2927.5</v>
      </c>
      <c r="E10" s="7">
        <v>5049</v>
      </c>
      <c r="F10" s="7">
        <v>2943</v>
      </c>
    </row>
    <row r="13" spans="1:6" x14ac:dyDescent="0.25">
      <c r="A13" s="25" t="s">
        <v>113</v>
      </c>
      <c r="B13" s="26"/>
    </row>
    <row r="14" spans="1:6" x14ac:dyDescent="0.25">
      <c r="A14" s="10" t="s">
        <v>3</v>
      </c>
      <c r="B14" s="10" t="s">
        <v>106</v>
      </c>
      <c r="C14" s="10" t="s">
        <v>112</v>
      </c>
      <c r="D14" s="10" t="s">
        <v>111</v>
      </c>
    </row>
    <row r="15" spans="1:6" x14ac:dyDescent="0.25">
      <c r="A15" s="7">
        <v>26</v>
      </c>
      <c r="B15" s="7" t="s">
        <v>31</v>
      </c>
      <c r="C15" s="7">
        <v>10244.5</v>
      </c>
      <c r="D15" s="7">
        <v>12315</v>
      </c>
    </row>
    <row r="16" spans="1:6" x14ac:dyDescent="0.25">
      <c r="A16" s="7">
        <v>48</v>
      </c>
      <c r="B16" s="7" t="s">
        <v>54</v>
      </c>
      <c r="C16" s="7">
        <v>738.9</v>
      </c>
      <c r="D16" s="7">
        <v>4678.5</v>
      </c>
    </row>
    <row r="19" spans="1:14" x14ac:dyDescent="0.25">
      <c r="A19" s="24" t="s">
        <v>107</v>
      </c>
    </row>
    <row r="20" spans="1:14" x14ac:dyDescent="0.25">
      <c r="A20" s="10" t="s">
        <v>3</v>
      </c>
      <c r="B20" s="10" t="s">
        <v>106</v>
      </c>
      <c r="C20" s="10" t="s">
        <v>126</v>
      </c>
      <c r="I20" s="19"/>
      <c r="N20" s="19"/>
    </row>
    <row r="21" spans="1:14" x14ac:dyDescent="0.25">
      <c r="A21" s="7">
        <v>22</v>
      </c>
      <c r="B21" s="7" t="s">
        <v>23</v>
      </c>
      <c r="C21" s="7">
        <v>0.7</v>
      </c>
      <c r="I21" s="21"/>
      <c r="N21" s="20"/>
    </row>
    <row r="22" spans="1:14" x14ac:dyDescent="0.25">
      <c r="A22" s="7">
        <v>21</v>
      </c>
      <c r="B22" s="7" t="s">
        <v>22</v>
      </c>
      <c r="C22" s="7">
        <v>0.7</v>
      </c>
      <c r="I22" s="22"/>
      <c r="N22" s="22"/>
    </row>
    <row r="23" spans="1:14" x14ac:dyDescent="0.25">
      <c r="A23" s="7">
        <v>2</v>
      </c>
      <c r="B23" s="7" t="s">
        <v>20</v>
      </c>
      <c r="C23" s="7">
        <v>0.7</v>
      </c>
    </row>
    <row r="24" spans="1:14" x14ac:dyDescent="0.25">
      <c r="A24" s="7">
        <v>30</v>
      </c>
      <c r="B24" s="7" t="s">
        <v>36</v>
      </c>
      <c r="C24" s="7">
        <v>0.7</v>
      </c>
    </row>
    <row r="25" spans="1:14" x14ac:dyDescent="0.25">
      <c r="A25" s="7">
        <v>32</v>
      </c>
      <c r="B25" s="7" t="s">
        <v>38</v>
      </c>
      <c r="C25" s="7">
        <v>0.7</v>
      </c>
    </row>
    <row r="26" spans="1:14" x14ac:dyDescent="0.25">
      <c r="N26" s="19"/>
    </row>
    <row r="27" spans="1:14" x14ac:dyDescent="0.25">
      <c r="N27" s="21"/>
    </row>
    <row r="28" spans="1:14" x14ac:dyDescent="0.25">
      <c r="N28" s="22"/>
    </row>
    <row r="29" spans="1:14" x14ac:dyDescent="0.25">
      <c r="N29" s="22"/>
    </row>
  </sheetData>
  <pageMargins left="0.7" right="0.7" top="0.75" bottom="0.75" header="0.3" footer="0.3"/>
  <pageSetup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0" workbookViewId="0">
      <selection activeCell="H36" sqref="H36"/>
    </sheetView>
  </sheetViews>
  <sheetFormatPr defaultRowHeight="15" x14ac:dyDescent="0.25"/>
  <cols>
    <col min="1" max="1" width="23.7109375" customWidth="1"/>
    <col min="2" max="2" width="16.7109375" customWidth="1"/>
    <col min="3" max="3" width="24" customWidth="1"/>
    <col min="6" max="6" width="14.7109375" customWidth="1"/>
    <col min="8" max="8" width="20.28515625" customWidth="1"/>
    <col min="9" max="9" width="6.42578125" customWidth="1"/>
    <col min="10" max="10" width="10.7109375" customWidth="1"/>
    <col min="11" max="11" width="23.28515625" customWidth="1"/>
  </cols>
  <sheetData>
    <row r="1" spans="1:11" x14ac:dyDescent="0.25">
      <c r="A1" s="27" t="s">
        <v>130</v>
      </c>
      <c r="I1" s="24" t="s">
        <v>3</v>
      </c>
      <c r="J1" s="24" t="s">
        <v>161</v>
      </c>
      <c r="K1" s="24" t="s">
        <v>133</v>
      </c>
    </row>
    <row r="2" spans="1:11" x14ac:dyDescent="0.25">
      <c r="A2" s="7" t="s">
        <v>131</v>
      </c>
      <c r="I2" s="7">
        <v>2</v>
      </c>
      <c r="J2" s="7">
        <v>1</v>
      </c>
      <c r="K2" s="7" t="s">
        <v>141</v>
      </c>
    </row>
    <row r="3" spans="1:11" ht="15.75" customHeight="1" x14ac:dyDescent="0.25">
      <c r="I3" s="7">
        <v>8</v>
      </c>
      <c r="J3" s="7">
        <v>0.5</v>
      </c>
      <c r="K3" s="7" t="s">
        <v>143</v>
      </c>
    </row>
    <row r="4" spans="1:11" x14ac:dyDescent="0.25">
      <c r="A4" s="23" t="s">
        <v>132</v>
      </c>
      <c r="I4" s="7">
        <v>9</v>
      </c>
      <c r="J4" s="7">
        <v>0.5</v>
      </c>
      <c r="K4" s="7" t="s">
        <v>143</v>
      </c>
    </row>
    <row r="5" spans="1:11" x14ac:dyDescent="0.25">
      <c r="A5" s="10" t="s">
        <v>3</v>
      </c>
      <c r="I5" s="7">
        <v>11</v>
      </c>
      <c r="J5" s="7">
        <v>1</v>
      </c>
      <c r="K5" s="7" t="s">
        <v>142</v>
      </c>
    </row>
    <row r="6" spans="1:11" x14ac:dyDescent="0.25">
      <c r="A6" s="7">
        <v>17</v>
      </c>
      <c r="I6" s="7">
        <v>12</v>
      </c>
      <c r="J6" s="7">
        <f>1-J7</f>
        <v>0.33999999999999997</v>
      </c>
      <c r="K6" s="7" t="s">
        <v>139</v>
      </c>
    </row>
    <row r="7" spans="1:11" x14ac:dyDescent="0.25">
      <c r="A7" s="7">
        <v>6</v>
      </c>
      <c r="I7" s="7">
        <v>13</v>
      </c>
      <c r="J7" s="7">
        <v>0.66</v>
      </c>
      <c r="K7" s="7" t="s">
        <v>139</v>
      </c>
    </row>
    <row r="8" spans="1:11" x14ac:dyDescent="0.25">
      <c r="I8" s="7">
        <v>21</v>
      </c>
      <c r="J8" s="7">
        <v>0.5</v>
      </c>
      <c r="K8" s="7" t="s">
        <v>135</v>
      </c>
    </row>
    <row r="9" spans="1:11" x14ac:dyDescent="0.25">
      <c r="A9" s="24" t="s">
        <v>146</v>
      </c>
      <c r="B9" s="24"/>
      <c r="C9" s="27"/>
      <c r="I9" s="7">
        <v>22</v>
      </c>
      <c r="J9" s="7" t="s">
        <v>163</v>
      </c>
      <c r="K9" s="7" t="s">
        <v>162</v>
      </c>
    </row>
    <row r="10" spans="1:11" x14ac:dyDescent="0.25">
      <c r="A10" s="10" t="s">
        <v>157</v>
      </c>
      <c r="B10" s="10" t="s">
        <v>158</v>
      </c>
      <c r="I10" s="7">
        <v>16</v>
      </c>
      <c r="J10" s="7">
        <v>0.3</v>
      </c>
      <c r="K10" s="7" t="s">
        <v>136</v>
      </c>
    </row>
    <row r="11" spans="1:11" x14ac:dyDescent="0.25">
      <c r="A11" s="7" t="s">
        <v>154</v>
      </c>
      <c r="B11" s="7">
        <v>1796742845</v>
      </c>
      <c r="I11" s="7">
        <v>17</v>
      </c>
      <c r="J11" s="7">
        <v>0.1</v>
      </c>
      <c r="K11" s="7" t="s">
        <v>136</v>
      </c>
    </row>
    <row r="12" spans="1:11" x14ac:dyDescent="0.25">
      <c r="A12" s="7" t="s">
        <v>155</v>
      </c>
      <c r="B12" s="7">
        <v>118277289</v>
      </c>
      <c r="I12" s="7">
        <v>18</v>
      </c>
      <c r="J12" s="7">
        <v>0.4</v>
      </c>
      <c r="K12" s="7" t="s">
        <v>136</v>
      </c>
    </row>
    <row r="13" spans="1:11" x14ac:dyDescent="0.25">
      <c r="A13" s="7" t="s">
        <v>156</v>
      </c>
      <c r="B13" s="7">
        <v>7643070314</v>
      </c>
      <c r="I13" s="7">
        <v>20</v>
      </c>
      <c r="J13" s="7">
        <v>0.2</v>
      </c>
      <c r="K13" s="7" t="s">
        <v>136</v>
      </c>
    </row>
    <row r="14" spans="1:11" x14ac:dyDescent="0.25">
      <c r="A14" s="7" t="s">
        <v>147</v>
      </c>
      <c r="B14" s="7">
        <v>9476159776</v>
      </c>
      <c r="E14" s="28"/>
      <c r="F14" s="28"/>
      <c r="G14" s="29" t="s">
        <v>153</v>
      </c>
      <c r="H14" s="28"/>
      <c r="I14" s="7">
        <v>24</v>
      </c>
      <c r="J14" s="7">
        <v>0.4</v>
      </c>
      <c r="K14" s="7" t="s">
        <v>137</v>
      </c>
    </row>
    <row r="15" spans="1:11" x14ac:dyDescent="0.25">
      <c r="A15" s="7" t="s">
        <v>148</v>
      </c>
      <c r="B15" s="7">
        <v>3311425935</v>
      </c>
      <c r="I15" s="7">
        <v>25</v>
      </c>
      <c r="J15" s="7">
        <v>0.6</v>
      </c>
      <c r="K15" s="7" t="s">
        <v>137</v>
      </c>
    </row>
    <row r="16" spans="1:11" x14ac:dyDescent="0.25">
      <c r="A16" s="7" t="s">
        <v>149</v>
      </c>
      <c r="B16" s="7">
        <v>4957302685</v>
      </c>
      <c r="I16" s="7">
        <v>3</v>
      </c>
      <c r="J16" s="7">
        <v>0.6</v>
      </c>
      <c r="K16" s="7" t="s">
        <v>145</v>
      </c>
    </row>
    <row r="17" spans="1:11" x14ac:dyDescent="0.25">
      <c r="I17" s="7">
        <v>14</v>
      </c>
      <c r="J17" s="7">
        <v>0.4</v>
      </c>
      <c r="K17" s="7" t="s">
        <v>145</v>
      </c>
    </row>
    <row r="18" spans="1:11" x14ac:dyDescent="0.25">
      <c r="A18" s="10" t="s">
        <v>133</v>
      </c>
      <c r="B18" s="10" t="s">
        <v>159</v>
      </c>
      <c r="C18" s="10" t="s">
        <v>160</v>
      </c>
      <c r="I18" s="7">
        <v>5</v>
      </c>
      <c r="J18" s="7">
        <f>0.18/2</f>
        <v>0.09</v>
      </c>
      <c r="K18" s="7" t="s">
        <v>134</v>
      </c>
    </row>
    <row r="19" spans="1:11" x14ac:dyDescent="0.25">
      <c r="A19" s="7" t="s">
        <v>134</v>
      </c>
      <c r="B19" s="7">
        <v>1796.742845</v>
      </c>
      <c r="C19" s="7" t="s">
        <v>154</v>
      </c>
      <c r="I19" s="7">
        <v>7</v>
      </c>
      <c r="J19" s="7">
        <v>0.02</v>
      </c>
      <c r="K19" s="7" t="s">
        <v>134</v>
      </c>
    </row>
    <row r="20" spans="1:11" x14ac:dyDescent="0.25">
      <c r="A20" s="7" t="s">
        <v>23</v>
      </c>
      <c r="B20" s="7">
        <v>118.277289</v>
      </c>
      <c r="C20" s="7" t="s">
        <v>155</v>
      </c>
      <c r="I20" s="7">
        <v>29</v>
      </c>
      <c r="J20" s="7">
        <f>0.18/2</f>
        <v>0.09</v>
      </c>
      <c r="K20" s="7" t="s">
        <v>134</v>
      </c>
    </row>
    <row r="21" spans="1:11" x14ac:dyDescent="0.25">
      <c r="A21" s="7" t="s">
        <v>135</v>
      </c>
      <c r="B21" s="7">
        <v>1820.6112350000001</v>
      </c>
      <c r="C21" s="7" t="s">
        <v>147</v>
      </c>
      <c r="I21" s="7">
        <v>30</v>
      </c>
      <c r="J21" s="7">
        <f>0.5/2</f>
        <v>0.25</v>
      </c>
      <c r="K21" s="7" t="s">
        <v>134</v>
      </c>
    </row>
    <row r="22" spans="1:11" x14ac:dyDescent="0.25">
      <c r="A22" s="7" t="s">
        <v>136</v>
      </c>
      <c r="B22" s="7">
        <v>3934.9607559999999</v>
      </c>
      <c r="C22" s="7" t="s">
        <v>147</v>
      </c>
      <c r="I22" s="7">
        <v>31</v>
      </c>
      <c r="J22" s="7">
        <f>0.5/2</f>
        <v>0.25</v>
      </c>
      <c r="K22" s="7" t="s">
        <v>134</v>
      </c>
    </row>
    <row r="23" spans="1:11" x14ac:dyDescent="0.25">
      <c r="A23" s="7" t="s">
        <v>137</v>
      </c>
      <c r="B23" s="7">
        <v>2202.6871550000001</v>
      </c>
      <c r="C23" s="7" t="s">
        <v>147</v>
      </c>
      <c r="I23" s="7">
        <v>32</v>
      </c>
      <c r="J23" s="7">
        <f>0.3/2</f>
        <v>0.15</v>
      </c>
      <c r="K23" s="7" t="s">
        <v>134</v>
      </c>
    </row>
    <row r="24" spans="1:11" x14ac:dyDescent="0.25">
      <c r="A24" s="7" t="s">
        <v>138</v>
      </c>
      <c r="B24" s="7">
        <v>7643.0703139999996</v>
      </c>
      <c r="C24" s="7" t="s">
        <v>156</v>
      </c>
      <c r="I24" s="7">
        <v>33</v>
      </c>
      <c r="J24" s="7">
        <f>0.3/2</f>
        <v>0.15</v>
      </c>
      <c r="K24" s="7" t="s">
        <v>134</v>
      </c>
    </row>
    <row r="25" spans="1:11" x14ac:dyDescent="0.25">
      <c r="A25" s="7" t="s">
        <v>139</v>
      </c>
      <c r="B25" s="7">
        <v>1666.9336060000001</v>
      </c>
      <c r="C25" s="7" t="s">
        <v>149</v>
      </c>
      <c r="I25" s="7">
        <v>38</v>
      </c>
      <c r="J25" s="7">
        <v>0.2</v>
      </c>
      <c r="K25" s="7" t="s">
        <v>140</v>
      </c>
    </row>
    <row r="26" spans="1:11" x14ac:dyDescent="0.25">
      <c r="A26" s="7" t="s">
        <v>140</v>
      </c>
      <c r="B26" s="7">
        <v>2036.0173159999999</v>
      </c>
      <c r="C26" s="7" t="s">
        <v>148</v>
      </c>
      <c r="I26" s="7">
        <v>40</v>
      </c>
      <c r="J26" s="7">
        <v>0.6</v>
      </c>
      <c r="K26" s="7" t="s">
        <v>140</v>
      </c>
    </row>
    <row r="27" spans="1:11" x14ac:dyDescent="0.25">
      <c r="A27" s="7" t="s">
        <v>141</v>
      </c>
      <c r="B27" s="7">
        <v>649.43012180000005</v>
      </c>
      <c r="C27" s="7" t="s">
        <v>149</v>
      </c>
      <c r="I27" s="7">
        <v>41</v>
      </c>
      <c r="J27" s="7">
        <v>0.2</v>
      </c>
      <c r="K27" s="7" t="s">
        <v>140</v>
      </c>
    </row>
    <row r="28" spans="1:11" x14ac:dyDescent="0.25">
      <c r="A28" s="7" t="s">
        <v>142</v>
      </c>
      <c r="B28" s="7">
        <v>836.60546629999999</v>
      </c>
      <c r="C28" s="7" t="s">
        <v>149</v>
      </c>
      <c r="I28" s="7">
        <v>39</v>
      </c>
      <c r="J28" s="7">
        <v>0.5</v>
      </c>
      <c r="K28" s="7" t="s">
        <v>144</v>
      </c>
    </row>
    <row r="29" spans="1:11" x14ac:dyDescent="0.25">
      <c r="A29" s="7" t="s">
        <v>143</v>
      </c>
      <c r="B29" s="7">
        <v>1804.3334910000001</v>
      </c>
      <c r="C29" s="7" t="s">
        <v>149</v>
      </c>
      <c r="I29" s="7">
        <v>52</v>
      </c>
      <c r="J29" s="7">
        <v>0.5</v>
      </c>
      <c r="K29" s="7" t="s">
        <v>144</v>
      </c>
    </row>
    <row r="30" spans="1:11" x14ac:dyDescent="0.25">
      <c r="A30" s="7" t="s">
        <v>144</v>
      </c>
      <c r="B30" s="7">
        <v>1275.408619</v>
      </c>
      <c r="C30" s="7" t="s">
        <v>148</v>
      </c>
      <c r="I30" s="7">
        <v>42</v>
      </c>
      <c r="J30" s="7">
        <v>0.1</v>
      </c>
      <c r="K30" s="7" t="s">
        <v>138</v>
      </c>
    </row>
    <row r="31" spans="1:11" x14ac:dyDescent="0.25">
      <c r="A31" s="7" t="s">
        <v>145</v>
      </c>
      <c r="B31" s="7">
        <v>1517.9006300000001</v>
      </c>
      <c r="C31" s="7" t="s">
        <v>147</v>
      </c>
      <c r="I31" s="7">
        <v>34</v>
      </c>
      <c r="J31" s="7">
        <v>0.2</v>
      </c>
      <c r="K31" s="7" t="s">
        <v>138</v>
      </c>
    </row>
    <row r="32" spans="1:11" x14ac:dyDescent="0.25">
      <c r="I32" s="7">
        <v>35</v>
      </c>
      <c r="J32" s="7">
        <v>0.2</v>
      </c>
      <c r="K32" s="7" t="s">
        <v>138</v>
      </c>
    </row>
    <row r="33" spans="9:11" x14ac:dyDescent="0.25">
      <c r="I33" s="7">
        <v>36</v>
      </c>
      <c r="J33" s="7">
        <v>0.2</v>
      </c>
      <c r="K33" s="7" t="s">
        <v>138</v>
      </c>
    </row>
    <row r="34" spans="9:11" x14ac:dyDescent="0.25">
      <c r="I34" s="7">
        <v>43</v>
      </c>
      <c r="J34" s="7">
        <v>0.1</v>
      </c>
      <c r="K34" s="7" t="s">
        <v>138</v>
      </c>
    </row>
    <row r="35" spans="9:11" x14ac:dyDescent="0.25">
      <c r="I35" s="7">
        <v>44</v>
      </c>
      <c r="J35" s="7">
        <v>0.1</v>
      </c>
      <c r="K35" s="7" t="s">
        <v>138</v>
      </c>
    </row>
    <row r="36" spans="9:11" x14ac:dyDescent="0.25">
      <c r="I36" s="7">
        <v>49</v>
      </c>
      <c r="J36" s="7">
        <v>0.04</v>
      </c>
      <c r="K36" s="7" t="s">
        <v>138</v>
      </c>
    </row>
    <row r="37" spans="9:11" x14ac:dyDescent="0.25">
      <c r="I37" s="7">
        <v>50</v>
      </c>
      <c r="J37" s="7">
        <v>0.04</v>
      </c>
      <c r="K37" s="7" t="s">
        <v>138</v>
      </c>
    </row>
    <row r="38" spans="9:11" x14ac:dyDescent="0.25">
      <c r="I38" s="7">
        <v>47</v>
      </c>
      <c r="J38" s="7">
        <v>0.02</v>
      </c>
      <c r="K38" s="7" t="s">
        <v>138</v>
      </c>
    </row>
  </sheetData>
  <pageMargins left="0.7" right="0.7" top="0.75" bottom="0.75" header="0.3" footer="0.3"/>
  <pageSetup orientation="portrait" horizontalDpi="1200" verticalDpi="12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6"/>
  <sheetViews>
    <sheetView workbookViewId="0">
      <selection activeCell="G22" sqref="G22"/>
    </sheetView>
  </sheetViews>
  <sheetFormatPr defaultRowHeight="15" x14ac:dyDescent="0.25"/>
  <cols>
    <col min="2" max="2" width="16.7109375" customWidth="1"/>
  </cols>
  <sheetData>
    <row r="2" spans="1:2" x14ac:dyDescent="0.25">
      <c r="A2" s="32" t="s">
        <v>166</v>
      </c>
      <c r="B2" s="32" t="s">
        <v>165</v>
      </c>
    </row>
    <row r="3" spans="1:2" x14ac:dyDescent="0.25">
      <c r="A3">
        <v>1</v>
      </c>
      <c r="B3">
        <v>3.750956</v>
      </c>
    </row>
    <row r="4" spans="1:2" x14ac:dyDescent="0.25">
      <c r="A4">
        <v>2</v>
      </c>
      <c r="B4">
        <v>3.9403250000000001</v>
      </c>
    </row>
    <row r="5" spans="1:2" x14ac:dyDescent="0.25">
      <c r="A5">
        <v>3</v>
      </c>
      <c r="B5">
        <v>3.9793289999999999</v>
      </c>
    </row>
    <row r="6" spans="1:2" x14ac:dyDescent="0.25">
      <c r="A6">
        <v>4</v>
      </c>
      <c r="B6">
        <v>3.9653429999999998</v>
      </c>
    </row>
    <row r="7" spans="1:2" x14ac:dyDescent="0.25">
      <c r="A7">
        <v>5</v>
      </c>
      <c r="B7">
        <v>3.8659430000000001</v>
      </c>
    </row>
    <row r="8" spans="1:2" x14ac:dyDescent="0.25">
      <c r="A8">
        <v>6</v>
      </c>
      <c r="B8">
        <v>3.6885889999999999</v>
      </c>
    </row>
    <row r="9" spans="1:2" x14ac:dyDescent="0.25">
      <c r="A9">
        <v>7</v>
      </c>
      <c r="B9">
        <v>3.555647</v>
      </c>
    </row>
    <row r="10" spans="1:2" x14ac:dyDescent="0.25">
      <c r="A10">
        <v>8</v>
      </c>
      <c r="B10">
        <v>3.4759280000000001</v>
      </c>
    </row>
    <row r="11" spans="1:2" x14ac:dyDescent="0.25">
      <c r="A11">
        <v>9</v>
      </c>
      <c r="B11">
        <v>3.4038050000000002</v>
      </c>
    </row>
    <row r="12" spans="1:2" x14ac:dyDescent="0.25">
      <c r="A12">
        <v>10</v>
      </c>
      <c r="B12">
        <v>3.4706939999999999</v>
      </c>
    </row>
    <row r="13" spans="1:2" x14ac:dyDescent="0.25">
      <c r="A13">
        <v>11</v>
      </c>
      <c r="B13">
        <v>3.6071070000000001</v>
      </c>
    </row>
    <row r="14" spans="1:2" x14ac:dyDescent="0.25">
      <c r="A14">
        <v>12</v>
      </c>
      <c r="B14">
        <v>3.701206</v>
      </c>
    </row>
    <row r="15" spans="1:2" x14ac:dyDescent="0.25">
      <c r="A15">
        <v>13</v>
      </c>
      <c r="B15">
        <v>3.6756229999999999</v>
      </c>
    </row>
    <row r="16" spans="1:2" x14ac:dyDescent="0.25">
      <c r="A16">
        <v>14</v>
      </c>
      <c r="B16">
        <v>3.7362649999999999</v>
      </c>
    </row>
    <row r="17" spans="1:2" x14ac:dyDescent="0.25">
      <c r="A17">
        <v>15</v>
      </c>
      <c r="B17">
        <v>3.6265079999999998</v>
      </c>
    </row>
    <row r="18" spans="1:2" x14ac:dyDescent="0.25">
      <c r="A18">
        <v>16</v>
      </c>
      <c r="B18">
        <v>3.4830209999999999</v>
      </c>
    </row>
    <row r="19" spans="1:2" x14ac:dyDescent="0.25">
      <c r="A19">
        <v>17</v>
      </c>
      <c r="B19">
        <v>3.3892720000000001</v>
      </c>
    </row>
    <row r="20" spans="1:2" x14ac:dyDescent="0.25">
      <c r="A20">
        <v>18</v>
      </c>
      <c r="B20">
        <v>3.29034</v>
      </c>
    </row>
    <row r="21" spans="1:2" x14ac:dyDescent="0.25">
      <c r="A21">
        <v>19</v>
      </c>
      <c r="B21">
        <v>3.2798750000000001</v>
      </c>
    </row>
    <row r="22" spans="1:2" x14ac:dyDescent="0.25">
      <c r="A22">
        <v>20</v>
      </c>
      <c r="B22">
        <v>3.2513190000000001</v>
      </c>
    </row>
    <row r="23" spans="1:2" x14ac:dyDescent="0.25">
      <c r="A23">
        <v>21</v>
      </c>
      <c r="B23">
        <v>3.2686410000000001</v>
      </c>
    </row>
    <row r="24" spans="1:2" x14ac:dyDescent="0.25">
      <c r="A24">
        <v>22</v>
      </c>
      <c r="B24">
        <v>3.5428440000000001</v>
      </c>
    </row>
    <row r="25" spans="1:2" x14ac:dyDescent="0.25">
      <c r="A25">
        <v>23</v>
      </c>
      <c r="B25">
        <v>3.7922400000000001</v>
      </c>
    </row>
    <row r="26" spans="1:2" x14ac:dyDescent="0.25">
      <c r="A26">
        <v>24</v>
      </c>
      <c r="B26">
        <v>3.8953850000000001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30" sqref="D30"/>
    </sheetView>
  </sheetViews>
  <sheetFormatPr defaultRowHeight="15" x14ac:dyDescent="0.25"/>
  <cols>
    <col min="1" max="5" width="34.28515625" customWidth="1"/>
  </cols>
  <sheetData>
    <row r="1" spans="1:4" x14ac:dyDescent="0.25">
      <c r="A1" s="10" t="s">
        <v>129</v>
      </c>
      <c r="B1" s="10" t="s">
        <v>125</v>
      </c>
      <c r="C1" s="10" t="s">
        <v>120</v>
      </c>
      <c r="D1" s="10" t="s">
        <v>121</v>
      </c>
    </row>
    <row r="2" spans="1:4" x14ac:dyDescent="0.25">
      <c r="A2" s="7" t="s">
        <v>104</v>
      </c>
      <c r="B2" s="7">
        <v>99</v>
      </c>
      <c r="C2" s="7" t="s">
        <v>122</v>
      </c>
      <c r="D2" s="7" t="s">
        <v>123</v>
      </c>
    </row>
    <row r="3" spans="1:4" x14ac:dyDescent="0.25">
      <c r="A3" s="7" t="s">
        <v>127</v>
      </c>
      <c r="B3" s="7">
        <v>150</v>
      </c>
      <c r="C3" s="7" t="s">
        <v>87</v>
      </c>
      <c r="D3" s="7" t="s">
        <v>87</v>
      </c>
    </row>
    <row r="4" spans="1:4" x14ac:dyDescent="0.25">
      <c r="A4" s="7" t="s">
        <v>128</v>
      </c>
      <c r="B4" s="7">
        <v>48</v>
      </c>
      <c r="C4" s="7" t="s">
        <v>87</v>
      </c>
      <c r="D4" s="7" t="s">
        <v>87</v>
      </c>
    </row>
    <row r="5" spans="1:4" x14ac:dyDescent="0.25">
      <c r="A5" s="18" t="s">
        <v>124</v>
      </c>
      <c r="B5" s="18">
        <v>700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0" workbookViewId="0">
      <selection activeCell="Q40" sqref="Q4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 NODES_DK</vt:lpstr>
      <vt:lpstr>Data DK Gas</vt:lpstr>
      <vt:lpstr>Pipeline parameters</vt:lpstr>
      <vt:lpstr>Compressor parameters</vt:lpstr>
      <vt:lpstr>Generation</vt:lpstr>
      <vt:lpstr>Load</vt:lpstr>
      <vt:lpstr>Daily simulated load</vt:lpstr>
      <vt:lpstr>Prices</vt:lpstr>
      <vt:lpstr>Figure</vt:lpstr>
      <vt:lpstr>References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Turk</dc:creator>
  <cp:lastModifiedBy>Ana Turk</cp:lastModifiedBy>
  <dcterms:created xsi:type="dcterms:W3CDTF">2020-03-07T19:22:31Z</dcterms:created>
  <dcterms:modified xsi:type="dcterms:W3CDTF">2020-11-12T09:58:40Z</dcterms:modified>
</cp:coreProperties>
</file>