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ten_A\Desktop\Classes\Intro\Week 3 Life History Data\"/>
    </mc:Choice>
  </mc:AlternateContent>
  <bookViews>
    <workbookView xWindow="600" yWindow="270" windowWidth="17835" windowHeight="12015" tabRatio="779"/>
  </bookViews>
  <sheets>
    <sheet name="info" sheetId="9" r:id="rId1"/>
    <sheet name="age-constant" sheetId="8" r:id="rId2"/>
    <sheet name="age-constant updated" sheetId="12" r:id="rId3"/>
    <sheet name="age-varying_L1996" sheetId="5" r:id="rId4"/>
    <sheet name="age-varying_L2005" sheetId="6" r:id="rId5"/>
    <sheet name="age-varying_G2010" sheetId="11" r:id="rId6"/>
    <sheet name="parameters" sheetId="7" r:id="rId7"/>
    <sheet name="references" sheetId="1" r:id="rId8"/>
  </sheets>
  <calcPr calcId="152511"/>
</workbook>
</file>

<file path=xl/calcChain.xml><?xml version="1.0" encoding="utf-8"?>
<calcChain xmlns="http://schemas.openxmlformats.org/spreadsheetml/2006/main">
  <c r="K6" i="6" l="1"/>
  <c r="H12" i="5" l="1"/>
  <c r="K16" i="12"/>
  <c r="L16" i="12" s="1"/>
  <c r="K22" i="12"/>
  <c r="L22" i="12" s="1"/>
  <c r="K20" i="12"/>
  <c r="L20" i="12" s="1"/>
  <c r="K19" i="12"/>
  <c r="L19" i="12" s="1"/>
  <c r="K21" i="12"/>
  <c r="L21" i="12" s="1"/>
  <c r="K15" i="12"/>
  <c r="L15" i="12" s="1"/>
  <c r="C12" i="11"/>
  <c r="K4" i="6"/>
  <c r="K5" i="6"/>
  <c r="C12" i="6"/>
  <c r="D12" i="6"/>
  <c r="C12" i="5"/>
  <c r="L24" i="8"/>
  <c r="K12" i="8"/>
  <c r="L12" i="8"/>
  <c r="K18" i="8"/>
  <c r="L18" i="8"/>
  <c r="K24" i="8"/>
  <c r="K32" i="8"/>
  <c r="L32" i="8"/>
  <c r="K14" i="8"/>
  <c r="L14" i="8"/>
  <c r="K26" i="8"/>
  <c r="L26" i="8"/>
  <c r="K36" i="8"/>
  <c r="L36" i="8"/>
  <c r="K20" i="8"/>
  <c r="L20" i="8"/>
  <c r="K22" i="8"/>
  <c r="L22" i="8"/>
  <c r="K16" i="8"/>
  <c r="L16" i="8"/>
  <c r="K28" i="8"/>
  <c r="L28" i="8"/>
  <c r="K30" i="8"/>
  <c r="L30" i="8"/>
  <c r="K34" i="8"/>
  <c r="L34" i="8"/>
  <c r="C13" i="11"/>
  <c r="D13" i="11"/>
  <c r="C13" i="5"/>
  <c r="D12" i="5"/>
  <c r="E12" i="5"/>
  <c r="F12" i="5"/>
  <c r="D13" i="5"/>
  <c r="E13" i="5"/>
  <c r="F13" i="5"/>
  <c r="C14" i="5"/>
  <c r="G12" i="5"/>
  <c r="E13" i="11"/>
  <c r="F13" i="11"/>
  <c r="C14" i="11"/>
  <c r="D12" i="11"/>
  <c r="E12" i="11"/>
  <c r="F12" i="11"/>
  <c r="C13" i="6"/>
  <c r="G13" i="5"/>
  <c r="D13" i="6"/>
  <c r="E13" i="6"/>
  <c r="F13" i="6"/>
  <c r="C14" i="6"/>
  <c r="C15" i="5"/>
  <c r="D14" i="5"/>
  <c r="E14" i="5"/>
  <c r="F14" i="5"/>
  <c r="D14" i="11"/>
  <c r="E14" i="11"/>
  <c r="F14" i="11"/>
  <c r="C15" i="11"/>
  <c r="E12" i="6"/>
  <c r="F12" i="6"/>
  <c r="G14" i="5"/>
  <c r="D14" i="6"/>
  <c r="C15" i="6"/>
  <c r="C16" i="5"/>
  <c r="D15" i="5"/>
  <c r="E15" i="5"/>
  <c r="F15" i="5"/>
  <c r="E15" i="11"/>
  <c r="F15" i="11"/>
  <c r="C16" i="11"/>
  <c r="D15" i="11"/>
  <c r="G15" i="5"/>
  <c r="D15" i="6"/>
  <c r="C16" i="6"/>
  <c r="E15" i="6"/>
  <c r="F15" i="6"/>
  <c r="E14" i="6"/>
  <c r="F14" i="6"/>
  <c r="D16" i="11"/>
  <c r="E16" i="11"/>
  <c r="F16" i="11"/>
  <c r="C17" i="11"/>
  <c r="E16" i="5"/>
  <c r="F16" i="5"/>
  <c r="C17" i="5"/>
  <c r="D16" i="5"/>
  <c r="G16" i="5"/>
  <c r="E17" i="11"/>
  <c r="F17" i="11"/>
  <c r="C18" i="11"/>
  <c r="D17" i="11"/>
  <c r="D16" i="6"/>
  <c r="E16" i="6"/>
  <c r="F16" i="6"/>
  <c r="C17" i="6"/>
  <c r="C18" i="5"/>
  <c r="D17" i="5"/>
  <c r="E17" i="5"/>
  <c r="F17" i="5"/>
  <c r="G17" i="5"/>
  <c r="D18" i="11"/>
  <c r="E18" i="11"/>
  <c r="F18" i="11"/>
  <c r="C19" i="11"/>
  <c r="D17" i="6"/>
  <c r="E17" i="6"/>
  <c r="F17" i="6"/>
  <c r="C18" i="6"/>
  <c r="C19" i="5"/>
  <c r="D18" i="5"/>
  <c r="E18" i="5"/>
  <c r="F18" i="5"/>
  <c r="G18" i="5"/>
  <c r="D18" i="6"/>
  <c r="C19" i="6"/>
  <c r="F19" i="5"/>
  <c r="H19" i="5"/>
  <c r="D19" i="5"/>
  <c r="E19" i="5"/>
  <c r="G19" i="5"/>
  <c r="C20" i="5"/>
  <c r="I19" i="5"/>
  <c r="D19" i="11"/>
  <c r="E19" i="11"/>
  <c r="F19" i="11"/>
  <c r="C20" i="11"/>
  <c r="D19" i="6"/>
  <c r="E19" i="6"/>
  <c r="F19" i="6"/>
  <c r="C20" i="6"/>
  <c r="H20" i="5"/>
  <c r="F20" i="5"/>
  <c r="G20" i="5"/>
  <c r="D20" i="5"/>
  <c r="I20" i="5"/>
  <c r="E20" i="5"/>
  <c r="C21" i="5"/>
  <c r="E18" i="6"/>
  <c r="F18" i="6"/>
  <c r="D20" i="11"/>
  <c r="E20" i="11"/>
  <c r="F20" i="11"/>
  <c r="C21" i="11"/>
  <c r="D20" i="6"/>
  <c r="E20" i="6"/>
  <c r="F20" i="6"/>
  <c r="C21" i="6"/>
  <c r="I21" i="5"/>
  <c r="D21" i="5"/>
  <c r="H21" i="5"/>
  <c r="F21" i="5"/>
  <c r="E21" i="5"/>
  <c r="C22" i="5"/>
  <c r="G21" i="5"/>
  <c r="D21" i="11"/>
  <c r="E21" i="11"/>
  <c r="F21" i="11"/>
  <c r="C22" i="11"/>
  <c r="D22" i="11"/>
  <c r="E22" i="11"/>
  <c r="F22" i="11"/>
  <c r="C23" i="11"/>
  <c r="D21" i="6"/>
  <c r="E21" i="6"/>
  <c r="F21" i="6"/>
  <c r="C22" i="6"/>
  <c r="H22" i="5"/>
  <c r="D22" i="5"/>
  <c r="I22" i="5"/>
  <c r="C23" i="5"/>
  <c r="E22" i="5"/>
  <c r="G22" i="5"/>
  <c r="F22" i="5"/>
  <c r="D22" i="6"/>
  <c r="E22" i="6"/>
  <c r="F22" i="6"/>
  <c r="C23" i="6"/>
  <c r="F23" i="5"/>
  <c r="H23" i="5"/>
  <c r="E23" i="5"/>
  <c r="C24" i="5"/>
  <c r="I23" i="5"/>
  <c r="G23" i="5"/>
  <c r="D23" i="5"/>
  <c r="D23" i="11"/>
  <c r="E23" i="11"/>
  <c r="F23" i="11"/>
  <c r="C24" i="11"/>
  <c r="D24" i="11"/>
  <c r="E24" i="11"/>
  <c r="F24" i="11"/>
  <c r="C25" i="11"/>
  <c r="H24" i="5"/>
  <c r="C25" i="5"/>
  <c r="F24" i="5"/>
  <c r="D24" i="5"/>
  <c r="I24" i="5"/>
  <c r="E24" i="5"/>
  <c r="G24" i="5"/>
  <c r="D23" i="6"/>
  <c r="E23" i="6"/>
  <c r="F23" i="6"/>
  <c r="C24" i="6"/>
  <c r="D25" i="11"/>
  <c r="E25" i="11"/>
  <c r="F25" i="11"/>
  <c r="C26" i="11"/>
  <c r="D24" i="6"/>
  <c r="E24" i="6"/>
  <c r="F24" i="6"/>
  <c r="C25" i="6"/>
  <c r="I25" i="5"/>
  <c r="H25" i="5"/>
  <c r="D25" i="5"/>
  <c r="E25" i="5"/>
  <c r="C26" i="5"/>
  <c r="G25" i="5"/>
  <c r="F25" i="5"/>
  <c r="D25" i="6"/>
  <c r="C26" i="6"/>
  <c r="E25" i="6"/>
  <c r="F25" i="6"/>
  <c r="D26" i="5"/>
  <c r="I26" i="5"/>
  <c r="H26" i="5"/>
  <c r="F26" i="5"/>
  <c r="E26" i="5"/>
  <c r="C27" i="5"/>
  <c r="G26" i="5"/>
  <c r="D26" i="11"/>
  <c r="E26" i="11"/>
  <c r="F26" i="11"/>
  <c r="C27" i="11"/>
  <c r="D27" i="11"/>
  <c r="E27" i="11"/>
  <c r="F27" i="11"/>
  <c r="C28" i="11"/>
  <c r="G27" i="5"/>
  <c r="H27" i="5"/>
  <c r="D27" i="5"/>
  <c r="F27" i="5"/>
  <c r="I27" i="5"/>
  <c r="E27" i="5"/>
  <c r="C28" i="5"/>
  <c r="D26" i="6"/>
  <c r="E26" i="6"/>
  <c r="F26" i="6"/>
  <c r="C27" i="6"/>
  <c r="D27" i="6"/>
  <c r="C28" i="6"/>
  <c r="E27" i="6"/>
  <c r="F27" i="6"/>
  <c r="D28" i="11"/>
  <c r="E28" i="11"/>
  <c r="F28" i="11"/>
  <c r="C29" i="11"/>
  <c r="H28" i="5"/>
  <c r="C29" i="5"/>
  <c r="F28" i="5"/>
  <c r="G28" i="5"/>
  <c r="E28" i="5"/>
  <c r="D28" i="5"/>
  <c r="I28" i="5"/>
  <c r="D29" i="11"/>
  <c r="E29" i="11"/>
  <c r="F29" i="11"/>
  <c r="C30" i="11"/>
  <c r="I29" i="5"/>
  <c r="D29" i="5"/>
  <c r="H29" i="5"/>
  <c r="C30" i="5"/>
  <c r="F29" i="5"/>
  <c r="E29" i="5"/>
  <c r="G29" i="5"/>
  <c r="D28" i="6"/>
  <c r="C29" i="6"/>
  <c r="E28" i="6"/>
  <c r="F28" i="6"/>
  <c r="D30" i="5"/>
  <c r="I30" i="5"/>
  <c r="H30" i="5"/>
  <c r="E30" i="5"/>
  <c r="G30" i="5"/>
  <c r="C31" i="5"/>
  <c r="F30" i="5"/>
  <c r="E29" i="6"/>
  <c r="F29" i="6"/>
  <c r="C30" i="6"/>
  <c r="D29" i="6"/>
  <c r="C31" i="11"/>
  <c r="F30" i="11"/>
  <c r="E30" i="11"/>
  <c r="D30" i="11"/>
  <c r="H31" i="5"/>
  <c r="C32" i="5"/>
  <c r="D31" i="5"/>
  <c r="F31" i="5"/>
  <c r="E31" i="5"/>
  <c r="I31" i="5"/>
  <c r="G31" i="5"/>
  <c r="E31" i="11"/>
  <c r="C32" i="11"/>
  <c r="F31" i="11"/>
  <c r="D31" i="11"/>
  <c r="F30" i="6"/>
  <c r="C31" i="6"/>
  <c r="E30" i="6"/>
  <c r="D30" i="6"/>
  <c r="F31" i="6"/>
  <c r="D31" i="6"/>
  <c r="C32" i="6"/>
  <c r="E31" i="6"/>
  <c r="H32" i="5"/>
  <c r="F32" i="5"/>
  <c r="E32" i="5"/>
  <c r="I32" i="5"/>
  <c r="G32" i="5"/>
  <c r="D32" i="5"/>
  <c r="F32" i="11"/>
  <c r="E32" i="11"/>
  <c r="D32" i="11"/>
  <c r="I12" i="5"/>
  <c r="H13" i="5"/>
  <c r="I13" i="5"/>
  <c r="H14" i="5"/>
  <c r="I14" i="5"/>
  <c r="H15" i="5"/>
  <c r="I15" i="5"/>
  <c r="H17" i="5"/>
  <c r="I17" i="5"/>
  <c r="H16" i="5"/>
  <c r="I16" i="5"/>
  <c r="H18" i="5"/>
  <c r="I18" i="5"/>
  <c r="F32" i="6"/>
  <c r="E32" i="6"/>
  <c r="D32" i="6"/>
</calcChain>
</file>

<file path=xl/comments1.xml><?xml version="1.0" encoding="utf-8"?>
<comments xmlns="http://schemas.openxmlformats.org/spreadsheetml/2006/main">
  <authors>
    <author>Katie Drew</author>
  </authors>
  <commentList>
    <comment ref="H8" authorId="0" shapeId="0">
      <text>
        <r>
          <rPr>
            <b/>
            <sz val="11"/>
            <color indexed="81"/>
            <rFont val="Tahoma"/>
            <family val="2"/>
          </rPr>
          <t>Katie Drew:</t>
        </r>
        <r>
          <rPr>
            <sz val="11"/>
            <color indexed="81"/>
            <rFont val="Tahoma"/>
            <family val="2"/>
          </rPr>
          <t xml:space="preserve">
Then's growth based estimator is intended for use with Linf in cm, not mm</t>
        </r>
      </text>
    </comment>
  </commentList>
</comments>
</file>

<file path=xl/sharedStrings.xml><?xml version="1.0" encoding="utf-8"?>
<sst xmlns="http://schemas.openxmlformats.org/spreadsheetml/2006/main" count="409" uniqueCount="238">
  <si>
    <t>Method</t>
  </si>
  <si>
    <t>Alverson and Carney 1975</t>
  </si>
  <si>
    <t>Jensen 1996 (theoretical)</t>
  </si>
  <si>
    <t>Jensen 1996 (derived from Pauly 1980)</t>
  </si>
  <si>
    <t>ESTIMATORS OF AGE-CONSTANT NATURAL MORTALITY</t>
  </si>
  <si>
    <t>Yellow-shaded cells contain formulas and should not be modified</t>
  </si>
  <si>
    <t>Type</t>
  </si>
  <si>
    <t>Parameter</t>
  </si>
  <si>
    <t>Equation</t>
  </si>
  <si>
    <t>Hewitt and Hoenig 2005</t>
  </si>
  <si>
    <t>Rikhter and Efanov 1977</t>
  </si>
  <si>
    <t>Pauly 1980</t>
  </si>
  <si>
    <t>Gunderson and Dygert 1988</t>
  </si>
  <si>
    <t>Gunderson 1997</t>
  </si>
  <si>
    <t>K</t>
  </si>
  <si>
    <t>alpha</t>
  </si>
  <si>
    <t>beta</t>
  </si>
  <si>
    <t>b</t>
  </si>
  <si>
    <t>Age</t>
  </si>
  <si>
    <t>unit length</t>
  </si>
  <si>
    <t>M1</t>
  </si>
  <si>
    <t>age range</t>
  </si>
  <si>
    <t>maximum age</t>
  </si>
  <si>
    <t>theoretical age when length is zero</t>
  </si>
  <si>
    <t>age at 50% maturity</t>
  </si>
  <si>
    <t>GI</t>
  </si>
  <si>
    <t>asymptotic average maximum length from von Bertalanffy function</t>
  </si>
  <si>
    <t>growth rate coefficient from von Bertalanffy function</t>
  </si>
  <si>
    <t>mean water temperature in which the stock lives</t>
  </si>
  <si>
    <t>Definition</t>
  </si>
  <si>
    <t>temp</t>
  </si>
  <si>
    <t>M_u</t>
  </si>
  <si>
    <t>mortality at unit weight</t>
  </si>
  <si>
    <t>year -1</t>
  </si>
  <si>
    <t>mm</t>
  </si>
  <si>
    <t>degrees Celsius</t>
  </si>
  <si>
    <t>years</t>
  </si>
  <si>
    <t>Units for Worksheet</t>
  </si>
  <si>
    <t>t_max</t>
  </si>
  <si>
    <t>t_0</t>
  </si>
  <si>
    <t>L_inf</t>
  </si>
  <si>
    <t>a_50</t>
  </si>
  <si>
    <t>Hoenig 1983 (regression)</t>
  </si>
  <si>
    <t>P</t>
  </si>
  <si>
    <t>proportion of individuals in stock that survive to tmax</t>
  </si>
  <si>
    <t>Hoenig 1983 (rule-of-thumb)</t>
  </si>
  <si>
    <t>M_target</t>
  </si>
  <si>
    <t>measure of curvature in the allometric length-weight relationship</t>
  </si>
  <si>
    <t>condition factor in the allometric length-weight relationship</t>
  </si>
  <si>
    <t>allometric scaling factor in Lorenzen's (1996) mortality-weight model</t>
  </si>
  <si>
    <t>t_min</t>
  </si>
  <si>
    <t>minimum age</t>
  </si>
  <si>
    <t>Alagaraja, K.</t>
  </si>
  <si>
    <t>Alverson, D.L., and M.J. Carney.</t>
  </si>
  <si>
    <t>Jensen, A.L.</t>
  </si>
  <si>
    <t>Hoenig, J.M.</t>
  </si>
  <si>
    <t>Pauly, D.</t>
  </si>
  <si>
    <t>Hewitt, D.A., and J.M. Hoenig.</t>
  </si>
  <si>
    <t>Comparison of two approaches for estimating natural mortality based on longevity.</t>
  </si>
  <si>
    <t>Fishery Bulletin</t>
  </si>
  <si>
    <t>Quinn, T.J. II, and R.B. Deriso</t>
  </si>
  <si>
    <t>Quantitative fish dynamics.</t>
  </si>
  <si>
    <t>Oxford University Press, NY.</t>
  </si>
  <si>
    <t>542 p.</t>
  </si>
  <si>
    <t>Ralston, S.</t>
  </si>
  <si>
    <t>Gunderson, D.R.</t>
  </si>
  <si>
    <t>Gunderson, D.R., and P.H. Dygert.</t>
  </si>
  <si>
    <t>Rikhter, V.A., and V.N. Efanov.</t>
  </si>
  <si>
    <t>Trade-off between reproductive effort and adult survival in oviparous and viviparous fishes.</t>
  </si>
  <si>
    <t>Simple methods for estimation of parameters for assessing exploited fish stocks.</t>
  </si>
  <si>
    <t>A graphic review of the growth and decay of population cohorts.</t>
  </si>
  <si>
    <t>Beverton and Holt life history invariants result from optimal trade-off of reproduction and survival.</t>
  </si>
  <si>
    <t>Empirical use of longevity data to estimate mortality rates.</t>
  </si>
  <si>
    <t>On the interrelationships between natural mortality, growth parameters, and mean environmental temperature in 175 fish stocks.</t>
  </si>
  <si>
    <t>Reproductive effort as a predictor of natural mortality rate.</t>
  </si>
  <si>
    <t>On one of the approaches to estimation of natural mortality of fish populations.</t>
  </si>
  <si>
    <t>Mortality rates of snappers and groupers.</t>
  </si>
  <si>
    <t>Indian Journal of Fisheries</t>
  </si>
  <si>
    <t>36(2):133–143.</t>
  </si>
  <si>
    <t>53(4):820–822.</t>
  </si>
  <si>
    <t>Canadian Journal of Fisheries and Aquatic Sciences</t>
  </si>
  <si>
    <t>39(2):175–192.</t>
  </si>
  <si>
    <t>54(5):990–998.</t>
  </si>
  <si>
    <t>659 p.</t>
  </si>
  <si>
    <t>12 p.</t>
  </si>
  <si>
    <t>ICNAF Research Document 76/VI/8.</t>
  </si>
  <si>
    <t>81(4):898–903.</t>
  </si>
  <si>
    <t>31(2):177–208.</t>
  </si>
  <si>
    <t>103(2):433–437.</t>
  </si>
  <si>
    <t>Journal du Conseil international pour l’Exploration de la Mer</t>
  </si>
  <si>
    <t>44(2):200–209.</t>
  </si>
  <si>
    <t>Author(s)</t>
  </si>
  <si>
    <t>Year</t>
  </si>
  <si>
    <t>Title</t>
  </si>
  <si>
    <t>Publication</t>
  </si>
  <si>
    <t>Issue/Pages</t>
  </si>
  <si>
    <t>References</t>
  </si>
  <si>
    <t>Lorenzen, K.</t>
  </si>
  <si>
    <t>Allometry of natural mortality as a basis for assessing optimal release size in fish-stocking programmes.</t>
  </si>
  <si>
    <t>Population dynamics and potential of fisheries stock enhancement: practical theory for assessment and policy analysis.</t>
  </si>
  <si>
    <t>57(12):2374–2381.</t>
  </si>
  <si>
    <t>The relationship between body weight and natural mortality in juvenile and adult fish: a comparison of natural ecosystems and aquaculture.</t>
  </si>
  <si>
    <t>Journal of Fish Biology</t>
  </si>
  <si>
    <t>49(4):627–647.</t>
  </si>
  <si>
    <t>Philosophical Transactions of the Royal Society of London, Series B</t>
  </si>
  <si>
    <t>360(1453):171–189.</t>
  </si>
  <si>
    <r>
      <t xml:space="preserve">Pages 375–404 </t>
    </r>
    <r>
      <rPr>
        <i/>
        <sz val="10"/>
        <rFont val="Arial"/>
        <family val="2"/>
      </rPr>
      <t>In</t>
    </r>
    <r>
      <rPr>
        <sz val="10"/>
        <rFont val="Arial"/>
        <family val="2"/>
      </rPr>
      <t>: J.J. Polovina and S. Ralston (eds.), Tropical Snappers and Groupers: Biology and Fisheries Management. Westview Press, Boulder Colorado.</t>
    </r>
  </si>
  <si>
    <t>X</t>
  </si>
  <si>
    <t>Required Parameters</t>
  </si>
  <si>
    <t>M</t>
  </si>
  <si>
    <t>Units</t>
  </si>
  <si>
    <t>Value</t>
  </si>
  <si>
    <r>
      <t>°</t>
    </r>
    <r>
      <rPr>
        <b/>
        <i/>
        <sz val="10"/>
        <rFont val="Arial"/>
        <family val="2"/>
      </rPr>
      <t xml:space="preserve"> C</t>
    </r>
  </si>
  <si>
    <t>INPUT</t>
  </si>
  <si>
    <t>Temp</t>
  </si>
  <si>
    <r>
      <t>M</t>
    </r>
    <r>
      <rPr>
        <sz val="10"/>
        <rFont val="Arial"/>
        <family val="2"/>
      </rPr>
      <t xml:space="preserve"> = [1.521/(</t>
    </r>
    <r>
      <rPr>
        <b/>
        <sz val="10"/>
        <rFont val="Arial"/>
        <family val="2"/>
      </rPr>
      <t>a_50</t>
    </r>
    <r>
      <rPr>
        <sz val="10"/>
        <rFont val="Arial"/>
        <family val="2"/>
      </rPr>
      <t>^0.720)] − 0.155</t>
    </r>
  </si>
  <si>
    <r>
      <t>M</t>
    </r>
    <r>
      <rPr>
        <sz val="10"/>
        <rFont val="Arial"/>
        <family val="2"/>
      </rPr>
      <t xml:space="preserve"> = exp[1.44 − 0.982*ln(</t>
    </r>
    <r>
      <rPr>
        <b/>
        <sz val="10"/>
        <rFont val="Arial"/>
        <family val="2"/>
      </rPr>
      <t>t_max</t>
    </r>
    <r>
      <rPr>
        <sz val="10"/>
        <rFont val="Arial"/>
        <family val="2"/>
      </rPr>
      <t>)]</t>
    </r>
  </si>
  <si>
    <r>
      <t>M</t>
    </r>
    <r>
      <rPr>
        <sz val="10"/>
        <rFont val="Arial"/>
        <family val="2"/>
      </rPr>
      <t xml:space="preserve"> = −ln(</t>
    </r>
    <r>
      <rPr>
        <b/>
        <sz val="10"/>
        <rFont val="Arial"/>
        <family val="2"/>
      </rPr>
      <t>P</t>
    </r>
    <r>
      <rPr>
        <sz val="10"/>
        <rFont val="Arial"/>
        <family val="2"/>
      </rPr>
      <t xml:space="preserve">) ∕ </t>
    </r>
    <r>
      <rPr>
        <b/>
        <sz val="10"/>
        <rFont val="Arial"/>
        <family val="2"/>
      </rPr>
      <t>t_max</t>
    </r>
  </si>
  <si>
    <r>
      <t>M</t>
    </r>
    <r>
      <rPr>
        <sz val="10"/>
        <rFont val="Arial"/>
        <family val="2"/>
      </rPr>
      <t xml:space="preserve"> = 4.22 ∕ </t>
    </r>
    <r>
      <rPr>
        <b/>
        <sz val="10"/>
        <rFont val="Arial"/>
        <family val="2"/>
      </rPr>
      <t>t_max</t>
    </r>
  </si>
  <si>
    <t>ESTIMATES</t>
  </si>
  <si>
    <t>Note</t>
  </si>
  <si>
    <t>Beverton</t>
  </si>
  <si>
    <t>Notes</t>
  </si>
  <si>
    <t>Worksheet</t>
  </si>
  <si>
    <t>Contents</t>
  </si>
  <si>
    <t>parameters</t>
  </si>
  <si>
    <t>references</t>
  </si>
  <si>
    <t>2  Values 1.44 (intercept) and -0.982 (slope) were those recommended by Hoenig (1983)</t>
  </si>
  <si>
    <t>3  Equation ≈ 3 ∕ t_max when P = 0.05</t>
  </si>
  <si>
    <t>4  Ralston's (1987) relationship was developed for snappers and groupers</t>
  </si>
  <si>
    <t>5  Was not able to verify this equation or identify reference</t>
  </si>
  <si>
    <t>gonadal-somatic index defined as the ratio of gonad weight to total weight</t>
  </si>
  <si>
    <r>
      <t>M</t>
    </r>
    <r>
      <rPr>
        <sz val="10"/>
        <rFont val="Arial"/>
        <family val="2"/>
      </rPr>
      <t xml:space="preserve"> = −0.370 + 4.64</t>
    </r>
    <r>
      <rPr>
        <b/>
        <sz val="10"/>
        <rFont val="Arial"/>
        <family val="2"/>
      </rPr>
      <t>GI</t>
    </r>
  </si>
  <si>
    <t>Gunderson 1980</t>
  </si>
  <si>
    <t>Using r-K selection theory to predict natural mortality.</t>
  </si>
  <si>
    <t>37(12):2266–2271.</t>
  </si>
  <si>
    <t>ESTIMATOR OF AGE-VARYING NATURAL MORTALITY USING LORENZEN'S (1996) MORTALITY-WEIGHT MODEL</t>
  </si>
  <si>
    <t>von B age-length</t>
  </si>
  <si>
    <t>Length</t>
  </si>
  <si>
    <t>Weight</t>
  </si>
  <si>
    <t>g</t>
  </si>
  <si>
    <t>annual</t>
  </si>
  <si>
    <t>Ralston 1987 (linear regression)</t>
  </si>
  <si>
    <t>http://swfsc.noaa.gov/publications/CR/1987/8763.PDF</t>
  </si>
  <si>
    <t>Available</t>
  </si>
  <si>
    <t>1  Pauly's (1980) equation converted from base 10 to natural logarithms by Quinn and Deriso (1999); L_inf divided by 10 to adjust for mm</t>
  </si>
  <si>
    <r>
      <t>M</t>
    </r>
    <r>
      <rPr>
        <sz val="10"/>
        <rFont val="Arial"/>
        <family val="2"/>
      </rPr>
      <t xml:space="preserve"> = exp[−0.0152 + 0.6543*ln(</t>
    </r>
    <r>
      <rPr>
        <b/>
        <sz val="10"/>
        <rFont val="Arial"/>
        <family val="2"/>
      </rPr>
      <t>K</t>
    </r>
    <r>
      <rPr>
        <sz val="10"/>
        <rFont val="Arial"/>
        <family val="2"/>
      </rPr>
      <t>) − 0.279*ln(</t>
    </r>
    <r>
      <rPr>
        <b/>
        <sz val="10"/>
        <rFont val="Arial"/>
        <family val="2"/>
      </rPr>
      <t>L_inf</t>
    </r>
    <r>
      <rPr>
        <sz val="10"/>
        <rFont val="Arial"/>
        <family val="2"/>
      </rPr>
      <t>/10</t>
    </r>
    <r>
      <rPr>
        <sz val="10"/>
        <rFont val="Arial"/>
        <family val="2"/>
      </rPr>
      <t>) + 0.4634*ln(</t>
    </r>
    <r>
      <rPr>
        <b/>
        <sz val="10"/>
        <rFont val="Arial"/>
        <family val="2"/>
      </rPr>
      <t>Temp</t>
    </r>
    <r>
      <rPr>
        <sz val="10"/>
        <rFont val="Arial"/>
        <family val="2"/>
      </rPr>
      <t>)]</t>
    </r>
  </si>
  <si>
    <r>
      <t>M</t>
    </r>
    <r>
      <rPr>
        <sz val="10"/>
        <rFont val="Arial"/>
        <family val="2"/>
      </rPr>
      <t xml:space="preserve"> = 0.0189 + 2.06*</t>
    </r>
    <r>
      <rPr>
        <b/>
        <sz val="10"/>
        <rFont val="Arial"/>
        <family val="2"/>
      </rPr>
      <t>K</t>
    </r>
  </si>
  <si>
    <r>
      <t>M</t>
    </r>
    <r>
      <rPr>
        <sz val="10"/>
        <rFont val="Arial"/>
        <family val="2"/>
      </rPr>
      <t xml:space="preserve"> = 0.03 + 1.68*</t>
    </r>
    <r>
      <rPr>
        <b/>
        <sz val="10"/>
        <rFont val="Arial"/>
        <family val="2"/>
      </rPr>
      <t>GI</t>
    </r>
  </si>
  <si>
    <r>
      <t>M</t>
    </r>
    <r>
      <rPr>
        <sz val="10"/>
        <rFont val="Arial"/>
        <family val="2"/>
      </rPr>
      <t xml:space="preserve"> = 1.50*</t>
    </r>
    <r>
      <rPr>
        <b/>
        <sz val="10"/>
        <rFont val="Arial"/>
        <family val="2"/>
      </rPr>
      <t>K</t>
    </r>
  </si>
  <si>
    <r>
      <t>M</t>
    </r>
    <r>
      <rPr>
        <sz val="10"/>
        <rFont val="Arial"/>
        <family val="2"/>
      </rPr>
      <t xml:space="preserve"> = 1.60*</t>
    </r>
    <r>
      <rPr>
        <b/>
        <sz val="10"/>
        <rFont val="Arial"/>
        <family val="2"/>
      </rPr>
      <t>K</t>
    </r>
  </si>
  <si>
    <r>
      <t>M</t>
    </r>
    <r>
      <rPr>
        <sz val="10"/>
        <rFont val="Arial"/>
        <family val="2"/>
      </rPr>
      <t xml:space="preserve"> = 1.79*</t>
    </r>
    <r>
      <rPr>
        <b/>
        <sz val="10"/>
        <rFont val="Arial"/>
        <family val="2"/>
      </rPr>
      <t>GI</t>
    </r>
  </si>
  <si>
    <r>
      <t>M</t>
    </r>
    <r>
      <rPr>
        <sz val="10"/>
        <rFont val="Arial"/>
        <family val="2"/>
      </rPr>
      <t xml:space="preserve"> = 3*</t>
    </r>
    <r>
      <rPr>
        <b/>
        <sz val="10"/>
        <rFont val="Arial"/>
        <family val="2"/>
      </rPr>
      <t>K</t>
    </r>
    <r>
      <rPr>
        <sz val="10"/>
        <rFont val="Arial"/>
        <family val="2"/>
      </rPr>
      <t>/[exp(</t>
    </r>
    <r>
      <rPr>
        <b/>
        <sz val="10"/>
        <rFont val="Arial"/>
        <family val="2"/>
      </rPr>
      <t>a_50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K</t>
    </r>
    <r>
      <rPr>
        <sz val="10"/>
        <rFont val="Arial"/>
        <family val="2"/>
      </rPr>
      <t>) − 1]</t>
    </r>
  </si>
  <si>
    <r>
      <t>M</t>
    </r>
    <r>
      <rPr>
        <sz val="10"/>
        <rFont val="Arial"/>
        <family val="2"/>
      </rPr>
      <t xml:space="preserve"> = 3</t>
    </r>
    <r>
      <rPr>
        <b/>
        <sz val="10"/>
        <rFont val="Arial"/>
        <family val="2"/>
      </rPr>
      <t>K</t>
    </r>
    <r>
      <rPr>
        <sz val="10"/>
        <rFont val="Arial"/>
        <family val="2"/>
      </rPr>
      <t>/(exp[0.38*</t>
    </r>
    <r>
      <rPr>
        <b/>
        <sz val="10"/>
        <rFont val="Arial"/>
        <family val="2"/>
      </rPr>
      <t>K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t_max</t>
    </r>
    <r>
      <rPr>
        <sz val="10"/>
        <rFont val="Arial"/>
        <family val="2"/>
      </rPr>
      <t>) − 1]</t>
    </r>
  </si>
  <si>
    <t>instantaneous</t>
  </si>
  <si>
    <t>Definitions of input parameters used in equations to estimate natural mortality</t>
  </si>
  <si>
    <t>Estimators of age-constant natural mortality</t>
  </si>
  <si>
    <t>len(mm)-wt(g)</t>
  </si>
  <si>
    <t>longevity</t>
  </si>
  <si>
    <t>maturity</t>
  </si>
  <si>
    <t>environ.</t>
  </si>
  <si>
    <t>Estimator of age-varying natural mortality using Lorenzen's (1996) mortality-weight model</t>
  </si>
  <si>
    <t>Lorenzen 1996</t>
  </si>
  <si>
    <t>mortality-weight *</t>
  </si>
  <si>
    <t>* M_u = 3.00 and b = -0.288 in Lorenzen 1996</t>
  </si>
  <si>
    <t>ESTIMATOR OF AGE-VARYING NATURAL MORTALITY USING LORENZEN'S (2005) MORTALITY-LENGTH MODEL</t>
  </si>
  <si>
    <t>Lorenzen 2005</t>
  </si>
  <si>
    <t>INTER-</t>
  </si>
  <si>
    <t>MEDIATE</t>
  </si>
  <si>
    <t>CALCS</t>
  </si>
  <si>
    <t>M(L)</t>
  </si>
  <si>
    <t>Estimator of age-varying natural mortality using Lorenzen's (2005) mortality-length model</t>
  </si>
  <si>
    <t>Cell Color</t>
  </si>
  <si>
    <t>Explanation</t>
  </si>
  <si>
    <t>WORKBOOK CONTENTS</t>
  </si>
  <si>
    <t>COLOR KEY</t>
  </si>
  <si>
    <t>Yellow-shaded cells contain formulas or references to other cells and so should generally not need to be modified</t>
  </si>
  <si>
    <t>White-shaded cells require user input</t>
  </si>
  <si>
    <t>NOTES</t>
  </si>
  <si>
    <t>List of references cited throughout workbook; some additional references listed</t>
  </si>
  <si>
    <t>cumulative natural mortality estimates across selected age range are set equal to M_target to scale age-specific estimates; in this workbook, M_target is determined using Hoenig's (1983) regression method</t>
  </si>
  <si>
    <t>* Efforts have been made to identify and eliminate errors; however, error may still exist</t>
  </si>
  <si>
    <t>see reference</t>
  </si>
  <si>
    <t>Gislason, H., N. Daan, J.C. Rice, and J.G. Pope.</t>
  </si>
  <si>
    <t>Size, growth, temperature and the natural mortality of marine fish.</t>
  </si>
  <si>
    <t>Fish and Fisheries</t>
  </si>
  <si>
    <t>11(2)149–158.</t>
  </si>
  <si>
    <t>Estimator of age-varying natural mortality using Gislason et al.'s (2010) mortality-growth model</t>
  </si>
  <si>
    <t>ESTIMATOR OF AGE-VARYING NATURAL MORTALITY USING GISLASON ET AL'S (2010) MORTALITY-GROWTH MODEL</t>
  </si>
  <si>
    <t>Gislason et al. (2010)</t>
  </si>
  <si>
    <r>
      <t>M</t>
    </r>
    <r>
      <rPr>
        <sz val="10"/>
        <rFont val="Arial"/>
        <family val="2"/>
      </rPr>
      <t>(W)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M_u</t>
    </r>
    <r>
      <rPr>
        <sz val="10"/>
        <rFont val="Arial"/>
        <family val="2"/>
      </rPr>
      <t xml:space="preserve"> * W ^ </t>
    </r>
    <r>
      <rPr>
        <b/>
        <sz val="10"/>
        <rFont val="Arial"/>
        <family val="2"/>
      </rPr>
      <t>b</t>
    </r>
  </si>
  <si>
    <r>
      <t>M</t>
    </r>
    <r>
      <rPr>
        <sz val="10"/>
        <rFont val="Arial"/>
        <family val="2"/>
      </rPr>
      <t>(L)=exp[0.55 − 1.61*ln(L/10) + 1.44*ln(</t>
    </r>
    <r>
      <rPr>
        <b/>
        <sz val="10"/>
        <rFont val="Arial"/>
        <family val="2"/>
      </rPr>
      <t>L_inf</t>
    </r>
    <r>
      <rPr>
        <sz val="10"/>
        <rFont val="Arial"/>
        <family val="2"/>
      </rPr>
      <t>/10)+ln(</t>
    </r>
    <r>
      <rPr>
        <b/>
        <sz val="10"/>
        <rFont val="Arial"/>
        <family val="2"/>
      </rPr>
      <t>K</t>
    </r>
    <r>
      <rPr>
        <sz val="10"/>
        <rFont val="Arial"/>
        <family val="2"/>
      </rPr>
      <t>)]</t>
    </r>
  </si>
  <si>
    <t>* Estimates are calculated for both instantaneous and discrete rates</t>
  </si>
  <si>
    <t>Most of this book is available online through Google's book search: http://books.google.com/books (search for Quinn and Deriso)</t>
  </si>
  <si>
    <t>http://fishbull.noaa.gov/1032/hewitt.pdf</t>
  </si>
  <si>
    <t>http://fishbull.noaa.gov/81-4/hoenig.pdf</t>
  </si>
  <si>
    <t xml:space="preserve">M_u = 3.69 and b= -0.305 </t>
  </si>
  <si>
    <t xml:space="preserve">  from fit to ocean data only.</t>
  </si>
  <si>
    <t>M(W) - unscaled</t>
  </si>
  <si>
    <t>-M(a)* LN(%-at-max-age)/ΣM(a)</t>
  </si>
  <si>
    <t>Scaled estimate</t>
  </si>
  <si>
    <t>M(W) - scaled**</t>
  </si>
  <si>
    <t xml:space="preserve">** Some assessments scale the Lorenzen estimates </t>
  </si>
  <si>
    <t>based on a specified %-alive-at-max-age to incorporate</t>
  </si>
  <si>
    <t>information on longevity into the estimates</t>
  </si>
  <si>
    <t>Growth (all data)</t>
  </si>
  <si>
    <t>Linf</t>
  </si>
  <si>
    <t>years-1</t>
  </si>
  <si>
    <t>cm</t>
  </si>
  <si>
    <t>60 Year Max</t>
  </si>
  <si>
    <r>
      <t>M</t>
    </r>
    <r>
      <rPr>
        <i/>
        <sz val="10"/>
        <rFont val="Arial"/>
        <family val="2"/>
      </rPr>
      <t xml:space="preserve"> = exp[1.44 − 0.982*ln(</t>
    </r>
    <r>
      <rPr>
        <b/>
        <i/>
        <sz val="10"/>
        <rFont val="Arial"/>
        <family val="2"/>
      </rPr>
      <t>t_max</t>
    </r>
    <r>
      <rPr>
        <i/>
        <sz val="10"/>
        <rFont val="Arial"/>
        <family val="2"/>
      </rPr>
      <t>)]</t>
    </r>
  </si>
  <si>
    <r>
      <t>M</t>
    </r>
    <r>
      <rPr>
        <i/>
        <sz val="10"/>
        <rFont val="Arial"/>
        <family val="2"/>
      </rPr>
      <t xml:space="preserve"> = 4.22 ∕ </t>
    </r>
    <r>
      <rPr>
        <b/>
        <i/>
        <sz val="10"/>
        <rFont val="Arial"/>
        <family val="2"/>
      </rPr>
      <t>t_max</t>
    </r>
  </si>
  <si>
    <r>
      <t>Updated T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estimator (Then et al. 2015)</t>
    </r>
  </si>
  <si>
    <r>
      <t>M</t>
    </r>
    <r>
      <rPr>
        <sz val="10"/>
        <rFont val="Arial"/>
        <family val="2"/>
      </rPr>
      <t xml:space="preserve"> = 5.109/</t>
    </r>
    <r>
      <rPr>
        <b/>
        <sz val="10"/>
        <rFont val="Arial"/>
        <family val="2"/>
      </rPr>
      <t>t</t>
    </r>
    <r>
      <rPr>
        <b/>
        <vertAlign val="subscript"/>
        <sz val="10"/>
        <rFont val="Arial"/>
        <family val="2"/>
      </rPr>
      <t>max</t>
    </r>
  </si>
  <si>
    <t>Updated Hoenig 1983 (Then et al. 2015)</t>
  </si>
  <si>
    <r>
      <t>M</t>
    </r>
    <r>
      <rPr>
        <sz val="10"/>
        <rFont val="Arial"/>
        <family val="2"/>
      </rPr>
      <t xml:space="preserve"> = exp[1.717-1.01*ln(</t>
    </r>
    <r>
      <rPr>
        <b/>
        <sz val="10"/>
        <rFont val="Arial"/>
        <family val="2"/>
      </rPr>
      <t>t</t>
    </r>
    <r>
      <rPr>
        <b/>
        <vertAlign val="subscript"/>
        <sz val="10"/>
        <rFont val="Arial"/>
        <family val="2"/>
      </rPr>
      <t>max</t>
    </r>
    <r>
      <rPr>
        <sz val="10"/>
        <rFont val="Arial"/>
        <family val="2"/>
      </rPr>
      <t>)]</t>
    </r>
  </si>
  <si>
    <t>Updated Hoenig Non-linear least squares (Then et al. 2015)</t>
  </si>
  <si>
    <r>
      <t>M</t>
    </r>
    <r>
      <rPr>
        <sz val="10"/>
        <rFont val="Arial"/>
        <family val="2"/>
      </rPr>
      <t xml:space="preserve"> = 4.899 * </t>
    </r>
    <r>
      <rPr>
        <b/>
        <sz val="10"/>
        <rFont val="Arial"/>
        <family val="2"/>
      </rPr>
      <t>t</t>
    </r>
    <r>
      <rPr>
        <b/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-0.916</t>
    </r>
  </si>
  <si>
    <t>Updated growth-based estimator (Then et al. 2015)</t>
  </si>
  <si>
    <r>
      <t xml:space="preserve">M = </t>
    </r>
    <r>
      <rPr>
        <sz val="10"/>
        <rFont val="Arial"/>
        <family val="2"/>
      </rPr>
      <t>4.118*K^(0.73) * Linf^(−0.33)</t>
    </r>
  </si>
  <si>
    <t>Evaluating the predictive performance of empirical estimators of natural mortality rate using information on over 200 fish species.</t>
  </si>
  <si>
    <t>ICES Journal of Marine Science, 72(1)</t>
  </si>
  <si>
    <t>Then, A.Y., J.M. Hoenig, N.G. Hall, and D.A. Hewitt</t>
  </si>
  <si>
    <t>http://sedarweb.org/docs/supp/PW7-113_Then%20et%20al%202014_pointestimate_M.pdf</t>
  </si>
  <si>
    <t>10 p.</t>
  </si>
  <si>
    <r>
      <t xml:space="preserve">* Then et al. (2015) re-estimated many of the common age-constant estimators of </t>
    </r>
    <r>
      <rPr>
        <i/>
        <sz val="10"/>
        <rFont val="Arial"/>
        <family val="2"/>
      </rPr>
      <t>M</t>
    </r>
    <r>
      <rPr>
        <sz val="10"/>
        <rFont val="Arial"/>
        <family val="2"/>
      </rPr>
      <t xml:space="preserve"> with more robust statistical methods and data vetting.</t>
    </r>
  </si>
  <si>
    <t>UPDATED EQUATIONS</t>
  </si>
  <si>
    <t>PREVIOUS EQUATIONS</t>
  </si>
  <si>
    <t>(0.3% - 0.6%) versus earlier work by Hoenig (1983) as described in Hewitt and Hoenig (2005).</t>
  </si>
  <si>
    <t>2015 (2014)</t>
  </si>
  <si>
    <t xml:space="preserve">  from fit to all natural systems combined (lakes, rivers, ocean).</t>
  </si>
  <si>
    <t xml:space="preserve">They also examined different methods of estimating M from life history traits. They suggested a lower survival at maximum age </t>
  </si>
  <si>
    <t>age-constant</t>
  </si>
  <si>
    <t>age-constant updated</t>
  </si>
  <si>
    <t>Estimators of age-constant natural mortality, updated with Then et al. (2015)</t>
  </si>
  <si>
    <t>age-varying_L1996</t>
  </si>
  <si>
    <t>age-varying_L2005</t>
  </si>
  <si>
    <t>age-varying_G2010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</si>
</sst>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"/>
  </numFmts>
  <fonts count="1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0"/>
      <name val="Times New Roman"/>
      <family val="1"/>
    </font>
    <font>
      <b/>
      <i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i/>
      <sz val="10"/>
      <color indexed="1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</fills>
  <borders count="78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medium">
        <color indexed="64"/>
      </bottom>
      <diagonal/>
    </border>
    <border>
      <left style="thin">
        <color rgb="FFB2B2B2"/>
      </left>
      <right style="thin">
        <color indexed="64"/>
      </right>
      <top/>
      <bottom style="medium">
        <color indexed="64"/>
      </bottom>
      <diagonal/>
    </border>
    <border>
      <left style="thin">
        <color rgb="FFB2B2B2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6" fillId="8" borderId="64" applyNumberFormat="0" applyFont="0" applyAlignment="0" applyProtection="0"/>
  </cellStyleXfs>
  <cellXfs count="383">
    <xf numFmtId="0" fontId="0" fillId="0" borderId="0" xfId="0"/>
    <xf numFmtId="164" fontId="0" fillId="2" borderId="1" xfId="0" applyNumberFormat="1" applyFill="1" applyBorder="1"/>
    <xf numFmtId="0" fontId="4" fillId="3" borderId="0" xfId="0" applyFont="1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Fill="1"/>
    <xf numFmtId="0" fontId="0" fillId="4" borderId="2" xfId="0" applyFill="1" applyBorder="1"/>
    <xf numFmtId="0" fontId="2" fillId="4" borderId="2" xfId="0" applyFont="1" applyFill="1" applyBorder="1"/>
    <xf numFmtId="0" fontId="0" fillId="4" borderId="3" xfId="0" applyFill="1" applyBorder="1"/>
    <xf numFmtId="0" fontId="2" fillId="4" borderId="4" xfId="0" applyFont="1" applyFill="1" applyBorder="1" applyAlignment="1">
      <alignment horizontal="right"/>
    </xf>
    <xf numFmtId="0" fontId="0" fillId="4" borderId="5" xfId="0" applyFill="1" applyBorder="1"/>
    <xf numFmtId="0" fontId="0" fillId="4" borderId="6" xfId="0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4" fillId="4" borderId="9" xfId="0" applyFont="1" applyFill="1" applyBorder="1" applyAlignment="1">
      <alignment horizontal="right"/>
    </xf>
    <xf numFmtId="0" fontId="0" fillId="5" borderId="10" xfId="0" applyFill="1" applyBorder="1"/>
    <xf numFmtId="0" fontId="0" fillId="5" borderId="10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5" borderId="11" xfId="0" applyFill="1" applyBorder="1" applyAlignment="1"/>
    <xf numFmtId="0" fontId="0" fillId="5" borderId="11" xfId="0" applyFill="1" applyBorder="1"/>
    <xf numFmtId="0" fontId="2" fillId="6" borderId="12" xfId="0" applyFont="1" applyFill="1" applyBorder="1"/>
    <xf numFmtId="0" fontId="0" fillId="6" borderId="13" xfId="0" applyFill="1" applyBorder="1"/>
    <xf numFmtId="0" fontId="0" fillId="6" borderId="14" xfId="0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2" fillId="4" borderId="15" xfId="0" applyFont="1" applyFill="1" applyBorder="1"/>
    <xf numFmtId="0" fontId="2" fillId="4" borderId="16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5" fillId="4" borderId="18" xfId="0" applyFont="1" applyFill="1" applyBorder="1"/>
    <xf numFmtId="0" fontId="5" fillId="4" borderId="19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5" borderId="21" xfId="0" applyFill="1" applyBorder="1" applyAlignment="1">
      <alignment vertical="top"/>
    </xf>
    <xf numFmtId="0" fontId="0" fillId="5" borderId="22" xfId="0" applyFill="1" applyBorder="1" applyAlignment="1">
      <alignment vertical="top"/>
    </xf>
    <xf numFmtId="0" fontId="0" fillId="5" borderId="22" xfId="0" applyFill="1" applyBorder="1"/>
    <xf numFmtId="0" fontId="0" fillId="5" borderId="18" xfId="0" applyFill="1" applyBorder="1" applyAlignment="1">
      <alignment vertical="top"/>
    </xf>
    <xf numFmtId="0" fontId="0" fillId="5" borderId="19" xfId="0" applyFill="1" applyBorder="1" applyAlignment="1">
      <alignment vertical="top"/>
    </xf>
    <xf numFmtId="0" fontId="0" fillId="5" borderId="19" xfId="0" applyFill="1" applyBorder="1"/>
    <xf numFmtId="0" fontId="0" fillId="5" borderId="20" xfId="0" applyFill="1" applyBorder="1"/>
    <xf numFmtId="0" fontId="0" fillId="3" borderId="5" xfId="0" applyFill="1" applyBorder="1" applyAlignment="1">
      <alignment vertical="top"/>
    </xf>
    <xf numFmtId="0" fontId="2" fillId="4" borderId="12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13" xfId="0" applyFill="1" applyBorder="1" applyAlignment="1">
      <alignment vertical="top"/>
    </xf>
    <xf numFmtId="0" fontId="0" fillId="5" borderId="15" xfId="0" applyFill="1" applyBorder="1"/>
    <xf numFmtId="0" fontId="0" fillId="5" borderId="16" xfId="0" applyFill="1" applyBorder="1" applyAlignment="1"/>
    <xf numFmtId="0" fontId="0" fillId="5" borderId="16" xfId="0" applyFill="1" applyBorder="1"/>
    <xf numFmtId="0" fontId="0" fillId="5" borderId="16" xfId="0" applyFill="1" applyBorder="1" applyAlignment="1">
      <alignment vertical="top"/>
    </xf>
    <xf numFmtId="0" fontId="0" fillId="5" borderId="17" xfId="0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0" fillId="7" borderId="24" xfId="0" applyFill="1" applyBorder="1" applyAlignment="1">
      <alignment horizontal="center" vertical="top" wrapText="1"/>
    </xf>
    <xf numFmtId="0" fontId="0" fillId="7" borderId="24" xfId="0" applyFill="1" applyBorder="1" applyAlignment="1">
      <alignment vertical="top" wrapText="1"/>
    </xf>
    <xf numFmtId="0" fontId="0" fillId="7" borderId="25" xfId="0" applyFill="1" applyBorder="1" applyAlignment="1">
      <alignment vertical="top" wrapText="1"/>
    </xf>
    <xf numFmtId="0" fontId="0" fillId="7" borderId="26" xfId="0" applyFill="1" applyBorder="1" applyAlignment="1">
      <alignment horizontal="center" vertical="top" wrapText="1"/>
    </xf>
    <xf numFmtId="0" fontId="0" fillId="7" borderId="26" xfId="0" applyFill="1" applyBorder="1" applyAlignment="1">
      <alignment vertical="top" wrapText="1"/>
    </xf>
    <xf numFmtId="0" fontId="6" fillId="7" borderId="26" xfId="0" applyFont="1" applyFill="1" applyBorder="1" applyAlignment="1">
      <alignment vertical="top" wrapText="1"/>
    </xf>
    <xf numFmtId="0" fontId="0" fillId="7" borderId="27" xfId="0" applyFill="1" applyBorder="1" applyAlignment="1">
      <alignment vertical="top" wrapText="1"/>
    </xf>
    <xf numFmtId="0" fontId="0" fillId="7" borderId="28" xfId="0" applyFill="1" applyBorder="1" applyAlignment="1">
      <alignment horizontal="center" vertical="top" wrapText="1"/>
    </xf>
    <xf numFmtId="0" fontId="4" fillId="7" borderId="28" xfId="0" applyFont="1" applyFill="1" applyBorder="1" applyAlignment="1">
      <alignment vertical="top" wrapText="1"/>
    </xf>
    <xf numFmtId="0" fontId="0" fillId="7" borderId="28" xfId="0" applyFill="1" applyBorder="1" applyAlignment="1">
      <alignment vertical="top" wrapText="1"/>
    </xf>
    <xf numFmtId="0" fontId="2" fillId="4" borderId="29" xfId="0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2" fillId="4" borderId="35" xfId="0" applyFont="1" applyFill="1" applyBorder="1" applyAlignment="1"/>
    <xf numFmtId="0" fontId="0" fillId="4" borderId="10" xfId="0" applyFill="1" applyBorder="1" applyAlignment="1"/>
    <xf numFmtId="0" fontId="0" fillId="4" borderId="36" xfId="0" applyFill="1" applyBorder="1" applyAlignment="1"/>
    <xf numFmtId="0" fontId="2" fillId="4" borderId="7" xfId="0" applyFont="1" applyFill="1" applyBorder="1"/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/>
    <xf numFmtId="0" fontId="2" fillId="4" borderId="28" xfId="0" applyFont="1" applyFill="1" applyBorder="1" applyAlignment="1">
      <alignment horizontal="center"/>
    </xf>
    <xf numFmtId="0" fontId="2" fillId="7" borderId="26" xfId="0" applyFont="1" applyFill="1" applyBorder="1" applyAlignment="1">
      <alignment vertical="top"/>
    </xf>
    <xf numFmtId="0" fontId="0" fillId="7" borderId="26" xfId="0" applyFill="1" applyBorder="1" applyAlignment="1">
      <alignment vertical="top"/>
    </xf>
    <xf numFmtId="0" fontId="0" fillId="7" borderId="26" xfId="0" applyFill="1" applyBorder="1" applyAlignment="1">
      <alignment horizontal="center" vertical="top"/>
    </xf>
    <xf numFmtId="0" fontId="2" fillId="4" borderId="39" xfId="0" applyFont="1" applyFill="1" applyBorder="1" applyAlignment="1">
      <alignment horizontal="right"/>
    </xf>
    <xf numFmtId="0" fontId="2" fillId="4" borderId="35" xfId="0" applyFont="1" applyFill="1" applyBorder="1" applyAlignment="1">
      <alignment horizontal="right"/>
    </xf>
    <xf numFmtId="0" fontId="2" fillId="4" borderId="40" xfId="0" applyFont="1" applyFill="1" applyBorder="1" applyAlignment="1">
      <alignment horizontal="right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2" fillId="7" borderId="23" xfId="0" applyFont="1" applyFill="1" applyBorder="1" applyAlignment="1">
      <alignment horizontal="center" vertical="top"/>
    </xf>
    <xf numFmtId="0" fontId="0" fillId="7" borderId="41" xfId="0" applyFill="1" applyBorder="1" applyAlignment="1">
      <alignment vertical="top"/>
    </xf>
    <xf numFmtId="0" fontId="2" fillId="7" borderId="25" xfId="0" applyFont="1" applyFill="1" applyBorder="1" applyAlignment="1">
      <alignment horizontal="center" vertical="top"/>
    </xf>
    <xf numFmtId="0" fontId="0" fillId="7" borderId="42" xfId="0" applyFill="1" applyBorder="1" applyAlignment="1">
      <alignment vertical="top"/>
    </xf>
    <xf numFmtId="0" fontId="2" fillId="7" borderId="27" xfId="0" applyFont="1" applyFill="1" applyBorder="1" applyAlignment="1">
      <alignment horizontal="center" vertical="top"/>
    </xf>
    <xf numFmtId="0" fontId="0" fillId="7" borderId="43" xfId="0" applyFill="1" applyBorder="1" applyAlignment="1">
      <alignment vertical="top"/>
    </xf>
    <xf numFmtId="0" fontId="2" fillId="4" borderId="3" xfId="0" applyFont="1" applyFill="1" applyBorder="1"/>
    <xf numFmtId="0" fontId="2" fillId="4" borderId="38" xfId="0" applyFont="1" applyFill="1" applyBorder="1" applyAlignment="1">
      <alignment horizontal="center"/>
    </xf>
    <xf numFmtId="0" fontId="2" fillId="4" borderId="37" xfId="0" applyFont="1" applyFill="1" applyBorder="1"/>
    <xf numFmtId="0" fontId="0" fillId="7" borderId="44" xfId="0" applyFill="1" applyBorder="1" applyAlignment="1">
      <alignment vertical="top" wrapText="1"/>
    </xf>
    <xf numFmtId="0" fontId="0" fillId="7" borderId="41" xfId="0" applyFill="1" applyBorder="1"/>
    <xf numFmtId="0" fontId="0" fillId="7" borderId="42" xfId="0" applyFill="1" applyBorder="1"/>
    <xf numFmtId="18" fontId="0" fillId="7" borderId="28" xfId="0" quotePrefix="1" applyNumberFormat="1" applyFill="1" applyBorder="1" applyAlignment="1">
      <alignment vertical="top" wrapText="1"/>
    </xf>
    <xf numFmtId="0" fontId="0" fillId="7" borderId="43" xfId="0" applyFill="1" applyBorder="1"/>
    <xf numFmtId="164" fontId="0" fillId="3" borderId="0" xfId="0" applyNumberFormat="1" applyFill="1" applyBorder="1" applyAlignment="1">
      <alignment vertical="top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7" borderId="25" xfId="0" applyFill="1" applyBorder="1" applyAlignment="1">
      <alignment vertical="center" wrapText="1"/>
    </xf>
    <xf numFmtId="0" fontId="0" fillId="7" borderId="26" xfId="0" applyFill="1" applyBorder="1" applyAlignment="1">
      <alignment vertical="center" wrapText="1"/>
    </xf>
    <xf numFmtId="0" fontId="2" fillId="7" borderId="26" xfId="0" applyFont="1" applyFill="1" applyBorder="1" applyAlignment="1">
      <alignment vertical="center"/>
    </xf>
    <xf numFmtId="0" fontId="0" fillId="7" borderId="26" xfId="0" applyFill="1" applyBorder="1" applyAlignment="1">
      <alignment vertical="center"/>
    </xf>
    <xf numFmtId="0" fontId="0" fillId="7" borderId="26" xfId="0" applyFill="1" applyBorder="1" applyAlignment="1">
      <alignment horizontal="center" vertical="center"/>
    </xf>
    <xf numFmtId="0" fontId="3" fillId="7" borderId="26" xfId="1" applyFill="1" applyBorder="1" applyAlignment="1" applyProtection="1">
      <alignment horizontal="center" vertical="center" wrapText="1"/>
    </xf>
    <xf numFmtId="0" fontId="2" fillId="7" borderId="26" xfId="0" applyFont="1" applyFill="1" applyBorder="1" applyAlignment="1">
      <alignment vertical="center" wrapText="1"/>
    </xf>
    <xf numFmtId="0" fontId="0" fillId="7" borderId="25" xfId="0" applyFill="1" applyBorder="1" applyAlignment="1">
      <alignment vertical="center"/>
    </xf>
    <xf numFmtId="0" fontId="0" fillId="7" borderId="27" xfId="0" applyFill="1" applyBorder="1" applyAlignment="1">
      <alignment vertical="center" wrapText="1"/>
    </xf>
    <xf numFmtId="0" fontId="3" fillId="7" borderId="28" xfId="1" applyFill="1" applyBorder="1" applyAlignment="1" applyProtection="1">
      <alignment horizontal="center" vertical="center" wrapText="1"/>
    </xf>
    <xf numFmtId="0" fontId="2" fillId="7" borderId="28" xfId="0" applyFont="1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7" borderId="28" xfId="0" applyFill="1" applyBorder="1" applyAlignment="1">
      <alignment horizontal="center" vertical="center"/>
    </xf>
    <xf numFmtId="0" fontId="0" fillId="3" borderId="0" xfId="0" applyFill="1" applyBorder="1" applyAlignment="1"/>
    <xf numFmtId="0" fontId="2" fillId="4" borderId="34" xfId="0" applyFont="1" applyFill="1" applyBorder="1" applyAlignment="1">
      <alignment horizontal="center"/>
    </xf>
    <xf numFmtId="0" fontId="9" fillId="4" borderId="38" xfId="0" applyFont="1" applyFill="1" applyBorder="1" applyAlignment="1">
      <alignment horizontal="center"/>
    </xf>
    <xf numFmtId="0" fontId="2" fillId="7" borderId="1" xfId="0" applyFont="1" applyFill="1" applyBorder="1" applyAlignment="1">
      <alignment vertical="top"/>
    </xf>
    <xf numFmtId="0" fontId="0" fillId="7" borderId="1" xfId="0" applyFill="1" applyBorder="1" applyAlignment="1">
      <alignment horizontal="center" vertical="top"/>
    </xf>
    <xf numFmtId="0" fontId="9" fillId="4" borderId="45" xfId="0" applyFont="1" applyFill="1" applyBorder="1" applyAlignment="1">
      <alignment horizontal="center"/>
    </xf>
    <xf numFmtId="164" fontId="0" fillId="2" borderId="39" xfId="0" applyNumberForma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164" fontId="0" fillId="2" borderId="35" xfId="0" applyNumberForma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164" fontId="0" fillId="2" borderId="35" xfId="0" applyNumberFormat="1" applyFill="1" applyBorder="1" applyAlignment="1">
      <alignment horizontal="center" vertical="center"/>
    </xf>
    <xf numFmtId="164" fontId="0" fillId="2" borderId="42" xfId="0" applyNumberFormat="1" applyFill="1" applyBorder="1" applyAlignment="1">
      <alignment horizontal="center" vertical="center"/>
    </xf>
    <xf numFmtId="164" fontId="0" fillId="2" borderId="40" xfId="0" applyNumberFormat="1" applyFill="1" applyBorder="1" applyAlignment="1">
      <alignment horizontal="center" vertical="center"/>
    </xf>
    <xf numFmtId="164" fontId="0" fillId="2" borderId="43" xfId="0" applyNumberFormat="1" applyFill="1" applyBorder="1" applyAlignment="1">
      <alignment horizontal="center" vertical="center"/>
    </xf>
    <xf numFmtId="164" fontId="0" fillId="2" borderId="41" xfId="0" applyNumberFormat="1" applyFill="1" applyBorder="1" applyAlignment="1">
      <alignment horizontal="center" vertical="center"/>
    </xf>
    <xf numFmtId="165" fontId="0" fillId="0" borderId="27" xfId="0" applyNumberFormat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4" borderId="9" xfId="0" applyFont="1" applyFill="1" applyBorder="1"/>
    <xf numFmtId="0" fontId="0" fillId="4" borderId="47" xfId="0" applyFill="1" applyBorder="1"/>
    <xf numFmtId="0" fontId="0" fillId="4" borderId="48" xfId="0" applyFill="1" applyBorder="1"/>
    <xf numFmtId="2" fontId="0" fillId="2" borderId="49" xfId="0" applyNumberFormat="1" applyFill="1" applyBorder="1" applyAlignment="1">
      <alignment horizontal="center"/>
    </xf>
    <xf numFmtId="0" fontId="2" fillId="4" borderId="50" xfId="0" applyFont="1" applyFill="1" applyBorder="1"/>
    <xf numFmtId="0" fontId="4" fillId="4" borderId="2" xfId="0" applyFont="1" applyFill="1" applyBorder="1"/>
    <xf numFmtId="164" fontId="0" fillId="0" borderId="28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2" fillId="4" borderId="26" xfId="0" applyFont="1" applyFill="1" applyBorder="1"/>
    <xf numFmtId="11" fontId="0" fillId="3" borderId="0" xfId="0" applyNumberFormat="1" applyFill="1" applyBorder="1"/>
    <xf numFmtId="0" fontId="0" fillId="7" borderId="25" xfId="0" applyFill="1" applyBorder="1"/>
    <xf numFmtId="0" fontId="0" fillId="7" borderId="5" xfId="0" applyFill="1" applyBorder="1"/>
    <xf numFmtId="0" fontId="0" fillId="7" borderId="7" xfId="0" applyFill="1" applyBorder="1"/>
    <xf numFmtId="0" fontId="2" fillId="7" borderId="26" xfId="0" applyFont="1" applyFill="1" applyBorder="1"/>
    <xf numFmtId="0" fontId="2" fillId="2" borderId="1" xfId="0" applyFont="1" applyFill="1" applyBorder="1" applyAlignment="1">
      <alignment horizontal="center"/>
    </xf>
    <xf numFmtId="0" fontId="0" fillId="7" borderId="6" xfId="0" applyFill="1" applyBorder="1"/>
    <xf numFmtId="0" fontId="2" fillId="2" borderId="26" xfId="0" applyFont="1" applyFill="1" applyBorder="1" applyAlignment="1">
      <alignment horizontal="center"/>
    </xf>
    <xf numFmtId="0" fontId="0" fillId="7" borderId="8" xfId="0" applyFill="1" applyBorder="1"/>
    <xf numFmtId="0" fontId="2" fillId="2" borderId="28" xfId="0" applyFont="1" applyFill="1" applyBorder="1" applyAlignment="1">
      <alignment horizontal="center"/>
    </xf>
    <xf numFmtId="0" fontId="4" fillId="3" borderId="0" xfId="0" applyFont="1" applyFill="1" applyBorder="1" applyAlignment="1"/>
    <xf numFmtId="0" fontId="0" fillId="3" borderId="0" xfId="0" applyFill="1" applyAlignment="1">
      <alignment horizontal="center"/>
    </xf>
    <xf numFmtId="0" fontId="0" fillId="5" borderId="9" xfId="0" applyFill="1" applyBorder="1"/>
    <xf numFmtId="0" fontId="0" fillId="5" borderId="47" xfId="0" applyFill="1" applyBorder="1"/>
    <xf numFmtId="0" fontId="0" fillId="5" borderId="48" xfId="0" applyFill="1" applyBorder="1"/>
    <xf numFmtId="0" fontId="0" fillId="5" borderId="51" xfId="0" applyFill="1" applyBorder="1"/>
    <xf numFmtId="0" fontId="0" fillId="5" borderId="52" xfId="0" applyFill="1" applyBorder="1"/>
    <xf numFmtId="0" fontId="0" fillId="0" borderId="40" xfId="0" applyBorder="1" applyAlignment="1">
      <alignment horizontal="center"/>
    </xf>
    <xf numFmtId="1" fontId="0" fillId="2" borderId="41" xfId="0" applyNumberFormat="1" applyFill="1" applyBorder="1"/>
    <xf numFmtId="0" fontId="2" fillId="4" borderId="27" xfId="0" applyFont="1" applyFill="1" applyBorder="1"/>
    <xf numFmtId="0" fontId="2" fillId="4" borderId="24" xfId="0" applyFont="1" applyFill="1" applyBorder="1"/>
    <xf numFmtId="1" fontId="0" fillId="2" borderId="42" xfId="0" applyNumberFormat="1" applyFill="1" applyBorder="1"/>
    <xf numFmtId="164" fontId="0" fillId="2" borderId="43" xfId="0" applyNumberFormat="1" applyFill="1" applyBorder="1"/>
    <xf numFmtId="164" fontId="0" fillId="2" borderId="26" xfId="0" applyNumberFormat="1" applyFill="1" applyBorder="1" applyAlignment="1">
      <alignment horizontal="center"/>
    </xf>
    <xf numFmtId="0" fontId="2" fillId="4" borderId="43" xfId="0" applyFont="1" applyFill="1" applyBorder="1"/>
    <xf numFmtId="0" fontId="0" fillId="3" borderId="5" xfId="0" applyFill="1" applyBorder="1"/>
    <xf numFmtId="0" fontId="0" fillId="3" borderId="46" xfId="0" applyFill="1" applyBorder="1"/>
    <xf numFmtId="0" fontId="2" fillId="7" borderId="23" xfId="0" applyFont="1" applyFill="1" applyBorder="1"/>
    <xf numFmtId="0" fontId="2" fillId="7" borderId="25" xfId="0" applyFont="1" applyFill="1" applyBorder="1"/>
    <xf numFmtId="0" fontId="2" fillId="7" borderId="27" xfId="0" applyFont="1" applyFill="1" applyBorder="1"/>
    <xf numFmtId="0" fontId="0" fillId="0" borderId="23" xfId="0" applyBorder="1"/>
    <xf numFmtId="0" fontId="0" fillId="2" borderId="27" xfId="0" applyFill="1" applyBorder="1"/>
    <xf numFmtId="3" fontId="0" fillId="2" borderId="1" xfId="0" applyNumberFormat="1" applyFill="1" applyBorder="1" applyAlignment="1">
      <alignment horizontal="center"/>
    </xf>
    <xf numFmtId="3" fontId="0" fillId="2" borderId="26" xfId="0" applyNumberFormat="1" applyFill="1" applyBorder="1" applyAlignment="1">
      <alignment horizontal="center"/>
    </xf>
    <xf numFmtId="3" fontId="0" fillId="2" borderId="26" xfId="0" applyNumberFormat="1" applyFill="1" applyBorder="1"/>
    <xf numFmtId="3" fontId="0" fillId="2" borderId="28" xfId="0" applyNumberFormat="1" applyFill="1" applyBorder="1" applyAlignment="1">
      <alignment horizontal="center"/>
    </xf>
    <xf numFmtId="3" fontId="0" fillId="2" borderId="28" xfId="0" applyNumberFormat="1" applyFill="1" applyBorder="1"/>
    <xf numFmtId="166" fontId="0" fillId="2" borderId="26" xfId="0" applyNumberForma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0" fontId="9" fillId="4" borderId="43" xfId="0" applyFont="1" applyFill="1" applyBorder="1" applyAlignment="1">
      <alignment horizontal="center"/>
    </xf>
    <xf numFmtId="0" fontId="0" fillId="7" borderId="23" xfId="0" applyFill="1" applyBorder="1"/>
    <xf numFmtId="0" fontId="4" fillId="7" borderId="24" xfId="0" applyFont="1" applyFill="1" applyBorder="1"/>
    <xf numFmtId="0" fontId="2" fillId="2" borderId="24" xfId="0" applyFont="1" applyFill="1" applyBorder="1" applyAlignment="1">
      <alignment horizontal="center"/>
    </xf>
    <xf numFmtId="166" fontId="0" fillId="2" borderId="24" xfId="0" applyNumberFormat="1" applyFill="1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166" fontId="0" fillId="2" borderId="28" xfId="0" applyNumberFormat="1" applyFill="1" applyBorder="1" applyAlignment="1">
      <alignment horizontal="center"/>
    </xf>
    <xf numFmtId="164" fontId="0" fillId="2" borderId="28" xfId="0" applyNumberFormat="1" applyFill="1" applyBorder="1" applyAlignment="1">
      <alignment horizontal="center"/>
    </xf>
    <xf numFmtId="0" fontId="0" fillId="7" borderId="46" xfId="0" applyFill="1" applyBorder="1"/>
    <xf numFmtId="0" fontId="0" fillId="7" borderId="18" xfId="0" applyFill="1" applyBorder="1"/>
    <xf numFmtId="0" fontId="0" fillId="7" borderId="20" xfId="0" applyFill="1" applyBorder="1"/>
    <xf numFmtId="165" fontId="4" fillId="3" borderId="0" xfId="0" applyNumberFormat="1" applyFont="1" applyFill="1" applyBorder="1" applyAlignment="1"/>
    <xf numFmtId="164" fontId="4" fillId="3" borderId="0" xfId="0" applyNumberFormat="1" applyFont="1" applyFill="1" applyBorder="1" applyAlignment="1"/>
    <xf numFmtId="164" fontId="4" fillId="2" borderId="41" xfId="0" applyNumberFormat="1" applyFont="1" applyFill="1" applyBorder="1" applyAlignment="1">
      <alignment horizontal="center"/>
    </xf>
    <xf numFmtId="164" fontId="4" fillId="2" borderId="42" xfId="0" applyNumberFormat="1" applyFont="1" applyFill="1" applyBorder="1" applyAlignment="1">
      <alignment horizontal="center"/>
    </xf>
    <xf numFmtId="164" fontId="4" fillId="2" borderId="43" xfId="0" applyNumberFormat="1" applyFont="1" applyFill="1" applyBorder="1" applyAlignment="1">
      <alignment horizontal="center"/>
    </xf>
    <xf numFmtId="0" fontId="4" fillId="7" borderId="26" xfId="0" applyFont="1" applyFill="1" applyBorder="1" applyAlignment="1">
      <alignment vertical="top" wrapText="1"/>
    </xf>
    <xf numFmtId="0" fontId="2" fillId="7" borderId="24" xfId="0" applyFont="1" applyFill="1" applyBorder="1"/>
    <xf numFmtId="2" fontId="0" fillId="2" borderId="24" xfId="0" applyNumberFormat="1" applyFill="1" applyBorder="1" applyAlignment="1">
      <alignment horizontal="center"/>
    </xf>
    <xf numFmtId="2" fontId="0" fillId="2" borderId="26" xfId="0" applyNumberFormat="1" applyFill="1" applyBorder="1" applyAlignment="1">
      <alignment horizontal="center"/>
    </xf>
    <xf numFmtId="2" fontId="0" fillId="2" borderId="28" xfId="0" applyNumberFormat="1" applyFill="1" applyBorder="1" applyAlignment="1">
      <alignment horizontal="center"/>
    </xf>
    <xf numFmtId="2" fontId="0" fillId="2" borderId="45" xfId="0" applyNumberFormat="1" applyFill="1" applyBorder="1" applyAlignment="1">
      <alignment horizontal="center"/>
    </xf>
    <xf numFmtId="0" fontId="3" fillId="7" borderId="42" xfId="1" applyFill="1" applyBorder="1" applyAlignment="1" applyProtection="1">
      <alignment vertical="top"/>
    </xf>
    <xf numFmtId="0" fontId="4" fillId="7" borderId="42" xfId="0" applyFont="1" applyFill="1" applyBorder="1" applyAlignment="1">
      <alignment vertical="top" wrapText="1"/>
    </xf>
    <xf numFmtId="0" fontId="0" fillId="5" borderId="0" xfId="0" applyFill="1" applyBorder="1"/>
    <xf numFmtId="0" fontId="0" fillId="5" borderId="46" xfId="0" applyFill="1" applyBorder="1"/>
    <xf numFmtId="0" fontId="4" fillId="5" borderId="5" xfId="0" applyFont="1" applyFill="1" applyBorder="1"/>
    <xf numFmtId="0" fontId="4" fillId="5" borderId="7" xfId="0" applyFont="1" applyFill="1" applyBorder="1"/>
    <xf numFmtId="0" fontId="4" fillId="7" borderId="5" xfId="0" applyFont="1" applyFill="1" applyBorder="1"/>
    <xf numFmtId="0" fontId="4" fillId="5" borderId="9" xfId="0" applyFont="1" applyFill="1" applyBorder="1"/>
    <xf numFmtId="0" fontId="2" fillId="4" borderId="15" xfId="2" applyFont="1" applyFill="1" applyBorder="1"/>
    <xf numFmtId="0" fontId="2" fillId="4" borderId="16" xfId="2" applyFont="1" applyFill="1" applyBorder="1"/>
    <xf numFmtId="0" fontId="4" fillId="4" borderId="16" xfId="2" applyFill="1" applyBorder="1"/>
    <xf numFmtId="0" fontId="4" fillId="4" borderId="17" xfId="2" applyFill="1" applyBorder="1"/>
    <xf numFmtId="0" fontId="4" fillId="3" borderId="0" xfId="2" applyFill="1"/>
    <xf numFmtId="0" fontId="4" fillId="9" borderId="0" xfId="2" applyFill="1"/>
    <xf numFmtId="0" fontId="5" fillId="4" borderId="18" xfId="2" applyFont="1" applyFill="1" applyBorder="1"/>
    <xf numFmtId="0" fontId="5" fillId="4" borderId="19" xfId="2" applyFont="1" applyFill="1" applyBorder="1"/>
    <xf numFmtId="0" fontId="4" fillId="4" borderId="19" xfId="2" applyFill="1" applyBorder="1"/>
    <xf numFmtId="0" fontId="4" fillId="4" borderId="20" xfId="2" applyFill="1" applyBorder="1"/>
    <xf numFmtId="0" fontId="5" fillId="9" borderId="0" xfId="2" applyFont="1" applyFill="1" applyBorder="1"/>
    <xf numFmtId="0" fontId="4" fillId="9" borderId="0" xfId="2" applyFill="1" applyBorder="1"/>
    <xf numFmtId="0" fontId="4" fillId="3" borderId="0" xfId="2" applyFont="1" applyFill="1" applyBorder="1"/>
    <xf numFmtId="0" fontId="4" fillId="4" borderId="9" xfId="2" applyFont="1" applyFill="1" applyBorder="1" applyAlignment="1">
      <alignment horizontal="right"/>
    </xf>
    <xf numFmtId="0" fontId="2" fillId="4" borderId="4" xfId="2" applyFont="1" applyFill="1" applyBorder="1" applyAlignment="1">
      <alignment horizontal="right"/>
    </xf>
    <xf numFmtId="0" fontId="2" fillId="4" borderId="39" xfId="2" applyFont="1" applyFill="1" applyBorder="1" applyAlignment="1">
      <alignment horizontal="right"/>
    </xf>
    <xf numFmtId="0" fontId="4" fillId="4" borderId="5" xfId="2" applyFill="1" applyBorder="1"/>
    <xf numFmtId="0" fontId="4" fillId="4" borderId="6" xfId="2" applyFill="1" applyBorder="1"/>
    <xf numFmtId="0" fontId="2" fillId="4" borderId="35" xfId="2" applyFont="1" applyFill="1" applyBorder="1" applyAlignment="1">
      <alignment horizontal="right"/>
    </xf>
    <xf numFmtId="0" fontId="2" fillId="4" borderId="5" xfId="2" applyFont="1" applyFill="1" applyBorder="1"/>
    <xf numFmtId="0" fontId="2" fillId="4" borderId="6" xfId="2" applyFont="1" applyFill="1" applyBorder="1"/>
    <xf numFmtId="0" fontId="4" fillId="4" borderId="7" xfId="2" applyFill="1" applyBorder="1"/>
    <xf numFmtId="0" fontId="4" fillId="4" borderId="8" xfId="2" applyFill="1" applyBorder="1"/>
    <xf numFmtId="0" fontId="2" fillId="4" borderId="40" xfId="2" applyFont="1" applyFill="1" applyBorder="1" applyAlignment="1">
      <alignment horizontal="right"/>
    </xf>
    <xf numFmtId="0" fontId="4" fillId="0" borderId="12" xfId="2" applyBorder="1" applyAlignment="1">
      <alignment horizontal="center"/>
    </xf>
    <xf numFmtId="0" fontId="4" fillId="3" borderId="0" xfId="2" applyFill="1" applyBorder="1"/>
    <xf numFmtId="0" fontId="2" fillId="4" borderId="9" xfId="2" applyFont="1" applyFill="1" applyBorder="1"/>
    <xf numFmtId="0" fontId="2" fillId="4" borderId="47" xfId="2" applyFont="1" applyFill="1" applyBorder="1"/>
    <xf numFmtId="0" fontId="4" fillId="4" borderId="47" xfId="2" applyFill="1" applyBorder="1"/>
    <xf numFmtId="0" fontId="4" fillId="4" borderId="9" xfId="2" applyFill="1" applyBorder="1"/>
    <xf numFmtId="0" fontId="4" fillId="4" borderId="53" xfId="2" applyFill="1" applyBorder="1"/>
    <xf numFmtId="0" fontId="4" fillId="4" borderId="54" xfId="2" applyFill="1" applyBorder="1"/>
    <xf numFmtId="0" fontId="2" fillId="4" borderId="39" xfId="2" applyFont="1" applyFill="1" applyBorder="1" applyAlignment="1"/>
    <xf numFmtId="0" fontId="4" fillId="4" borderId="16" xfId="2" applyFill="1" applyBorder="1" applyAlignment="1"/>
    <xf numFmtId="0" fontId="2" fillId="4" borderId="7" xfId="2" applyFont="1" applyFill="1" applyBorder="1"/>
    <xf numFmtId="0" fontId="2" fillId="4" borderId="37" xfId="2" applyFont="1" applyFill="1" applyBorder="1" applyAlignment="1">
      <alignment horizontal="center"/>
    </xf>
    <xf numFmtId="0" fontId="2" fillId="4" borderId="38" xfId="2" applyFont="1" applyFill="1" applyBorder="1"/>
    <xf numFmtId="0" fontId="2" fillId="4" borderId="28" xfId="2" applyFont="1" applyFill="1" applyBorder="1" applyAlignment="1">
      <alignment horizontal="center"/>
    </xf>
    <xf numFmtId="0" fontId="2" fillId="4" borderId="40" xfId="2" applyFont="1" applyFill="1" applyBorder="1" applyAlignment="1">
      <alignment horizontal="center"/>
    </xf>
    <xf numFmtId="0" fontId="7" fillId="4" borderId="8" xfId="2" applyFont="1" applyFill="1" applyBorder="1" applyAlignment="1">
      <alignment horizontal="center"/>
    </xf>
    <xf numFmtId="0" fontId="7" fillId="4" borderId="45" xfId="2" applyFont="1" applyFill="1" applyBorder="1" applyAlignment="1">
      <alignment horizontal="center"/>
    </xf>
    <xf numFmtId="0" fontId="4" fillId="3" borderId="5" xfId="2" applyFill="1" applyBorder="1" applyAlignment="1">
      <alignment vertical="center"/>
    </xf>
    <xf numFmtId="0" fontId="4" fillId="3" borderId="0" xfId="2" applyFill="1" applyBorder="1" applyAlignment="1">
      <alignment vertical="center"/>
    </xf>
    <xf numFmtId="0" fontId="4" fillId="3" borderId="5" xfId="2" applyFill="1" applyBorder="1" applyAlignment="1">
      <alignment horizontal="center" vertical="center"/>
    </xf>
    <xf numFmtId="0" fontId="4" fillId="3" borderId="0" xfId="2" applyFill="1" applyBorder="1" applyAlignment="1">
      <alignment horizontal="center" vertical="center"/>
    </xf>
    <xf numFmtId="0" fontId="4" fillId="10" borderId="65" xfId="3" applyFont="1" applyFill="1" applyBorder="1" applyAlignment="1">
      <alignment vertical="center" wrapText="1"/>
    </xf>
    <xf numFmtId="0" fontId="17" fillId="10" borderId="66" xfId="3" applyFont="1" applyFill="1" applyBorder="1" applyAlignment="1">
      <alignment vertical="center"/>
    </xf>
    <xf numFmtId="0" fontId="2" fillId="10" borderId="66" xfId="3" applyFont="1" applyFill="1" applyBorder="1" applyAlignment="1">
      <alignment vertical="center"/>
    </xf>
    <xf numFmtId="0" fontId="2" fillId="10" borderId="66" xfId="3" applyFont="1" applyFill="1" applyBorder="1" applyAlignment="1">
      <alignment horizontal="center" vertical="center"/>
    </xf>
    <xf numFmtId="0" fontId="17" fillId="10" borderId="67" xfId="3" applyFont="1" applyFill="1" applyBorder="1" applyAlignment="1">
      <alignment vertical="center"/>
    </xf>
    <xf numFmtId="164" fontId="4" fillId="11" borderId="55" xfId="2" applyNumberFormat="1" applyFont="1" applyFill="1" applyBorder="1" applyAlignment="1">
      <alignment horizontal="center" vertical="center"/>
    </xf>
    <xf numFmtId="0" fontId="4" fillId="10" borderId="68" xfId="3" applyFont="1" applyFill="1" applyBorder="1" applyAlignment="1">
      <alignment vertical="center" wrapText="1"/>
    </xf>
    <xf numFmtId="0" fontId="17" fillId="10" borderId="69" xfId="3" applyFont="1" applyFill="1" applyBorder="1" applyAlignment="1">
      <alignment vertical="center"/>
    </xf>
    <xf numFmtId="0" fontId="2" fillId="10" borderId="69" xfId="3" applyFont="1" applyFill="1" applyBorder="1" applyAlignment="1">
      <alignment vertical="center"/>
    </xf>
    <xf numFmtId="0" fontId="2" fillId="10" borderId="69" xfId="3" applyFont="1" applyFill="1" applyBorder="1" applyAlignment="1">
      <alignment horizontal="center" vertical="center"/>
    </xf>
    <xf numFmtId="0" fontId="17" fillId="10" borderId="70" xfId="3" applyFont="1" applyFill="1" applyBorder="1" applyAlignment="1">
      <alignment vertical="center"/>
    </xf>
    <xf numFmtId="0" fontId="4" fillId="9" borderId="0" xfId="3" applyFont="1" applyFill="1" applyBorder="1" applyAlignment="1">
      <alignment vertical="center" wrapText="1"/>
    </xf>
    <xf numFmtId="0" fontId="17" fillId="9" borderId="0" xfId="3" applyFont="1" applyFill="1" applyBorder="1" applyAlignment="1">
      <alignment vertical="center"/>
    </xf>
    <xf numFmtId="0" fontId="2" fillId="9" borderId="0" xfId="3" applyFont="1" applyFill="1" applyBorder="1" applyAlignment="1">
      <alignment vertical="center"/>
    </xf>
    <xf numFmtId="0" fontId="2" fillId="9" borderId="0" xfId="3" applyFont="1" applyFill="1" applyBorder="1" applyAlignment="1">
      <alignment horizontal="center" vertical="center"/>
    </xf>
    <xf numFmtId="164" fontId="4" fillId="9" borderId="0" xfId="2" applyNumberFormat="1" applyFill="1" applyBorder="1" applyAlignment="1">
      <alignment horizontal="center" vertical="center"/>
    </xf>
    <xf numFmtId="0" fontId="4" fillId="3" borderId="0" xfId="2" applyFill="1" applyBorder="1" applyAlignment="1"/>
    <xf numFmtId="164" fontId="4" fillId="3" borderId="0" xfId="2" applyNumberFormat="1" applyFill="1"/>
    <xf numFmtId="0" fontId="2" fillId="6" borderId="12" xfId="2" applyFont="1" applyFill="1" applyBorder="1"/>
    <xf numFmtId="0" fontId="4" fillId="6" borderId="13" xfId="2" applyFill="1" applyBorder="1"/>
    <xf numFmtId="0" fontId="4" fillId="6" borderId="13" xfId="2" applyFill="1" applyBorder="1" applyAlignment="1">
      <alignment vertical="top"/>
    </xf>
    <xf numFmtId="0" fontId="4" fillId="6" borderId="14" xfId="2" applyFill="1" applyBorder="1" applyAlignment="1">
      <alignment vertical="top"/>
    </xf>
    <xf numFmtId="0" fontId="4" fillId="3" borderId="0" xfId="2" applyFill="1" applyAlignment="1">
      <alignment vertical="top"/>
    </xf>
    <xf numFmtId="0" fontId="4" fillId="5" borderId="15" xfId="2" applyFill="1" applyBorder="1"/>
    <xf numFmtId="0" fontId="4" fillId="5" borderId="16" xfId="2" applyFill="1" applyBorder="1" applyAlignment="1"/>
    <xf numFmtId="0" fontId="4" fillId="5" borderId="16" xfId="2" applyFill="1" applyBorder="1"/>
    <xf numFmtId="0" fontId="4" fillId="5" borderId="16" xfId="2" applyFill="1" applyBorder="1" applyAlignment="1">
      <alignment vertical="top"/>
    </xf>
    <xf numFmtId="0" fontId="4" fillId="5" borderId="17" xfId="2" applyFill="1" applyBorder="1" applyAlignment="1">
      <alignment vertical="top"/>
    </xf>
    <xf numFmtId="0" fontId="4" fillId="5" borderId="58" xfId="2" applyFill="1" applyBorder="1"/>
    <xf numFmtId="0" fontId="4" fillId="5" borderId="11" xfId="2" applyFill="1" applyBorder="1" applyAlignment="1"/>
    <xf numFmtId="0" fontId="4" fillId="5" borderId="11" xfId="2" applyFill="1" applyBorder="1"/>
    <xf numFmtId="0" fontId="4" fillId="5" borderId="10" xfId="2" applyFill="1" applyBorder="1" applyAlignment="1">
      <alignment vertical="top"/>
    </xf>
    <xf numFmtId="0" fontId="4" fillId="5" borderId="22" xfId="2" applyFill="1" applyBorder="1" applyAlignment="1">
      <alignment vertical="top"/>
    </xf>
    <xf numFmtId="0" fontId="4" fillId="5" borderId="21" xfId="2" applyFill="1" applyBorder="1" applyAlignment="1">
      <alignment vertical="top"/>
    </xf>
    <xf numFmtId="0" fontId="4" fillId="5" borderId="10" xfId="2" applyFill="1" applyBorder="1"/>
    <xf numFmtId="0" fontId="4" fillId="5" borderId="22" xfId="2" applyFill="1" applyBorder="1"/>
    <xf numFmtId="0" fontId="4" fillId="5" borderId="18" xfId="2" applyFill="1" applyBorder="1" applyAlignment="1">
      <alignment vertical="top"/>
    </xf>
    <xf numFmtId="0" fontId="4" fillId="5" borderId="19" xfId="2" applyFill="1" applyBorder="1" applyAlignment="1">
      <alignment vertical="top"/>
    </xf>
    <xf numFmtId="0" fontId="4" fillId="5" borderId="19" xfId="2" applyFill="1" applyBorder="1"/>
    <xf numFmtId="0" fontId="4" fillId="5" borderId="20" xfId="2" applyFill="1" applyBorder="1"/>
    <xf numFmtId="0" fontId="4" fillId="0" borderId="0" xfId="2"/>
    <xf numFmtId="0" fontId="4" fillId="7" borderId="27" xfId="0" applyFont="1" applyFill="1" applyBorder="1" applyAlignment="1">
      <alignment vertical="top" wrapText="1"/>
    </xf>
    <xf numFmtId="18" fontId="4" fillId="7" borderId="28" xfId="0" quotePrefix="1" applyNumberFormat="1" applyFont="1" applyFill="1" applyBorder="1" applyAlignment="1">
      <alignment vertical="top" wrapText="1"/>
    </xf>
    <xf numFmtId="0" fontId="3" fillId="7" borderId="43" xfId="1" applyFill="1" applyBorder="1" applyAlignment="1" applyProtection="1">
      <alignment vertical="top"/>
    </xf>
    <xf numFmtId="0" fontId="4" fillId="5" borderId="58" xfId="0" applyFont="1" applyFill="1" applyBorder="1"/>
    <xf numFmtId="49" fontId="4" fillId="3" borderId="0" xfId="2" applyNumberFormat="1" applyFill="1" applyBorder="1" applyAlignment="1">
      <alignment vertical="center"/>
    </xf>
    <xf numFmtId="49" fontId="17" fillId="10" borderId="66" xfId="3" applyNumberFormat="1" applyFont="1" applyFill="1" applyBorder="1" applyAlignment="1">
      <alignment vertical="center"/>
    </xf>
    <xf numFmtId="49" fontId="17" fillId="10" borderId="69" xfId="3" applyNumberFormat="1" applyFont="1" applyFill="1" applyBorder="1" applyAlignment="1">
      <alignment vertical="center"/>
    </xf>
    <xf numFmtId="0" fontId="4" fillId="12" borderId="5" xfId="2" applyFill="1" applyBorder="1" applyAlignment="1">
      <alignment vertical="center"/>
    </xf>
    <xf numFmtId="0" fontId="4" fillId="12" borderId="0" xfId="2" applyFill="1" applyBorder="1" applyAlignment="1">
      <alignment vertical="center"/>
    </xf>
    <xf numFmtId="0" fontId="4" fillId="12" borderId="5" xfId="2" applyFill="1" applyBorder="1" applyAlignment="1">
      <alignment horizontal="center" vertical="center"/>
    </xf>
    <xf numFmtId="0" fontId="4" fillId="12" borderId="0" xfId="2" applyFill="1" applyBorder="1" applyAlignment="1">
      <alignment horizontal="center" vertical="center"/>
    </xf>
    <xf numFmtId="0" fontId="4" fillId="13" borderId="0" xfId="2" applyFill="1" applyBorder="1" applyAlignment="1">
      <alignment vertical="center"/>
    </xf>
    <xf numFmtId="49" fontId="4" fillId="13" borderId="0" xfId="2" applyNumberFormat="1" applyFill="1" applyBorder="1" applyAlignment="1">
      <alignment vertical="center"/>
    </xf>
    <xf numFmtId="0" fontId="4" fillId="13" borderId="5" xfId="2" applyFill="1" applyBorder="1" applyAlignment="1">
      <alignment horizontal="center" vertical="center"/>
    </xf>
    <xf numFmtId="0" fontId="4" fillId="13" borderId="0" xfId="2" applyFill="1" applyBorder="1" applyAlignment="1">
      <alignment horizontal="center" vertical="center"/>
    </xf>
    <xf numFmtId="0" fontId="6" fillId="14" borderId="25" xfId="2" applyFont="1" applyFill="1" applyBorder="1" applyAlignment="1">
      <alignment vertical="center" wrapText="1"/>
    </xf>
    <xf numFmtId="49" fontId="15" fillId="14" borderId="26" xfId="1" applyNumberFormat="1" applyFont="1" applyFill="1" applyBorder="1" applyAlignment="1" applyProtection="1">
      <alignment horizontal="center" vertical="center" wrapText="1"/>
    </xf>
    <xf numFmtId="0" fontId="7" fillId="14" borderId="26" xfId="2" applyFont="1" applyFill="1" applyBorder="1" applyAlignment="1">
      <alignment vertical="center"/>
    </xf>
    <xf numFmtId="0" fontId="6" fillId="14" borderId="26" xfId="2" applyFont="1" applyFill="1" applyBorder="1" applyAlignment="1">
      <alignment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vertical="center"/>
    </xf>
    <xf numFmtId="164" fontId="6" fillId="14" borderId="5" xfId="2" applyNumberFormat="1" applyFont="1" applyFill="1" applyBorder="1" applyAlignment="1">
      <alignment horizontal="center" vertical="center"/>
    </xf>
    <xf numFmtId="164" fontId="6" fillId="14" borderId="0" xfId="2" applyNumberFormat="1" applyFont="1" applyFill="1" applyBorder="1" applyAlignment="1">
      <alignment horizontal="center" vertical="center"/>
    </xf>
    <xf numFmtId="49" fontId="6" fillId="14" borderId="26" xfId="2" applyNumberFormat="1" applyFont="1" applyFill="1" applyBorder="1" applyAlignment="1">
      <alignment vertical="center" wrapText="1"/>
    </xf>
    <xf numFmtId="0" fontId="4" fillId="10" borderId="74" xfId="3" applyFont="1" applyFill="1" applyBorder="1" applyAlignment="1">
      <alignment vertical="center" wrapText="1"/>
    </xf>
    <xf numFmtId="49" fontId="17" fillId="10" borderId="75" xfId="3" applyNumberFormat="1" applyFont="1" applyFill="1" applyBorder="1" applyAlignment="1">
      <alignment vertical="center"/>
    </xf>
    <xf numFmtId="0" fontId="2" fillId="10" borderId="75" xfId="3" applyFont="1" applyFill="1" applyBorder="1" applyAlignment="1">
      <alignment vertical="center"/>
    </xf>
    <xf numFmtId="0" fontId="17" fillId="10" borderId="75" xfId="3" applyFont="1" applyFill="1" applyBorder="1" applyAlignment="1">
      <alignment vertical="center"/>
    </xf>
    <xf numFmtId="0" fontId="2" fillId="10" borderId="75" xfId="3" applyFont="1" applyFill="1" applyBorder="1" applyAlignment="1">
      <alignment horizontal="center" vertical="center"/>
    </xf>
    <xf numFmtId="0" fontId="17" fillId="10" borderId="77" xfId="3" applyFont="1" applyFill="1" applyBorder="1" applyAlignment="1">
      <alignment vertical="center"/>
    </xf>
    <xf numFmtId="164" fontId="4" fillId="11" borderId="56" xfId="2" applyNumberFormat="1" applyFont="1" applyFill="1" applyBorder="1" applyAlignment="1">
      <alignment horizontal="center" vertical="center"/>
    </xf>
    <xf numFmtId="164" fontId="4" fillId="11" borderId="59" xfId="2" applyNumberFormat="1" applyFont="1" applyFill="1" applyBorder="1" applyAlignment="1">
      <alignment horizontal="center" vertical="center"/>
    </xf>
    <xf numFmtId="164" fontId="4" fillId="11" borderId="60" xfId="2" applyNumberFormat="1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top" wrapText="1"/>
    </xf>
    <xf numFmtId="49" fontId="4" fillId="3" borderId="0" xfId="2" applyNumberFormat="1" applyFill="1"/>
    <xf numFmtId="0" fontId="7" fillId="4" borderId="2" xfId="2" applyFont="1" applyFill="1" applyBorder="1" applyAlignment="1">
      <alignment horizontal="center"/>
    </xf>
    <xf numFmtId="0" fontId="4" fillId="15" borderId="61" xfId="0" applyFont="1" applyFill="1" applyBorder="1" applyAlignment="1">
      <alignment horizontal="center"/>
    </xf>
    <xf numFmtId="0" fontId="7" fillId="4" borderId="46" xfId="2" applyFont="1" applyFill="1" applyBorder="1" applyAlignment="1">
      <alignment horizontal="center"/>
    </xf>
    <xf numFmtId="49" fontId="4" fillId="15" borderId="61" xfId="1" applyNumberFormat="1" applyFont="1" applyFill="1" applyBorder="1" applyAlignment="1" applyProtection="1">
      <alignment horizontal="center"/>
    </xf>
    <xf numFmtId="0" fontId="4" fillId="15" borderId="61" xfId="0" applyFont="1" applyFill="1" applyBorder="1"/>
    <xf numFmtId="0" fontId="2" fillId="4" borderId="48" xfId="0" applyFont="1" applyFill="1" applyBorder="1" applyAlignment="1">
      <alignment horizontal="center"/>
    </xf>
    <xf numFmtId="0" fontId="9" fillId="4" borderId="44" xfId="0" applyFont="1" applyFill="1" applyBorder="1" applyAlignment="1">
      <alignment horizontal="center"/>
    </xf>
    <xf numFmtId="0" fontId="9" fillId="4" borderId="49" xfId="0" applyFont="1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4" borderId="44" xfId="0" applyFill="1" applyBorder="1"/>
    <xf numFmtId="0" fontId="0" fillId="4" borderId="49" xfId="0" applyFill="1" applyBorder="1"/>
    <xf numFmtId="0" fontId="0" fillId="15" borderId="61" xfId="0" applyFill="1" applyBorder="1" applyAlignment="1">
      <alignment horizontal="center"/>
    </xf>
    <xf numFmtId="0" fontId="9" fillId="4" borderId="62" xfId="0" applyFont="1" applyFill="1" applyBorder="1" applyAlignment="1">
      <alignment horizontal="center"/>
    </xf>
    <xf numFmtId="0" fontId="7" fillId="4" borderId="44" xfId="0" applyFont="1" applyFill="1" applyBorder="1" applyAlignment="1">
      <alignment horizontal="center"/>
    </xf>
    <xf numFmtId="0" fontId="7" fillId="4" borderId="49" xfId="0" applyFont="1" applyFill="1" applyBorder="1" applyAlignment="1">
      <alignment horizontal="center"/>
    </xf>
    <xf numFmtId="0" fontId="8" fillId="4" borderId="63" xfId="0" applyFont="1" applyFill="1" applyBorder="1" applyAlignment="1">
      <alignment horizontal="center"/>
    </xf>
    <xf numFmtId="0" fontId="4" fillId="15" borderId="28" xfId="0" applyFont="1" applyFill="1" applyBorder="1"/>
    <xf numFmtId="0" fontId="2" fillId="4" borderId="9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0" fillId="0" borderId="22" xfId="0" applyBorder="1" applyAlignment="1"/>
    <xf numFmtId="0" fontId="2" fillId="4" borderId="9" xfId="2" applyFont="1" applyFill="1" applyBorder="1" applyAlignment="1">
      <alignment horizontal="center"/>
    </xf>
    <xf numFmtId="0" fontId="2" fillId="4" borderId="47" xfId="2" applyFont="1" applyFill="1" applyBorder="1" applyAlignment="1">
      <alignment horizontal="center"/>
    </xf>
    <xf numFmtId="0" fontId="2" fillId="4" borderId="48" xfId="2" applyFont="1" applyFill="1" applyBorder="1" applyAlignment="1">
      <alignment horizontal="center"/>
    </xf>
    <xf numFmtId="0" fontId="2" fillId="4" borderId="16" xfId="2" applyFont="1" applyFill="1" applyBorder="1" applyAlignment="1">
      <alignment horizontal="center"/>
    </xf>
    <xf numFmtId="0" fontId="4" fillId="0" borderId="17" xfId="2" applyBorder="1" applyAlignment="1"/>
    <xf numFmtId="0" fontId="17" fillId="10" borderId="71" xfId="3" applyFont="1" applyFill="1" applyBorder="1" applyAlignment="1">
      <alignment horizontal="left" vertical="center" wrapText="1"/>
    </xf>
    <xf numFmtId="0" fontId="17" fillId="10" borderId="74" xfId="3" applyFont="1" applyFill="1" applyBorder="1" applyAlignment="1">
      <alignment horizontal="left" vertical="center" wrapText="1"/>
    </xf>
    <xf numFmtId="49" fontId="17" fillId="10" borderId="72" xfId="3" applyNumberFormat="1" applyFont="1" applyFill="1" applyBorder="1" applyAlignment="1">
      <alignment horizontal="center" vertical="center"/>
    </xf>
    <xf numFmtId="49" fontId="17" fillId="10" borderId="75" xfId="3" applyNumberFormat="1" applyFont="1" applyFill="1" applyBorder="1" applyAlignment="1">
      <alignment horizontal="center" vertical="center"/>
    </xf>
    <xf numFmtId="0" fontId="2" fillId="10" borderId="72" xfId="3" applyFont="1" applyFill="1" applyBorder="1" applyAlignment="1">
      <alignment horizontal="left" vertical="center"/>
    </xf>
    <xf numFmtId="0" fontId="2" fillId="10" borderId="75" xfId="3" applyFont="1" applyFill="1" applyBorder="1" applyAlignment="1">
      <alignment horizontal="left" vertical="center"/>
    </xf>
    <xf numFmtId="0" fontId="2" fillId="10" borderId="72" xfId="3" applyFont="1" applyFill="1" applyBorder="1" applyAlignment="1">
      <alignment horizontal="center" vertical="center"/>
    </xf>
    <xf numFmtId="0" fontId="2" fillId="10" borderId="75" xfId="3" applyFont="1" applyFill="1" applyBorder="1" applyAlignment="1">
      <alignment horizontal="center" vertical="center"/>
    </xf>
    <xf numFmtId="0" fontId="17" fillId="10" borderId="72" xfId="3" applyFont="1" applyFill="1" applyBorder="1" applyAlignment="1">
      <alignment horizontal="center" vertical="center"/>
    </xf>
    <xf numFmtId="0" fontId="17" fillId="10" borderId="75" xfId="3" applyFont="1" applyFill="1" applyBorder="1" applyAlignment="1">
      <alignment horizontal="center" vertical="center"/>
    </xf>
    <xf numFmtId="0" fontId="17" fillId="10" borderId="73" xfId="3" applyFont="1" applyFill="1" applyBorder="1" applyAlignment="1">
      <alignment horizontal="center" vertical="center"/>
    </xf>
    <xf numFmtId="0" fontId="17" fillId="10" borderId="76" xfId="3" applyFont="1" applyFill="1" applyBorder="1" applyAlignment="1">
      <alignment horizontal="center" vertical="center"/>
    </xf>
    <xf numFmtId="164" fontId="17" fillId="11" borderId="56" xfId="2" applyNumberFormat="1" applyFont="1" applyFill="1" applyBorder="1" applyAlignment="1">
      <alignment horizontal="center" vertical="center"/>
    </xf>
    <xf numFmtId="164" fontId="4" fillId="11" borderId="57" xfId="2" applyNumberFormat="1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0" fillId="0" borderId="48" xfId="0" applyBorder="1" applyAlignment="1"/>
    <xf numFmtId="0" fontId="0" fillId="0" borderId="47" xfId="0" applyBorder="1" applyAlignment="1"/>
    <xf numFmtId="0" fontId="2" fillId="4" borderId="9" xfId="2" applyFont="1" applyFill="1" applyBorder="1" applyAlignment="1"/>
    <xf numFmtId="0" fontId="4" fillId="7" borderId="41" xfId="0" applyFont="1" applyFill="1" applyBorder="1"/>
  </cellXfs>
  <cellStyles count="4">
    <cellStyle name="Hyperlink" xfId="1" builtinId="8"/>
    <cellStyle name="Normal" xfId="0" builtinId="0"/>
    <cellStyle name="Normal 2" xfId="2"/>
    <cellStyle name="Note 3" xfId="3"/>
  </cellStyles>
  <dxfs count="8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fishbull.noaa.gov/81-4/hoenig.pdf" TargetMode="External"/><Relationship Id="rId2" Type="http://schemas.openxmlformats.org/officeDocument/2006/relationships/hyperlink" Target="http://fishbull.noaa.gov/1032/hewitt.pdf" TargetMode="External"/><Relationship Id="rId1" Type="http://schemas.openxmlformats.org/officeDocument/2006/relationships/hyperlink" Target="http://swfsc.noaa.gov/publications/CR/1987/8763.PDF" TargetMode="External"/><Relationship Id="rId4" Type="http://schemas.openxmlformats.org/officeDocument/2006/relationships/hyperlink" Target="http://sedarweb.org/docs/supp/PW7-113_Then%20et%20al%202014_pointestimate_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workbookViewId="0"/>
  </sheetViews>
  <sheetFormatPr defaultRowHeight="12.75" x14ac:dyDescent="0.2"/>
  <cols>
    <col min="1" max="1" width="25.28515625" customWidth="1"/>
    <col min="2" max="2" width="97.140625" bestFit="1" customWidth="1"/>
  </cols>
  <sheetData>
    <row r="1" spans="1:26" x14ac:dyDescent="0.2">
      <c r="A1" s="135" t="s">
        <v>174</v>
      </c>
      <c r="B1" s="13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65" t="s">
        <v>123</v>
      </c>
      <c r="B2" s="170" t="s">
        <v>124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73" t="s">
        <v>232</v>
      </c>
      <c r="B3" s="93" t="s">
        <v>156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71"/>
      <c r="B4" s="17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73" t="s">
        <v>233</v>
      </c>
      <c r="B5" s="382" t="s">
        <v>234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71"/>
      <c r="B6" s="17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74" t="s">
        <v>235</v>
      </c>
      <c r="B7" s="94" t="s">
        <v>161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71"/>
      <c r="B8" s="17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74" t="s">
        <v>236</v>
      </c>
      <c r="B9" s="94" t="s">
        <v>171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71"/>
      <c r="B10" s="17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74" t="s">
        <v>237</v>
      </c>
      <c r="B11" s="94" t="s">
        <v>187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71"/>
      <c r="B12" s="17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74" t="s">
        <v>125</v>
      </c>
      <c r="B13" s="94" t="s">
        <v>155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71"/>
      <c r="B14" s="17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75" t="s">
        <v>126</v>
      </c>
      <c r="B15" s="96" t="s">
        <v>179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35" t="s">
        <v>175</v>
      </c>
      <c r="B18" s="13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65" t="s">
        <v>172</v>
      </c>
      <c r="B19" s="170" t="s">
        <v>173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76"/>
      <c r="B20" s="93" t="s">
        <v>177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71"/>
      <c r="B21" s="17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77"/>
      <c r="B22" s="96" t="s">
        <v>176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26" t="s">
        <v>178</v>
      </c>
      <c r="B25" s="2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48" t="s">
        <v>181</v>
      </c>
      <c r="B26" s="19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194" t="s">
        <v>192</v>
      </c>
      <c r="B27" s="19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>
      <pane ySplit="11" topLeftCell="A12" activePane="bottomLeft" state="frozen"/>
      <selection pane="bottomLeft" activeCell="K20" sqref="K20"/>
    </sheetView>
  </sheetViews>
  <sheetFormatPr defaultRowHeight="12.75" x14ac:dyDescent="0.2"/>
  <cols>
    <col min="1" max="1" width="25.140625" customWidth="1"/>
    <col min="2" max="2" width="6.7109375" customWidth="1"/>
    <col min="3" max="3" width="35.42578125" customWidth="1"/>
    <col min="4" max="5" width="8.7109375" customWidth="1"/>
    <col min="6" max="9" width="7.7109375" customWidth="1"/>
    <col min="10" max="10" width="8.7109375" customWidth="1"/>
    <col min="11" max="11" width="13.7109375" bestFit="1" customWidth="1"/>
    <col min="26" max="26" width="9.140625" style="5"/>
  </cols>
  <sheetData>
    <row r="1" spans="1:26" x14ac:dyDescent="0.2">
      <c r="A1" s="26" t="s">
        <v>4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9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0" t="s">
        <v>5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3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6"/>
      <c r="B4" s="9" t="s">
        <v>113</v>
      </c>
      <c r="C4" s="78" t="s">
        <v>6</v>
      </c>
      <c r="D4" s="354" t="s">
        <v>137</v>
      </c>
      <c r="E4" s="355"/>
      <c r="F4" s="354" t="s">
        <v>158</v>
      </c>
      <c r="G4" s="355"/>
      <c r="H4" s="354" t="s">
        <v>159</v>
      </c>
      <c r="I4" s="355"/>
      <c r="J4" s="341" t="s">
        <v>160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0"/>
      <c r="B5" s="11"/>
      <c r="C5" s="79" t="s">
        <v>7</v>
      </c>
      <c r="D5" s="348" t="s">
        <v>40</v>
      </c>
      <c r="E5" s="348" t="s">
        <v>14</v>
      </c>
      <c r="F5" s="348" t="s">
        <v>38</v>
      </c>
      <c r="G5" s="348" t="s">
        <v>43</v>
      </c>
      <c r="H5" s="348" t="s">
        <v>41</v>
      </c>
      <c r="I5" s="348" t="s">
        <v>25</v>
      </c>
      <c r="J5" s="348" t="s">
        <v>114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x14ac:dyDescent="0.25">
      <c r="A6" s="12"/>
      <c r="B6" s="13"/>
      <c r="C6" s="79" t="s">
        <v>110</v>
      </c>
      <c r="D6" s="350" t="s">
        <v>34</v>
      </c>
      <c r="E6" s="351" t="s">
        <v>33</v>
      </c>
      <c r="F6" s="350" t="s">
        <v>36</v>
      </c>
      <c r="G6" s="344"/>
      <c r="H6" s="350" t="s">
        <v>36</v>
      </c>
      <c r="I6" s="344"/>
      <c r="J6" s="352" t="s">
        <v>112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4"/>
      <c r="B7" s="15"/>
      <c r="C7" s="80" t="s">
        <v>111</v>
      </c>
      <c r="D7" s="129">
        <v>382.9</v>
      </c>
      <c r="E7" s="130">
        <v>0.28999999999999998</v>
      </c>
      <c r="F7" s="131">
        <v>20</v>
      </c>
      <c r="G7" s="132">
        <v>0.05</v>
      </c>
      <c r="H7" s="131">
        <v>1.5</v>
      </c>
      <c r="I7" s="133">
        <v>0.09</v>
      </c>
      <c r="J7" s="134">
        <v>23.8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4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26" t="s">
        <v>119</v>
      </c>
      <c r="B9" s="27"/>
      <c r="C9" s="28"/>
      <c r="D9" s="28"/>
      <c r="E9" s="28"/>
      <c r="F9" s="28"/>
      <c r="G9" s="28"/>
      <c r="H9" s="28"/>
      <c r="I9" s="28"/>
      <c r="J9" s="28"/>
      <c r="K9" s="28"/>
      <c r="L9" s="2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65"/>
      <c r="B10" s="66"/>
      <c r="C10" s="67"/>
      <c r="D10" s="68" t="s">
        <v>108</v>
      </c>
      <c r="E10" s="69"/>
      <c r="F10" s="69"/>
      <c r="G10" s="69"/>
      <c r="H10" s="69"/>
      <c r="I10" s="69"/>
      <c r="J10" s="70"/>
      <c r="K10" s="356" t="s">
        <v>109</v>
      </c>
      <c r="L10" s="35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71" t="s">
        <v>0</v>
      </c>
      <c r="B11" s="72" t="s">
        <v>120</v>
      </c>
      <c r="C11" s="73" t="s">
        <v>8</v>
      </c>
      <c r="D11" s="74" t="s">
        <v>40</v>
      </c>
      <c r="E11" s="74" t="s">
        <v>14</v>
      </c>
      <c r="F11" s="74" t="s">
        <v>38</v>
      </c>
      <c r="G11" s="74" t="s">
        <v>43</v>
      </c>
      <c r="H11" s="74" t="s">
        <v>41</v>
      </c>
      <c r="I11" s="74" t="s">
        <v>25</v>
      </c>
      <c r="J11" s="74" t="s">
        <v>30</v>
      </c>
      <c r="K11" s="115" t="s">
        <v>154</v>
      </c>
      <c r="L11" s="118" t="s">
        <v>141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92" t="s">
        <v>1</v>
      </c>
      <c r="B12" s="81"/>
      <c r="C12" s="116" t="s">
        <v>153</v>
      </c>
      <c r="D12" s="82"/>
      <c r="E12" s="117" t="s">
        <v>107</v>
      </c>
      <c r="F12" s="117" t="s">
        <v>107</v>
      </c>
      <c r="G12" s="82"/>
      <c r="H12" s="82"/>
      <c r="I12" s="82"/>
      <c r="J12" s="82"/>
      <c r="K12" s="119">
        <f>(3*E$7)/(EXP(0.38*E$7*F$7)-1)</f>
        <v>0.10792456794808521</v>
      </c>
      <c r="L12" s="128">
        <f>1-EXP(-K12)</f>
        <v>0.10230469112429874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7.5" customHeight="1" x14ac:dyDescent="0.2">
      <c r="A13" s="41"/>
      <c r="B13" s="25"/>
      <c r="C13" s="25"/>
      <c r="D13" s="25"/>
      <c r="E13" s="25"/>
      <c r="F13" s="25"/>
      <c r="G13" s="25"/>
      <c r="H13" s="25"/>
      <c r="I13" s="25"/>
      <c r="J13" s="25"/>
      <c r="K13" s="120"/>
      <c r="L13" s="12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54" t="s">
        <v>10</v>
      </c>
      <c r="B14" s="56"/>
      <c r="C14" s="75" t="s">
        <v>115</v>
      </c>
      <c r="D14" s="76"/>
      <c r="E14" s="76"/>
      <c r="F14" s="76"/>
      <c r="G14" s="76"/>
      <c r="H14" s="77" t="s">
        <v>107</v>
      </c>
      <c r="I14" s="76"/>
      <c r="J14" s="76"/>
      <c r="K14" s="121">
        <f>(1.521/(H$7^0.72))-0.155</f>
        <v>0.98090891365132293</v>
      </c>
      <c r="L14" s="125">
        <f>1-EXP(-K14)</f>
        <v>0.62502987155003953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7.5" customHeight="1" x14ac:dyDescent="0.2">
      <c r="A15" s="98"/>
      <c r="B15" s="99"/>
      <c r="C15" s="99"/>
      <c r="D15" s="99"/>
      <c r="E15" s="99"/>
      <c r="F15" s="99"/>
      <c r="G15" s="99"/>
      <c r="H15" s="99"/>
      <c r="I15" s="99"/>
      <c r="J15" s="99"/>
      <c r="K15" s="122"/>
      <c r="L15" s="12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00" t="s">
        <v>133</v>
      </c>
      <c r="B16" s="101"/>
      <c r="C16" s="102" t="s">
        <v>132</v>
      </c>
      <c r="D16" s="103"/>
      <c r="E16" s="103"/>
      <c r="F16" s="103"/>
      <c r="G16" s="103"/>
      <c r="H16" s="103"/>
      <c r="I16" s="104" t="s">
        <v>107</v>
      </c>
      <c r="J16" s="103"/>
      <c r="K16" s="124">
        <f>-0.37+4.64*I$7</f>
        <v>4.7599999999999976E-2</v>
      </c>
      <c r="L16" s="125">
        <f>1-EXP(-K16)</f>
        <v>4.6484883146793443E-2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7.5" customHeight="1" x14ac:dyDescent="0.2">
      <c r="A17" s="98"/>
      <c r="B17" s="99"/>
      <c r="C17" s="99"/>
      <c r="D17" s="99"/>
      <c r="E17" s="99"/>
      <c r="F17" s="99"/>
      <c r="G17" s="99"/>
      <c r="H17" s="99"/>
      <c r="I17" s="99"/>
      <c r="J17" s="99"/>
      <c r="K17" s="122"/>
      <c r="L17" s="12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x14ac:dyDescent="0.2">
      <c r="A18" s="100" t="s">
        <v>11</v>
      </c>
      <c r="B18" s="105">
        <v>1</v>
      </c>
      <c r="C18" s="106" t="s">
        <v>146</v>
      </c>
      <c r="D18" s="104" t="s">
        <v>107</v>
      </c>
      <c r="E18" s="104" t="s">
        <v>107</v>
      </c>
      <c r="F18" s="103"/>
      <c r="G18" s="103"/>
      <c r="H18" s="103"/>
      <c r="I18" s="103"/>
      <c r="J18" s="104" t="s">
        <v>107</v>
      </c>
      <c r="K18" s="124">
        <f>EXP(-0.0152+0.6543*LN(E$7)-0.279*LN(D$7/10)+0.4634*LN(J$7))</f>
        <v>0.68844726443168758</v>
      </c>
      <c r="L18" s="125">
        <f>1-EXP(-K18)</f>
        <v>0.49764451097133966</v>
      </c>
      <c r="M18" s="9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7.5" customHeight="1" x14ac:dyDescent="0.2">
      <c r="A19" s="98"/>
      <c r="B19" s="99"/>
      <c r="C19" s="99"/>
      <c r="D19" s="99"/>
      <c r="E19" s="99"/>
      <c r="F19" s="99"/>
      <c r="G19" s="99"/>
      <c r="H19" s="99"/>
      <c r="I19" s="99"/>
      <c r="J19" s="99"/>
      <c r="K19" s="122"/>
      <c r="L19" s="12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00" t="s">
        <v>42</v>
      </c>
      <c r="B20" s="105">
        <v>2</v>
      </c>
      <c r="C20" s="102" t="s">
        <v>116</v>
      </c>
      <c r="D20" s="103"/>
      <c r="E20" s="103"/>
      <c r="F20" s="104" t="s">
        <v>107</v>
      </c>
      <c r="G20" s="103"/>
      <c r="H20" s="103"/>
      <c r="I20" s="103"/>
      <c r="J20" s="103"/>
      <c r="K20" s="124">
        <f>EXP(1.44-0.982*LN(F$7))</f>
        <v>0.22272686193207922</v>
      </c>
      <c r="L20" s="125">
        <f>1-EXP(-K20)</f>
        <v>0.19966657903263141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7.5" customHeight="1" x14ac:dyDescent="0.2">
      <c r="A21" s="98"/>
      <c r="B21" s="99"/>
      <c r="C21" s="99"/>
      <c r="D21" s="99"/>
      <c r="E21" s="99"/>
      <c r="F21" s="99"/>
      <c r="G21" s="99"/>
      <c r="H21" s="99"/>
      <c r="I21" s="99"/>
      <c r="J21" s="99"/>
      <c r="K21" s="122"/>
      <c r="L21" s="12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00" t="s">
        <v>45</v>
      </c>
      <c r="B22" s="105">
        <v>3</v>
      </c>
      <c r="C22" s="102" t="s">
        <v>117</v>
      </c>
      <c r="D22" s="103"/>
      <c r="E22" s="103"/>
      <c r="F22" s="104" t="s">
        <v>107</v>
      </c>
      <c r="G22" s="104" t="s">
        <v>107</v>
      </c>
      <c r="H22" s="103"/>
      <c r="I22" s="103"/>
      <c r="J22" s="103"/>
      <c r="K22" s="124">
        <f>-LN(G$7)/F$7</f>
        <v>0.14978661367769955</v>
      </c>
      <c r="L22" s="125">
        <f>1-EXP(-K22)</f>
        <v>0.13910834066826516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7.5" customHeight="1" x14ac:dyDescent="0.2">
      <c r="A23" s="98"/>
      <c r="B23" s="99"/>
      <c r="C23" s="99"/>
      <c r="D23" s="99"/>
      <c r="E23" s="99"/>
      <c r="F23" s="99"/>
      <c r="G23" s="99"/>
      <c r="H23" s="99"/>
      <c r="I23" s="99"/>
      <c r="J23" s="99"/>
      <c r="K23" s="122"/>
      <c r="L23" s="12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5.5" x14ac:dyDescent="0.2">
      <c r="A24" s="100" t="s">
        <v>142</v>
      </c>
      <c r="B24" s="105">
        <v>4</v>
      </c>
      <c r="C24" s="102" t="s">
        <v>147</v>
      </c>
      <c r="D24" s="103"/>
      <c r="E24" s="104" t="s">
        <v>107</v>
      </c>
      <c r="F24" s="103"/>
      <c r="G24" s="103"/>
      <c r="H24" s="103"/>
      <c r="I24" s="103"/>
      <c r="J24" s="103"/>
      <c r="K24" s="124">
        <f>0.0189+(2.06*E$7)</f>
        <v>0.61629999999999996</v>
      </c>
      <c r="L24" s="125">
        <f>1-EXP(-K24)</f>
        <v>0.46006148121092938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7.5" customHeight="1" x14ac:dyDescent="0.2">
      <c r="A25" s="98"/>
      <c r="B25" s="99"/>
      <c r="C25" s="99"/>
      <c r="D25" s="99"/>
      <c r="E25" s="99"/>
      <c r="F25" s="99"/>
      <c r="G25" s="99"/>
      <c r="H25" s="99"/>
      <c r="I25" s="99"/>
      <c r="J25" s="99"/>
      <c r="K25" s="122"/>
      <c r="L25" s="12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00" t="s">
        <v>12</v>
      </c>
      <c r="B26" s="101"/>
      <c r="C26" s="102" t="s">
        <v>148</v>
      </c>
      <c r="D26" s="103"/>
      <c r="E26" s="103"/>
      <c r="F26" s="103"/>
      <c r="G26" s="103"/>
      <c r="H26" s="103"/>
      <c r="I26" s="104" t="s">
        <v>107</v>
      </c>
      <c r="J26" s="103"/>
      <c r="K26" s="124">
        <f>0.03+1.68*I$7</f>
        <v>0.1812</v>
      </c>
      <c r="L26" s="125">
        <f>1-EXP(-K26)</f>
        <v>0.16573151168835498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7.5" customHeight="1" x14ac:dyDescent="0.2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122"/>
      <c r="L27" s="12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100" t="s">
        <v>2</v>
      </c>
      <c r="B28" s="101"/>
      <c r="C28" s="102" t="s">
        <v>149</v>
      </c>
      <c r="D28" s="103"/>
      <c r="E28" s="104" t="s">
        <v>107</v>
      </c>
      <c r="F28" s="103"/>
      <c r="G28" s="103"/>
      <c r="H28" s="103"/>
      <c r="I28" s="103"/>
      <c r="J28" s="103"/>
      <c r="K28" s="124">
        <f>1.5*E$7</f>
        <v>0.43499999999999994</v>
      </c>
      <c r="L28" s="125">
        <f>1-EXP(-K28)</f>
        <v>0.35273533292196535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7.5" customHeight="1" x14ac:dyDescent="0.2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122"/>
      <c r="L29" s="12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x14ac:dyDescent="0.2">
      <c r="A30" s="100" t="s">
        <v>3</v>
      </c>
      <c r="B30" s="101"/>
      <c r="C30" s="102" t="s">
        <v>150</v>
      </c>
      <c r="D30" s="103"/>
      <c r="E30" s="104" t="s">
        <v>107</v>
      </c>
      <c r="F30" s="103"/>
      <c r="G30" s="103"/>
      <c r="H30" s="103"/>
      <c r="I30" s="103"/>
      <c r="J30" s="103"/>
      <c r="K30" s="124">
        <f>1.6*E$7</f>
        <v>0.46399999999999997</v>
      </c>
      <c r="L30" s="125">
        <f>1-EXP(-K30)</f>
        <v>0.37123644553290158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7.5" customHeight="1" x14ac:dyDescent="0.2">
      <c r="A31" s="98"/>
      <c r="B31" s="99"/>
      <c r="C31" s="99"/>
      <c r="D31" s="99"/>
      <c r="E31" s="99"/>
      <c r="F31" s="99"/>
      <c r="G31" s="99"/>
      <c r="H31" s="99"/>
      <c r="I31" s="99"/>
      <c r="J31" s="99"/>
      <c r="K31" s="122"/>
      <c r="L31" s="12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107" t="s">
        <v>13</v>
      </c>
      <c r="B32" s="103"/>
      <c r="C32" s="102" t="s">
        <v>151</v>
      </c>
      <c r="D32" s="103"/>
      <c r="E32" s="103"/>
      <c r="F32" s="103"/>
      <c r="G32" s="103"/>
      <c r="H32" s="103"/>
      <c r="I32" s="104" t="s">
        <v>107</v>
      </c>
      <c r="J32" s="103"/>
      <c r="K32" s="124">
        <f>1.79*I$7</f>
        <v>0.16109999999999999</v>
      </c>
      <c r="L32" s="125">
        <f>1-EXP(-K32)</f>
        <v>0.14879305384364105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7.5" customHeight="1" x14ac:dyDescent="0.2">
      <c r="A33" s="98"/>
      <c r="B33" s="99"/>
      <c r="C33" s="99"/>
      <c r="D33" s="99"/>
      <c r="E33" s="99"/>
      <c r="F33" s="99"/>
      <c r="G33" s="99"/>
      <c r="H33" s="99"/>
      <c r="I33" s="99"/>
      <c r="J33" s="99"/>
      <c r="K33" s="122"/>
      <c r="L33" s="12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100" t="s">
        <v>9</v>
      </c>
      <c r="B34" s="101"/>
      <c r="C34" s="102" t="s">
        <v>118</v>
      </c>
      <c r="D34" s="103"/>
      <c r="E34" s="103"/>
      <c r="F34" s="104" t="s">
        <v>107</v>
      </c>
      <c r="G34" s="103"/>
      <c r="H34" s="103"/>
      <c r="I34" s="103"/>
      <c r="J34" s="103"/>
      <c r="K34" s="124">
        <f>4.22/F$7</f>
        <v>0.21099999999999999</v>
      </c>
      <c r="L34" s="125">
        <f>1-EXP(-K34)</f>
        <v>0.19022593311872371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7.5" customHeight="1" x14ac:dyDescent="0.2">
      <c r="A35" s="98"/>
      <c r="B35" s="99"/>
      <c r="C35" s="99"/>
      <c r="D35" s="99"/>
      <c r="E35" s="99"/>
      <c r="F35" s="99"/>
      <c r="G35" s="99"/>
      <c r="H35" s="99"/>
      <c r="I35" s="99"/>
      <c r="J35" s="99"/>
      <c r="K35" s="122"/>
      <c r="L35" s="12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108" t="s">
        <v>121</v>
      </c>
      <c r="B36" s="109">
        <v>5</v>
      </c>
      <c r="C36" s="110" t="s">
        <v>152</v>
      </c>
      <c r="D36" s="111"/>
      <c r="E36" s="112" t="s">
        <v>107</v>
      </c>
      <c r="F36" s="111"/>
      <c r="G36" s="111"/>
      <c r="H36" s="112" t="s">
        <v>107</v>
      </c>
      <c r="I36" s="111"/>
      <c r="J36" s="111"/>
      <c r="K36" s="126">
        <f>(3*E$7)/(EXP(H$7*E$7)-1)</f>
        <v>1.5964384846087067</v>
      </c>
      <c r="L36" s="127">
        <f>1-EXP(-K36)</f>
        <v>0.79738314246029207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22" t="s">
        <v>122</v>
      </c>
      <c r="B39" s="23"/>
      <c r="C39" s="23"/>
      <c r="D39" s="23"/>
      <c r="E39" s="45"/>
      <c r="F39" s="45"/>
      <c r="G39" s="45"/>
      <c r="H39" s="45"/>
      <c r="I39" s="24"/>
      <c r="J39" s="19"/>
      <c r="K39" s="19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46" t="s">
        <v>145</v>
      </c>
      <c r="B40" s="47"/>
      <c r="C40" s="48"/>
      <c r="D40" s="48"/>
      <c r="E40" s="49"/>
      <c r="F40" s="49"/>
      <c r="G40" s="49"/>
      <c r="H40" s="49"/>
      <c r="I40" s="50"/>
      <c r="J40" s="19"/>
      <c r="K40" s="1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04" t="s">
        <v>127</v>
      </c>
      <c r="B41" s="20"/>
      <c r="C41" s="21"/>
      <c r="D41" s="21"/>
      <c r="E41" s="18"/>
      <c r="F41" s="18"/>
      <c r="G41" s="18"/>
      <c r="H41" s="18"/>
      <c r="I41" s="35"/>
      <c r="J41" s="19"/>
      <c r="K41" s="19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4" t="s">
        <v>128</v>
      </c>
      <c r="B42" s="18"/>
      <c r="C42" s="17"/>
      <c r="D42" s="17"/>
      <c r="E42" s="18"/>
      <c r="F42" s="18"/>
      <c r="G42" s="18"/>
      <c r="H42" s="18"/>
      <c r="I42" s="35"/>
      <c r="J42" s="19"/>
      <c r="K42" s="1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4" t="s">
        <v>129</v>
      </c>
      <c r="B43" s="18"/>
      <c r="C43" s="17"/>
      <c r="D43" s="17"/>
      <c r="E43" s="17"/>
      <c r="F43" s="17"/>
      <c r="G43" s="17"/>
      <c r="H43" s="17"/>
      <c r="I43" s="3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7" t="s">
        <v>130</v>
      </c>
      <c r="B44" s="38"/>
      <c r="C44" s="39"/>
      <c r="D44" s="39"/>
      <c r="E44" s="39"/>
      <c r="F44" s="39"/>
      <c r="G44" s="39"/>
      <c r="H44" s="39"/>
      <c r="I44" s="4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</sheetData>
  <mergeCells count="4">
    <mergeCell ref="D4:E4"/>
    <mergeCell ref="F4:G4"/>
    <mergeCell ref="H4:I4"/>
    <mergeCell ref="K10:L10"/>
  </mergeCells>
  <phoneticPr fontId="1" type="noConversion"/>
  <conditionalFormatting sqref="E12 E18 E24 E28 E30 E36">
    <cfRule type="expression" dxfId="7" priority="1" stopIfTrue="1">
      <formula>ISNUMBER($E$7)</formula>
    </cfRule>
  </conditionalFormatting>
  <conditionalFormatting sqref="D18">
    <cfRule type="expression" dxfId="6" priority="2" stopIfTrue="1">
      <formula>ISNUMBER($D$7)</formula>
    </cfRule>
  </conditionalFormatting>
  <conditionalFormatting sqref="F12 F20 F22 F34">
    <cfRule type="expression" dxfId="5" priority="3" stopIfTrue="1">
      <formula>ISNUMBER($F$7)</formula>
    </cfRule>
  </conditionalFormatting>
  <conditionalFormatting sqref="G22">
    <cfRule type="expression" dxfId="4" priority="4" stopIfTrue="1">
      <formula>ISNUMBER($G$7)</formula>
    </cfRule>
  </conditionalFormatting>
  <conditionalFormatting sqref="H14 H36">
    <cfRule type="expression" dxfId="3" priority="5" stopIfTrue="1">
      <formula>ISNUMBER($H$7)</formula>
    </cfRule>
  </conditionalFormatting>
  <conditionalFormatting sqref="I16 I26 I32">
    <cfRule type="expression" dxfId="2" priority="6" stopIfTrue="1">
      <formula>ISNUMBER($I$7)</formula>
    </cfRule>
  </conditionalFormatting>
  <conditionalFormatting sqref="J18">
    <cfRule type="expression" dxfId="1" priority="7" stopIfTrue="1">
      <formula>ISNUMBER($J$7)</formula>
    </cfRule>
  </conditionalFormatting>
  <hyperlinks>
    <hyperlink ref="B20" location="'est_age-constant'!A41" display="'est_age-constant'!A41"/>
    <hyperlink ref="B22" location="'est_age-constant'!A42" display="'est_age-constant'!A42"/>
    <hyperlink ref="B24" location="'est_age-constant'!A43" display="'est_age-constant'!A43"/>
    <hyperlink ref="B36" location="'est_age-constant'!A44" display="'est_age-constant'!A44"/>
    <hyperlink ref="B18" location="'est_age-constant'!A40" display="'est_age-constant'!A40"/>
  </hyperlink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selection activeCell="K27" sqref="K27"/>
    </sheetView>
  </sheetViews>
  <sheetFormatPr defaultRowHeight="12.75" x14ac:dyDescent="0.2"/>
  <cols>
    <col min="1" max="1" width="25.140625" style="300" customWidth="1"/>
    <col min="2" max="2" width="6.7109375" style="300" customWidth="1"/>
    <col min="3" max="3" width="35.42578125" style="300" customWidth="1"/>
    <col min="4" max="5" width="8.7109375" style="300" customWidth="1"/>
    <col min="6" max="6" width="6.42578125" style="300" customWidth="1"/>
    <col min="7" max="7" width="8.85546875" style="300" customWidth="1"/>
    <col min="8" max="8" width="7.140625" style="300" customWidth="1"/>
    <col min="9" max="10" width="7.7109375" style="300" customWidth="1"/>
    <col min="11" max="11" width="8.7109375" style="300" customWidth="1"/>
    <col min="12" max="12" width="13.7109375" style="300" bestFit="1" customWidth="1"/>
    <col min="13" max="13" width="9.140625" style="300"/>
    <col min="14" max="14" width="13.85546875" style="300" bestFit="1" customWidth="1"/>
    <col min="15" max="19" width="9.140625" style="300"/>
    <col min="20" max="16384" width="9.140625" style="220"/>
  </cols>
  <sheetData>
    <row r="1" spans="1:19" x14ac:dyDescent="0.2">
      <c r="A1" s="215" t="s">
        <v>4</v>
      </c>
      <c r="B1" s="216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  <c r="N1" s="219"/>
      <c r="O1" s="219"/>
      <c r="P1" s="219"/>
      <c r="Q1" s="219"/>
      <c r="R1" s="219"/>
      <c r="S1" s="219"/>
    </row>
    <row r="2" spans="1:19" x14ac:dyDescent="0.2">
      <c r="A2" s="221" t="s">
        <v>5</v>
      </c>
      <c r="B2" s="222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4"/>
      <c r="N2" s="219"/>
      <c r="O2" s="219"/>
      <c r="P2" s="219"/>
      <c r="Q2" s="219"/>
      <c r="R2" s="219"/>
      <c r="S2" s="219"/>
    </row>
    <row r="3" spans="1:19" x14ac:dyDescent="0.2">
      <c r="A3" s="225"/>
      <c r="B3" s="225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0"/>
      <c r="O3" s="220"/>
      <c r="P3" s="220"/>
      <c r="Q3" s="220"/>
      <c r="R3" s="220"/>
      <c r="S3" s="220"/>
    </row>
    <row r="4" spans="1:19" x14ac:dyDescent="0.2">
      <c r="A4" s="227"/>
      <c r="B4" s="227"/>
      <c r="C4" s="227"/>
      <c r="D4" s="219"/>
      <c r="E4" s="219"/>
      <c r="F4" s="219"/>
      <c r="G4" s="219"/>
      <c r="H4" s="219"/>
      <c r="I4" s="219"/>
      <c r="J4" s="219"/>
      <c r="K4" s="219"/>
      <c r="L4" s="226"/>
      <c r="M4" s="226"/>
      <c r="N4" s="219"/>
      <c r="O4" s="219"/>
      <c r="P4" s="219"/>
      <c r="Q4" s="219"/>
      <c r="R4" s="219"/>
      <c r="S4" s="219"/>
    </row>
    <row r="5" spans="1:19" x14ac:dyDescent="0.2">
      <c r="A5" s="228"/>
      <c r="B5" s="229" t="s">
        <v>113</v>
      </c>
      <c r="C5" s="230" t="s">
        <v>6</v>
      </c>
      <c r="D5" s="381" t="s">
        <v>158</v>
      </c>
      <c r="E5" s="219"/>
      <c r="F5" s="219"/>
      <c r="G5" s="358" t="s">
        <v>205</v>
      </c>
      <c r="H5" s="360"/>
      <c r="I5" s="219"/>
      <c r="J5" s="219"/>
      <c r="K5" s="219"/>
      <c r="L5" s="219"/>
      <c r="M5" s="219"/>
      <c r="N5" s="219"/>
      <c r="O5" s="220"/>
      <c r="P5" s="220"/>
      <c r="Q5" s="220"/>
      <c r="R5" s="220"/>
      <c r="S5" s="220"/>
    </row>
    <row r="6" spans="1:19" x14ac:dyDescent="0.2">
      <c r="A6" s="231"/>
      <c r="B6" s="232"/>
      <c r="C6" s="233" t="s">
        <v>7</v>
      </c>
      <c r="D6" s="337" t="s">
        <v>38</v>
      </c>
      <c r="E6" s="335"/>
      <c r="F6" s="335"/>
      <c r="G6" s="339" t="s">
        <v>14</v>
      </c>
      <c r="H6" s="340" t="s">
        <v>206</v>
      </c>
      <c r="I6" s="219"/>
      <c r="J6" s="219"/>
      <c r="K6" s="219"/>
      <c r="L6" s="219"/>
      <c r="M6" s="219"/>
      <c r="N6" s="219"/>
      <c r="O6" s="220"/>
      <c r="P6" s="220"/>
      <c r="Q6" s="220"/>
      <c r="R6" s="220"/>
      <c r="S6" s="220"/>
    </row>
    <row r="7" spans="1:19" x14ac:dyDescent="0.2">
      <c r="A7" s="234"/>
      <c r="B7" s="235"/>
      <c r="C7" s="233" t="s">
        <v>110</v>
      </c>
      <c r="D7" s="336" t="s">
        <v>36</v>
      </c>
      <c r="E7" s="219"/>
      <c r="F7" s="219"/>
      <c r="G7" s="336" t="s">
        <v>207</v>
      </c>
      <c r="H7" s="338" t="s">
        <v>208</v>
      </c>
      <c r="I7" s="219"/>
      <c r="J7" s="219"/>
      <c r="K7" s="219"/>
      <c r="L7" s="219"/>
      <c r="M7" s="219"/>
      <c r="N7" s="219"/>
      <c r="O7" s="220"/>
      <c r="P7" s="220"/>
      <c r="Q7" s="220"/>
      <c r="R7" s="220"/>
      <c r="S7" s="220"/>
    </row>
    <row r="8" spans="1:19" x14ac:dyDescent="0.2">
      <c r="A8" s="236"/>
      <c r="B8" s="237"/>
      <c r="C8" s="238" t="s">
        <v>111</v>
      </c>
      <c r="D8" s="239">
        <v>6</v>
      </c>
      <c r="E8" s="219"/>
      <c r="F8" s="219"/>
      <c r="G8" s="129">
        <v>0.36</v>
      </c>
      <c r="H8" s="129">
        <v>0.35</v>
      </c>
      <c r="I8" s="219"/>
      <c r="J8" s="219"/>
      <c r="K8" s="219"/>
      <c r="L8" s="219"/>
      <c r="M8" s="219"/>
      <c r="N8" s="219"/>
      <c r="O8" s="220"/>
      <c r="P8" s="220"/>
      <c r="Q8" s="220"/>
      <c r="R8" s="220"/>
      <c r="S8" s="220"/>
    </row>
    <row r="9" spans="1:19" x14ac:dyDescent="0.2">
      <c r="A9" s="240"/>
      <c r="B9" s="240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</row>
    <row r="10" spans="1:19" x14ac:dyDescent="0.2">
      <c r="A10" s="241" t="s">
        <v>119</v>
      </c>
      <c r="B10" s="242"/>
      <c r="C10" s="243"/>
      <c r="D10" s="243"/>
      <c r="E10" s="243"/>
      <c r="F10" s="243"/>
      <c r="G10" s="243"/>
      <c r="H10" s="243"/>
      <c r="I10" s="243"/>
      <c r="J10" s="243"/>
      <c r="K10" s="243"/>
      <c r="L10" s="359" t="s">
        <v>209</v>
      </c>
      <c r="M10" s="360"/>
      <c r="N10" s="219"/>
      <c r="O10" s="219"/>
      <c r="P10" s="219"/>
      <c r="Q10" s="219"/>
      <c r="R10" s="219"/>
      <c r="S10" s="219"/>
    </row>
    <row r="11" spans="1:19" x14ac:dyDescent="0.2">
      <c r="A11" s="244"/>
      <c r="B11" s="245"/>
      <c r="C11" s="246"/>
      <c r="D11" s="247" t="s">
        <v>108</v>
      </c>
      <c r="E11" s="248"/>
      <c r="F11" s="248"/>
      <c r="G11" s="248"/>
      <c r="H11" s="248"/>
      <c r="I11" s="248"/>
      <c r="J11" s="248"/>
      <c r="K11" s="248"/>
      <c r="L11" s="361" t="s">
        <v>109</v>
      </c>
      <c r="M11" s="362"/>
      <c r="N11" s="219"/>
      <c r="O11" s="219"/>
      <c r="P11" s="219"/>
      <c r="Q11" s="219"/>
      <c r="R11" s="219"/>
      <c r="S11" s="219"/>
    </row>
    <row r="12" spans="1:19" x14ac:dyDescent="0.2">
      <c r="A12" s="249" t="s">
        <v>0</v>
      </c>
      <c r="B12" s="250" t="s">
        <v>120</v>
      </c>
      <c r="C12" s="251" t="s">
        <v>8</v>
      </c>
      <c r="D12" s="252" t="s">
        <v>40</v>
      </c>
      <c r="E12" s="252" t="s">
        <v>14</v>
      </c>
      <c r="F12" s="252" t="s">
        <v>38</v>
      </c>
      <c r="G12" s="252" t="s">
        <v>43</v>
      </c>
      <c r="H12" s="252" t="s">
        <v>41</v>
      </c>
      <c r="I12" s="252" t="s">
        <v>25</v>
      </c>
      <c r="J12" s="253" t="s">
        <v>30</v>
      </c>
      <c r="K12" s="254" t="s">
        <v>154</v>
      </c>
      <c r="L12" s="255" t="s">
        <v>141</v>
      </c>
      <c r="M12" s="219"/>
      <c r="N12" s="219"/>
      <c r="O12" s="219"/>
      <c r="P12" s="219"/>
      <c r="Q12" s="219"/>
      <c r="R12" s="219"/>
      <c r="S12" s="220"/>
    </row>
    <row r="13" spans="1:19" ht="7.5" customHeight="1" x14ac:dyDescent="0.2">
      <c r="A13" s="256"/>
      <c r="B13" s="257"/>
      <c r="C13" s="257"/>
      <c r="D13" s="257"/>
      <c r="E13" s="257"/>
      <c r="F13" s="257"/>
      <c r="G13" s="257"/>
      <c r="H13" s="257"/>
      <c r="I13" s="257"/>
      <c r="J13" s="257"/>
      <c r="K13" s="258"/>
      <c r="L13" s="259"/>
      <c r="M13" s="219"/>
      <c r="N13" s="219"/>
      <c r="O13" s="219"/>
      <c r="P13" s="219"/>
      <c r="Q13" s="219"/>
      <c r="R13" s="219"/>
      <c r="S13" s="220"/>
    </row>
    <row r="14" spans="1:19" ht="23.25" customHeight="1" x14ac:dyDescent="0.2">
      <c r="A14" s="308" t="s">
        <v>227</v>
      </c>
      <c r="B14" s="309"/>
      <c r="C14" s="309"/>
      <c r="D14" s="309"/>
      <c r="E14" s="309"/>
      <c r="F14" s="309"/>
      <c r="G14" s="309"/>
      <c r="H14" s="309"/>
      <c r="I14" s="309"/>
      <c r="J14" s="309"/>
      <c r="K14" s="310"/>
      <c r="L14" s="311"/>
      <c r="M14" s="219"/>
      <c r="N14" s="219"/>
      <c r="O14" s="219"/>
      <c r="P14" s="219"/>
      <c r="Q14" s="219"/>
      <c r="R14" s="219"/>
      <c r="S14" s="220"/>
    </row>
    <row r="15" spans="1:19" x14ac:dyDescent="0.2">
      <c r="A15" s="316" t="s">
        <v>42</v>
      </c>
      <c r="B15" s="317"/>
      <c r="C15" s="318" t="s">
        <v>210</v>
      </c>
      <c r="D15" s="319"/>
      <c r="E15" s="319"/>
      <c r="F15" s="320" t="s">
        <v>107</v>
      </c>
      <c r="G15" s="320"/>
      <c r="H15" s="319"/>
      <c r="I15" s="319"/>
      <c r="J15" s="321"/>
      <c r="K15" s="322">
        <f>EXP(1.44-0.982*LN(D$8))</f>
        <v>0.7265065364878307</v>
      </c>
      <c r="L15" s="323">
        <f>1-EXP(-K15)</f>
        <v>0.51640453433146827</v>
      </c>
      <c r="M15" s="219"/>
      <c r="N15" s="219"/>
      <c r="O15" s="219"/>
      <c r="P15" s="219"/>
      <c r="Q15" s="219"/>
      <c r="R15" s="219"/>
      <c r="S15" s="220"/>
    </row>
    <row r="16" spans="1:19" x14ac:dyDescent="0.2">
      <c r="A16" s="316" t="s">
        <v>9</v>
      </c>
      <c r="B16" s="324"/>
      <c r="C16" s="318" t="s">
        <v>211</v>
      </c>
      <c r="D16" s="319"/>
      <c r="E16" s="319"/>
      <c r="F16" s="320" t="s">
        <v>107</v>
      </c>
      <c r="G16" s="320"/>
      <c r="H16" s="319"/>
      <c r="I16" s="319"/>
      <c r="J16" s="321"/>
      <c r="K16" s="322">
        <f>4.22/D$8</f>
        <v>0.70333333333333325</v>
      </c>
      <c r="L16" s="323">
        <f>1-EXP(-K16)</f>
        <v>0.50506722481010713</v>
      </c>
      <c r="M16" s="219"/>
      <c r="N16" s="219"/>
      <c r="O16" s="219"/>
      <c r="P16" s="219"/>
      <c r="Q16" s="219"/>
      <c r="R16" s="219"/>
      <c r="S16" s="220"/>
    </row>
    <row r="17" spans="1:19" ht="7.5" customHeight="1" x14ac:dyDescent="0.2">
      <c r="A17" s="256"/>
      <c r="B17" s="305"/>
      <c r="C17" s="257"/>
      <c r="D17" s="257"/>
      <c r="E17" s="257"/>
      <c r="F17" s="257"/>
      <c r="G17" s="257"/>
      <c r="H17" s="257"/>
      <c r="I17" s="257"/>
      <c r="J17" s="257"/>
      <c r="K17" s="258"/>
      <c r="L17" s="259"/>
      <c r="M17" s="219"/>
      <c r="N17" s="219"/>
      <c r="O17" s="219"/>
      <c r="P17" s="219"/>
      <c r="Q17" s="219"/>
      <c r="R17" s="219"/>
      <c r="S17" s="220"/>
    </row>
    <row r="18" spans="1:19" ht="20.25" customHeight="1" x14ac:dyDescent="0.2">
      <c r="A18" s="312" t="s">
        <v>226</v>
      </c>
      <c r="B18" s="313"/>
      <c r="C18" s="312"/>
      <c r="D18" s="312"/>
      <c r="E18" s="312"/>
      <c r="F18" s="312"/>
      <c r="G18" s="312"/>
      <c r="H18" s="312"/>
      <c r="I18" s="312"/>
      <c r="J18" s="312"/>
      <c r="K18" s="314"/>
      <c r="L18" s="315"/>
      <c r="M18" s="219"/>
      <c r="N18" s="219"/>
      <c r="O18" s="219"/>
      <c r="P18" s="219"/>
      <c r="Q18" s="219"/>
      <c r="R18" s="219"/>
      <c r="S18" s="220"/>
    </row>
    <row r="19" spans="1:19" ht="29.25" customHeight="1" thickBot="1" x14ac:dyDescent="0.25">
      <c r="A19" s="266" t="s">
        <v>214</v>
      </c>
      <c r="B19" s="307"/>
      <c r="C19" s="268" t="s">
        <v>215</v>
      </c>
      <c r="D19" s="267"/>
      <c r="E19" s="267"/>
      <c r="F19" s="269" t="s">
        <v>107</v>
      </c>
      <c r="G19" s="269"/>
      <c r="H19" s="267"/>
      <c r="I19" s="267"/>
      <c r="J19" s="270"/>
      <c r="K19" s="331">
        <f>EXP(1.717-1.01*LN(D8))</f>
        <v>0.91148780507119953</v>
      </c>
      <c r="L19" s="332">
        <f>1-EXP(-K19)</f>
        <v>0.59807420826247049</v>
      </c>
      <c r="M19" s="219"/>
      <c r="N19" s="219"/>
      <c r="O19" s="219"/>
      <c r="P19" s="219"/>
      <c r="Q19" s="219"/>
      <c r="R19" s="219"/>
      <c r="S19" s="220"/>
    </row>
    <row r="20" spans="1:19" ht="42.75" customHeight="1" thickBot="1" x14ac:dyDescent="0.25">
      <c r="A20" s="325" t="s">
        <v>216</v>
      </c>
      <c r="B20" s="326"/>
      <c r="C20" s="327" t="s">
        <v>217</v>
      </c>
      <c r="D20" s="328"/>
      <c r="E20" s="328"/>
      <c r="F20" s="329" t="s">
        <v>107</v>
      </c>
      <c r="G20" s="329"/>
      <c r="H20" s="328"/>
      <c r="I20" s="328"/>
      <c r="J20" s="330"/>
      <c r="K20" s="331">
        <f>4.899*D8^-0.916</f>
        <v>0.94911949536837148</v>
      </c>
      <c r="L20" s="332">
        <f>1-EXP(-K20)</f>
        <v>0.61291829932117969</v>
      </c>
      <c r="M20" s="219"/>
      <c r="N20" s="219"/>
      <c r="O20" s="219"/>
      <c r="P20" s="219"/>
      <c r="Q20" s="219"/>
      <c r="R20" s="219"/>
      <c r="S20" s="220"/>
    </row>
    <row r="21" spans="1:19" ht="29.25" customHeight="1" thickBot="1" x14ac:dyDescent="0.25">
      <c r="A21" s="260" t="s">
        <v>212</v>
      </c>
      <c r="B21" s="306"/>
      <c r="C21" s="262" t="s">
        <v>213</v>
      </c>
      <c r="D21" s="261"/>
      <c r="E21" s="261"/>
      <c r="F21" s="263" t="s">
        <v>107</v>
      </c>
      <c r="G21" s="263"/>
      <c r="H21" s="261"/>
      <c r="I21" s="261"/>
      <c r="J21" s="264"/>
      <c r="K21" s="265">
        <f>5.109/D8</f>
        <v>0.85150000000000003</v>
      </c>
      <c r="L21" s="333">
        <f>1-EXP(-K21)</f>
        <v>0.57322570984772869</v>
      </c>
      <c r="M21" s="219"/>
      <c r="N21" s="219"/>
      <c r="O21" s="219"/>
      <c r="P21" s="219"/>
      <c r="Q21" s="219"/>
      <c r="R21" s="219"/>
      <c r="S21" s="220"/>
    </row>
    <row r="22" spans="1:19" ht="29.25" customHeight="1" x14ac:dyDescent="0.2">
      <c r="A22" s="363" t="s">
        <v>218</v>
      </c>
      <c r="B22" s="365"/>
      <c r="C22" s="367" t="s">
        <v>219</v>
      </c>
      <c r="D22" s="369" t="s">
        <v>107</v>
      </c>
      <c r="E22" s="369" t="s">
        <v>107</v>
      </c>
      <c r="F22" s="369"/>
      <c r="G22" s="369"/>
      <c r="H22" s="371"/>
      <c r="I22" s="371"/>
      <c r="J22" s="373"/>
      <c r="K22" s="265">
        <f>4.118*($G$8^0.73) * $H$8^(-0.33)</f>
        <v>2.7621338055820353</v>
      </c>
      <c r="L22" s="333">
        <f>1-EXP(-K22)</f>
        <v>0.93684313998370605</v>
      </c>
      <c r="M22" s="219"/>
      <c r="N22" s="219"/>
      <c r="O22" s="219"/>
      <c r="P22" s="219"/>
      <c r="Q22" s="219"/>
      <c r="R22" s="219"/>
      <c r="S22" s="220"/>
    </row>
    <row r="23" spans="1:19" ht="12" customHeight="1" thickBot="1" x14ac:dyDescent="0.25">
      <c r="A23" s="364"/>
      <c r="B23" s="366"/>
      <c r="C23" s="368"/>
      <c r="D23" s="370"/>
      <c r="E23" s="370"/>
      <c r="F23" s="370"/>
      <c r="G23" s="370"/>
      <c r="H23" s="372"/>
      <c r="I23" s="372"/>
      <c r="J23" s="374"/>
      <c r="K23" s="375"/>
      <c r="L23" s="376"/>
      <c r="M23" s="219"/>
      <c r="N23" s="219"/>
      <c r="O23" s="219"/>
      <c r="P23" s="219"/>
      <c r="Q23" s="219"/>
      <c r="R23" s="219"/>
      <c r="S23" s="220"/>
    </row>
    <row r="24" spans="1:19" s="226" customFormat="1" ht="16.5" customHeight="1" x14ac:dyDescent="0.2">
      <c r="A24" s="271"/>
      <c r="B24" s="272"/>
      <c r="C24" s="273"/>
      <c r="D24" s="272"/>
      <c r="E24" s="272"/>
      <c r="F24" s="274"/>
      <c r="G24" s="274"/>
      <c r="H24" s="272"/>
      <c r="I24" s="272"/>
      <c r="J24" s="272"/>
      <c r="K24" s="272"/>
      <c r="L24" s="275"/>
      <c r="M24" s="275"/>
      <c r="N24" s="240"/>
      <c r="O24" s="240"/>
      <c r="P24" s="240"/>
      <c r="Q24" s="240"/>
      <c r="R24" s="240"/>
      <c r="S24" s="240"/>
    </row>
    <row r="25" spans="1:19" x14ac:dyDescent="0.2">
      <c r="A25" s="276"/>
      <c r="B25" s="276"/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7"/>
      <c r="N25" s="219"/>
      <c r="O25" s="219"/>
      <c r="P25" s="219"/>
      <c r="Q25" s="219"/>
      <c r="R25" s="219"/>
      <c r="S25" s="219"/>
    </row>
    <row r="26" spans="1:19" x14ac:dyDescent="0.2">
      <c r="A26" s="278" t="s">
        <v>122</v>
      </c>
      <c r="B26" s="279"/>
      <c r="C26" s="279"/>
      <c r="D26" s="279"/>
      <c r="E26" s="280"/>
      <c r="F26" s="280"/>
      <c r="G26" s="280"/>
      <c r="H26" s="280"/>
      <c r="I26" s="280"/>
      <c r="J26" s="281"/>
      <c r="K26" s="282"/>
      <c r="L26" s="282"/>
      <c r="M26" s="219"/>
      <c r="N26" s="219"/>
      <c r="O26" s="219"/>
      <c r="P26" s="219"/>
      <c r="Q26" s="219"/>
      <c r="R26" s="219"/>
      <c r="S26" s="219"/>
    </row>
    <row r="27" spans="1:19" x14ac:dyDescent="0.2">
      <c r="A27" s="283" t="s">
        <v>225</v>
      </c>
      <c r="B27" s="284"/>
      <c r="C27" s="285"/>
      <c r="D27" s="285"/>
      <c r="E27" s="286"/>
      <c r="F27" s="286"/>
      <c r="G27" s="286"/>
      <c r="H27" s="286"/>
      <c r="I27" s="286"/>
      <c r="J27" s="287"/>
      <c r="K27" s="282"/>
      <c r="L27" s="282"/>
      <c r="M27" s="219"/>
      <c r="N27" s="219"/>
      <c r="O27" s="219"/>
      <c r="P27" s="219"/>
      <c r="Q27" s="219"/>
      <c r="R27" s="219"/>
      <c r="S27" s="219"/>
    </row>
    <row r="28" spans="1:19" x14ac:dyDescent="0.2">
      <c r="A28" s="288" t="s">
        <v>231</v>
      </c>
      <c r="B28" s="289"/>
      <c r="C28" s="290"/>
      <c r="D28" s="290"/>
      <c r="E28" s="291"/>
      <c r="F28" s="291"/>
      <c r="G28" s="291"/>
      <c r="H28" s="291"/>
      <c r="I28" s="291"/>
      <c r="J28" s="292"/>
      <c r="K28" s="282"/>
      <c r="L28" s="282"/>
      <c r="M28" s="219"/>
      <c r="N28" s="219"/>
      <c r="O28" s="219"/>
      <c r="P28" s="219"/>
      <c r="Q28" s="219"/>
      <c r="R28" s="219"/>
      <c r="S28" s="219"/>
    </row>
    <row r="29" spans="1:19" x14ac:dyDescent="0.2">
      <c r="A29" s="293" t="s">
        <v>228</v>
      </c>
      <c r="B29" s="291"/>
      <c r="C29" s="294"/>
      <c r="D29" s="294"/>
      <c r="E29" s="291"/>
      <c r="F29" s="291"/>
      <c r="G29" s="291"/>
      <c r="H29" s="291"/>
      <c r="I29" s="291"/>
      <c r="J29" s="292"/>
      <c r="K29" s="282"/>
      <c r="L29" s="282"/>
      <c r="M29" s="219"/>
      <c r="N29" s="219"/>
      <c r="O29" s="219"/>
      <c r="P29" s="219"/>
      <c r="Q29" s="219"/>
      <c r="R29" s="219"/>
      <c r="S29" s="219"/>
    </row>
    <row r="30" spans="1:19" x14ac:dyDescent="0.2">
      <c r="A30" s="293"/>
      <c r="B30" s="291"/>
      <c r="C30" s="294"/>
      <c r="D30" s="294"/>
      <c r="E30" s="294"/>
      <c r="F30" s="294"/>
      <c r="G30" s="294"/>
      <c r="H30" s="294"/>
      <c r="I30" s="294"/>
      <c r="J30" s="295"/>
      <c r="K30" s="219"/>
      <c r="L30" s="219"/>
      <c r="M30" s="219"/>
      <c r="N30" s="219"/>
      <c r="O30" s="219"/>
      <c r="P30" s="219"/>
      <c r="Q30" s="219"/>
      <c r="R30" s="219"/>
      <c r="S30" s="219"/>
    </row>
    <row r="31" spans="1:19" x14ac:dyDescent="0.2">
      <c r="A31" s="296"/>
      <c r="B31" s="297"/>
      <c r="C31" s="298"/>
      <c r="D31" s="298"/>
      <c r="E31" s="298"/>
      <c r="F31" s="298"/>
      <c r="G31" s="298"/>
      <c r="H31" s="298"/>
      <c r="I31" s="298"/>
      <c r="J31" s="299"/>
      <c r="K31" s="219"/>
      <c r="L31" s="219"/>
      <c r="M31" s="219"/>
      <c r="N31" s="219"/>
      <c r="O31" s="219"/>
      <c r="P31" s="219"/>
      <c r="Q31" s="219"/>
      <c r="R31" s="219"/>
      <c r="S31" s="219"/>
    </row>
    <row r="32" spans="1:19" x14ac:dyDescent="0.2">
      <c r="A32" s="219"/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</row>
    <row r="33" spans="1:19" x14ac:dyDescent="0.2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</row>
    <row r="34" spans="1:19" x14ac:dyDescent="0.2">
      <c r="A34" s="219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</row>
    <row r="35" spans="1:19" x14ac:dyDescent="0.2">
      <c r="A35" s="219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</row>
    <row r="36" spans="1:19" x14ac:dyDescent="0.2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</row>
    <row r="37" spans="1:19" x14ac:dyDescent="0.2">
      <c r="A37" s="219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</row>
    <row r="38" spans="1:19" x14ac:dyDescent="0.2">
      <c r="A38" s="219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</row>
    <row r="39" spans="1:19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</row>
    <row r="40" spans="1:19" x14ac:dyDescent="0.2">
      <c r="A40" s="219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</row>
    <row r="41" spans="1:19" x14ac:dyDescent="0.2">
      <c r="A41" s="219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</row>
    <row r="42" spans="1:19" x14ac:dyDescent="0.2">
      <c r="A42" s="219"/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</row>
    <row r="43" spans="1:19" x14ac:dyDescent="0.2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</row>
    <row r="44" spans="1:19" x14ac:dyDescent="0.2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</row>
    <row r="45" spans="1:19" x14ac:dyDescent="0.2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</row>
    <row r="46" spans="1:19" x14ac:dyDescent="0.2">
      <c r="A46" s="219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</row>
    <row r="47" spans="1:19" x14ac:dyDescent="0.2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</row>
    <row r="48" spans="1:19" x14ac:dyDescent="0.2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</row>
    <row r="49" spans="1:19" x14ac:dyDescent="0.2">
      <c r="A49" s="21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</row>
    <row r="50" spans="1:19" x14ac:dyDescent="0.2">
      <c r="A50" s="21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</row>
    <row r="51" spans="1:19" x14ac:dyDescent="0.2">
      <c r="A51" s="21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</row>
    <row r="52" spans="1:19" x14ac:dyDescent="0.2">
      <c r="A52" s="21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</row>
    <row r="53" spans="1:19" x14ac:dyDescent="0.2">
      <c r="A53" s="219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</row>
    <row r="54" spans="1:19" x14ac:dyDescent="0.2">
      <c r="A54" s="21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</row>
    <row r="55" spans="1:19" x14ac:dyDescent="0.2">
      <c r="A55" s="219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</row>
    <row r="56" spans="1:19" x14ac:dyDescent="0.2">
      <c r="A56" s="21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</row>
    <row r="57" spans="1:19" x14ac:dyDescent="0.2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</row>
    <row r="58" spans="1:19" x14ac:dyDescent="0.2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</row>
    <row r="59" spans="1:19" x14ac:dyDescent="0.2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</row>
    <row r="60" spans="1:19" x14ac:dyDescent="0.2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</row>
    <row r="61" spans="1:19" x14ac:dyDescent="0.2">
      <c r="A61" s="219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</row>
    <row r="62" spans="1:19" x14ac:dyDescent="0.2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</row>
    <row r="63" spans="1:19" x14ac:dyDescent="0.2">
      <c r="A63" s="219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</row>
    <row r="64" spans="1:19" x14ac:dyDescent="0.2">
      <c r="A64" s="21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</row>
    <row r="65" spans="1:19" x14ac:dyDescent="0.2">
      <c r="A65" s="219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</row>
    <row r="66" spans="1:19" x14ac:dyDescent="0.2">
      <c r="A66" s="219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</row>
    <row r="67" spans="1:19" x14ac:dyDescent="0.2">
      <c r="A67" s="219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</row>
    <row r="68" spans="1:19" x14ac:dyDescent="0.2">
      <c r="A68" s="219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</row>
    <row r="69" spans="1:19" x14ac:dyDescent="0.2">
      <c r="A69" s="219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</row>
    <row r="70" spans="1:19" x14ac:dyDescent="0.2">
      <c r="A70" s="219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</row>
    <row r="71" spans="1:19" x14ac:dyDescent="0.2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</row>
    <row r="72" spans="1:19" x14ac:dyDescent="0.2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</row>
    <row r="73" spans="1:19" x14ac:dyDescent="0.2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</row>
    <row r="74" spans="1:19" x14ac:dyDescent="0.2">
      <c r="A74" s="219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</row>
    <row r="75" spans="1:19" x14ac:dyDescent="0.2">
      <c r="A75" s="219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</row>
    <row r="76" spans="1:19" x14ac:dyDescent="0.2">
      <c r="A76" s="219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</row>
    <row r="77" spans="1:19" x14ac:dyDescent="0.2">
      <c r="A77" s="219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</row>
    <row r="78" spans="1:19" x14ac:dyDescent="0.2">
      <c r="A78" s="219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</row>
    <row r="79" spans="1:19" x14ac:dyDescent="0.2">
      <c r="A79" s="219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</row>
    <row r="80" spans="1:19" x14ac:dyDescent="0.2">
      <c r="A80" s="219"/>
      <c r="B80" s="219"/>
      <c r="C80" s="219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</row>
    <row r="81" spans="1:19" x14ac:dyDescent="0.2">
      <c r="A81" s="219"/>
      <c r="B81" s="219"/>
      <c r="C81" s="219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</row>
    <row r="82" spans="1:19" x14ac:dyDescent="0.2">
      <c r="A82" s="219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</row>
    <row r="83" spans="1:19" x14ac:dyDescent="0.2">
      <c r="A83" s="219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</row>
    <row r="84" spans="1:19" x14ac:dyDescent="0.2">
      <c r="A84" s="219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</row>
    <row r="85" spans="1:19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</row>
    <row r="86" spans="1:19" x14ac:dyDescent="0.2">
      <c r="A86" s="219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</row>
    <row r="87" spans="1:19" x14ac:dyDescent="0.2">
      <c r="A87" s="219"/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</row>
    <row r="88" spans="1:19" x14ac:dyDescent="0.2">
      <c r="A88" s="219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</row>
  </sheetData>
  <mergeCells count="14">
    <mergeCell ref="G5:H5"/>
    <mergeCell ref="L10:M10"/>
    <mergeCell ref="L11:M1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3:L23"/>
  </mergeCells>
  <conditionalFormatting sqref="F15:G16">
    <cfRule type="expression" dxfId="0" priority="1" stopIfTrue="1">
      <formula>ISNUMBER($D$8)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workbookViewId="0">
      <selection activeCell="L12" sqref="L12"/>
    </sheetView>
  </sheetViews>
  <sheetFormatPr defaultRowHeight="12.75" x14ac:dyDescent="0.2"/>
  <cols>
    <col min="1" max="1" width="15" customWidth="1"/>
    <col min="2" max="2" width="28.28515625" bestFit="1" customWidth="1"/>
    <col min="3" max="5" width="8.7109375" customWidth="1"/>
    <col min="6" max="6" width="13.85546875" bestFit="1" customWidth="1"/>
    <col min="7" max="7" width="8.7109375" customWidth="1"/>
    <col min="8" max="8" width="16.85546875" customWidth="1"/>
    <col min="9" max="9" width="9.28515625" customWidth="1"/>
    <col min="10" max="11" width="8.7109375" customWidth="1"/>
    <col min="16" max="16" width="17.140625" customWidth="1"/>
    <col min="27" max="28" width="9.140625" style="5"/>
  </cols>
  <sheetData>
    <row r="1" spans="1:29" x14ac:dyDescent="0.2">
      <c r="A1" s="26" t="s">
        <v>136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9" x14ac:dyDescent="0.2">
      <c r="A2" s="30" t="s">
        <v>5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9" x14ac:dyDescent="0.2">
      <c r="A4" s="139" t="s">
        <v>113</v>
      </c>
      <c r="B4" s="78" t="s">
        <v>6</v>
      </c>
      <c r="C4" s="354" t="s">
        <v>21</v>
      </c>
      <c r="D4" s="377"/>
      <c r="E4" s="378"/>
      <c r="F4" s="354" t="s">
        <v>137</v>
      </c>
      <c r="G4" s="377"/>
      <c r="H4" s="378"/>
      <c r="I4" s="354" t="s">
        <v>157</v>
      </c>
      <c r="J4" s="379"/>
      <c r="K4" s="354" t="s">
        <v>163</v>
      </c>
      <c r="L4" s="37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C4" s="5"/>
    </row>
    <row r="5" spans="1:29" x14ac:dyDescent="0.2">
      <c r="A5" s="140"/>
      <c r="B5" s="79" t="s">
        <v>7</v>
      </c>
      <c r="C5" s="348" t="s">
        <v>50</v>
      </c>
      <c r="D5" s="348" t="s">
        <v>38</v>
      </c>
      <c r="E5" s="348" t="s">
        <v>43</v>
      </c>
      <c r="F5" s="348" t="s">
        <v>40</v>
      </c>
      <c r="G5" s="348" t="s">
        <v>14</v>
      </c>
      <c r="H5" s="348" t="s">
        <v>39</v>
      </c>
      <c r="I5" s="348" t="s">
        <v>15</v>
      </c>
      <c r="J5" s="348" t="s">
        <v>16</v>
      </c>
      <c r="K5" s="348" t="s">
        <v>31</v>
      </c>
      <c r="L5" s="348" t="s">
        <v>17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C5" s="5"/>
    </row>
    <row r="6" spans="1:29" x14ac:dyDescent="0.2">
      <c r="A6" s="6"/>
      <c r="B6" s="79" t="s">
        <v>110</v>
      </c>
      <c r="C6" s="342" t="s">
        <v>36</v>
      </c>
      <c r="D6" s="343" t="s">
        <v>36</v>
      </c>
      <c r="E6" s="344"/>
      <c r="F6" s="342" t="s">
        <v>34</v>
      </c>
      <c r="G6" s="345" t="s">
        <v>33</v>
      </c>
      <c r="H6" s="343" t="s">
        <v>36</v>
      </c>
      <c r="I6" s="346"/>
      <c r="J6" s="347"/>
      <c r="K6" s="346"/>
      <c r="L6" s="34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C6" s="5"/>
    </row>
    <row r="7" spans="1:29" x14ac:dyDescent="0.2">
      <c r="A7" s="8"/>
      <c r="B7" s="80" t="s">
        <v>111</v>
      </c>
      <c r="C7" s="131">
        <v>0</v>
      </c>
      <c r="D7" s="133">
        <v>6</v>
      </c>
      <c r="E7" s="132">
        <v>1.4999999999999999E-2</v>
      </c>
      <c r="F7" s="129">
        <v>430.88258363</v>
      </c>
      <c r="G7" s="141">
        <v>0.2144283219</v>
      </c>
      <c r="H7" s="142">
        <v>-2.3463280370000001</v>
      </c>
      <c r="I7" s="143">
        <v>9.0000000000000006E-5</v>
      </c>
      <c r="J7" s="142">
        <v>3</v>
      </c>
      <c r="K7" s="144">
        <v>3</v>
      </c>
      <c r="L7" s="133">
        <v>-0.28799999999999998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C7" s="5"/>
    </row>
    <row r="8" spans="1:29" x14ac:dyDescent="0.2">
      <c r="A8" s="3"/>
      <c r="B8" s="3"/>
      <c r="C8" s="4"/>
      <c r="D8" s="3"/>
      <c r="E8" s="3"/>
      <c r="F8" s="3"/>
      <c r="G8" s="146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9" x14ac:dyDescent="0.2">
      <c r="A9" s="135" t="s">
        <v>119</v>
      </c>
      <c r="B9" s="136"/>
      <c r="C9" s="136"/>
      <c r="D9" s="136"/>
      <c r="E9" s="136"/>
      <c r="F9" s="136"/>
      <c r="G9" s="137"/>
      <c r="H9" s="136"/>
      <c r="I9" s="137"/>
      <c r="J9" s="3"/>
      <c r="K9" s="3"/>
      <c r="L9" s="158" t="s">
        <v>164</v>
      </c>
      <c r="M9" s="159"/>
      <c r="N9" s="159"/>
      <c r="O9" s="159"/>
      <c r="P9" s="160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9" x14ac:dyDescent="0.2">
      <c r="A10" s="65"/>
      <c r="B10" s="67"/>
      <c r="C10" s="114" t="s">
        <v>18</v>
      </c>
      <c r="D10" s="114" t="s">
        <v>138</v>
      </c>
      <c r="E10" s="114" t="s">
        <v>139</v>
      </c>
      <c r="F10" s="356" t="s">
        <v>198</v>
      </c>
      <c r="G10" s="357"/>
      <c r="H10" s="356" t="s">
        <v>201</v>
      </c>
      <c r="I10" s="357"/>
      <c r="J10" s="3"/>
      <c r="K10" s="3"/>
      <c r="L10" s="211" t="s">
        <v>230</v>
      </c>
      <c r="M10" s="209"/>
      <c r="N10" s="209"/>
      <c r="O10" s="209"/>
      <c r="P10" s="210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9" x14ac:dyDescent="0.2">
      <c r="A11" s="71" t="s">
        <v>0</v>
      </c>
      <c r="B11" s="73" t="s">
        <v>8</v>
      </c>
      <c r="C11" s="115" t="s">
        <v>36</v>
      </c>
      <c r="D11" s="115" t="s">
        <v>34</v>
      </c>
      <c r="E11" s="115" t="s">
        <v>140</v>
      </c>
      <c r="F11" s="115" t="s">
        <v>154</v>
      </c>
      <c r="G11" s="118" t="s">
        <v>141</v>
      </c>
      <c r="H11" s="115" t="s">
        <v>154</v>
      </c>
      <c r="I11" s="118" t="s">
        <v>141</v>
      </c>
      <c r="J11" s="4"/>
      <c r="K11" s="3"/>
      <c r="L11" s="211" t="s">
        <v>196</v>
      </c>
      <c r="M11" s="209"/>
      <c r="N11" s="209"/>
      <c r="O11" s="209"/>
      <c r="P11" s="21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9" x14ac:dyDescent="0.2">
      <c r="A12" s="147" t="s">
        <v>162</v>
      </c>
      <c r="B12" s="150" t="s">
        <v>190</v>
      </c>
      <c r="C12" s="151">
        <f>C7</f>
        <v>0</v>
      </c>
      <c r="D12" s="178">
        <f t="shared" ref="D12:D32" si="0">IF($C12&lt;=$D$7,$F$7*(1-EXP(-$G$7*($C12-$H$7))),"")</f>
        <v>170.3529942497953</v>
      </c>
      <c r="E12" s="178">
        <f t="shared" ref="E12:E32" si="1">IF($C12&lt;=$D$7,$I$7*$D12^$J$7,"")</f>
        <v>444.93013745655105</v>
      </c>
      <c r="F12" s="1">
        <f t="shared" ref="F12:F32" si="2">IF($C12&lt;=$D$7,$K$7*E12^$L$7,"")</f>
        <v>0.51809954330818375</v>
      </c>
      <c r="G12" s="138">
        <f>IF($C12&lt;=$D$7,1-EXP(-F12),"")</f>
        <v>0.40434851717001874</v>
      </c>
      <c r="H12" s="1">
        <f>IF($C12&lt;=$D$7,-F12*LN($E$7)/SUM($F$12:$F$32),"")</f>
        <v>0.88084909724759675</v>
      </c>
      <c r="I12" s="138">
        <f>IF($C12&lt;=$D$7,1-EXP(-H12),"")</f>
        <v>0.58556912986717169</v>
      </c>
      <c r="J12" s="4"/>
      <c r="K12" s="3"/>
      <c r="L12" s="212" t="s">
        <v>197</v>
      </c>
      <c r="M12" s="161"/>
      <c r="N12" s="161"/>
      <c r="O12" s="161"/>
      <c r="P12" s="16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9" x14ac:dyDescent="0.2">
      <c r="A13" s="213" t="s">
        <v>200</v>
      </c>
      <c r="B13" s="150" t="s">
        <v>199</v>
      </c>
      <c r="C13" s="153">
        <f>IF(C12&lt;$D$7,C12+1,"")</f>
        <v>1</v>
      </c>
      <c r="D13" s="179">
        <f t="shared" si="0"/>
        <v>220.63451353489637</v>
      </c>
      <c r="E13" s="179">
        <f t="shared" si="1"/>
        <v>966.63576074651587</v>
      </c>
      <c r="F13" s="1">
        <f t="shared" si="2"/>
        <v>0.41434829075628132</v>
      </c>
      <c r="G13" s="138">
        <f>IF($C13&lt;=$D$7,1-EXP(-F13),"")</f>
        <v>0.33922922916812104</v>
      </c>
      <c r="H13" s="1">
        <f t="shared" ref="H13:H32" si="3">IF($C13&lt;=$D$7,-F13*LN($E$7)/SUM($F$12:$F$32),"")</f>
        <v>0.70445597293579021</v>
      </c>
      <c r="I13" s="138">
        <f>IF($C13&lt;=$D$7,1-EXP(-H13),"")</f>
        <v>0.50562254417401098</v>
      </c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9" x14ac:dyDescent="0.2">
      <c r="A14" s="148"/>
      <c r="B14" s="152"/>
      <c r="C14" s="153">
        <f>IF(C13&lt;$D$7,C13+1,"")</f>
        <v>2</v>
      </c>
      <c r="D14" s="179">
        <f t="shared" si="0"/>
        <v>261.21183304893646</v>
      </c>
      <c r="E14" s="179">
        <f t="shared" si="1"/>
        <v>1604.061628436956</v>
      </c>
      <c r="F14" s="1">
        <f t="shared" si="2"/>
        <v>0.35811094310753588</v>
      </c>
      <c r="G14" s="138">
        <f t="shared" ref="G14:G32" si="4">IF($C14&lt;=$D$7,1-EXP(-F14),"")</f>
        <v>0.30100447803074315</v>
      </c>
      <c r="H14" s="1">
        <f t="shared" si="3"/>
        <v>0.60884381201456239</v>
      </c>
      <c r="I14" s="138">
        <f t="shared" ref="I14:I32" si="5">IF($C14&lt;=$D$7,1-EXP(-H14),"")</f>
        <v>0.45602055187104606</v>
      </c>
      <c r="J14" s="4"/>
      <c r="K14" s="3"/>
      <c r="L14" s="214" t="s">
        <v>202</v>
      </c>
      <c r="M14" s="159"/>
      <c r="N14" s="159"/>
      <c r="O14" s="159"/>
      <c r="P14" s="16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9" x14ac:dyDescent="0.2">
      <c r="A15" s="148"/>
      <c r="B15" s="152"/>
      <c r="C15" s="153">
        <f t="shared" ref="C15:C32" si="6">IF(C14&lt;$D$7,C14+1,"")</f>
        <v>3</v>
      </c>
      <c r="D15" s="179">
        <f t="shared" si="0"/>
        <v>293.95783759204858</v>
      </c>
      <c r="E15" s="179">
        <f t="shared" si="1"/>
        <v>2286.1127266332956</v>
      </c>
      <c r="F15" s="1">
        <f t="shared" si="2"/>
        <v>0.32337104790934706</v>
      </c>
      <c r="G15" s="138">
        <f t="shared" si="4"/>
        <v>0.27629472478622163</v>
      </c>
      <c r="H15" s="1">
        <f t="shared" si="3"/>
        <v>0.54978063444754721</v>
      </c>
      <c r="I15" s="138">
        <f t="shared" si="5"/>
        <v>0.42292361282283475</v>
      </c>
      <c r="J15" s="4"/>
      <c r="K15" s="3"/>
      <c r="L15" s="211" t="s">
        <v>203</v>
      </c>
      <c r="M15" s="209"/>
      <c r="N15" s="209"/>
      <c r="O15" s="209"/>
      <c r="P15" s="21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9" x14ac:dyDescent="0.2">
      <c r="A16" s="148"/>
      <c r="B16" s="152"/>
      <c r="C16" s="153">
        <f t="shared" si="6"/>
        <v>4</v>
      </c>
      <c r="D16" s="179">
        <f t="shared" si="0"/>
        <v>320.38395016871829</v>
      </c>
      <c r="E16" s="179">
        <f t="shared" si="1"/>
        <v>2959.7481962508687</v>
      </c>
      <c r="F16" s="1">
        <f t="shared" si="2"/>
        <v>0.3001925310237501</v>
      </c>
      <c r="G16" s="138">
        <f t="shared" si="4"/>
        <v>0.25932439607920665</v>
      </c>
      <c r="H16" s="1">
        <f t="shared" si="3"/>
        <v>0.51037358238984709</v>
      </c>
      <c r="I16" s="138">
        <f t="shared" si="5"/>
        <v>0.39972871386265396</v>
      </c>
      <c r="J16" s="4"/>
      <c r="K16" s="3"/>
      <c r="L16" s="211" t="s">
        <v>204</v>
      </c>
      <c r="M16" s="209"/>
      <c r="N16" s="209"/>
      <c r="O16" s="209"/>
      <c r="P16" s="210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48"/>
      <c r="B17" s="152"/>
      <c r="C17" s="153">
        <f t="shared" si="6"/>
        <v>5</v>
      </c>
      <c r="D17" s="179">
        <f t="shared" si="0"/>
        <v>341.70989315499662</v>
      </c>
      <c r="E17" s="179">
        <f t="shared" si="1"/>
        <v>3590.9980339248132</v>
      </c>
      <c r="F17" s="1">
        <f t="shared" si="2"/>
        <v>0.28393523290263484</v>
      </c>
      <c r="G17" s="138">
        <f t="shared" si="4"/>
        <v>0.24718459920435465</v>
      </c>
      <c r="H17" s="1">
        <f t="shared" si="3"/>
        <v>0.48273366925224509</v>
      </c>
      <c r="I17" s="138">
        <f t="shared" si="5"/>
        <v>0.38290584736328481</v>
      </c>
      <c r="J17" s="4"/>
      <c r="K17" s="3"/>
      <c r="L17" s="212"/>
      <c r="M17" s="161"/>
      <c r="N17" s="161"/>
      <c r="O17" s="161"/>
      <c r="P17" s="162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48"/>
      <c r="B18" s="152"/>
      <c r="C18" s="153">
        <f t="shared" si="6"/>
        <v>6</v>
      </c>
      <c r="D18" s="179">
        <f t="shared" si="0"/>
        <v>358.91998574559244</v>
      </c>
      <c r="E18" s="179">
        <f t="shared" si="1"/>
        <v>4161.3614049039625</v>
      </c>
      <c r="F18" s="1">
        <f t="shared" si="2"/>
        <v>0.27213315044765346</v>
      </c>
      <c r="G18" s="138">
        <f t="shared" si="4"/>
        <v>0.23824717339290002</v>
      </c>
      <c r="H18" s="1">
        <f t="shared" si="3"/>
        <v>0.46266830959233857</v>
      </c>
      <c r="I18" s="138">
        <f t="shared" si="5"/>
        <v>0.3703985693667281</v>
      </c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48"/>
      <c r="B19" s="152"/>
      <c r="C19" s="153" t="str">
        <f t="shared" si="6"/>
        <v/>
      </c>
      <c r="D19" s="179" t="str">
        <f t="shared" si="0"/>
        <v/>
      </c>
      <c r="E19" s="180" t="str">
        <f t="shared" si="1"/>
        <v/>
      </c>
      <c r="F19" s="1" t="str">
        <f t="shared" si="2"/>
        <v/>
      </c>
      <c r="G19" s="138" t="str">
        <f t="shared" si="4"/>
        <v/>
      </c>
      <c r="H19" s="1" t="str">
        <f t="shared" si="3"/>
        <v/>
      </c>
      <c r="I19" s="138" t="str">
        <f t="shared" si="5"/>
        <v/>
      </c>
      <c r="J19" s="15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48"/>
      <c r="B20" s="152"/>
      <c r="C20" s="153" t="str">
        <f t="shared" si="6"/>
        <v/>
      </c>
      <c r="D20" s="179" t="str">
        <f t="shared" si="0"/>
        <v/>
      </c>
      <c r="E20" s="180" t="str">
        <f t="shared" si="1"/>
        <v/>
      </c>
      <c r="F20" s="1" t="str">
        <f t="shared" si="2"/>
        <v/>
      </c>
      <c r="G20" s="138" t="str">
        <f t="shared" si="4"/>
        <v/>
      </c>
      <c r="H20" s="1" t="str">
        <f t="shared" si="3"/>
        <v/>
      </c>
      <c r="I20" s="138" t="str">
        <f t="shared" si="5"/>
        <v/>
      </c>
      <c r="J20" s="15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48"/>
      <c r="B21" s="152"/>
      <c r="C21" s="153" t="str">
        <f t="shared" si="6"/>
        <v/>
      </c>
      <c r="D21" s="179" t="str">
        <f t="shared" si="0"/>
        <v/>
      </c>
      <c r="E21" s="180" t="str">
        <f t="shared" si="1"/>
        <v/>
      </c>
      <c r="F21" s="1" t="str">
        <f t="shared" si="2"/>
        <v/>
      </c>
      <c r="G21" s="138" t="str">
        <f t="shared" si="4"/>
        <v/>
      </c>
      <c r="H21" s="1" t="str">
        <f t="shared" si="3"/>
        <v/>
      </c>
      <c r="I21" s="138" t="str">
        <f t="shared" si="5"/>
        <v/>
      </c>
      <c r="J21" s="15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48"/>
      <c r="B22" s="152"/>
      <c r="C22" s="153" t="str">
        <f t="shared" si="6"/>
        <v/>
      </c>
      <c r="D22" s="179" t="str">
        <f t="shared" si="0"/>
        <v/>
      </c>
      <c r="E22" s="180" t="str">
        <f t="shared" si="1"/>
        <v/>
      </c>
      <c r="F22" s="1" t="str">
        <f t="shared" si="2"/>
        <v/>
      </c>
      <c r="G22" s="138" t="str">
        <f t="shared" si="4"/>
        <v/>
      </c>
      <c r="H22" s="1" t="str">
        <f t="shared" si="3"/>
        <v/>
      </c>
      <c r="I22" s="138" t="str">
        <f t="shared" si="5"/>
        <v/>
      </c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48"/>
      <c r="B23" s="152"/>
      <c r="C23" s="153" t="str">
        <f t="shared" si="6"/>
        <v/>
      </c>
      <c r="D23" s="179" t="str">
        <f t="shared" si="0"/>
        <v/>
      </c>
      <c r="E23" s="180" t="str">
        <f t="shared" si="1"/>
        <v/>
      </c>
      <c r="F23" s="1" t="str">
        <f t="shared" si="2"/>
        <v/>
      </c>
      <c r="G23" s="138" t="str">
        <f t="shared" si="4"/>
        <v/>
      </c>
      <c r="H23" s="1" t="str">
        <f t="shared" si="3"/>
        <v/>
      </c>
      <c r="I23" s="138" t="str">
        <f t="shared" si="5"/>
        <v/>
      </c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148"/>
      <c r="B24" s="152"/>
      <c r="C24" s="153" t="str">
        <f t="shared" si="6"/>
        <v/>
      </c>
      <c r="D24" s="179" t="str">
        <f t="shared" si="0"/>
        <v/>
      </c>
      <c r="E24" s="180" t="str">
        <f t="shared" si="1"/>
        <v/>
      </c>
      <c r="F24" s="1" t="str">
        <f t="shared" si="2"/>
        <v/>
      </c>
      <c r="G24" s="138" t="str">
        <f t="shared" si="4"/>
        <v/>
      </c>
      <c r="H24" s="1" t="str">
        <f t="shared" si="3"/>
        <v/>
      </c>
      <c r="I24" s="138" t="str">
        <f t="shared" si="5"/>
        <v/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148"/>
      <c r="B25" s="152"/>
      <c r="C25" s="153" t="str">
        <f t="shared" si="6"/>
        <v/>
      </c>
      <c r="D25" s="179" t="str">
        <f t="shared" si="0"/>
        <v/>
      </c>
      <c r="E25" s="180" t="str">
        <f t="shared" si="1"/>
        <v/>
      </c>
      <c r="F25" s="1" t="str">
        <f t="shared" si="2"/>
        <v/>
      </c>
      <c r="G25" s="138" t="str">
        <f t="shared" si="4"/>
        <v/>
      </c>
      <c r="H25" s="1" t="str">
        <f t="shared" si="3"/>
        <v/>
      </c>
      <c r="I25" s="138" t="str">
        <f t="shared" si="5"/>
        <v/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48"/>
      <c r="B26" s="152"/>
      <c r="C26" s="153" t="str">
        <f t="shared" si="6"/>
        <v/>
      </c>
      <c r="D26" s="179" t="str">
        <f t="shared" si="0"/>
        <v/>
      </c>
      <c r="E26" s="180" t="str">
        <f t="shared" si="1"/>
        <v/>
      </c>
      <c r="F26" s="1" t="str">
        <f t="shared" si="2"/>
        <v/>
      </c>
      <c r="G26" s="138" t="str">
        <f t="shared" si="4"/>
        <v/>
      </c>
      <c r="H26" s="1" t="str">
        <f t="shared" si="3"/>
        <v/>
      </c>
      <c r="I26" s="138" t="str">
        <f t="shared" si="5"/>
        <v/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148"/>
      <c r="B27" s="152"/>
      <c r="C27" s="153" t="str">
        <f t="shared" si="6"/>
        <v/>
      </c>
      <c r="D27" s="179" t="str">
        <f t="shared" si="0"/>
        <v/>
      </c>
      <c r="E27" s="180" t="str">
        <f t="shared" si="1"/>
        <v/>
      </c>
      <c r="F27" s="1" t="str">
        <f t="shared" si="2"/>
        <v/>
      </c>
      <c r="G27" s="138" t="str">
        <f t="shared" si="4"/>
        <v/>
      </c>
      <c r="H27" s="1" t="str">
        <f t="shared" si="3"/>
        <v/>
      </c>
      <c r="I27" s="138" t="str">
        <f t="shared" si="5"/>
        <v/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148"/>
      <c r="B28" s="152"/>
      <c r="C28" s="153" t="str">
        <f t="shared" si="6"/>
        <v/>
      </c>
      <c r="D28" s="179" t="str">
        <f t="shared" si="0"/>
        <v/>
      </c>
      <c r="E28" s="180" t="str">
        <f t="shared" si="1"/>
        <v/>
      </c>
      <c r="F28" s="1" t="str">
        <f t="shared" si="2"/>
        <v/>
      </c>
      <c r="G28" s="138" t="str">
        <f t="shared" si="4"/>
        <v/>
      </c>
      <c r="H28" s="1" t="str">
        <f t="shared" si="3"/>
        <v/>
      </c>
      <c r="I28" s="138" t="str">
        <f t="shared" si="5"/>
        <v/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48"/>
      <c r="B29" s="152"/>
      <c r="C29" s="153" t="str">
        <f t="shared" si="6"/>
        <v/>
      </c>
      <c r="D29" s="179" t="str">
        <f t="shared" si="0"/>
        <v/>
      </c>
      <c r="E29" s="180" t="str">
        <f t="shared" si="1"/>
        <v/>
      </c>
      <c r="F29" s="1" t="str">
        <f t="shared" si="2"/>
        <v/>
      </c>
      <c r="G29" s="138" t="str">
        <f t="shared" si="4"/>
        <v/>
      </c>
      <c r="H29" s="1" t="str">
        <f t="shared" si="3"/>
        <v/>
      </c>
      <c r="I29" s="138" t="str">
        <f t="shared" si="5"/>
        <v/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148"/>
      <c r="B30" s="152"/>
      <c r="C30" s="153" t="str">
        <f t="shared" si="6"/>
        <v/>
      </c>
      <c r="D30" s="179" t="str">
        <f t="shared" si="0"/>
        <v/>
      </c>
      <c r="E30" s="180" t="str">
        <f t="shared" si="1"/>
        <v/>
      </c>
      <c r="F30" s="1" t="str">
        <f t="shared" si="2"/>
        <v/>
      </c>
      <c r="G30" s="138" t="str">
        <f t="shared" si="4"/>
        <v/>
      </c>
      <c r="H30" s="1" t="str">
        <f t="shared" si="3"/>
        <v/>
      </c>
      <c r="I30" s="138" t="str">
        <f t="shared" si="5"/>
        <v/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148"/>
      <c r="B31" s="152"/>
      <c r="C31" s="153" t="str">
        <f t="shared" si="6"/>
        <v/>
      </c>
      <c r="D31" s="179" t="str">
        <f t="shared" si="0"/>
        <v/>
      </c>
      <c r="E31" s="180" t="str">
        <f t="shared" si="1"/>
        <v/>
      </c>
      <c r="F31" s="1" t="str">
        <f t="shared" si="2"/>
        <v/>
      </c>
      <c r="G31" s="138" t="str">
        <f t="shared" si="4"/>
        <v/>
      </c>
      <c r="H31" s="1" t="str">
        <f t="shared" si="3"/>
        <v/>
      </c>
      <c r="I31" s="138" t="str">
        <f t="shared" si="5"/>
        <v/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149"/>
      <c r="B32" s="154"/>
      <c r="C32" s="155" t="str">
        <f t="shared" si="6"/>
        <v/>
      </c>
      <c r="D32" s="181" t="str">
        <f t="shared" si="0"/>
        <v/>
      </c>
      <c r="E32" s="182" t="str">
        <f t="shared" si="1"/>
        <v/>
      </c>
      <c r="F32" s="1" t="str">
        <f t="shared" si="2"/>
        <v/>
      </c>
      <c r="G32" s="206" t="str">
        <f t="shared" si="4"/>
        <v/>
      </c>
      <c r="H32" s="1" t="str">
        <f t="shared" si="3"/>
        <v/>
      </c>
      <c r="I32" s="206" t="str">
        <f t="shared" si="5"/>
        <v/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157"/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J101" s="3"/>
      <c r="K101" s="3"/>
      <c r="L101" s="3"/>
      <c r="M101" s="3"/>
      <c r="N101" s="3"/>
    </row>
    <row r="102" spans="1:26" x14ac:dyDescent="0.2">
      <c r="J102" s="3"/>
      <c r="K102" s="3"/>
      <c r="L102" s="3"/>
      <c r="M102" s="3"/>
      <c r="N102" s="3"/>
    </row>
  </sheetData>
  <mergeCells count="6">
    <mergeCell ref="H10:I10"/>
    <mergeCell ref="F4:H4"/>
    <mergeCell ref="C4:E4"/>
    <mergeCell ref="K4:L4"/>
    <mergeCell ref="F10:G10"/>
    <mergeCell ref="I4:J4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selection activeCell="K7" sqref="K7"/>
    </sheetView>
  </sheetViews>
  <sheetFormatPr defaultRowHeight="12.75" x14ac:dyDescent="0.2"/>
  <cols>
    <col min="1" max="1" width="14" customWidth="1"/>
    <col min="2" max="2" width="16.7109375" customWidth="1"/>
    <col min="3" max="4" width="8.7109375" customWidth="1"/>
    <col min="5" max="5" width="13.85546875" bestFit="1" customWidth="1"/>
    <col min="6" max="7" width="8.7109375" customWidth="1"/>
    <col min="8" max="8" width="5.7109375" customWidth="1"/>
    <col min="10" max="10" width="10.7109375" bestFit="1" customWidth="1"/>
    <col min="11" max="11" width="8.7109375" customWidth="1"/>
  </cols>
  <sheetData>
    <row r="1" spans="1:26" x14ac:dyDescent="0.2">
      <c r="A1" s="26" t="s">
        <v>165</v>
      </c>
      <c r="B1" s="27"/>
      <c r="C1" s="28"/>
      <c r="D1" s="28"/>
      <c r="E1" s="28"/>
      <c r="F1" s="28"/>
      <c r="G1" s="28"/>
      <c r="H1" s="28"/>
      <c r="I1" s="28"/>
      <c r="J1" s="28"/>
      <c r="K1" s="29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0" t="s">
        <v>5</v>
      </c>
      <c r="B2" s="31"/>
      <c r="C2" s="32"/>
      <c r="D2" s="32"/>
      <c r="E2" s="32"/>
      <c r="F2" s="32"/>
      <c r="G2" s="32"/>
      <c r="H2" s="32"/>
      <c r="I2" s="32"/>
      <c r="J2" s="32"/>
      <c r="K2" s="33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39" t="s">
        <v>113</v>
      </c>
      <c r="B4" s="78" t="s">
        <v>6</v>
      </c>
      <c r="C4" s="354" t="s">
        <v>21</v>
      </c>
      <c r="D4" s="379"/>
      <c r="E4" s="354" t="s">
        <v>137</v>
      </c>
      <c r="F4" s="380"/>
      <c r="G4" s="379"/>
      <c r="H4" s="3"/>
      <c r="I4" s="139" t="s">
        <v>167</v>
      </c>
      <c r="J4" s="166" t="s">
        <v>19</v>
      </c>
      <c r="K4" s="164">
        <f>$E$7*(1-EXP(-$F$7*($C$7-$G$7)))</f>
        <v>81.43565293864971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40"/>
      <c r="B5" s="79" t="s">
        <v>7</v>
      </c>
      <c r="C5" s="348" t="s">
        <v>50</v>
      </c>
      <c r="D5" s="348" t="s">
        <v>38</v>
      </c>
      <c r="E5" s="348" t="s">
        <v>40</v>
      </c>
      <c r="F5" s="348" t="s">
        <v>14</v>
      </c>
      <c r="G5" s="348" t="s">
        <v>39</v>
      </c>
      <c r="H5" s="3"/>
      <c r="I5" s="7" t="s">
        <v>168</v>
      </c>
      <c r="J5" s="145" t="s">
        <v>20</v>
      </c>
      <c r="K5" s="167">
        <f>-(D7-C7)*E7*F7*K6/LN(K4/(K4+E7*(EXP(F7*(D7-C7))-1)))</f>
        <v>78.129855825650964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6"/>
      <c r="B6" s="79" t="s">
        <v>110</v>
      </c>
      <c r="C6" s="342" t="s">
        <v>36</v>
      </c>
      <c r="D6" s="349" t="s">
        <v>36</v>
      </c>
      <c r="E6" s="342" t="s">
        <v>34</v>
      </c>
      <c r="F6" s="345" t="s">
        <v>33</v>
      </c>
      <c r="G6" s="343" t="s">
        <v>36</v>
      </c>
      <c r="H6" s="3"/>
      <c r="I6" s="89" t="s">
        <v>169</v>
      </c>
      <c r="J6" s="353" t="s">
        <v>46</v>
      </c>
      <c r="K6" s="168">
        <f>EXP(1.44-(0.982*LN($D$7)))</f>
        <v>0.26126619064485379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8"/>
      <c r="B7" s="80" t="s">
        <v>111</v>
      </c>
      <c r="C7" s="131">
        <v>0</v>
      </c>
      <c r="D7" s="163">
        <v>17</v>
      </c>
      <c r="E7" s="129">
        <v>372.685</v>
      </c>
      <c r="F7" s="141">
        <v>0.36291000000000001</v>
      </c>
      <c r="G7" s="142">
        <v>-0.67937999999999998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35" t="s">
        <v>119</v>
      </c>
      <c r="B9" s="136"/>
      <c r="C9" s="136"/>
      <c r="D9" s="136"/>
      <c r="E9" s="136"/>
      <c r="F9" s="13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65"/>
      <c r="B10" s="67"/>
      <c r="C10" s="114" t="s">
        <v>18</v>
      </c>
      <c r="D10" s="114" t="s">
        <v>138</v>
      </c>
      <c r="E10" s="356" t="s">
        <v>170</v>
      </c>
      <c r="F10" s="35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71" t="s">
        <v>0</v>
      </c>
      <c r="B11" s="73" t="s">
        <v>8</v>
      </c>
      <c r="C11" s="115" t="s">
        <v>36</v>
      </c>
      <c r="D11" s="115" t="s">
        <v>34</v>
      </c>
      <c r="E11" s="184" t="s">
        <v>154</v>
      </c>
      <c r="F11" s="185" t="s">
        <v>141</v>
      </c>
      <c r="G11" s="156"/>
      <c r="H11" s="15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86" t="s">
        <v>166</v>
      </c>
      <c r="B12" s="187" t="s">
        <v>182</v>
      </c>
      <c r="C12" s="188">
        <f>C7</f>
        <v>0</v>
      </c>
      <c r="D12" s="189">
        <f>IF($C12&lt;=$D$7,$E$7*(1-EXP(-$F$7*($C12-$G$7))),"")</f>
        <v>81.43565293864971</v>
      </c>
      <c r="E12" s="190">
        <f>IF($C12&lt;=$D$7,-LN(D12/(D12+$E$7*(EXP($F$7*(C13-C12))-1)))*($K$5/($E$7*$F$7)),"")</f>
        <v>0.63505737642815363</v>
      </c>
      <c r="F12" s="198">
        <f>IF($C12&lt;=$D$7,1-EXP(-E12),"")</f>
        <v>0.47009491661563141</v>
      </c>
      <c r="G12" s="156"/>
      <c r="H12" s="15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48"/>
      <c r="B13" s="152"/>
      <c r="C13" s="153">
        <f>IF(C12&lt;=$D$7,C12+1,"")</f>
        <v>1</v>
      </c>
      <c r="D13" s="183">
        <f t="shared" ref="D13:D32" si="0">IF($C13&lt;=$D$7,$E$7*(1-EXP(-$F$7*($C13-$G$7))),"")</f>
        <v>170.07767157963244</v>
      </c>
      <c r="E13" s="169">
        <f t="shared" ref="E13:E32" si="1">IF($C13&lt;=$D$7,-LN(D13/(D13+$E$7*(EXP($F$7*(C14-C13))-1)))*($K$5/($E$7*$F$7)),"")</f>
        <v>0.3883509415288583</v>
      </c>
      <c r="F13" s="199">
        <f t="shared" ref="F13:F32" si="2">IF($C13&lt;=$D$7,1-EXP(-E13),"")</f>
        <v>0.32182569802910654</v>
      </c>
      <c r="G13" s="156"/>
      <c r="H13" s="15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48"/>
      <c r="B14" s="152"/>
      <c r="C14" s="153">
        <f t="shared" ref="C14:C32" si="3">IF(C13&lt;=$D$7,C13+1,"")</f>
        <v>2</v>
      </c>
      <c r="D14" s="183">
        <f t="shared" si="0"/>
        <v>231.74140667070148</v>
      </c>
      <c r="E14" s="169">
        <f t="shared" si="1"/>
        <v>0.3077457645613848</v>
      </c>
      <c r="F14" s="199">
        <f t="shared" si="2"/>
        <v>0.26489781671983159</v>
      </c>
      <c r="G14" s="156"/>
      <c r="H14" s="15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48"/>
      <c r="B15" s="152"/>
      <c r="C15" s="153">
        <f t="shared" si="3"/>
        <v>3</v>
      </c>
      <c r="D15" s="183">
        <f t="shared" si="0"/>
        <v>274.63772473383199</v>
      </c>
      <c r="E15" s="169">
        <f t="shared" si="1"/>
        <v>0.26922525820749171</v>
      </c>
      <c r="F15" s="199">
        <f t="shared" si="2"/>
        <v>0.23602885450649502</v>
      </c>
      <c r="G15" s="156"/>
      <c r="H15" s="15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48"/>
      <c r="B16" s="152"/>
      <c r="C16" s="153">
        <f t="shared" si="3"/>
        <v>4</v>
      </c>
      <c r="D16" s="183">
        <f t="shared" si="0"/>
        <v>304.47850717517593</v>
      </c>
      <c r="E16" s="169">
        <f t="shared" si="1"/>
        <v>0.24773997504254994</v>
      </c>
      <c r="F16" s="199">
        <f t="shared" si="2"/>
        <v>0.21943711727740234</v>
      </c>
      <c r="G16" s="156"/>
      <c r="H16" s="15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48"/>
      <c r="B17" s="152"/>
      <c r="C17" s="153">
        <f t="shared" si="3"/>
        <v>5</v>
      </c>
      <c r="D17" s="183">
        <f t="shared" si="0"/>
        <v>325.23721880634935</v>
      </c>
      <c r="E17" s="169">
        <f t="shared" si="1"/>
        <v>0.23473613185478792</v>
      </c>
      <c r="F17" s="199">
        <f t="shared" si="2"/>
        <v>0.20922051638279293</v>
      </c>
      <c r="G17" s="156"/>
      <c r="H17" s="15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48"/>
      <c r="B18" s="152"/>
      <c r="C18" s="153">
        <f t="shared" si="3"/>
        <v>6</v>
      </c>
      <c r="D18" s="183">
        <f t="shared" si="0"/>
        <v>339.67799660543193</v>
      </c>
      <c r="E18" s="169">
        <f t="shared" si="1"/>
        <v>0.22647671134158134</v>
      </c>
      <c r="F18" s="199">
        <f t="shared" si="2"/>
        <v>0.20266208897297977</v>
      </c>
      <c r="G18" s="156"/>
      <c r="H18" s="15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48"/>
      <c r="B19" s="152"/>
      <c r="C19" s="153">
        <f t="shared" si="3"/>
        <v>7</v>
      </c>
      <c r="D19" s="183">
        <f t="shared" si="0"/>
        <v>349.72370980515279</v>
      </c>
      <c r="E19" s="169">
        <f t="shared" si="1"/>
        <v>0.22106973698225768</v>
      </c>
      <c r="F19" s="199">
        <f t="shared" si="2"/>
        <v>0.19833922706228613</v>
      </c>
      <c r="G19" s="196"/>
      <c r="H19" s="19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48"/>
      <c r="B20" s="152"/>
      <c r="C20" s="153">
        <f t="shared" si="3"/>
        <v>8</v>
      </c>
      <c r="D20" s="183">
        <f t="shared" si="0"/>
        <v>356.71200053956574</v>
      </c>
      <c r="E20" s="169">
        <f t="shared" si="1"/>
        <v>0.21745992544336162</v>
      </c>
      <c r="F20" s="199">
        <f t="shared" si="2"/>
        <v>0.19544015334706943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48"/>
      <c r="B21" s="152"/>
      <c r="C21" s="153">
        <f t="shared" si="3"/>
        <v>9</v>
      </c>
      <c r="D21" s="183">
        <f t="shared" si="0"/>
        <v>361.57339827387887</v>
      </c>
      <c r="E21" s="169">
        <f t="shared" si="1"/>
        <v>0.21501830320515092</v>
      </c>
      <c r="F21" s="199">
        <f t="shared" si="2"/>
        <v>0.19347332198101763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48"/>
      <c r="B22" s="152"/>
      <c r="C22" s="153">
        <f t="shared" si="3"/>
        <v>10</v>
      </c>
      <c r="D22" s="183">
        <f t="shared" si="0"/>
        <v>364.95522493641397</v>
      </c>
      <c r="E22" s="169">
        <f t="shared" si="1"/>
        <v>0.21335224155536409</v>
      </c>
      <c r="F22" s="199">
        <f t="shared" si="2"/>
        <v>0.1921284788285198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48"/>
      <c r="B23" s="152"/>
      <c r="C23" s="153">
        <f t="shared" si="3"/>
        <v>11</v>
      </c>
      <c r="D23" s="183">
        <f t="shared" si="0"/>
        <v>367.30778940459339</v>
      </c>
      <c r="E23" s="169">
        <f t="shared" si="1"/>
        <v>0.2122085632977917</v>
      </c>
      <c r="F23" s="199">
        <f t="shared" si="2"/>
        <v>0.19120400518540903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148"/>
      <c r="B24" s="152"/>
      <c r="C24" s="153">
        <f t="shared" si="3"/>
        <v>12</v>
      </c>
      <c r="D24" s="183">
        <f t="shared" si="0"/>
        <v>368.94434861629225</v>
      </c>
      <c r="E24" s="169">
        <f t="shared" si="1"/>
        <v>0.21142024962267716</v>
      </c>
      <c r="F24" s="199">
        <f t="shared" si="2"/>
        <v>0.19056616886780431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148"/>
      <c r="B25" s="152"/>
      <c r="C25" s="153">
        <f t="shared" si="3"/>
        <v>13</v>
      </c>
      <c r="D25" s="183">
        <f t="shared" si="0"/>
        <v>370.08281945933311</v>
      </c>
      <c r="E25" s="169">
        <f t="shared" si="1"/>
        <v>0.21087534355241985</v>
      </c>
      <c r="F25" s="199">
        <f t="shared" si="2"/>
        <v>0.19012498326830962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48"/>
      <c r="B26" s="152"/>
      <c r="C26" s="153">
        <f t="shared" si="3"/>
        <v>14</v>
      </c>
      <c r="D26" s="183">
        <f t="shared" si="0"/>
        <v>370.87479560733254</v>
      </c>
      <c r="E26" s="169">
        <f t="shared" si="1"/>
        <v>0.21049795208000543</v>
      </c>
      <c r="F26" s="199">
        <f t="shared" si="2"/>
        <v>0.18981928566306716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148"/>
      <c r="B27" s="152"/>
      <c r="C27" s="153">
        <f t="shared" si="3"/>
        <v>15</v>
      </c>
      <c r="D27" s="183">
        <f t="shared" si="0"/>
        <v>371.42573305367478</v>
      </c>
      <c r="E27" s="169">
        <f t="shared" si="1"/>
        <v>0.21023622451835555</v>
      </c>
      <c r="F27" s="199">
        <f t="shared" si="2"/>
        <v>0.18960721128856417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148"/>
      <c r="B28" s="152"/>
      <c r="C28" s="153">
        <f t="shared" si="3"/>
        <v>16</v>
      </c>
      <c r="D28" s="183">
        <f t="shared" si="0"/>
        <v>371.80899215882437</v>
      </c>
      <c r="E28" s="169">
        <f t="shared" si="1"/>
        <v>0.21005454174032295</v>
      </c>
      <c r="F28" s="199">
        <f t="shared" si="2"/>
        <v>0.18945996349962479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48"/>
      <c r="B29" s="152"/>
      <c r="C29" s="153">
        <f t="shared" si="3"/>
        <v>17</v>
      </c>
      <c r="D29" s="183">
        <f>IF($C29&lt;=$D$7,$E$7*(1-EXP(-$F$7*($C29-$G$7))),"")</f>
        <v>372.07560598704617</v>
      </c>
      <c r="E29" s="169">
        <f t="shared" si="1"/>
        <v>0.20992834141379577</v>
      </c>
      <c r="F29" s="199">
        <f t="shared" si="2"/>
        <v>0.1893576666275415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148"/>
      <c r="B30" s="152"/>
      <c r="C30" s="153">
        <f t="shared" si="3"/>
        <v>18</v>
      </c>
      <c r="D30" s="183" t="str">
        <f t="shared" si="0"/>
        <v/>
      </c>
      <c r="E30" s="169" t="str">
        <f t="shared" si="1"/>
        <v/>
      </c>
      <c r="F30" s="199" t="str">
        <f t="shared" si="2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148"/>
      <c r="B31" s="152"/>
      <c r="C31" s="153" t="str">
        <f t="shared" si="3"/>
        <v/>
      </c>
      <c r="D31" s="183" t="str">
        <f t="shared" si="0"/>
        <v/>
      </c>
      <c r="E31" s="169" t="str">
        <f t="shared" si="1"/>
        <v/>
      </c>
      <c r="F31" s="199" t="str">
        <f t="shared" si="2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149"/>
      <c r="B32" s="154"/>
      <c r="C32" s="155" t="str">
        <f t="shared" si="3"/>
        <v/>
      </c>
      <c r="D32" s="191" t="str">
        <f t="shared" si="0"/>
        <v/>
      </c>
      <c r="E32" s="192" t="str">
        <f t="shared" si="1"/>
        <v/>
      </c>
      <c r="F32" s="200" t="str">
        <f t="shared" si="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3">
    <mergeCell ref="C4:D4"/>
    <mergeCell ref="E4:G4"/>
    <mergeCell ref="E10:F10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selection activeCell="G26" sqref="G26"/>
    </sheetView>
  </sheetViews>
  <sheetFormatPr defaultRowHeight="12.75" x14ac:dyDescent="0.2"/>
  <cols>
    <col min="1" max="1" width="20.85546875" customWidth="1"/>
    <col min="2" max="2" width="48.7109375" bestFit="1" customWidth="1"/>
    <col min="3" max="4" width="8.7109375" customWidth="1"/>
    <col min="5" max="5" width="13.85546875" bestFit="1" customWidth="1"/>
    <col min="6" max="6" width="8.7109375" customWidth="1"/>
  </cols>
  <sheetData>
    <row r="1" spans="1:26" x14ac:dyDescent="0.2">
      <c r="A1" s="26" t="s">
        <v>188</v>
      </c>
      <c r="B1" s="27"/>
      <c r="C1" s="28"/>
      <c r="D1" s="28"/>
      <c r="E1" s="28"/>
      <c r="F1" s="28"/>
      <c r="G1" s="29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0" t="s">
        <v>5</v>
      </c>
      <c r="B2" s="31"/>
      <c r="C2" s="32"/>
      <c r="D2" s="32"/>
      <c r="E2" s="32"/>
      <c r="F2" s="32"/>
      <c r="G2" s="3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39" t="s">
        <v>113</v>
      </c>
      <c r="B4" s="78" t="s">
        <v>6</v>
      </c>
      <c r="C4" s="354" t="s">
        <v>21</v>
      </c>
      <c r="D4" s="379"/>
      <c r="E4" s="354" t="s">
        <v>137</v>
      </c>
      <c r="F4" s="380"/>
      <c r="G4" s="37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40"/>
      <c r="B5" s="79" t="s">
        <v>7</v>
      </c>
      <c r="C5" s="348" t="s">
        <v>50</v>
      </c>
      <c r="D5" s="348" t="s">
        <v>38</v>
      </c>
      <c r="E5" s="348" t="s">
        <v>40</v>
      </c>
      <c r="F5" s="348" t="s">
        <v>14</v>
      </c>
      <c r="G5" s="348" t="s">
        <v>39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6"/>
      <c r="B6" s="79" t="s">
        <v>110</v>
      </c>
      <c r="C6" s="342" t="s">
        <v>36</v>
      </c>
      <c r="D6" s="349" t="s">
        <v>36</v>
      </c>
      <c r="E6" s="342" t="s">
        <v>34</v>
      </c>
      <c r="F6" s="345" t="s">
        <v>33</v>
      </c>
      <c r="G6" s="343" t="s">
        <v>36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8"/>
      <c r="B7" s="80" t="s">
        <v>111</v>
      </c>
      <c r="C7" s="131">
        <v>0</v>
      </c>
      <c r="D7" s="163">
        <v>17</v>
      </c>
      <c r="E7" s="129">
        <v>372.685</v>
      </c>
      <c r="F7" s="141">
        <v>0.36291000000000001</v>
      </c>
      <c r="G7" s="142">
        <v>-0.67937999999999998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35" t="s">
        <v>119</v>
      </c>
      <c r="B9" s="136"/>
      <c r="C9" s="136"/>
      <c r="D9" s="136"/>
      <c r="E9" s="136"/>
      <c r="F9" s="13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65"/>
      <c r="B10" s="67"/>
      <c r="C10" s="114" t="s">
        <v>18</v>
      </c>
      <c r="D10" s="114" t="s">
        <v>138</v>
      </c>
      <c r="E10" s="356" t="s">
        <v>170</v>
      </c>
      <c r="F10" s="35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71" t="s">
        <v>0</v>
      </c>
      <c r="B11" s="73" t="s">
        <v>8</v>
      </c>
      <c r="C11" s="115" t="s">
        <v>36</v>
      </c>
      <c r="D11" s="115" t="s">
        <v>34</v>
      </c>
      <c r="E11" s="184" t="s">
        <v>154</v>
      </c>
      <c r="F11" s="185" t="s">
        <v>141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86" t="s">
        <v>189</v>
      </c>
      <c r="B12" s="202" t="s">
        <v>191</v>
      </c>
      <c r="C12" s="188">
        <f>C7</f>
        <v>0</v>
      </c>
      <c r="D12" s="189">
        <f>IF($C12&lt;=$D$7,$E$7*(1-EXP(-$F$7*($C12-$G$7))),"")</f>
        <v>81.43565293864971</v>
      </c>
      <c r="E12" s="203">
        <f>IF($C12&lt;=$D$7,EXP(0.55-(1.61*LN($D12/10))+(1.44*LN($E$7/10))+LN($F$7)),"")</f>
        <v>3.9353356277954705</v>
      </c>
      <c r="F12" s="198">
        <f t="shared" ref="F12:F32" si="0">IF($C12&lt;=$D$7,1-EXP(-E12),"")</f>
        <v>0.980460859651752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48"/>
      <c r="B13" s="152"/>
      <c r="C13" s="153">
        <f>IF(C12&lt;$D$7,C12+1,"")</f>
        <v>1</v>
      </c>
      <c r="D13" s="183">
        <f t="shared" ref="D13:D32" si="1">IF($C13&lt;=$D$7,$E$7*(1-EXP(-$F$7*($C13-$G$7))),"")</f>
        <v>170.07767157963244</v>
      </c>
      <c r="E13" s="204">
        <f t="shared" ref="E13:E32" si="2">IF($C13&lt;=$D$7,EXP(0.55-(1.61*LN($D13/10))+(1.44*LN($E$7/10))+LN($F$7)),"")</f>
        <v>1.2024059044185782</v>
      </c>
      <c r="F13" s="199">
        <f t="shared" si="0"/>
        <v>0.69952956155906865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48"/>
      <c r="B14" s="152"/>
      <c r="C14" s="153">
        <f t="shared" ref="C14:C32" si="3">IF(C13&lt;$D$7,C13+1,"")</f>
        <v>2</v>
      </c>
      <c r="D14" s="183">
        <f t="shared" si="1"/>
        <v>231.74140667070148</v>
      </c>
      <c r="E14" s="204">
        <f t="shared" si="2"/>
        <v>0.73069712279096954</v>
      </c>
      <c r="F14" s="199">
        <f t="shared" si="0"/>
        <v>0.51842684257805838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48"/>
      <c r="B15" s="152"/>
      <c r="C15" s="153">
        <f t="shared" si="3"/>
        <v>3</v>
      </c>
      <c r="D15" s="183">
        <f t="shared" si="1"/>
        <v>274.63772473383199</v>
      </c>
      <c r="E15" s="204">
        <f t="shared" si="2"/>
        <v>0.55589061995392264</v>
      </c>
      <c r="F15" s="199">
        <f t="shared" si="0"/>
        <v>0.42643879140377661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48"/>
      <c r="B16" s="152"/>
      <c r="C16" s="153">
        <f t="shared" si="3"/>
        <v>4</v>
      </c>
      <c r="D16" s="183">
        <f t="shared" si="1"/>
        <v>304.47850717517593</v>
      </c>
      <c r="E16" s="204">
        <f t="shared" si="2"/>
        <v>0.47083318254012568</v>
      </c>
      <c r="F16" s="199">
        <f t="shared" si="0"/>
        <v>0.37551825581886267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48"/>
      <c r="B17" s="152"/>
      <c r="C17" s="153">
        <f t="shared" si="3"/>
        <v>5</v>
      </c>
      <c r="D17" s="183">
        <f t="shared" si="1"/>
        <v>325.23721880634935</v>
      </c>
      <c r="E17" s="204">
        <f t="shared" si="2"/>
        <v>0.42340001740222305</v>
      </c>
      <c r="F17" s="199">
        <f t="shared" si="0"/>
        <v>0.34518335733739991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48"/>
      <c r="B18" s="152"/>
      <c r="C18" s="153">
        <f t="shared" si="3"/>
        <v>6</v>
      </c>
      <c r="D18" s="183">
        <f t="shared" si="1"/>
        <v>339.67799660543193</v>
      </c>
      <c r="E18" s="204">
        <f t="shared" si="2"/>
        <v>0.3947977936749999</v>
      </c>
      <c r="F18" s="199">
        <f t="shared" si="0"/>
        <v>0.32618372461272971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48"/>
      <c r="B19" s="152"/>
      <c r="C19" s="153">
        <f t="shared" si="3"/>
        <v>7</v>
      </c>
      <c r="D19" s="183">
        <f t="shared" si="1"/>
        <v>349.72370980515279</v>
      </c>
      <c r="E19" s="204">
        <f t="shared" si="2"/>
        <v>0.37670022735492498</v>
      </c>
      <c r="F19" s="199">
        <f t="shared" si="0"/>
        <v>0.31387827640567156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48"/>
      <c r="B20" s="152"/>
      <c r="C20" s="153">
        <f t="shared" si="3"/>
        <v>8</v>
      </c>
      <c r="D20" s="183">
        <f t="shared" si="1"/>
        <v>356.71200053956574</v>
      </c>
      <c r="E20" s="204">
        <f t="shared" si="2"/>
        <v>0.36488980240069119</v>
      </c>
      <c r="F20" s="199">
        <f t="shared" si="0"/>
        <v>0.30572684610249912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48"/>
      <c r="B21" s="152"/>
      <c r="C21" s="153">
        <f t="shared" si="3"/>
        <v>9</v>
      </c>
      <c r="D21" s="183">
        <f t="shared" si="1"/>
        <v>361.57339827387887</v>
      </c>
      <c r="E21" s="204">
        <f t="shared" si="2"/>
        <v>0.35702361034893321</v>
      </c>
      <c r="F21" s="199">
        <f t="shared" si="0"/>
        <v>0.30024402394319227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48"/>
      <c r="B22" s="152"/>
      <c r="C22" s="153">
        <f t="shared" si="3"/>
        <v>10</v>
      </c>
      <c r="D22" s="183">
        <f t="shared" si="1"/>
        <v>364.95522493641397</v>
      </c>
      <c r="E22" s="204">
        <f t="shared" si="2"/>
        <v>0.35171227260752824</v>
      </c>
      <c r="F22" s="199">
        <f t="shared" si="0"/>
        <v>0.29651749595394916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48"/>
      <c r="B23" s="152"/>
      <c r="C23" s="153">
        <f t="shared" si="3"/>
        <v>11</v>
      </c>
      <c r="D23" s="183">
        <f t="shared" si="1"/>
        <v>367.30778940459339</v>
      </c>
      <c r="E23" s="204">
        <f t="shared" si="2"/>
        <v>0.34809255354685104</v>
      </c>
      <c r="F23" s="199">
        <f t="shared" si="0"/>
        <v>0.29396647271685239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148"/>
      <c r="B24" s="152"/>
      <c r="C24" s="153">
        <f t="shared" si="3"/>
        <v>12</v>
      </c>
      <c r="D24" s="183">
        <f t="shared" si="1"/>
        <v>368.94434861629225</v>
      </c>
      <c r="E24" s="204">
        <f t="shared" si="2"/>
        <v>0.34560997402807325</v>
      </c>
      <c r="F24" s="199">
        <f t="shared" si="0"/>
        <v>0.29221151082757613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148"/>
      <c r="B25" s="152"/>
      <c r="C25" s="153">
        <f t="shared" si="3"/>
        <v>13</v>
      </c>
      <c r="D25" s="183">
        <f t="shared" si="1"/>
        <v>370.08281945933311</v>
      </c>
      <c r="E25" s="204">
        <f t="shared" si="2"/>
        <v>0.34389985123083944</v>
      </c>
      <c r="F25" s="199">
        <f t="shared" si="0"/>
        <v>0.29100007003560491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48"/>
      <c r="B26" s="152"/>
      <c r="C26" s="153">
        <f t="shared" si="3"/>
        <v>14</v>
      </c>
      <c r="D26" s="183">
        <f t="shared" si="1"/>
        <v>370.87479560733254</v>
      </c>
      <c r="E26" s="204">
        <f t="shared" si="2"/>
        <v>0.34271828079202604</v>
      </c>
      <c r="F26" s="199">
        <f t="shared" si="0"/>
        <v>0.29016184156176694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148"/>
      <c r="B27" s="152"/>
      <c r="C27" s="153">
        <f t="shared" si="3"/>
        <v>15</v>
      </c>
      <c r="D27" s="183">
        <f t="shared" si="1"/>
        <v>371.42573305367478</v>
      </c>
      <c r="E27" s="204">
        <f t="shared" si="2"/>
        <v>0.3419001986952428</v>
      </c>
      <c r="F27" s="199">
        <f t="shared" si="0"/>
        <v>0.28958089807540244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148"/>
      <c r="B28" s="152"/>
      <c r="C28" s="153">
        <f t="shared" si="3"/>
        <v>16</v>
      </c>
      <c r="D28" s="183">
        <f t="shared" si="1"/>
        <v>371.80899215882437</v>
      </c>
      <c r="E28" s="204">
        <f t="shared" si="2"/>
        <v>0.341332966016758</v>
      </c>
      <c r="F28" s="199">
        <f t="shared" si="0"/>
        <v>0.28917781083405103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48"/>
      <c r="B29" s="152"/>
      <c r="C29" s="153">
        <f t="shared" si="3"/>
        <v>17</v>
      </c>
      <c r="D29" s="183">
        <f t="shared" si="1"/>
        <v>372.07560598704617</v>
      </c>
      <c r="E29" s="204">
        <f t="shared" si="2"/>
        <v>0.34093927033679472</v>
      </c>
      <c r="F29" s="199">
        <f t="shared" si="0"/>
        <v>0.28889790811432392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148"/>
      <c r="B30" s="152"/>
      <c r="C30" s="153" t="str">
        <f t="shared" si="3"/>
        <v/>
      </c>
      <c r="D30" s="183" t="str">
        <f>IF($C30&lt;=$D$7,$E$7*(1-EXP(-$F$7*($C30-$G$7))),"")</f>
        <v/>
      </c>
      <c r="E30" s="204" t="str">
        <f t="shared" si="2"/>
        <v/>
      </c>
      <c r="F30" s="199" t="str">
        <f t="shared" si="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148"/>
      <c r="B31" s="152"/>
      <c r="C31" s="153" t="str">
        <f t="shared" si="3"/>
        <v/>
      </c>
      <c r="D31" s="183" t="str">
        <f t="shared" si="1"/>
        <v/>
      </c>
      <c r="E31" s="204" t="str">
        <f t="shared" si="2"/>
        <v/>
      </c>
      <c r="F31" s="199" t="str">
        <f t="shared" si="0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149"/>
      <c r="B32" s="154"/>
      <c r="C32" s="155" t="str">
        <f t="shared" si="3"/>
        <v/>
      </c>
      <c r="D32" s="191" t="str">
        <f t="shared" si="1"/>
        <v/>
      </c>
      <c r="E32" s="205" t="str">
        <f t="shared" si="2"/>
        <v/>
      </c>
      <c r="F32" s="200" t="str">
        <f t="shared" si="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3">
    <mergeCell ref="E10:F10"/>
    <mergeCell ref="C4:D4"/>
    <mergeCell ref="E4:G4"/>
  </mergeCells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workbookViewId="0">
      <pane ySplit="2" topLeftCell="A3" activePane="bottomLeft" state="frozen"/>
      <selection pane="bottomLeft" activeCell="A12" sqref="A12"/>
    </sheetView>
  </sheetViews>
  <sheetFormatPr defaultRowHeight="12.75" x14ac:dyDescent="0.2"/>
  <cols>
    <col min="1" max="1" width="10.85546875" bestFit="1" customWidth="1"/>
    <col min="2" max="2" width="64" customWidth="1"/>
    <col min="3" max="3" width="18.85546875" bestFit="1" customWidth="1"/>
  </cols>
  <sheetData>
    <row r="1" spans="1:26" x14ac:dyDescent="0.2">
      <c r="A1" s="42" t="s">
        <v>155</v>
      </c>
      <c r="B1" s="43"/>
      <c r="C1" s="4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62" t="s">
        <v>7</v>
      </c>
      <c r="B2" s="63" t="s">
        <v>29</v>
      </c>
      <c r="C2" s="64" t="s">
        <v>37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83" t="s">
        <v>41</v>
      </c>
      <c r="B3" s="53" t="s">
        <v>24</v>
      </c>
      <c r="C3" s="84" t="s">
        <v>36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85" t="s">
        <v>15</v>
      </c>
      <c r="B4" s="56" t="s">
        <v>48</v>
      </c>
      <c r="C4" s="8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85" t="s">
        <v>17</v>
      </c>
      <c r="B5" s="56" t="s">
        <v>49</v>
      </c>
      <c r="C5" s="8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85" t="s">
        <v>16</v>
      </c>
      <c r="B6" s="56" t="s">
        <v>47</v>
      </c>
      <c r="C6" s="8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85" t="s">
        <v>25</v>
      </c>
      <c r="B7" s="56" t="s">
        <v>131</v>
      </c>
      <c r="C7" s="8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85" t="s">
        <v>14</v>
      </c>
      <c r="B8" s="56" t="s">
        <v>27</v>
      </c>
      <c r="C8" s="86" t="s">
        <v>33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85" t="s">
        <v>40</v>
      </c>
      <c r="B9" s="56" t="s">
        <v>26</v>
      </c>
      <c r="C9" s="86" t="s">
        <v>34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8.25" x14ac:dyDescent="0.2">
      <c r="A10" s="85" t="s">
        <v>46</v>
      </c>
      <c r="B10" s="56" t="s">
        <v>180</v>
      </c>
      <c r="C10" s="8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85" t="s">
        <v>31</v>
      </c>
      <c r="B11" s="56" t="s">
        <v>32</v>
      </c>
      <c r="C11" s="8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85" t="s">
        <v>43</v>
      </c>
      <c r="B12" s="56" t="s">
        <v>44</v>
      </c>
      <c r="C12" s="8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85" t="s">
        <v>39</v>
      </c>
      <c r="B13" s="56" t="s">
        <v>23</v>
      </c>
      <c r="C13" s="86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85" t="s">
        <v>38</v>
      </c>
      <c r="B14" s="56" t="s">
        <v>22</v>
      </c>
      <c r="C14" s="86" t="s">
        <v>36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85" t="s">
        <v>50</v>
      </c>
      <c r="B15" s="56" t="s">
        <v>51</v>
      </c>
      <c r="C15" s="86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87" t="s">
        <v>114</v>
      </c>
      <c r="B16" s="61" t="s">
        <v>28</v>
      </c>
      <c r="C16" s="88" t="s">
        <v>35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pane ySplit="2" topLeftCell="A3" activePane="bottomLeft" state="frozen"/>
      <selection pane="bottomLeft" activeCell="D26" sqref="D26"/>
    </sheetView>
  </sheetViews>
  <sheetFormatPr defaultRowHeight="12.75" x14ac:dyDescent="0.2"/>
  <cols>
    <col min="1" max="1" width="23.28515625" customWidth="1"/>
    <col min="2" max="2" width="6.7109375" customWidth="1"/>
    <col min="3" max="3" width="53.42578125" bestFit="1" customWidth="1"/>
    <col min="4" max="4" width="40.42578125" bestFit="1" customWidth="1"/>
    <col min="5" max="5" width="17.5703125" bestFit="1" customWidth="1"/>
    <col min="6" max="6" width="77.42578125" customWidth="1"/>
  </cols>
  <sheetData>
    <row r="1" spans="1:26" x14ac:dyDescent="0.2">
      <c r="A1" s="42" t="s">
        <v>96</v>
      </c>
      <c r="B1" s="43"/>
      <c r="C1" s="43"/>
      <c r="D1" s="43"/>
      <c r="E1" s="43"/>
      <c r="F1" s="4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89" t="s">
        <v>91</v>
      </c>
      <c r="B2" s="90" t="s">
        <v>92</v>
      </c>
      <c r="C2" s="73" t="s">
        <v>93</v>
      </c>
      <c r="D2" s="73" t="s">
        <v>94</v>
      </c>
      <c r="E2" s="91" t="s">
        <v>95</v>
      </c>
      <c r="F2" s="64" t="s">
        <v>144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5.5" x14ac:dyDescent="0.2">
      <c r="A3" s="51" t="s">
        <v>52</v>
      </c>
      <c r="B3" s="52">
        <v>1984</v>
      </c>
      <c r="C3" s="53" t="s">
        <v>69</v>
      </c>
      <c r="D3" s="53" t="s">
        <v>77</v>
      </c>
      <c r="E3" s="53" t="s">
        <v>87</v>
      </c>
      <c r="F3" s="8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x14ac:dyDescent="0.2">
      <c r="A4" s="54" t="s">
        <v>53</v>
      </c>
      <c r="B4" s="55">
        <v>1975</v>
      </c>
      <c r="C4" s="56" t="s">
        <v>70</v>
      </c>
      <c r="D4" s="57" t="s">
        <v>89</v>
      </c>
      <c r="E4" s="56" t="s">
        <v>78</v>
      </c>
      <c r="F4" s="8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5.5" x14ac:dyDescent="0.2">
      <c r="A5" s="54" t="s">
        <v>183</v>
      </c>
      <c r="B5" s="55">
        <v>2010</v>
      </c>
      <c r="C5" s="56" t="s">
        <v>184</v>
      </c>
      <c r="D5" s="201" t="s">
        <v>185</v>
      </c>
      <c r="E5" s="56" t="s">
        <v>186</v>
      </c>
      <c r="F5" s="8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5.5" x14ac:dyDescent="0.2">
      <c r="A6" s="54" t="s">
        <v>65</v>
      </c>
      <c r="B6" s="55">
        <v>1980</v>
      </c>
      <c r="C6" s="56" t="s">
        <v>134</v>
      </c>
      <c r="D6" s="56" t="s">
        <v>80</v>
      </c>
      <c r="E6" s="56" t="s">
        <v>135</v>
      </c>
      <c r="F6" s="8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x14ac:dyDescent="0.2">
      <c r="A7" s="54" t="s">
        <v>65</v>
      </c>
      <c r="B7" s="55">
        <v>1997</v>
      </c>
      <c r="C7" s="56" t="s">
        <v>68</v>
      </c>
      <c r="D7" s="56" t="s">
        <v>80</v>
      </c>
      <c r="E7" s="56" t="s">
        <v>82</v>
      </c>
      <c r="F7" s="8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x14ac:dyDescent="0.2">
      <c r="A8" s="54" t="s">
        <v>66</v>
      </c>
      <c r="B8" s="55">
        <v>1988</v>
      </c>
      <c r="C8" s="56" t="s">
        <v>74</v>
      </c>
      <c r="D8" s="57" t="s">
        <v>89</v>
      </c>
      <c r="E8" s="56" t="s">
        <v>90</v>
      </c>
      <c r="F8" s="8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x14ac:dyDescent="0.2">
      <c r="A9" s="54" t="s">
        <v>57</v>
      </c>
      <c r="B9" s="55">
        <v>2005</v>
      </c>
      <c r="C9" s="56" t="s">
        <v>58</v>
      </c>
      <c r="D9" s="56" t="s">
        <v>59</v>
      </c>
      <c r="E9" s="56" t="s">
        <v>88</v>
      </c>
      <c r="F9" s="207" t="s">
        <v>194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54" t="s">
        <v>55</v>
      </c>
      <c r="B10" s="55">
        <v>1983</v>
      </c>
      <c r="C10" s="56" t="s">
        <v>72</v>
      </c>
      <c r="D10" s="56" t="s">
        <v>59</v>
      </c>
      <c r="E10" s="56" t="s">
        <v>86</v>
      </c>
      <c r="F10" s="207" t="s">
        <v>195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x14ac:dyDescent="0.2">
      <c r="A11" s="54" t="s">
        <v>54</v>
      </c>
      <c r="B11" s="55">
        <v>1996</v>
      </c>
      <c r="C11" s="56" t="s">
        <v>71</v>
      </c>
      <c r="D11" s="56" t="s">
        <v>80</v>
      </c>
      <c r="E11" s="56" t="s">
        <v>79</v>
      </c>
      <c r="F11" s="8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8.25" x14ac:dyDescent="0.2">
      <c r="A12" s="54" t="s">
        <v>97</v>
      </c>
      <c r="B12" s="55">
        <v>1996</v>
      </c>
      <c r="C12" s="56" t="s">
        <v>101</v>
      </c>
      <c r="D12" s="56" t="s">
        <v>102</v>
      </c>
      <c r="E12" s="56" t="s">
        <v>103</v>
      </c>
      <c r="F12" s="8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5.5" x14ac:dyDescent="0.2">
      <c r="A13" s="54" t="s">
        <v>97</v>
      </c>
      <c r="B13" s="55">
        <v>2000</v>
      </c>
      <c r="C13" s="56" t="s">
        <v>98</v>
      </c>
      <c r="D13" s="56" t="s">
        <v>80</v>
      </c>
      <c r="E13" s="56" t="s">
        <v>100</v>
      </c>
      <c r="F13" s="8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8.25" x14ac:dyDescent="0.2">
      <c r="A14" s="54" t="s">
        <v>97</v>
      </c>
      <c r="B14" s="55">
        <v>2005</v>
      </c>
      <c r="C14" s="56" t="s">
        <v>99</v>
      </c>
      <c r="D14" s="56" t="s">
        <v>104</v>
      </c>
      <c r="E14" s="56" t="s">
        <v>105</v>
      </c>
      <c r="F14" s="8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8.25" x14ac:dyDescent="0.2">
      <c r="A15" s="54" t="s">
        <v>56</v>
      </c>
      <c r="B15" s="55">
        <v>1980</v>
      </c>
      <c r="C15" s="56" t="s">
        <v>73</v>
      </c>
      <c r="D15" s="57" t="s">
        <v>89</v>
      </c>
      <c r="E15" s="56" t="s">
        <v>81</v>
      </c>
      <c r="F15" s="8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5.5" x14ac:dyDescent="0.2">
      <c r="A16" s="54" t="s">
        <v>60</v>
      </c>
      <c r="B16" s="55">
        <v>1999</v>
      </c>
      <c r="C16" s="56" t="s">
        <v>61</v>
      </c>
      <c r="D16" s="56" t="s">
        <v>62</v>
      </c>
      <c r="E16" s="56" t="s">
        <v>63</v>
      </c>
      <c r="F16" s="208" t="s">
        <v>193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51" x14ac:dyDescent="0.2">
      <c r="A17" s="54" t="s">
        <v>64</v>
      </c>
      <c r="B17" s="55">
        <v>1987</v>
      </c>
      <c r="C17" s="56" t="s">
        <v>76</v>
      </c>
      <c r="D17" s="56" t="s">
        <v>106</v>
      </c>
      <c r="E17" s="56" t="s">
        <v>83</v>
      </c>
      <c r="F17" s="207" t="s">
        <v>143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x14ac:dyDescent="0.2">
      <c r="A18" s="58" t="s">
        <v>67</v>
      </c>
      <c r="B18" s="59">
        <v>1976</v>
      </c>
      <c r="C18" s="60" t="s">
        <v>75</v>
      </c>
      <c r="D18" s="61" t="s">
        <v>85</v>
      </c>
      <c r="E18" s="95" t="s">
        <v>84</v>
      </c>
      <c r="F18" s="8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8.25" x14ac:dyDescent="0.2">
      <c r="A19" s="301" t="s">
        <v>222</v>
      </c>
      <c r="B19" s="334" t="s">
        <v>229</v>
      </c>
      <c r="C19" s="60" t="s">
        <v>220</v>
      </c>
      <c r="D19" s="60" t="s">
        <v>221</v>
      </c>
      <c r="E19" s="302" t="s">
        <v>224</v>
      </c>
      <c r="F19" s="303" t="s">
        <v>223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</sheetData>
  <phoneticPr fontId="1" type="noConversion"/>
  <hyperlinks>
    <hyperlink ref="F17" r:id="rId1"/>
    <hyperlink ref="F9" r:id="rId2"/>
    <hyperlink ref="F10" r:id="rId3"/>
    <hyperlink ref="F19" r:id="rId4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age-constant</vt:lpstr>
      <vt:lpstr>age-constant updated</vt:lpstr>
      <vt:lpstr>age-varying_L1996</vt:lpstr>
      <vt:lpstr>age-varying_L2005</vt:lpstr>
      <vt:lpstr>age-varying_G2010</vt:lpstr>
      <vt:lpstr>parameters</vt:lpstr>
      <vt:lpstr>references</vt:lpstr>
    </vt:vector>
  </TitlesOfParts>
  <Company>VMRC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Estimators of Age-Constant Natural Mortality</dc:title>
  <dc:creator>LLee / KDrew</dc:creator>
  <cp:lastModifiedBy>Kristen Anstead</cp:lastModifiedBy>
  <dcterms:created xsi:type="dcterms:W3CDTF">2010-03-18T18:17:15Z</dcterms:created>
  <dcterms:modified xsi:type="dcterms:W3CDTF">2020-01-23T17:08:26Z</dcterms:modified>
  <cp:category>Model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llee</vt:lpwstr>
  </property>
  <property fmtid="{D5CDD505-2E9C-101B-9397-08002B2CF9AE}" pid="3" name="Editor">
    <vt:lpwstr>KDrew</vt:lpwstr>
  </property>
</Properties>
</file>