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a\Downloads\Projekat_Faza1_ver1 (2)\Projekat_Faza1_ver1\"/>
    </mc:Choice>
  </mc:AlternateContent>
  <xr:revisionPtr revIDLastSave="0" documentId="13_ncr:1_{E8D90FF4-D93E-4E04-B574-B58DADE81E7F}" xr6:coauthVersionLast="44" xr6:coauthVersionMax="45" xr10:uidLastSave="{00000000-0000-0000-0000-000000000000}"/>
  <bookViews>
    <workbookView xWindow="2304" yWindow="2304" windowWidth="17280" windowHeight="8964" tabRatio="525" firstSheet="1" activeTab="1" xr2:uid="{00000000-000D-0000-FFFF-FFFF00000000}"/>
  </bookViews>
  <sheets>
    <sheet name="Detaljno budzet-ETF" sheetId="1" r:id="rId1"/>
    <sheet name="Detaljno budzet -CISCO" sheetId="6" r:id="rId2"/>
    <sheet name="Travel - budzet" sheetId="2" r:id="rId3"/>
    <sheet name="Equipment - budzet" sheetId="3" r:id="rId4"/>
    <sheet name="Subcontracting - budzet" sheetId="4" r:id="rId5"/>
  </sheets>
  <definedNames>
    <definedName name="_xlnm._FilterDatabase" localSheetId="2" hidden="1">'Travel - budzet'!$B$4:$P$40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15" i="6" l="1"/>
  <c r="R16" i="6"/>
  <c r="R17" i="6"/>
  <c r="R18" i="6"/>
  <c r="R19" i="6"/>
  <c r="R20" i="6"/>
  <c r="R21" i="6"/>
  <c r="N15" i="6"/>
  <c r="N16" i="6"/>
  <c r="N17" i="6"/>
  <c r="N18" i="6"/>
  <c r="N19" i="6"/>
  <c r="N20" i="6"/>
  <c r="N21" i="6"/>
  <c r="N14" i="6"/>
  <c r="K14" i="1"/>
  <c r="R15" i="1"/>
  <c r="R16" i="1"/>
  <c r="R17" i="1"/>
  <c r="R18" i="1"/>
  <c r="R19" i="1"/>
  <c r="R20" i="1"/>
  <c r="R21" i="1"/>
  <c r="N15" i="1"/>
  <c r="N16" i="1"/>
  <c r="N17" i="1"/>
  <c r="N18" i="1"/>
  <c r="N19" i="1"/>
  <c r="N20" i="1"/>
  <c r="N21" i="1"/>
  <c r="N14" i="1"/>
  <c r="K19" i="6" l="1"/>
  <c r="K24" i="6" s="1"/>
  <c r="J21" i="6"/>
  <c r="J20" i="6"/>
  <c r="O20" i="6" s="1"/>
  <c r="Q20" i="6" s="1"/>
  <c r="S20" i="6" s="1"/>
  <c r="J19" i="6"/>
  <c r="J18" i="6"/>
  <c r="O18" i="6" s="1"/>
  <c r="Q18" i="6" s="1"/>
  <c r="S18" i="6" s="1"/>
  <c r="J17" i="6"/>
  <c r="J16" i="6"/>
  <c r="J15" i="6"/>
  <c r="J14" i="6"/>
  <c r="O14" i="6" s="1"/>
  <c r="Q14" i="6" s="1"/>
  <c r="R14" i="6" s="1"/>
  <c r="R24" i="6" s="1"/>
  <c r="J17" i="1"/>
  <c r="J21" i="1"/>
  <c r="J20" i="1"/>
  <c r="J19" i="1"/>
  <c r="J18" i="1"/>
  <c r="J16" i="1"/>
  <c r="J15" i="1"/>
  <c r="J14" i="1"/>
  <c r="N16" i="2"/>
  <c r="N14" i="2"/>
  <c r="N12" i="2"/>
  <c r="N11" i="2"/>
  <c r="N10" i="2"/>
  <c r="N9" i="2"/>
  <c r="N8" i="2"/>
  <c r="N6" i="2"/>
  <c r="N5" i="2"/>
  <c r="O17" i="6"/>
  <c r="Q17" i="6" s="1"/>
  <c r="S17" i="6" s="1"/>
  <c r="O15" i="6"/>
  <c r="Q15" i="6" s="1"/>
  <c r="S15" i="6" s="1"/>
  <c r="A37" i="6"/>
  <c r="A31" i="6"/>
  <c r="P24" i="6"/>
  <c r="N24" i="6"/>
  <c r="M24" i="6"/>
  <c r="L24" i="6"/>
  <c r="H24" i="6"/>
  <c r="G24" i="6"/>
  <c r="F24" i="6"/>
  <c r="E24" i="6"/>
  <c r="D24" i="6"/>
  <c r="O23" i="6"/>
  <c r="Q23" i="6" s="1"/>
  <c r="S23" i="6" s="1"/>
  <c r="I23" i="6"/>
  <c r="O22" i="6"/>
  <c r="Q22" i="6" s="1"/>
  <c r="S22" i="6" s="1"/>
  <c r="I22" i="6"/>
  <c r="I21" i="6"/>
  <c r="I20" i="6"/>
  <c r="I19" i="6"/>
  <c r="I18" i="6"/>
  <c r="I17" i="6"/>
  <c r="O16" i="6"/>
  <c r="Q16" i="6" s="1"/>
  <c r="S16" i="6" s="1"/>
  <c r="I16" i="6"/>
  <c r="I15" i="6"/>
  <c r="I14" i="6"/>
  <c r="I10" i="3"/>
  <c r="O8" i="2"/>
  <c r="O33" i="2"/>
  <c r="O32" i="2"/>
  <c r="O31" i="2"/>
  <c r="O30" i="2"/>
  <c r="O12" i="2"/>
  <c r="O11" i="2"/>
  <c r="O10" i="2"/>
  <c r="O38" i="2"/>
  <c r="O37" i="2"/>
  <c r="O36" i="2"/>
  <c r="O35" i="2"/>
  <c r="O34" i="2"/>
  <c r="O20" i="2"/>
  <c r="O29" i="2"/>
  <c r="O28" i="2"/>
  <c r="O27" i="2"/>
  <c r="O26" i="2"/>
  <c r="O25" i="2"/>
  <c r="O24" i="2"/>
  <c r="O23" i="2"/>
  <c r="O22" i="2"/>
  <c r="O21" i="2"/>
  <c r="O17" i="2"/>
  <c r="N17" i="2"/>
  <c r="O16" i="2"/>
  <c r="N38" i="2"/>
  <c r="N37" i="2"/>
  <c r="N36" i="2"/>
  <c r="N35" i="2"/>
  <c r="N34" i="2"/>
  <c r="N33" i="2"/>
  <c r="N32" i="2"/>
  <c r="N31" i="2"/>
  <c r="N30" i="2"/>
  <c r="O14" i="2"/>
  <c r="O13" i="2"/>
  <c r="N13" i="2"/>
  <c r="N7" i="2"/>
  <c r="O9" i="2"/>
  <c r="O7" i="2"/>
  <c r="O6" i="2"/>
  <c r="O5" i="2"/>
  <c r="N29" i="2"/>
  <c r="N28" i="2"/>
  <c r="N27" i="2"/>
  <c r="N26" i="2"/>
  <c r="N25" i="2"/>
  <c r="N24" i="2"/>
  <c r="N23" i="2"/>
  <c r="N22" i="2"/>
  <c r="N21" i="2"/>
  <c r="O19" i="2"/>
  <c r="O18" i="2"/>
  <c r="N20" i="2"/>
  <c r="N19" i="2"/>
  <c r="N18" i="2"/>
  <c r="O15" i="2"/>
  <c r="N15" i="2"/>
  <c r="O19" i="6" l="1"/>
  <c r="Q19" i="6" s="1"/>
  <c r="S19" i="6" s="1"/>
  <c r="P8" i="2"/>
  <c r="O21" i="6"/>
  <c r="Q21" i="6" s="1"/>
  <c r="I24" i="6"/>
  <c r="J24" i="6"/>
  <c r="S14" i="6"/>
  <c r="P5" i="2"/>
  <c r="P38" i="2"/>
  <c r="P36" i="2"/>
  <c r="P37" i="2"/>
  <c r="I35" i="4"/>
  <c r="I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7" i="4"/>
  <c r="I6" i="4"/>
  <c r="I5" i="4"/>
  <c r="P6" i="2"/>
  <c r="P7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I6" i="3"/>
  <c r="I7" i="3"/>
  <c r="I8" i="3"/>
  <c r="I9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5" i="3"/>
  <c r="S21" i="6" l="1"/>
  <c r="S24" i="6" s="1"/>
  <c r="Q24" i="6"/>
  <c r="O24" i="6"/>
  <c r="J26" i="6"/>
  <c r="D2" i="3"/>
  <c r="D2" i="2"/>
  <c r="D2" i="4"/>
  <c r="A37" i="1"/>
  <c r="A31" i="1"/>
  <c r="P24" i="1"/>
  <c r="N24" i="1"/>
  <c r="M24" i="1"/>
  <c r="L24" i="1"/>
  <c r="K24" i="1"/>
  <c r="J24" i="1"/>
  <c r="H24" i="1"/>
  <c r="G24" i="1"/>
  <c r="F24" i="1"/>
  <c r="E24" i="1"/>
  <c r="D24" i="1"/>
  <c r="O23" i="1"/>
  <c r="Q23" i="1" s="1"/>
  <c r="S23" i="1" s="1"/>
  <c r="I23" i="1"/>
  <c r="O22" i="1"/>
  <c r="Q22" i="1" s="1"/>
  <c r="S22" i="1" s="1"/>
  <c r="I22" i="1"/>
  <c r="O21" i="1"/>
  <c r="Q21" i="1" s="1"/>
  <c r="S21" i="1" s="1"/>
  <c r="I21" i="1"/>
  <c r="O20" i="1"/>
  <c r="Q20" i="1" s="1"/>
  <c r="S20" i="1" s="1"/>
  <c r="I20" i="1"/>
  <c r="O19" i="1"/>
  <c r="Q19" i="1" s="1"/>
  <c r="S19" i="1" s="1"/>
  <c r="I19" i="1"/>
  <c r="O18" i="1"/>
  <c r="Q18" i="1" s="1"/>
  <c r="S18" i="1" s="1"/>
  <c r="I18" i="1"/>
  <c r="O17" i="1"/>
  <c r="Q17" i="1" s="1"/>
  <c r="S17" i="1" s="1"/>
  <c r="I17" i="1"/>
  <c r="O16" i="1"/>
  <c r="Q16" i="1" s="1"/>
  <c r="S16" i="1" s="1"/>
  <c r="I16" i="1"/>
  <c r="O15" i="1"/>
  <c r="Q15" i="1" s="1"/>
  <c r="S15" i="1" s="1"/>
  <c r="I15" i="1"/>
  <c r="O14" i="1"/>
  <c r="I14" i="1"/>
  <c r="O24" i="1" l="1"/>
  <c r="I24" i="1"/>
  <c r="J26" i="1" s="1"/>
  <c r="Q14" i="1"/>
  <c r="S14" i="1" l="1"/>
  <c r="S24" i="1" s="1"/>
  <c r="R14" i="1"/>
  <c r="R24" i="1" s="1"/>
  <c r="Q2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Kampen, Jan-Joris van</author>
  </authors>
  <commentList>
    <comment ref="O13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Kampen, Jan-Joris van:</t>
        </r>
        <r>
          <rPr>
            <sz val="9"/>
            <color indexed="81"/>
            <rFont val="Tahoma"/>
            <family val="2"/>
          </rPr>
          <t xml:space="preserve">
Contributions of third parties to be budgeted as personell costs or other direct costs. No indirect costs on these costs when NOT used on the premises of the benificiary.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Kampen, Jan-Joris van</author>
  </authors>
  <commentList>
    <comment ref="O13" authorId="0" shapeId="0" xr:uid="{6B51B9E8-D8D9-4BEB-A1B7-ABD6C199FD0D}">
      <text>
        <r>
          <rPr>
            <b/>
            <sz val="9"/>
            <color indexed="81"/>
            <rFont val="Tahoma"/>
            <family val="2"/>
          </rPr>
          <t>Kampen, Jan-Joris van:</t>
        </r>
        <r>
          <rPr>
            <sz val="9"/>
            <color indexed="81"/>
            <rFont val="Tahoma"/>
            <family val="2"/>
          </rPr>
          <t xml:space="preserve">
Contributions of third parties to be budgeted as personell costs or other direct costs. No indirect costs on these costs when NOT used on the premises of the benificiary.</t>
        </r>
      </text>
    </comment>
  </commentList>
</comments>
</file>

<file path=xl/sharedStrings.xml><?xml version="1.0" encoding="utf-8"?>
<sst xmlns="http://schemas.openxmlformats.org/spreadsheetml/2006/main" count="486" uniqueCount="139">
  <si>
    <t>Partner budget Horizon 2020</t>
  </si>
  <si>
    <t>Project</t>
  </si>
  <si>
    <t>Percentage of overheads:</t>
  </si>
  <si>
    <t>Organisation full name</t>
  </si>
  <si>
    <t>Funding on Research:</t>
  </si>
  <si>
    <t>Organisation short name</t>
  </si>
  <si>
    <t>Funding on Innovation:</t>
  </si>
  <si>
    <t>Choose appropriate percentage</t>
  </si>
  <si>
    <t>Organisation Type</t>
  </si>
  <si>
    <t>Funding Coordination &amp; Support:</t>
  </si>
  <si>
    <t>Efforts (person-months) and Cost Details (euros) per Workpackage</t>
  </si>
  <si>
    <t>Efforts per staff type (pm)</t>
  </si>
  <si>
    <t>Cost Details (euros)</t>
  </si>
  <si>
    <t>Researcher</t>
  </si>
  <si>
    <t xml:space="preserve">Post doc </t>
  </si>
  <si>
    <t>Technician</t>
  </si>
  <si>
    <t xml:space="preserve">PhD Student </t>
  </si>
  <si>
    <t>Administration</t>
  </si>
  <si>
    <t>TOTAL</t>
  </si>
  <si>
    <t>(A) Direct Personnel costs</t>
  </si>
  <si>
    <t>(B) Other Direct Costs</t>
  </si>
  <si>
    <t>(C) Direct costs of sub-contracting</t>
  </si>
  <si>
    <t>(D) Direct costs of providing financial support to third parties</t>
  </si>
  <si>
    <t>(E) Costs of inkind contributions not used on the benificiary's premises</t>
  </si>
  <si>
    <t>(F) Indirect costs (=0.25(A+B-E)</t>
  </si>
  <si>
    <t>(G) Special Unit costs covering direct &amp; indirect costs</t>
  </si>
  <si>
    <t>(H) Total estimated eligible costs (=A+B+C+D+F+G)</t>
  </si>
  <si>
    <t>(J) Max. Grant (=H*I)</t>
  </si>
  <si>
    <t>own contribution</t>
  </si>
  <si>
    <t>Average personell costs per month</t>
  </si>
  <si>
    <t>Please justify below the use of the different type of costs in relation to the work planned in the project</t>
  </si>
  <si>
    <t>Table 3.4b</t>
  </si>
  <si>
    <t>Cost</t>
  </si>
  <si>
    <t>Justification</t>
  </si>
  <si>
    <t>Justification of Travel</t>
  </si>
  <si>
    <t>Justification of Equipment</t>
  </si>
  <si>
    <t>Justification of other goods and services</t>
  </si>
  <si>
    <t>Justification of sub-contracting</t>
  </si>
  <si>
    <t>Justification of linked third parties</t>
  </si>
  <si>
    <t>[ If yes, please describe the third party, the link of the participant to the third party, and describe and justify the foreseen tasks to be performed by the third party]</t>
  </si>
  <si>
    <t>Justification of contributions Inkind third parties</t>
  </si>
  <si>
    <t>[ If yes, please describe the third party and their contributions]</t>
  </si>
  <si>
    <t>WP9-</t>
  </si>
  <si>
    <t>WP10-</t>
  </si>
  <si>
    <t>TOTAL (EUR):</t>
  </si>
  <si>
    <t>Partner short name</t>
  </si>
  <si>
    <t>Name of Partner</t>
  </si>
  <si>
    <t>Country</t>
  </si>
  <si>
    <t>Nature, type and specification of the item</t>
  </si>
  <si>
    <t>Quantity</t>
  </si>
  <si>
    <t>Amount ExcludingVAT (EUR) per unit</t>
  </si>
  <si>
    <t>TOTAL (EUR)</t>
  </si>
  <si>
    <t>WORK PACKAGE (short name)</t>
  </si>
  <si>
    <t>Work package (short name and name)</t>
  </si>
  <si>
    <t>City of Departure (and Country Code)</t>
  </si>
  <si>
    <t>City of Destination (and Country Code)</t>
  </si>
  <si>
    <t>Number of days (per participant)</t>
  </si>
  <si>
    <t>Total Costs (EUR)</t>
  </si>
  <si>
    <t>Costs of Stay (EUR)</t>
  </si>
  <si>
    <t>popuniti sheet Travel-budzet</t>
  </si>
  <si>
    <t>popuniti sheet Equipment-budzet</t>
  </si>
  <si>
    <t>popuniti sheet Subcontracting - budzet</t>
  </si>
  <si>
    <t>Researcher / Postdoc</t>
  </si>
  <si>
    <t>Experts</t>
  </si>
  <si>
    <t>WP1</t>
  </si>
  <si>
    <t>BPIE</t>
  </si>
  <si>
    <t>ZUHLKE</t>
  </si>
  <si>
    <t>CISCO</t>
  </si>
  <si>
    <t>BOSCH</t>
  </si>
  <si>
    <t>PDM</t>
  </si>
  <si>
    <t>WP2</t>
  </si>
  <si>
    <t>WP3</t>
  </si>
  <si>
    <t>WP4</t>
  </si>
  <si>
    <t>WP5</t>
  </si>
  <si>
    <t>BEL</t>
  </si>
  <si>
    <t>BUL</t>
  </si>
  <si>
    <t>NED</t>
  </si>
  <si>
    <t>GER</t>
  </si>
  <si>
    <t>ITA</t>
  </si>
  <si>
    <t>Amsterdam (31)</t>
  </si>
  <si>
    <t>Brussels (32)</t>
  </si>
  <si>
    <t>Stuttgart (49)</t>
  </si>
  <si>
    <t>Sofia (359)</t>
  </si>
  <si>
    <t>Milano (39)</t>
  </si>
  <si>
    <t>Belgrade (381)</t>
  </si>
  <si>
    <t>WP1- Project Management &amp; Communication</t>
  </si>
  <si>
    <t>WP3- Developing a wireless sensor network</t>
  </si>
  <si>
    <t>WP4- Developing a controlling device</t>
  </si>
  <si>
    <t>WP5- Testing hardware</t>
  </si>
  <si>
    <t>WP6- Developing an app</t>
  </si>
  <si>
    <t>WP7- Testing &amp; Verification of  app</t>
  </si>
  <si>
    <t>WP8- Dissemination &amp; Exploitation</t>
  </si>
  <si>
    <t>ETF</t>
  </si>
  <si>
    <t>ZUH</t>
  </si>
  <si>
    <t>CIS</t>
  </si>
  <si>
    <t>BOS</t>
  </si>
  <si>
    <t>Politecnico di Milano</t>
  </si>
  <si>
    <t>Elektrotehnicki fakultet iz Beograda</t>
  </si>
  <si>
    <t>Buildings Performance Institute Europe</t>
  </si>
  <si>
    <t>SRB</t>
  </si>
  <si>
    <t>samo avion</t>
  </si>
  <si>
    <t>(dnevnice+hotel)*br_dana</t>
  </si>
  <si>
    <t>Destinacije</t>
  </si>
  <si>
    <t>Dnevnice</t>
  </si>
  <si>
    <t>Max cena hotela</t>
  </si>
  <si>
    <t>Distanca</t>
  </si>
  <si>
    <t>Cena/covek</t>
  </si>
  <si>
    <t>Ministry of Education</t>
  </si>
  <si>
    <t>MoE</t>
  </si>
  <si>
    <t>WP6</t>
  </si>
  <si>
    <t>WP7</t>
  </si>
  <si>
    <t>WP8</t>
  </si>
  <si>
    <t>100-499 km</t>
  </si>
  <si>
    <t xml:space="preserve">Server for sensor network </t>
  </si>
  <si>
    <t>Sensors</t>
  </si>
  <si>
    <t>video surveillance</t>
  </si>
  <si>
    <t>Installing video surveillance</t>
  </si>
  <si>
    <t xml:space="preserve">ETF </t>
  </si>
  <si>
    <t>Financial advisor</t>
  </si>
  <si>
    <t>laptop(i7, 32GB RAM, 16GB DDR4..)</t>
  </si>
  <si>
    <t>Installing sensors in schools</t>
  </si>
  <si>
    <t>ZUL</t>
  </si>
  <si>
    <t>Zuhlke</t>
  </si>
  <si>
    <t>Simulator for WSN</t>
  </si>
  <si>
    <t>Smart phones(Android, IOS)- testing devices</t>
  </si>
  <si>
    <t>various equipment for communication(headphones, video cameras...)</t>
  </si>
  <si>
    <t>Design of ads and other promotional materials</t>
  </si>
  <si>
    <t>Quality menagment</t>
  </si>
  <si>
    <t>Logo design</t>
  </si>
  <si>
    <t>Materials and devices for developing a central hub(device)??</t>
  </si>
  <si>
    <t>WP2-  Acquiring  equipment</t>
  </si>
  <si>
    <t>Equipment for a lab(computers, furniture, monitors, adapters, internet connection…)</t>
  </si>
  <si>
    <t>Non-profit</t>
  </si>
  <si>
    <t>honorari</t>
  </si>
  <si>
    <t>oprema,putovanja</t>
  </si>
  <si>
    <t>Profit</t>
  </si>
  <si>
    <t>500-1499 km</t>
  </si>
  <si>
    <t>1500-2499 km</t>
  </si>
  <si>
    <t>114953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</si>
</sst>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64" formatCode="#,##0.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color indexed="9"/>
      <name val="Arial"/>
      <family val="2"/>
    </font>
    <font>
      <b/>
      <sz val="12"/>
      <color indexed="9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2179B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2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2"/>
      </right>
      <top/>
      <bottom style="thin">
        <color indexed="62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 style="thin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87">
    <xf numFmtId="0" fontId="0" fillId="0" borderId="0" xfId="0"/>
    <xf numFmtId="0" fontId="2" fillId="0" borderId="0" xfId="0" applyFont="1" applyAlignment="1">
      <alignment vertical="top"/>
    </xf>
    <xf numFmtId="0" fontId="3" fillId="0" borderId="0" xfId="0" applyFont="1" applyAlignment="1">
      <alignment horizontal="left"/>
    </xf>
    <xf numFmtId="0" fontId="3" fillId="0" borderId="2" xfId="0" applyFont="1" applyBorder="1" applyAlignment="1">
      <alignment horizontal="left"/>
    </xf>
    <xf numFmtId="9" fontId="3" fillId="0" borderId="2" xfId="0" applyNumberFormat="1" applyFont="1" applyBorder="1" applyAlignment="1">
      <alignment horizontal="center"/>
    </xf>
    <xf numFmtId="9" fontId="3" fillId="2" borderId="2" xfId="1" applyFont="1" applyFill="1" applyBorder="1" applyAlignment="1">
      <alignment horizontal="center"/>
    </xf>
    <xf numFmtId="0" fontId="0" fillId="2" borderId="0" xfId="0" applyFill="1"/>
    <xf numFmtId="9" fontId="3" fillId="0" borderId="0" xfId="0" applyNumberFormat="1" applyFont="1" applyAlignment="1">
      <alignment horizontal="center"/>
    </xf>
    <xf numFmtId="0" fontId="5" fillId="0" borderId="5" xfId="0" applyFont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 wrapText="1"/>
    </xf>
    <xf numFmtId="0" fontId="7" fillId="5" borderId="2" xfId="0" applyFont="1" applyFill="1" applyBorder="1" applyAlignment="1">
      <alignment horizontal="center" vertical="center" textRotation="90"/>
    </xf>
    <xf numFmtId="0" fontId="7" fillId="3" borderId="2" xfId="0" applyFont="1" applyFill="1" applyBorder="1" applyAlignment="1">
      <alignment horizontal="center" vertical="center" textRotation="90"/>
    </xf>
    <xf numFmtId="0" fontId="5" fillId="4" borderId="2" xfId="0" applyFont="1" applyFill="1" applyBorder="1" applyAlignment="1">
      <alignment horizontal="center" vertical="center" wrapText="1"/>
    </xf>
    <xf numFmtId="0" fontId="5" fillId="4" borderId="7" xfId="0" applyFont="1" applyFill="1" applyBorder="1" applyAlignment="1">
      <alignment horizontal="center" vertical="center" wrapText="1"/>
    </xf>
    <xf numFmtId="0" fontId="3" fillId="0" borderId="0" xfId="0" applyFont="1"/>
    <xf numFmtId="164" fontId="8" fillId="0" borderId="2" xfId="0" applyNumberFormat="1" applyFont="1" applyBorder="1"/>
    <xf numFmtId="0" fontId="9" fillId="3" borderId="2" xfId="0" applyFont="1" applyFill="1" applyBorder="1"/>
    <xf numFmtId="3" fontId="3" fillId="0" borderId="2" xfId="0" applyNumberFormat="1" applyFont="1" applyBorder="1"/>
    <xf numFmtId="0" fontId="3" fillId="5" borderId="2" xfId="0" applyFont="1" applyFill="1" applyBorder="1"/>
    <xf numFmtId="164" fontId="9" fillId="0" borderId="2" xfId="0" applyNumberFormat="1" applyFont="1" applyBorder="1"/>
    <xf numFmtId="3" fontId="7" fillId="0" borderId="2" xfId="0" applyNumberFormat="1" applyFont="1" applyBorder="1"/>
    <xf numFmtId="3" fontId="7" fillId="0" borderId="8" xfId="0" applyNumberFormat="1" applyFont="1" applyBorder="1"/>
    <xf numFmtId="3" fontId="7" fillId="0" borderId="9" xfId="0" applyNumberFormat="1" applyFont="1" applyBorder="1"/>
    <xf numFmtId="3" fontId="7" fillId="0" borderId="0" xfId="0" applyNumberFormat="1" applyFont="1"/>
    <xf numFmtId="0" fontId="7" fillId="0" borderId="0" xfId="0" applyFont="1" applyAlignment="1">
      <alignment horizontal="center"/>
    </xf>
    <xf numFmtId="164" fontId="8" fillId="0" borderId="0" xfId="0" applyNumberFormat="1" applyFont="1"/>
    <xf numFmtId="164" fontId="7" fillId="0" borderId="10" xfId="0" applyNumberFormat="1" applyFont="1" applyBorder="1"/>
    <xf numFmtId="164" fontId="7" fillId="0" borderId="11" xfId="0" applyNumberFormat="1" applyFont="1" applyBorder="1"/>
    <xf numFmtId="164" fontId="8" fillId="0" borderId="11" xfId="0" applyNumberFormat="1" applyFont="1" applyBorder="1"/>
    <xf numFmtId="164" fontId="8" fillId="0" borderId="7" xfId="0" applyNumberFormat="1" applyFont="1" applyBorder="1"/>
    <xf numFmtId="0" fontId="7" fillId="0" borderId="0" xfId="0" applyFont="1"/>
    <xf numFmtId="3" fontId="0" fillId="0" borderId="0" xfId="0" applyNumberFormat="1"/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horizontal="left"/>
    </xf>
    <xf numFmtId="49" fontId="3" fillId="0" borderId="2" xfId="0" applyNumberFormat="1" applyFont="1" applyBorder="1" applyAlignment="1">
      <alignment horizontal="left" wrapText="1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0" fillId="0" borderId="2" xfId="0" applyBorder="1"/>
    <xf numFmtId="0" fontId="12" fillId="2" borderId="2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 wrapText="1"/>
    </xf>
    <xf numFmtId="0" fontId="12" fillId="6" borderId="2" xfId="0" applyFont="1" applyFill="1" applyBorder="1" applyAlignment="1">
      <alignment horizontal="center" vertical="center"/>
    </xf>
    <xf numFmtId="0" fontId="13" fillId="0" borderId="14" xfId="0" applyFont="1" applyBorder="1"/>
    <xf numFmtId="0" fontId="12" fillId="7" borderId="2" xfId="0" applyFont="1" applyFill="1" applyBorder="1" applyAlignment="1">
      <alignment horizontal="center" vertical="center" wrapText="1"/>
    </xf>
    <xf numFmtId="0" fontId="7" fillId="8" borderId="2" xfId="0" applyFont="1" applyFill="1" applyBorder="1" applyAlignment="1">
      <alignment horizontal="center" vertical="center" textRotation="90"/>
    </xf>
    <xf numFmtId="0" fontId="7" fillId="9" borderId="2" xfId="0" applyFont="1" applyFill="1" applyBorder="1" applyAlignment="1">
      <alignment horizontal="center" vertical="center" textRotation="90"/>
    </xf>
    <xf numFmtId="0" fontId="5" fillId="4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wrapText="1"/>
    </xf>
    <xf numFmtId="0" fontId="7" fillId="0" borderId="2" xfId="0" applyFont="1" applyBorder="1" applyAlignment="1">
      <alignment horizontal="left"/>
    </xf>
    <xf numFmtId="0" fontId="7" fillId="0" borderId="0" xfId="0" applyFont="1" applyAlignment="1">
      <alignment horizontal="left"/>
    </xf>
    <xf numFmtId="0" fontId="3" fillId="0" borderId="2" xfId="0" applyFont="1" applyBorder="1" applyAlignment="1">
      <alignment horizontal="left"/>
    </xf>
    <xf numFmtId="0" fontId="0" fillId="0" borderId="2" xfId="0" applyBorder="1"/>
    <xf numFmtId="0" fontId="7" fillId="5" borderId="2" xfId="0" applyFont="1" applyFill="1" applyBorder="1" applyAlignment="1">
      <alignment horizontal="center" vertical="center" textRotation="90" wrapText="1"/>
    </xf>
    <xf numFmtId="0" fontId="0" fillId="0" borderId="2" xfId="0" applyBorder="1" applyAlignment="1"/>
    <xf numFmtId="0" fontId="0" fillId="0" borderId="15" xfId="0" applyFill="1" applyBorder="1"/>
    <xf numFmtId="0" fontId="0" fillId="0" borderId="2" xfId="0" applyFill="1" applyBorder="1"/>
    <xf numFmtId="0" fontId="12" fillId="0" borderId="15" xfId="0" applyFont="1" applyFill="1" applyBorder="1"/>
    <xf numFmtId="0" fontId="16" fillId="0" borderId="2" xfId="0" applyFont="1" applyBorder="1"/>
    <xf numFmtId="0" fontId="0" fillId="0" borderId="2" xfId="0" applyFont="1" applyBorder="1"/>
    <xf numFmtId="41" fontId="0" fillId="0" borderId="2" xfId="2" applyFont="1" applyBorder="1"/>
    <xf numFmtId="0" fontId="6" fillId="4" borderId="2" xfId="0" applyFont="1" applyFill="1" applyBorder="1" applyAlignment="1">
      <alignment horizontal="center" vertical="center"/>
    </xf>
    <xf numFmtId="0" fontId="0" fillId="0" borderId="1" xfId="0" applyBorder="1"/>
    <xf numFmtId="0" fontId="3" fillId="0" borderId="2" xfId="0" applyFont="1" applyBorder="1" applyAlignment="1">
      <alignment horizontal="left"/>
    </xf>
    <xf numFmtId="0" fontId="0" fillId="0" borderId="2" xfId="0" applyBorder="1"/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/>
    </xf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horizontal="left"/>
    </xf>
    <xf numFmtId="0" fontId="7" fillId="0" borderId="2" xfId="0" applyFont="1" applyBorder="1" applyAlignment="1">
      <alignment horizontal="center"/>
    </xf>
    <xf numFmtId="0" fontId="7" fillId="0" borderId="12" xfId="0" applyFont="1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2" xfId="0" applyBorder="1" applyAlignment="1">
      <alignment horizontal="left"/>
    </xf>
    <xf numFmtId="0" fontId="5" fillId="4" borderId="2" xfId="0" applyFont="1" applyFill="1" applyBorder="1" applyAlignment="1">
      <alignment horizontal="center" vertical="center" wrapText="1"/>
    </xf>
    <xf numFmtId="49" fontId="0" fillId="0" borderId="2" xfId="0" applyNumberFormat="1" applyBorder="1" applyAlignment="1">
      <alignment horizontal="left" wrapText="1"/>
    </xf>
    <xf numFmtId="0" fontId="0" fillId="0" borderId="2" xfId="0" applyBorder="1" applyAlignment="1">
      <alignment wrapText="1"/>
    </xf>
    <xf numFmtId="0" fontId="3" fillId="0" borderId="10" xfId="0" applyFont="1" applyBorder="1" applyAlignment="1">
      <alignment wrapText="1"/>
    </xf>
    <xf numFmtId="0" fontId="0" fillId="0" borderId="11" xfId="0" applyBorder="1" applyAlignment="1">
      <alignment wrapText="1"/>
    </xf>
    <xf numFmtId="0" fontId="0" fillId="0" borderId="7" xfId="0" applyBorder="1" applyAlignment="1">
      <alignment wrapText="1"/>
    </xf>
    <xf numFmtId="0" fontId="3" fillId="0" borderId="2" xfId="0" applyFont="1" applyBorder="1" applyAlignment="1">
      <alignment wrapText="1"/>
    </xf>
    <xf numFmtId="0" fontId="7" fillId="0" borderId="2" xfId="0" applyFont="1" applyBorder="1" applyAlignment="1">
      <alignment horizontal="left" wrapText="1"/>
    </xf>
    <xf numFmtId="0" fontId="0" fillId="0" borderId="2" xfId="0" applyBorder="1" applyAlignment="1">
      <alignment horizontal="left" wrapText="1"/>
    </xf>
    <xf numFmtId="0" fontId="14" fillId="0" borderId="3" xfId="0" applyFont="1" applyBorder="1" applyAlignment="1">
      <alignment horizontal="center" vertical="center"/>
    </xf>
    <xf numFmtId="0" fontId="14" fillId="0" borderId="13" xfId="0" applyFont="1" applyBorder="1" applyAlignment="1">
      <alignment horizontal="center" vertical="center"/>
    </xf>
    <xf numFmtId="0" fontId="3" fillId="0" borderId="2" xfId="0" applyNumberFormat="1" applyFont="1" applyBorder="1" applyAlignment="1">
      <alignment horizontal="left" wrapText="1"/>
    </xf>
  </cellXfs>
  <cellStyles count="3">
    <cellStyle name="Comma [0]" xfId="2" builtinId="6"/>
    <cellStyle name="Normal" xfId="0" builtinId="0"/>
    <cellStyle name="Percent" xfId="1" builtinId="5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108857</xdr:colOff>
      <xdr:row>2</xdr:row>
      <xdr:rowOff>13606</xdr:rowOff>
    </xdr:from>
    <xdr:to>
      <xdr:col>1</xdr:col>
      <xdr:colOff>149678</xdr:colOff>
      <xdr:row>6</xdr:row>
      <xdr:rowOff>172810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DA4F558B-8D56-430D-AA83-772AD1DE26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857" y="544285"/>
          <a:ext cx="802821" cy="9116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108857</xdr:colOff>
      <xdr:row>2</xdr:row>
      <xdr:rowOff>13606</xdr:rowOff>
    </xdr:from>
    <xdr:to>
      <xdr:col>1</xdr:col>
      <xdr:colOff>149678</xdr:colOff>
      <xdr:row>6</xdr:row>
      <xdr:rowOff>169000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F8D2601-E965-4053-807B-5E37E29D49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52" y="512716"/>
          <a:ext cx="823776" cy="8716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7B09009-68B5-4F84-A5DD-1D099E55E06E}" name="Table1" displayName="Table1" ref="R53:T59" totalsRowShown="0">
  <autoFilter ref="R53:T59" xr:uid="{233167C8-F47F-44BC-8940-5DEE851137CB}"/>
  <tableColumns count="3">
    <tableColumn id="1" xr3:uid="{84B0BBFD-AD03-4034-8D38-CA009DFC77C1}" name="Destinacije"/>
    <tableColumn id="2" xr3:uid="{49F7EA4C-A2B7-4733-8134-70A7F837317E}" name="Dnevnice"/>
    <tableColumn id="3" xr3:uid="{89D333FE-2069-4B37-B073-695997A1A97E}" name="Max cena hotel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T40"/>
  <sheetViews>
    <sheetView topLeftCell="A27" zoomScaleNormal="100" workbookViewId="0">
      <selection activeCell="C35" sqref="C35"/>
    </sheetView>
  </sheetViews>
  <sheetFormatPr defaultColWidth="11.44140625" defaultRowHeight="14.4" x14ac:dyDescent="0.3"/>
  <cols>
    <col min="1" max="1" width="11.44140625" customWidth="1"/>
    <col min="2" max="2" width="24.77734375" customWidth="1"/>
    <col min="3" max="3" width="14.77734375" customWidth="1"/>
    <col min="4" max="4" width="6" customWidth="1"/>
    <col min="5" max="5" width="5.5546875" customWidth="1"/>
    <col min="6" max="8" width="5.21875" customWidth="1"/>
    <col min="9" max="9" width="7" customWidth="1"/>
    <col min="10" max="10" width="29.44140625" customWidth="1"/>
    <col min="11" max="11" width="16.77734375" customWidth="1"/>
    <col min="12" max="13" width="14.21875" customWidth="1"/>
    <col min="14" max="14" width="15.21875" customWidth="1"/>
    <col min="15" max="19" width="14.21875" customWidth="1"/>
  </cols>
  <sheetData>
    <row r="1" spans="1:19" ht="24.6" x14ac:dyDescent="0.3">
      <c r="A1" s="1" t="s">
        <v>0</v>
      </c>
    </row>
    <row r="3" spans="1:19" x14ac:dyDescent="0.3">
      <c r="E3" s="62"/>
      <c r="F3" s="62"/>
      <c r="G3" s="62"/>
      <c r="H3" s="62"/>
      <c r="I3" s="62"/>
    </row>
    <row r="4" spans="1:19" x14ac:dyDescent="0.3">
      <c r="D4" s="2"/>
      <c r="E4" s="63" t="s">
        <v>1</v>
      </c>
      <c r="F4" s="64"/>
      <c r="G4" s="64"/>
      <c r="H4" s="64"/>
      <c r="I4" s="64"/>
      <c r="J4" s="51"/>
      <c r="L4" s="64" t="s">
        <v>2</v>
      </c>
      <c r="M4" s="64"/>
      <c r="N4" s="64"/>
      <c r="O4" s="4">
        <v>0.25</v>
      </c>
    </row>
    <row r="5" spans="1:19" x14ac:dyDescent="0.3">
      <c r="D5" s="2"/>
      <c r="E5" s="63" t="s">
        <v>3</v>
      </c>
      <c r="F5" s="64"/>
      <c r="G5" s="64"/>
      <c r="H5" s="64"/>
      <c r="I5" s="64"/>
      <c r="J5" s="3" t="s">
        <v>97</v>
      </c>
      <c r="L5" s="64" t="s">
        <v>4</v>
      </c>
      <c r="M5" s="64"/>
      <c r="N5" s="64"/>
      <c r="O5" s="4">
        <v>1</v>
      </c>
    </row>
    <row r="6" spans="1:19" x14ac:dyDescent="0.3">
      <c r="D6" s="2"/>
      <c r="E6" s="63" t="s">
        <v>5</v>
      </c>
      <c r="F6" s="64"/>
      <c r="G6" s="64"/>
      <c r="H6" s="64"/>
      <c r="I6" s="64"/>
      <c r="J6" s="3" t="s">
        <v>92</v>
      </c>
      <c r="L6" s="64" t="s">
        <v>6</v>
      </c>
      <c r="M6" s="64"/>
      <c r="N6" s="64"/>
      <c r="O6" s="5">
        <v>1</v>
      </c>
      <c r="P6" s="6" t="s">
        <v>7</v>
      </c>
      <c r="Q6" s="6"/>
    </row>
    <row r="7" spans="1:19" x14ac:dyDescent="0.3">
      <c r="E7" s="64" t="s">
        <v>8</v>
      </c>
      <c r="F7" s="64"/>
      <c r="G7" s="64"/>
      <c r="H7" s="64"/>
      <c r="I7" s="64"/>
      <c r="J7" s="3" t="s">
        <v>132</v>
      </c>
      <c r="L7" s="64" t="s">
        <v>9</v>
      </c>
      <c r="M7" s="64"/>
      <c r="N7" s="64"/>
      <c r="O7" s="4">
        <v>1</v>
      </c>
    </row>
    <row r="8" spans="1:19" x14ac:dyDescent="0.3">
      <c r="J8" s="2"/>
      <c r="O8" s="7"/>
    </row>
    <row r="9" spans="1:19" ht="15" thickBot="1" x14ac:dyDescent="0.35"/>
    <row r="10" spans="1:19" ht="16.2" thickBot="1" x14ac:dyDescent="0.35">
      <c r="A10" s="65" t="s">
        <v>10</v>
      </c>
      <c r="B10" s="66"/>
      <c r="C10" s="66"/>
      <c r="D10" s="66"/>
      <c r="E10" s="66"/>
      <c r="F10" s="66"/>
      <c r="G10" s="66"/>
      <c r="H10" s="66"/>
      <c r="I10" s="66"/>
      <c r="J10" s="66"/>
      <c r="K10" s="66"/>
      <c r="L10" s="66"/>
      <c r="M10" s="66"/>
      <c r="N10" s="66"/>
      <c r="O10" s="66"/>
      <c r="P10" s="66"/>
      <c r="Q10" s="66"/>
      <c r="R10" s="66"/>
      <c r="S10" s="8"/>
    </row>
    <row r="11" spans="1:19" x14ac:dyDescent="0.3">
      <c r="J11" t="s">
        <v>133</v>
      </c>
      <c r="K11" t="s">
        <v>134</v>
      </c>
    </row>
    <row r="12" spans="1:19" ht="15.6" x14ac:dyDescent="0.3">
      <c r="D12" s="67" t="s">
        <v>11</v>
      </c>
      <c r="E12" s="67"/>
      <c r="F12" s="67"/>
      <c r="G12" s="67"/>
      <c r="H12" s="67"/>
      <c r="I12" s="67"/>
      <c r="J12" s="68" t="s">
        <v>12</v>
      </c>
      <c r="K12" s="68"/>
      <c r="L12" s="68"/>
      <c r="M12" s="68"/>
      <c r="N12" s="68"/>
      <c r="O12" s="68"/>
      <c r="P12" s="68"/>
      <c r="Q12" s="68"/>
      <c r="R12" s="68"/>
      <c r="S12" s="9"/>
    </row>
    <row r="13" spans="1:19" s="14" customFormat="1" ht="90" customHeight="1" x14ac:dyDescent="0.25">
      <c r="A13" s="61" t="s">
        <v>53</v>
      </c>
      <c r="B13" s="61"/>
      <c r="C13" s="61"/>
      <c r="D13" s="53" t="s">
        <v>62</v>
      </c>
      <c r="E13" s="10" t="s">
        <v>63</v>
      </c>
      <c r="F13" s="10" t="s">
        <v>15</v>
      </c>
      <c r="G13" s="10" t="s">
        <v>16</v>
      </c>
      <c r="H13" s="10" t="s">
        <v>17</v>
      </c>
      <c r="I13" s="11" t="s">
        <v>18</v>
      </c>
      <c r="J13" s="12" t="s">
        <v>19</v>
      </c>
      <c r="K13" s="12" t="s">
        <v>20</v>
      </c>
      <c r="L13" s="12" t="s">
        <v>21</v>
      </c>
      <c r="M13" s="12" t="s">
        <v>22</v>
      </c>
      <c r="N13" s="12" t="s">
        <v>23</v>
      </c>
      <c r="O13" s="12" t="s">
        <v>24</v>
      </c>
      <c r="P13" s="12" t="s">
        <v>25</v>
      </c>
      <c r="Q13" s="12" t="s">
        <v>26</v>
      </c>
      <c r="R13" s="13" t="s">
        <v>27</v>
      </c>
      <c r="S13" s="12" t="s">
        <v>28</v>
      </c>
    </row>
    <row r="14" spans="1:19" x14ac:dyDescent="0.3">
      <c r="A14" s="70" t="s">
        <v>85</v>
      </c>
      <c r="B14" s="70"/>
      <c r="C14" s="70"/>
      <c r="D14" s="15"/>
      <c r="E14" s="15"/>
      <c r="F14" s="15"/>
      <c r="G14" s="15"/>
      <c r="H14" s="15">
        <v>27</v>
      </c>
      <c r="I14" s="16">
        <f>+SUM(D14:H14)</f>
        <v>27</v>
      </c>
      <c r="J14" s="17">
        <f>27*1750</f>
        <v>47250</v>
      </c>
      <c r="K14" s="60">
        <f>20658*1+8000</f>
        <v>28658</v>
      </c>
      <c r="L14" s="17">
        <v>40000</v>
      </c>
      <c r="M14" s="17"/>
      <c r="N14" s="17">
        <f>0.18*J14</f>
        <v>8505</v>
      </c>
      <c r="O14" s="18">
        <f t="shared" ref="O14:O23" si="0">+$O$4*(J14+K14-N14)</f>
        <v>16850.75</v>
      </c>
      <c r="P14" s="17"/>
      <c r="Q14" s="17">
        <f>+J14+K14+L14+M14+O14+P14</f>
        <v>132758.75</v>
      </c>
      <c r="R14" s="18">
        <f>Q14*1</f>
        <v>132758.75</v>
      </c>
      <c r="S14" s="18">
        <f>+Q14-R14</f>
        <v>0</v>
      </c>
    </row>
    <row r="15" spans="1:19" x14ac:dyDescent="0.3">
      <c r="A15" s="70" t="s">
        <v>130</v>
      </c>
      <c r="B15" s="70"/>
      <c r="C15" s="70"/>
      <c r="D15" s="15">
        <v>1</v>
      </c>
      <c r="E15" s="15">
        <v>1</v>
      </c>
      <c r="F15" s="15">
        <v>4</v>
      </c>
      <c r="G15" s="15">
        <v>1</v>
      </c>
      <c r="H15" s="15">
        <v>3</v>
      </c>
      <c r="I15" s="16">
        <f t="shared" ref="I15:I23" si="1">+SUM(D15:H15)</f>
        <v>10</v>
      </c>
      <c r="J15" s="17">
        <f>10*1750</f>
        <v>17500</v>
      </c>
      <c r="K15" s="17"/>
      <c r="L15" s="17"/>
      <c r="M15" s="17"/>
      <c r="N15" s="17">
        <f t="shared" ref="N15:N21" si="2">0.18*J15</f>
        <v>3150</v>
      </c>
      <c r="O15" s="18">
        <f t="shared" si="0"/>
        <v>3587.5</v>
      </c>
      <c r="P15" s="17"/>
      <c r="Q15" s="17">
        <f t="shared" ref="Q15:Q23" si="3">+J15+K15+L15+M15+O15+P15</f>
        <v>21087.5</v>
      </c>
      <c r="R15" s="18">
        <f t="shared" ref="R15:R21" si="4">Q15*1</f>
        <v>21087.5</v>
      </c>
      <c r="S15" s="18">
        <f t="shared" ref="S15:S23" si="5">+Q15-R15</f>
        <v>0</v>
      </c>
    </row>
    <row r="16" spans="1:19" x14ac:dyDescent="0.3">
      <c r="A16" s="70" t="s">
        <v>86</v>
      </c>
      <c r="B16" s="70"/>
      <c r="C16" s="70"/>
      <c r="D16" s="15">
        <v>2</v>
      </c>
      <c r="E16" s="15">
        <v>3</v>
      </c>
      <c r="F16" s="15">
        <v>1</v>
      </c>
      <c r="G16" s="15"/>
      <c r="H16" s="15"/>
      <c r="I16" s="16">
        <f t="shared" si="1"/>
        <v>6</v>
      </c>
      <c r="J16" s="17">
        <f>6*1750</f>
        <v>10500</v>
      </c>
      <c r="K16" s="17">
        <v>90175</v>
      </c>
      <c r="L16" s="17"/>
      <c r="M16" s="17"/>
      <c r="N16" s="17">
        <f t="shared" si="2"/>
        <v>1890</v>
      </c>
      <c r="O16" s="18">
        <f t="shared" si="0"/>
        <v>24696.25</v>
      </c>
      <c r="P16" s="17"/>
      <c r="Q16" s="17">
        <f t="shared" si="3"/>
        <v>125371.25</v>
      </c>
      <c r="R16" s="18">
        <f t="shared" si="4"/>
        <v>125371.25</v>
      </c>
      <c r="S16" s="18">
        <f t="shared" si="5"/>
        <v>0</v>
      </c>
    </row>
    <row r="17" spans="1:20" x14ac:dyDescent="0.3">
      <c r="A17" s="70" t="s">
        <v>87</v>
      </c>
      <c r="B17" s="70"/>
      <c r="C17" s="70"/>
      <c r="D17" s="15">
        <v>3</v>
      </c>
      <c r="E17" s="15">
        <v>7</v>
      </c>
      <c r="F17" s="15">
        <v>4</v>
      </c>
      <c r="G17" s="15">
        <v>2</v>
      </c>
      <c r="H17" s="15"/>
      <c r="I17" s="16">
        <f t="shared" si="1"/>
        <v>16</v>
      </c>
      <c r="J17" s="17">
        <f>16*1750</f>
        <v>28000</v>
      </c>
      <c r="K17" s="17">
        <v>25466</v>
      </c>
      <c r="L17" s="17"/>
      <c r="M17" s="17"/>
      <c r="N17" s="17">
        <f t="shared" si="2"/>
        <v>5040</v>
      </c>
      <c r="O17" s="18">
        <f t="shared" si="0"/>
        <v>12106.5</v>
      </c>
      <c r="P17" s="17"/>
      <c r="Q17" s="17">
        <f t="shared" si="3"/>
        <v>65572.5</v>
      </c>
      <c r="R17" s="18">
        <f t="shared" si="4"/>
        <v>65572.5</v>
      </c>
      <c r="S17" s="18">
        <f t="shared" si="5"/>
        <v>0</v>
      </c>
    </row>
    <row r="18" spans="1:20" x14ac:dyDescent="0.3">
      <c r="A18" s="70" t="s">
        <v>88</v>
      </c>
      <c r="B18" s="70"/>
      <c r="C18" s="70"/>
      <c r="D18" s="15">
        <v>1</v>
      </c>
      <c r="E18" s="15">
        <v>3</v>
      </c>
      <c r="F18" s="15"/>
      <c r="G18" s="15"/>
      <c r="H18" s="15"/>
      <c r="I18" s="16">
        <f t="shared" si="1"/>
        <v>4</v>
      </c>
      <c r="J18" s="17">
        <f>4*1750</f>
        <v>7000</v>
      </c>
      <c r="K18" s="17"/>
      <c r="L18" s="17"/>
      <c r="M18" s="17"/>
      <c r="N18" s="17">
        <f t="shared" si="2"/>
        <v>1260</v>
      </c>
      <c r="O18" s="18">
        <f t="shared" si="0"/>
        <v>1435</v>
      </c>
      <c r="P18" s="17"/>
      <c r="Q18" s="17">
        <f t="shared" si="3"/>
        <v>8435</v>
      </c>
      <c r="R18" s="18">
        <f t="shared" si="4"/>
        <v>8435</v>
      </c>
      <c r="S18" s="18">
        <f t="shared" si="5"/>
        <v>0</v>
      </c>
    </row>
    <row r="19" spans="1:20" x14ac:dyDescent="0.3">
      <c r="A19" s="70" t="s">
        <v>89</v>
      </c>
      <c r="B19" s="70"/>
      <c r="C19" s="70"/>
      <c r="D19" s="15">
        <v>7</v>
      </c>
      <c r="E19" s="15">
        <v>9</v>
      </c>
      <c r="F19" s="15"/>
      <c r="G19" s="15">
        <v>2</v>
      </c>
      <c r="H19" s="15"/>
      <c r="I19" s="16">
        <f t="shared" si="1"/>
        <v>18</v>
      </c>
      <c r="J19" s="17">
        <f>18*1750</f>
        <v>31500</v>
      </c>
      <c r="K19" s="17">
        <v>15470</v>
      </c>
      <c r="L19" s="17"/>
      <c r="M19" s="17"/>
      <c r="N19" s="17">
        <f t="shared" si="2"/>
        <v>5670</v>
      </c>
      <c r="O19" s="18">
        <f t="shared" si="0"/>
        <v>10325</v>
      </c>
      <c r="P19" s="17"/>
      <c r="Q19" s="17">
        <f t="shared" si="3"/>
        <v>57295</v>
      </c>
      <c r="R19" s="18">
        <f t="shared" si="4"/>
        <v>57295</v>
      </c>
      <c r="S19" s="18">
        <f t="shared" si="5"/>
        <v>0</v>
      </c>
    </row>
    <row r="20" spans="1:20" x14ac:dyDescent="0.3">
      <c r="A20" s="70" t="s">
        <v>90</v>
      </c>
      <c r="B20" s="70"/>
      <c r="C20" s="70"/>
      <c r="D20" s="15">
        <v>3</v>
      </c>
      <c r="E20" s="15"/>
      <c r="F20" s="15"/>
      <c r="G20" s="15">
        <v>1</v>
      </c>
      <c r="H20" s="15"/>
      <c r="I20" s="16">
        <f t="shared" si="1"/>
        <v>4</v>
      </c>
      <c r="J20" s="17">
        <f>4*1750</f>
        <v>7000</v>
      </c>
      <c r="K20" s="17">
        <v>30184</v>
      </c>
      <c r="L20" s="17"/>
      <c r="M20" s="17"/>
      <c r="N20" s="17">
        <f t="shared" si="2"/>
        <v>1260</v>
      </c>
      <c r="O20" s="18">
        <f t="shared" si="0"/>
        <v>8981</v>
      </c>
      <c r="P20" s="17"/>
      <c r="Q20" s="17">
        <f t="shared" si="3"/>
        <v>46165</v>
      </c>
      <c r="R20" s="18">
        <f t="shared" si="4"/>
        <v>46165</v>
      </c>
      <c r="S20" s="18">
        <f t="shared" si="5"/>
        <v>0</v>
      </c>
    </row>
    <row r="21" spans="1:20" x14ac:dyDescent="0.3">
      <c r="A21" s="70" t="s">
        <v>91</v>
      </c>
      <c r="B21" s="70"/>
      <c r="C21" s="70"/>
      <c r="D21" s="15"/>
      <c r="E21" s="15">
        <v>6</v>
      </c>
      <c r="F21" s="15"/>
      <c r="G21" s="15"/>
      <c r="H21" s="15"/>
      <c r="I21" s="16">
        <f t="shared" si="1"/>
        <v>6</v>
      </c>
      <c r="J21" s="17">
        <f>6*1750</f>
        <v>10500</v>
      </c>
      <c r="K21" s="17"/>
      <c r="L21" s="17"/>
      <c r="M21" s="17"/>
      <c r="N21" s="17">
        <f t="shared" si="2"/>
        <v>1890</v>
      </c>
      <c r="O21" s="18">
        <f t="shared" si="0"/>
        <v>2152.5</v>
      </c>
      <c r="P21" s="17"/>
      <c r="Q21" s="17">
        <f t="shared" si="3"/>
        <v>12652.5</v>
      </c>
      <c r="R21" s="18">
        <f t="shared" si="4"/>
        <v>12652.5</v>
      </c>
      <c r="S21" s="18">
        <f t="shared" si="5"/>
        <v>0</v>
      </c>
    </row>
    <row r="22" spans="1:20" hidden="1" x14ac:dyDescent="0.3">
      <c r="A22" s="70" t="s">
        <v>42</v>
      </c>
      <c r="B22" s="70"/>
      <c r="C22" s="70"/>
      <c r="D22" s="15"/>
      <c r="E22" s="15"/>
      <c r="F22" s="15"/>
      <c r="G22" s="15"/>
      <c r="H22" s="15"/>
      <c r="I22" s="16">
        <f t="shared" si="1"/>
        <v>0</v>
      </c>
      <c r="J22" s="17"/>
      <c r="K22" s="17"/>
      <c r="L22" s="17"/>
      <c r="M22" s="17"/>
      <c r="N22" s="17"/>
      <c r="O22" s="18">
        <f t="shared" si="0"/>
        <v>0</v>
      </c>
      <c r="P22" s="17"/>
      <c r="Q22" s="17">
        <f t="shared" si="3"/>
        <v>0</v>
      </c>
      <c r="R22" s="18"/>
      <c r="S22" s="18">
        <f t="shared" si="5"/>
        <v>0</v>
      </c>
    </row>
    <row r="23" spans="1:20" hidden="1" x14ac:dyDescent="0.3">
      <c r="A23" s="70" t="s">
        <v>43</v>
      </c>
      <c r="B23" s="70"/>
      <c r="C23" s="70"/>
      <c r="D23" s="15"/>
      <c r="E23" s="15"/>
      <c r="F23" s="15"/>
      <c r="G23" s="15"/>
      <c r="H23" s="15"/>
      <c r="I23" s="16">
        <f t="shared" si="1"/>
        <v>0</v>
      </c>
      <c r="J23" s="17"/>
      <c r="K23" s="17"/>
      <c r="L23" s="17"/>
      <c r="M23" s="17"/>
      <c r="N23" s="17"/>
      <c r="O23" s="18">
        <f t="shared" si="0"/>
        <v>0</v>
      </c>
      <c r="P23" s="17"/>
      <c r="Q23" s="17">
        <f t="shared" si="3"/>
        <v>0</v>
      </c>
      <c r="R23" s="18"/>
      <c r="S23" s="18">
        <f t="shared" si="5"/>
        <v>0</v>
      </c>
    </row>
    <row r="24" spans="1:20" x14ac:dyDescent="0.3">
      <c r="A24" s="71" t="s">
        <v>18</v>
      </c>
      <c r="B24" s="71"/>
      <c r="C24" s="71"/>
      <c r="D24" s="15">
        <f>SUM(D14:D23)</f>
        <v>17</v>
      </c>
      <c r="E24" s="15">
        <f t="shared" ref="E24:I24" si="6">SUM(E14:E23)</f>
        <v>29</v>
      </c>
      <c r="F24" s="15">
        <f t="shared" si="6"/>
        <v>9</v>
      </c>
      <c r="G24" s="15">
        <f t="shared" si="6"/>
        <v>6</v>
      </c>
      <c r="H24" s="15">
        <f t="shared" si="6"/>
        <v>30</v>
      </c>
      <c r="I24" s="19">
        <f t="shared" si="6"/>
        <v>91</v>
      </c>
      <c r="J24" s="20">
        <f>SUM(J14:J23)</f>
        <v>159250</v>
      </c>
      <c r="K24" s="20">
        <f t="shared" ref="K24:S24" si="7">SUM(K14:K23)</f>
        <v>189953</v>
      </c>
      <c r="L24" s="20">
        <f t="shared" si="7"/>
        <v>40000</v>
      </c>
      <c r="M24" s="20">
        <f t="shared" si="7"/>
        <v>0</v>
      </c>
      <c r="N24" s="20">
        <f t="shared" si="7"/>
        <v>28665</v>
      </c>
      <c r="O24" s="20">
        <f t="shared" si="7"/>
        <v>80134.5</v>
      </c>
      <c r="P24" s="20">
        <f t="shared" si="7"/>
        <v>0</v>
      </c>
      <c r="Q24" s="20">
        <f t="shared" si="7"/>
        <v>469337.5</v>
      </c>
      <c r="R24" s="21">
        <f t="shared" si="7"/>
        <v>469337.5</v>
      </c>
      <c r="S24" s="22">
        <f t="shared" si="7"/>
        <v>0</v>
      </c>
      <c r="T24" s="23"/>
    </row>
    <row r="25" spans="1:20" x14ac:dyDescent="0.3">
      <c r="A25" s="24"/>
      <c r="B25" s="24"/>
      <c r="C25" s="24"/>
      <c r="D25" s="25"/>
      <c r="E25" s="25"/>
      <c r="F25" s="25"/>
      <c r="G25" s="25"/>
      <c r="H25" s="25"/>
      <c r="I25" s="25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</row>
    <row r="26" spans="1:20" x14ac:dyDescent="0.3">
      <c r="A26" s="24"/>
      <c r="B26" s="24"/>
      <c r="C26" s="24"/>
      <c r="D26" s="26" t="s">
        <v>29</v>
      </c>
      <c r="E26" s="27"/>
      <c r="F26" s="28"/>
      <c r="G26" s="28"/>
      <c r="H26" s="28"/>
      <c r="I26" s="29"/>
      <c r="J26" s="20">
        <f>IF(I24=0,0,(J24/I24))</f>
        <v>1750</v>
      </c>
      <c r="K26" s="23"/>
      <c r="L26" s="23"/>
      <c r="M26" s="23"/>
      <c r="N26" s="23"/>
      <c r="O26" s="23"/>
      <c r="P26" s="23"/>
      <c r="Q26" s="23"/>
      <c r="R26" s="23"/>
      <c r="S26" s="23"/>
      <c r="T26" s="23"/>
    </row>
    <row r="27" spans="1:20" x14ac:dyDescent="0.3">
      <c r="A27" s="30"/>
      <c r="S27" s="31"/>
    </row>
    <row r="28" spans="1:20" x14ac:dyDescent="0.3">
      <c r="A28" s="69" t="s">
        <v>30</v>
      </c>
      <c r="B28" s="69"/>
      <c r="C28" s="69"/>
      <c r="D28" s="69"/>
      <c r="E28" s="69"/>
      <c r="F28" s="69"/>
      <c r="G28" s="69"/>
      <c r="H28" s="69"/>
      <c r="I28" s="69"/>
      <c r="J28" s="69"/>
      <c r="K28" s="69"/>
      <c r="L28" s="69"/>
      <c r="M28" s="69"/>
      <c r="N28" s="69"/>
      <c r="O28" s="69"/>
      <c r="P28" s="69"/>
    </row>
    <row r="29" spans="1:20" x14ac:dyDescent="0.3">
      <c r="A29" s="32"/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</row>
    <row r="30" spans="1:20" ht="41.25" customHeight="1" x14ac:dyDescent="0.3">
      <c r="A30" s="32" t="s">
        <v>31</v>
      </c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</row>
    <row r="31" spans="1:20" ht="41.25" customHeight="1" x14ac:dyDescent="0.3">
      <c r="A31" s="72" t="str">
        <f>CONCATENATE("participant"," ",J6)</f>
        <v>participant ETF</v>
      </c>
      <c r="B31" s="73"/>
      <c r="C31" s="33" t="s">
        <v>32</v>
      </c>
      <c r="D31" s="70" t="s">
        <v>33</v>
      </c>
      <c r="E31" s="74"/>
      <c r="F31" s="74"/>
      <c r="G31" s="74"/>
      <c r="H31" s="74"/>
      <c r="I31" s="74"/>
      <c r="J31" s="74"/>
      <c r="K31" s="74"/>
      <c r="L31" s="74"/>
      <c r="M31" s="74"/>
      <c r="N31" s="74"/>
      <c r="O31" s="74"/>
      <c r="P31" s="74"/>
    </row>
    <row r="32" spans="1:20" ht="36" customHeight="1" x14ac:dyDescent="0.3">
      <c r="A32" s="75" t="s">
        <v>34</v>
      </c>
      <c r="B32" s="75"/>
      <c r="C32" s="34" t="s">
        <v>138</v>
      </c>
      <c r="D32" s="76" t="s">
        <v>59</v>
      </c>
      <c r="E32" s="77"/>
      <c r="F32" s="77"/>
      <c r="G32" s="77"/>
      <c r="H32" s="77"/>
      <c r="I32" s="77"/>
      <c r="J32" s="77"/>
      <c r="K32" s="77"/>
      <c r="L32" s="77"/>
      <c r="M32" s="77"/>
      <c r="N32" s="77"/>
      <c r="O32" s="77"/>
      <c r="P32" s="77"/>
      <c r="S32" s="31"/>
    </row>
    <row r="33" spans="1:19" ht="29.25" customHeight="1" x14ac:dyDescent="0.3">
      <c r="A33" s="75" t="s">
        <v>35</v>
      </c>
      <c r="B33" s="75"/>
      <c r="C33" s="35">
        <v>67000</v>
      </c>
      <c r="D33" s="77" t="s">
        <v>60</v>
      </c>
      <c r="E33" s="77"/>
      <c r="F33" s="77"/>
      <c r="G33" s="77"/>
      <c r="H33" s="77"/>
      <c r="I33" s="77"/>
      <c r="J33" s="77"/>
      <c r="K33" s="77"/>
      <c r="L33" s="77"/>
      <c r="M33" s="77"/>
      <c r="N33" s="77"/>
      <c r="O33" s="77"/>
      <c r="P33" s="77"/>
      <c r="S33" s="31"/>
    </row>
    <row r="34" spans="1:19" ht="31.5" customHeight="1" x14ac:dyDescent="0.3">
      <c r="A34" s="75" t="s">
        <v>36</v>
      </c>
      <c r="B34" s="75"/>
      <c r="C34" s="35">
        <v>8000</v>
      </c>
      <c r="D34" s="77"/>
      <c r="E34" s="77"/>
      <c r="F34" s="77"/>
      <c r="G34" s="77"/>
      <c r="H34" s="77"/>
      <c r="I34" s="77"/>
      <c r="J34" s="77"/>
      <c r="K34" s="77"/>
      <c r="L34" s="77"/>
      <c r="M34" s="77"/>
      <c r="N34" s="77"/>
      <c r="O34" s="77"/>
      <c r="P34" s="77"/>
      <c r="S34" s="31"/>
    </row>
    <row r="35" spans="1:19" s="36" customFormat="1" x14ac:dyDescent="0.3"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</row>
    <row r="36" spans="1:19" x14ac:dyDescent="0.3"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</row>
    <row r="37" spans="1:19" x14ac:dyDescent="0.3">
      <c r="A37" s="72" t="str">
        <f>CONCATENATE("participant"," ",C9)</f>
        <v xml:space="preserve">participant </v>
      </c>
      <c r="B37" s="73"/>
      <c r="C37" s="33" t="s">
        <v>32</v>
      </c>
      <c r="D37" s="82" t="s">
        <v>33</v>
      </c>
      <c r="E37" s="83"/>
      <c r="F37" s="83"/>
      <c r="G37" s="83"/>
      <c r="H37" s="83"/>
      <c r="I37" s="83"/>
      <c r="J37" s="83"/>
      <c r="K37" s="83"/>
      <c r="L37" s="83"/>
      <c r="M37" s="83"/>
      <c r="N37" s="83"/>
      <c r="O37" s="83"/>
      <c r="P37" s="83"/>
    </row>
    <row r="38" spans="1:19" ht="27.75" customHeight="1" x14ac:dyDescent="0.3">
      <c r="A38" s="75" t="s">
        <v>37</v>
      </c>
      <c r="B38" s="75"/>
      <c r="C38" s="35">
        <v>40000</v>
      </c>
      <c r="D38" s="81" t="s">
        <v>61</v>
      </c>
      <c r="E38" s="77"/>
      <c r="F38" s="77"/>
      <c r="G38" s="77"/>
      <c r="H38" s="77"/>
      <c r="I38" s="77"/>
      <c r="J38" s="77"/>
      <c r="K38" s="77"/>
      <c r="L38" s="77"/>
      <c r="M38" s="77"/>
      <c r="N38" s="77"/>
      <c r="O38" s="77"/>
      <c r="P38" s="77"/>
      <c r="S38" s="31"/>
    </row>
    <row r="39" spans="1:19" ht="25.5" customHeight="1" x14ac:dyDescent="0.3">
      <c r="A39" s="75" t="s">
        <v>38</v>
      </c>
      <c r="B39" s="75"/>
      <c r="C39" s="35"/>
      <c r="D39" s="78" t="s">
        <v>39</v>
      </c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80"/>
      <c r="S39" s="31"/>
    </row>
    <row r="40" spans="1:19" ht="26.25" customHeight="1" x14ac:dyDescent="0.3">
      <c r="A40" s="75" t="s">
        <v>40</v>
      </c>
      <c r="B40" s="75"/>
      <c r="C40" s="35"/>
      <c r="D40" s="81" t="s">
        <v>41</v>
      </c>
      <c r="E40" s="77"/>
      <c r="F40" s="77"/>
      <c r="G40" s="77"/>
      <c r="H40" s="77"/>
      <c r="I40" s="77"/>
      <c r="J40" s="77"/>
      <c r="K40" s="77"/>
      <c r="L40" s="77"/>
      <c r="M40" s="77"/>
      <c r="N40" s="77"/>
      <c r="O40" s="77"/>
      <c r="P40" s="77"/>
      <c r="S40" s="31"/>
    </row>
  </sheetData>
  <protectedRanges>
    <protectedRange sqref="C32:P40 D14:H23 P14:P23 O6 J14:N23 R14:S23" name="Range1"/>
  </protectedRanges>
  <mergeCells count="41">
    <mergeCell ref="A39:B39"/>
    <mergeCell ref="D39:P39"/>
    <mergeCell ref="A40:B40"/>
    <mergeCell ref="D40:P40"/>
    <mergeCell ref="A34:B34"/>
    <mergeCell ref="D34:P34"/>
    <mergeCell ref="A37:B37"/>
    <mergeCell ref="D37:P37"/>
    <mergeCell ref="A38:B38"/>
    <mergeCell ref="D38:P38"/>
    <mergeCell ref="A31:B31"/>
    <mergeCell ref="D31:P31"/>
    <mergeCell ref="A32:B32"/>
    <mergeCell ref="D32:P32"/>
    <mergeCell ref="A33:B33"/>
    <mergeCell ref="D33:P33"/>
    <mergeCell ref="A28:P28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E3:I3"/>
    <mergeCell ref="E4:I4"/>
    <mergeCell ref="L4:N4"/>
    <mergeCell ref="E5:I5"/>
    <mergeCell ref="L5:N5"/>
    <mergeCell ref="E6:I6"/>
    <mergeCell ref="L6:N6"/>
    <mergeCell ref="E7:I7"/>
    <mergeCell ref="L7:N7"/>
    <mergeCell ref="A10:R10"/>
    <mergeCell ref="D12:I12"/>
    <mergeCell ref="J12:R12"/>
  </mergeCells>
  <conditionalFormatting sqref="O4">
    <cfRule type="expression" dxfId="1" priority="1">
      <formula>AND($O$4="",$G$7="")</formula>
    </cfRule>
  </conditionalFormatting>
  <dataValidations count="1">
    <dataValidation type="list" allowBlank="1" showInputMessage="1" showErrorMessage="1" sqref="O6" xr:uid="{00000000-0002-0000-0000-000000000000}">
      <formula1>"70%, 100%"</formula1>
    </dataValidation>
  </dataValidations>
  <pageMargins left="0.7" right="0.7" top="0.75" bottom="0.75" header="0.3" footer="0.3"/>
  <pageSetup scale="53" orientation="landscape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35966-67AE-46C5-99D2-D1E74FD6D8EE}">
  <sheetPr>
    <pageSetUpPr fitToPage="1"/>
  </sheetPr>
  <dimension ref="A1:T40"/>
  <sheetViews>
    <sheetView tabSelected="1" topLeftCell="A27" zoomScaleNormal="100" workbookViewId="0">
      <selection activeCell="C43" sqref="C43"/>
    </sheetView>
  </sheetViews>
  <sheetFormatPr defaultColWidth="11.44140625" defaultRowHeight="14.4" x14ac:dyDescent="0.3"/>
  <cols>
    <col min="1" max="1" width="11.44140625" customWidth="1"/>
    <col min="2" max="2" width="24.77734375" customWidth="1"/>
    <col min="3" max="3" width="14.77734375" customWidth="1"/>
    <col min="4" max="4" width="6" customWidth="1"/>
    <col min="5" max="5" width="5.5546875" customWidth="1"/>
    <col min="6" max="8" width="5.21875" customWidth="1"/>
    <col min="9" max="9" width="7" customWidth="1"/>
    <col min="10" max="13" width="14.21875" customWidth="1"/>
    <col min="14" max="14" width="15.21875" customWidth="1"/>
    <col min="15" max="19" width="14.21875" customWidth="1"/>
  </cols>
  <sheetData>
    <row r="1" spans="1:19" ht="24.6" x14ac:dyDescent="0.3">
      <c r="A1" s="1" t="s">
        <v>0</v>
      </c>
    </row>
    <row r="3" spans="1:19" x14ac:dyDescent="0.3">
      <c r="E3" s="62"/>
      <c r="F3" s="62"/>
      <c r="G3" s="62"/>
      <c r="H3" s="62"/>
      <c r="I3" s="62"/>
    </row>
    <row r="4" spans="1:19" x14ac:dyDescent="0.3">
      <c r="D4" s="2"/>
      <c r="E4" s="63" t="s">
        <v>1</v>
      </c>
      <c r="F4" s="64"/>
      <c r="G4" s="64"/>
      <c r="H4" s="64"/>
      <c r="I4" s="64"/>
      <c r="J4" s="51"/>
      <c r="L4" s="64" t="s">
        <v>2</v>
      </c>
      <c r="M4" s="64"/>
      <c r="N4" s="64"/>
      <c r="O4" s="4">
        <v>0.25</v>
      </c>
    </row>
    <row r="5" spans="1:19" x14ac:dyDescent="0.3">
      <c r="D5" s="2"/>
      <c r="E5" s="63" t="s">
        <v>3</v>
      </c>
      <c r="F5" s="64"/>
      <c r="G5" s="64"/>
      <c r="H5" s="64"/>
      <c r="I5" s="64"/>
      <c r="J5" s="51" t="s">
        <v>67</v>
      </c>
      <c r="L5" s="64" t="s">
        <v>4</v>
      </c>
      <c r="M5" s="64"/>
      <c r="N5" s="64"/>
      <c r="O5" s="4">
        <v>1</v>
      </c>
    </row>
    <row r="6" spans="1:19" x14ac:dyDescent="0.3">
      <c r="D6" s="2"/>
      <c r="E6" s="63" t="s">
        <v>5</v>
      </c>
      <c r="F6" s="64"/>
      <c r="G6" s="64"/>
      <c r="H6" s="64"/>
      <c r="I6" s="64"/>
      <c r="J6" s="51" t="s">
        <v>94</v>
      </c>
      <c r="L6" s="64" t="s">
        <v>6</v>
      </c>
      <c r="M6" s="64"/>
      <c r="N6" s="64"/>
      <c r="O6" s="5">
        <v>0.7</v>
      </c>
      <c r="P6" s="6" t="s">
        <v>7</v>
      </c>
      <c r="Q6" s="6"/>
    </row>
    <row r="7" spans="1:19" x14ac:dyDescent="0.3">
      <c r="E7" s="64" t="s">
        <v>8</v>
      </c>
      <c r="F7" s="64"/>
      <c r="G7" s="64"/>
      <c r="H7" s="64"/>
      <c r="I7" s="64"/>
      <c r="J7" s="51" t="s">
        <v>135</v>
      </c>
      <c r="L7" s="64" t="s">
        <v>9</v>
      </c>
      <c r="M7" s="64"/>
      <c r="N7" s="64"/>
      <c r="O7" s="4">
        <v>1</v>
      </c>
    </row>
    <row r="8" spans="1:19" x14ac:dyDescent="0.3">
      <c r="J8" s="2"/>
      <c r="O8" s="7"/>
    </row>
    <row r="9" spans="1:19" ht="15" thickBot="1" x14ac:dyDescent="0.35"/>
    <row r="10" spans="1:19" ht="16.2" thickBot="1" x14ac:dyDescent="0.35">
      <c r="A10" s="65" t="s">
        <v>10</v>
      </c>
      <c r="B10" s="66"/>
      <c r="C10" s="66"/>
      <c r="D10" s="66"/>
      <c r="E10" s="66"/>
      <c r="F10" s="66"/>
      <c r="G10" s="66"/>
      <c r="H10" s="66"/>
      <c r="I10" s="66"/>
      <c r="J10" s="66"/>
      <c r="K10" s="66"/>
      <c r="L10" s="66"/>
      <c r="M10" s="66"/>
      <c r="N10" s="66"/>
      <c r="O10" s="66"/>
      <c r="P10" s="66"/>
      <c r="Q10" s="66"/>
      <c r="R10" s="66"/>
      <c r="S10" s="8"/>
    </row>
    <row r="12" spans="1:19" ht="15.6" x14ac:dyDescent="0.3">
      <c r="D12" s="67" t="s">
        <v>11</v>
      </c>
      <c r="E12" s="67"/>
      <c r="F12" s="67"/>
      <c r="G12" s="67"/>
      <c r="H12" s="67"/>
      <c r="I12" s="67"/>
      <c r="J12" s="68" t="s">
        <v>12</v>
      </c>
      <c r="K12" s="68"/>
      <c r="L12" s="68"/>
      <c r="M12" s="68"/>
      <c r="N12" s="68"/>
      <c r="O12" s="68"/>
      <c r="P12" s="68"/>
      <c r="Q12" s="68"/>
      <c r="R12" s="68"/>
      <c r="S12" s="9"/>
    </row>
    <row r="13" spans="1:19" s="14" customFormat="1" ht="90" customHeight="1" x14ac:dyDescent="0.25">
      <c r="A13" s="61" t="s">
        <v>53</v>
      </c>
      <c r="B13" s="61"/>
      <c r="C13" s="61"/>
      <c r="D13" s="53" t="s">
        <v>62</v>
      </c>
      <c r="E13" s="10" t="s">
        <v>63</v>
      </c>
      <c r="F13" s="10" t="s">
        <v>15</v>
      </c>
      <c r="G13" s="10" t="s">
        <v>16</v>
      </c>
      <c r="H13" s="10" t="s">
        <v>17</v>
      </c>
      <c r="I13" s="11" t="s">
        <v>18</v>
      </c>
      <c r="J13" s="47" t="s">
        <v>19</v>
      </c>
      <c r="K13" s="47" t="s">
        <v>20</v>
      </c>
      <c r="L13" s="47" t="s">
        <v>21</v>
      </c>
      <c r="M13" s="47" t="s">
        <v>22</v>
      </c>
      <c r="N13" s="47" t="s">
        <v>23</v>
      </c>
      <c r="O13" s="47" t="s">
        <v>24</v>
      </c>
      <c r="P13" s="47" t="s">
        <v>25</v>
      </c>
      <c r="Q13" s="47" t="s">
        <v>26</v>
      </c>
      <c r="R13" s="13" t="s">
        <v>27</v>
      </c>
      <c r="S13" s="47" t="s">
        <v>28</v>
      </c>
    </row>
    <row r="14" spans="1:19" x14ac:dyDescent="0.3">
      <c r="A14" s="70" t="s">
        <v>85</v>
      </c>
      <c r="B14" s="70"/>
      <c r="C14" s="70"/>
      <c r="D14" s="15"/>
      <c r="E14" s="15"/>
      <c r="F14" s="15"/>
      <c r="G14" s="15"/>
      <c r="H14" s="15">
        <v>3</v>
      </c>
      <c r="I14" s="16">
        <f>+SUM(D14:H14)</f>
        <v>3</v>
      </c>
      <c r="J14" s="17">
        <f>3*4480</f>
        <v>13440</v>
      </c>
      <c r="K14" s="17">
        <v>11720</v>
      </c>
      <c r="L14" s="17"/>
      <c r="M14" s="17"/>
      <c r="N14" s="17">
        <f>0.2*J14</f>
        <v>2688</v>
      </c>
      <c r="O14" s="18">
        <f t="shared" ref="O14:O23" si="0">+$O$4*(J14+K14-N14)</f>
        <v>5618</v>
      </c>
      <c r="P14" s="17"/>
      <c r="Q14" s="17">
        <f>+J14+K14+L14+M14+O14+P14</f>
        <v>30778</v>
      </c>
      <c r="R14" s="18">
        <f>0.7*Q14</f>
        <v>21544.6</v>
      </c>
      <c r="S14" s="18">
        <f>+Q14-R14</f>
        <v>9233.4000000000015</v>
      </c>
    </row>
    <row r="15" spans="1:19" x14ac:dyDescent="0.3">
      <c r="A15" s="70" t="s">
        <v>130</v>
      </c>
      <c r="B15" s="70"/>
      <c r="C15" s="70"/>
      <c r="D15" s="15">
        <v>1</v>
      </c>
      <c r="E15" s="15"/>
      <c r="F15" s="15"/>
      <c r="G15" s="15"/>
      <c r="H15" s="15">
        <v>4</v>
      </c>
      <c r="I15" s="16">
        <f t="shared" ref="I15:I23" si="1">+SUM(D15:H15)</f>
        <v>5</v>
      </c>
      <c r="J15" s="17">
        <f>5*4480</f>
        <v>22400</v>
      </c>
      <c r="K15" s="17">
        <v>30000</v>
      </c>
      <c r="L15" s="17"/>
      <c r="M15" s="17"/>
      <c r="N15" s="17">
        <f t="shared" ref="N15:N21" si="2">0.2*J15</f>
        <v>4480</v>
      </c>
      <c r="O15" s="18">
        <f t="shared" si="0"/>
        <v>11980</v>
      </c>
      <c r="P15" s="17"/>
      <c r="Q15" s="17">
        <f t="shared" ref="Q15:Q23" si="3">+J15+K15+L15+M15+O15+P15</f>
        <v>64380</v>
      </c>
      <c r="R15" s="18">
        <f t="shared" ref="R15:R21" si="4">0.7*Q15</f>
        <v>45066</v>
      </c>
      <c r="S15" s="18">
        <f t="shared" ref="S15:S23" si="5">+Q15-R15</f>
        <v>19314</v>
      </c>
    </row>
    <row r="16" spans="1:19" x14ac:dyDescent="0.3">
      <c r="A16" s="70" t="s">
        <v>86</v>
      </c>
      <c r="B16" s="70"/>
      <c r="C16" s="70"/>
      <c r="D16" s="15">
        <v>11</v>
      </c>
      <c r="E16" s="15">
        <v>4</v>
      </c>
      <c r="F16" s="15"/>
      <c r="G16" s="15"/>
      <c r="H16" s="15"/>
      <c r="I16" s="16">
        <f t="shared" si="1"/>
        <v>15</v>
      </c>
      <c r="J16" s="17">
        <f>15*4480</f>
        <v>67200</v>
      </c>
      <c r="K16" s="17"/>
      <c r="L16" s="17">
        <v>20000</v>
      </c>
      <c r="M16" s="17"/>
      <c r="N16" s="17">
        <f t="shared" si="2"/>
        <v>13440</v>
      </c>
      <c r="O16" s="18">
        <f t="shared" si="0"/>
        <v>13440</v>
      </c>
      <c r="P16" s="17"/>
      <c r="Q16" s="17">
        <f t="shared" si="3"/>
        <v>100640</v>
      </c>
      <c r="R16" s="18">
        <f t="shared" si="4"/>
        <v>70448</v>
      </c>
      <c r="S16" s="18">
        <f t="shared" si="5"/>
        <v>30192</v>
      </c>
    </row>
    <row r="17" spans="1:20" x14ac:dyDescent="0.3">
      <c r="A17" s="70" t="s">
        <v>87</v>
      </c>
      <c r="B17" s="70"/>
      <c r="C17" s="70"/>
      <c r="D17" s="15">
        <v>2</v>
      </c>
      <c r="E17" s="15">
        <v>2</v>
      </c>
      <c r="F17" s="15"/>
      <c r="G17" s="15"/>
      <c r="H17" s="15"/>
      <c r="I17" s="16">
        <f t="shared" si="1"/>
        <v>4</v>
      </c>
      <c r="J17" s="17">
        <f>4*4480</f>
        <v>17920</v>
      </c>
      <c r="K17" s="17">
        <v>10486</v>
      </c>
      <c r="L17" s="17"/>
      <c r="M17" s="17"/>
      <c r="N17" s="17">
        <f t="shared" si="2"/>
        <v>3584</v>
      </c>
      <c r="O17" s="18">
        <f t="shared" si="0"/>
        <v>6205.5</v>
      </c>
      <c r="P17" s="17"/>
      <c r="Q17" s="17">
        <f t="shared" si="3"/>
        <v>34611.5</v>
      </c>
      <c r="R17" s="18">
        <f t="shared" si="4"/>
        <v>24228.05</v>
      </c>
      <c r="S17" s="18">
        <f t="shared" si="5"/>
        <v>10383.450000000001</v>
      </c>
    </row>
    <row r="18" spans="1:20" x14ac:dyDescent="0.3">
      <c r="A18" s="70" t="s">
        <v>88</v>
      </c>
      <c r="B18" s="70"/>
      <c r="C18" s="70"/>
      <c r="D18" s="15">
        <v>2</v>
      </c>
      <c r="E18" s="15"/>
      <c r="F18" s="15"/>
      <c r="G18" s="15"/>
      <c r="H18" s="15"/>
      <c r="I18" s="16">
        <f t="shared" si="1"/>
        <v>2</v>
      </c>
      <c r="J18" s="17">
        <f>2*4480</f>
        <v>8960</v>
      </c>
      <c r="K18" s="17">
        <v>11440</v>
      </c>
      <c r="L18" s="17"/>
      <c r="M18" s="17"/>
      <c r="N18" s="17">
        <f t="shared" si="2"/>
        <v>1792</v>
      </c>
      <c r="O18" s="18">
        <f t="shared" si="0"/>
        <v>4652</v>
      </c>
      <c r="P18" s="17"/>
      <c r="Q18" s="17">
        <f t="shared" si="3"/>
        <v>25052</v>
      </c>
      <c r="R18" s="18">
        <f t="shared" si="4"/>
        <v>17536.399999999998</v>
      </c>
      <c r="S18" s="18">
        <f t="shared" si="5"/>
        <v>7515.6000000000022</v>
      </c>
    </row>
    <row r="19" spans="1:20" x14ac:dyDescent="0.3">
      <c r="A19" s="70" t="s">
        <v>89</v>
      </c>
      <c r="B19" s="70"/>
      <c r="C19" s="70"/>
      <c r="D19" s="15">
        <v>5</v>
      </c>
      <c r="E19" s="15">
        <v>1</v>
      </c>
      <c r="F19" s="15"/>
      <c r="G19" s="15"/>
      <c r="H19" s="15"/>
      <c r="I19" s="16">
        <f t="shared" si="1"/>
        <v>6</v>
      </c>
      <c r="J19" s="17">
        <f>6*4480</f>
        <v>26880</v>
      </c>
      <c r="K19" s="17">
        <f>9120+30000</f>
        <v>39120</v>
      </c>
      <c r="L19" s="17"/>
      <c r="M19" s="17"/>
      <c r="N19" s="17">
        <f t="shared" si="2"/>
        <v>5376</v>
      </c>
      <c r="O19" s="18">
        <f t="shared" si="0"/>
        <v>15156</v>
      </c>
      <c r="P19" s="17"/>
      <c r="Q19" s="17">
        <f t="shared" si="3"/>
        <v>81156</v>
      </c>
      <c r="R19" s="18">
        <f t="shared" si="4"/>
        <v>56809.2</v>
      </c>
      <c r="S19" s="18">
        <f t="shared" si="5"/>
        <v>24346.800000000003</v>
      </c>
    </row>
    <row r="20" spans="1:20" x14ac:dyDescent="0.3">
      <c r="A20" s="70" t="s">
        <v>90</v>
      </c>
      <c r="B20" s="70"/>
      <c r="C20" s="70"/>
      <c r="D20" s="15"/>
      <c r="E20" s="15">
        <v>2</v>
      </c>
      <c r="F20" s="15"/>
      <c r="G20" s="15"/>
      <c r="H20" s="15"/>
      <c r="I20" s="16">
        <f t="shared" si="1"/>
        <v>2</v>
      </c>
      <c r="J20" s="17">
        <f>2*4480</f>
        <v>8960</v>
      </c>
      <c r="K20" s="17"/>
      <c r="L20" s="17"/>
      <c r="M20" s="17"/>
      <c r="N20" s="17">
        <f t="shared" si="2"/>
        <v>1792</v>
      </c>
      <c r="O20" s="18">
        <f t="shared" si="0"/>
        <v>1792</v>
      </c>
      <c r="P20" s="17"/>
      <c r="Q20" s="17">
        <f t="shared" si="3"/>
        <v>10752</v>
      </c>
      <c r="R20" s="18">
        <f t="shared" si="4"/>
        <v>7526.4</v>
      </c>
      <c r="S20" s="18">
        <f t="shared" si="5"/>
        <v>3225.6000000000004</v>
      </c>
    </row>
    <row r="21" spans="1:20" x14ac:dyDescent="0.3">
      <c r="A21" s="70" t="s">
        <v>91</v>
      </c>
      <c r="B21" s="70"/>
      <c r="C21" s="70"/>
      <c r="D21" s="15"/>
      <c r="E21" s="15">
        <v>2</v>
      </c>
      <c r="F21" s="15"/>
      <c r="G21" s="15"/>
      <c r="H21" s="15"/>
      <c r="I21" s="16">
        <f t="shared" si="1"/>
        <v>2</v>
      </c>
      <c r="J21" s="17">
        <f>2*4480</f>
        <v>8960</v>
      </c>
      <c r="K21" s="17">
        <v>14640</v>
      </c>
      <c r="L21" s="17"/>
      <c r="M21" s="17"/>
      <c r="N21" s="17">
        <f t="shared" si="2"/>
        <v>1792</v>
      </c>
      <c r="O21" s="18">
        <f t="shared" si="0"/>
        <v>5452</v>
      </c>
      <c r="P21" s="17"/>
      <c r="Q21" s="17">
        <f t="shared" si="3"/>
        <v>29052</v>
      </c>
      <c r="R21" s="18">
        <f t="shared" si="4"/>
        <v>20336.399999999998</v>
      </c>
      <c r="S21" s="18">
        <f t="shared" si="5"/>
        <v>8715.6000000000022</v>
      </c>
    </row>
    <row r="22" spans="1:20" hidden="1" x14ac:dyDescent="0.3">
      <c r="A22" s="70" t="s">
        <v>42</v>
      </c>
      <c r="B22" s="70"/>
      <c r="C22" s="70"/>
      <c r="D22" s="15"/>
      <c r="E22" s="15"/>
      <c r="F22" s="15"/>
      <c r="G22" s="15"/>
      <c r="H22" s="15"/>
      <c r="I22" s="16">
        <f t="shared" si="1"/>
        <v>0</v>
      </c>
      <c r="J22" s="17"/>
      <c r="K22" s="17"/>
      <c r="L22" s="17"/>
      <c r="M22" s="17"/>
      <c r="N22" s="17"/>
      <c r="O22" s="18">
        <f t="shared" si="0"/>
        <v>0</v>
      </c>
      <c r="P22" s="17"/>
      <c r="Q22" s="17">
        <f t="shared" si="3"/>
        <v>0</v>
      </c>
      <c r="R22" s="18"/>
      <c r="S22" s="18">
        <f t="shared" si="5"/>
        <v>0</v>
      </c>
    </row>
    <row r="23" spans="1:20" hidden="1" x14ac:dyDescent="0.3">
      <c r="A23" s="70" t="s">
        <v>43</v>
      </c>
      <c r="B23" s="70"/>
      <c r="C23" s="70"/>
      <c r="D23" s="15"/>
      <c r="E23" s="15"/>
      <c r="F23" s="15"/>
      <c r="G23" s="15"/>
      <c r="H23" s="15"/>
      <c r="I23" s="16">
        <f t="shared" si="1"/>
        <v>0</v>
      </c>
      <c r="J23" s="17"/>
      <c r="K23" s="17"/>
      <c r="L23" s="17"/>
      <c r="M23" s="17"/>
      <c r="N23" s="17"/>
      <c r="O23" s="18">
        <f t="shared" si="0"/>
        <v>0</v>
      </c>
      <c r="P23" s="17"/>
      <c r="Q23" s="17">
        <f t="shared" si="3"/>
        <v>0</v>
      </c>
      <c r="R23" s="18"/>
      <c r="S23" s="18">
        <f t="shared" si="5"/>
        <v>0</v>
      </c>
    </row>
    <row r="24" spans="1:20" x14ac:dyDescent="0.3">
      <c r="A24" s="71" t="s">
        <v>18</v>
      </c>
      <c r="B24" s="71"/>
      <c r="C24" s="71"/>
      <c r="D24" s="15">
        <f>SUM(D14:D23)</f>
        <v>21</v>
      </c>
      <c r="E24" s="15">
        <f t="shared" ref="E24:I24" si="6">SUM(E14:E23)</f>
        <v>11</v>
      </c>
      <c r="F24" s="15">
        <f t="shared" si="6"/>
        <v>0</v>
      </c>
      <c r="G24" s="15">
        <f t="shared" si="6"/>
        <v>0</v>
      </c>
      <c r="H24" s="15">
        <f t="shared" si="6"/>
        <v>7</v>
      </c>
      <c r="I24" s="19">
        <f t="shared" si="6"/>
        <v>39</v>
      </c>
      <c r="J24" s="20">
        <f>SUM(J14:J23)</f>
        <v>174720</v>
      </c>
      <c r="K24" s="20">
        <f t="shared" ref="K24:S24" si="7">SUM(K14:K23)</f>
        <v>117406</v>
      </c>
      <c r="L24" s="20">
        <f t="shared" si="7"/>
        <v>20000</v>
      </c>
      <c r="M24" s="20">
        <f t="shared" si="7"/>
        <v>0</v>
      </c>
      <c r="N24" s="20">
        <f t="shared" si="7"/>
        <v>34944</v>
      </c>
      <c r="O24" s="20">
        <f t="shared" si="7"/>
        <v>64295.5</v>
      </c>
      <c r="P24" s="20">
        <f t="shared" si="7"/>
        <v>0</v>
      </c>
      <c r="Q24" s="20">
        <f t="shared" si="7"/>
        <v>376421.5</v>
      </c>
      <c r="R24" s="21">
        <f t="shared" si="7"/>
        <v>263495.05</v>
      </c>
      <c r="S24" s="22">
        <f t="shared" si="7"/>
        <v>112926.45000000003</v>
      </c>
      <c r="T24" s="23"/>
    </row>
    <row r="25" spans="1:20" x14ac:dyDescent="0.3">
      <c r="A25" s="24"/>
      <c r="B25" s="24"/>
      <c r="C25" s="24"/>
      <c r="D25" s="25"/>
      <c r="E25" s="25"/>
      <c r="F25" s="25"/>
      <c r="G25" s="25"/>
      <c r="H25" s="25"/>
      <c r="I25" s="25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</row>
    <row r="26" spans="1:20" x14ac:dyDescent="0.3">
      <c r="A26" s="24"/>
      <c r="B26" s="24"/>
      <c r="C26" s="24"/>
      <c r="D26" s="26" t="s">
        <v>29</v>
      </c>
      <c r="E26" s="27"/>
      <c r="F26" s="28"/>
      <c r="G26" s="28"/>
      <c r="H26" s="28"/>
      <c r="I26" s="29"/>
      <c r="J26" s="20">
        <f>IF(I24=0,0,(J24/I24))</f>
        <v>4480</v>
      </c>
      <c r="K26" s="23"/>
      <c r="L26" s="23"/>
      <c r="M26" s="23"/>
      <c r="N26" s="23"/>
      <c r="O26" s="23"/>
      <c r="P26" s="23"/>
      <c r="Q26" s="23"/>
      <c r="R26" s="23"/>
      <c r="S26" s="23"/>
      <c r="T26" s="23"/>
    </row>
    <row r="27" spans="1:20" x14ac:dyDescent="0.3">
      <c r="A27" s="30"/>
      <c r="S27" s="31"/>
    </row>
    <row r="28" spans="1:20" x14ac:dyDescent="0.3">
      <c r="A28" s="69" t="s">
        <v>30</v>
      </c>
      <c r="B28" s="69"/>
      <c r="C28" s="69"/>
      <c r="D28" s="69"/>
      <c r="E28" s="69"/>
      <c r="F28" s="69"/>
      <c r="G28" s="69"/>
      <c r="H28" s="69"/>
      <c r="I28" s="69"/>
      <c r="J28" s="69"/>
      <c r="K28" s="69"/>
      <c r="L28" s="69"/>
      <c r="M28" s="69"/>
      <c r="N28" s="69"/>
      <c r="O28" s="69"/>
      <c r="P28" s="69"/>
    </row>
    <row r="29" spans="1:20" x14ac:dyDescent="0.3">
      <c r="A29" s="50"/>
      <c r="B29" s="50"/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0"/>
    </row>
    <row r="30" spans="1:20" ht="41.25" customHeight="1" x14ac:dyDescent="0.3">
      <c r="A30" s="50" t="s">
        <v>31</v>
      </c>
      <c r="B30" s="50"/>
      <c r="C30" s="50"/>
      <c r="D30" s="50"/>
      <c r="E30" s="50"/>
      <c r="F30" s="50"/>
      <c r="G30" s="50"/>
      <c r="H30" s="50"/>
      <c r="I30" s="50"/>
      <c r="J30" s="50"/>
      <c r="K30" s="50"/>
      <c r="L30" s="50"/>
      <c r="M30" s="50"/>
      <c r="N30" s="50"/>
      <c r="O30" s="50"/>
      <c r="P30" s="50"/>
    </row>
    <row r="31" spans="1:20" ht="41.25" customHeight="1" x14ac:dyDescent="0.3">
      <c r="A31" s="72" t="str">
        <f>CONCATENATE("participant"," ",J6)</f>
        <v>participant CIS</v>
      </c>
      <c r="B31" s="73"/>
      <c r="C31" s="49" t="s">
        <v>32</v>
      </c>
      <c r="D31" s="70" t="s">
        <v>33</v>
      </c>
      <c r="E31" s="74"/>
      <c r="F31" s="74"/>
      <c r="G31" s="74"/>
      <c r="H31" s="74"/>
      <c r="I31" s="74"/>
      <c r="J31" s="74"/>
      <c r="K31" s="74"/>
      <c r="L31" s="74"/>
      <c r="M31" s="74"/>
      <c r="N31" s="74"/>
      <c r="O31" s="74"/>
      <c r="P31" s="74"/>
    </row>
    <row r="32" spans="1:20" ht="36" customHeight="1" x14ac:dyDescent="0.3">
      <c r="A32" s="75" t="s">
        <v>34</v>
      </c>
      <c r="B32" s="75"/>
      <c r="C32" s="86">
        <v>51406</v>
      </c>
      <c r="D32" s="76" t="s">
        <v>59</v>
      </c>
      <c r="E32" s="77"/>
      <c r="F32" s="77"/>
      <c r="G32" s="77"/>
      <c r="H32" s="77"/>
      <c r="I32" s="77"/>
      <c r="J32" s="77"/>
      <c r="K32" s="77"/>
      <c r="L32" s="77"/>
      <c r="M32" s="77"/>
      <c r="N32" s="77"/>
      <c r="O32" s="77"/>
      <c r="P32" s="77"/>
      <c r="S32" s="31"/>
    </row>
    <row r="33" spans="1:19" ht="29.25" customHeight="1" x14ac:dyDescent="0.3">
      <c r="A33" s="75" t="s">
        <v>35</v>
      </c>
      <c r="B33" s="75"/>
      <c r="C33" s="35">
        <v>60000</v>
      </c>
      <c r="D33" s="77" t="s">
        <v>60</v>
      </c>
      <c r="E33" s="77"/>
      <c r="F33" s="77"/>
      <c r="G33" s="77"/>
      <c r="H33" s="77"/>
      <c r="I33" s="77"/>
      <c r="J33" s="77"/>
      <c r="K33" s="77"/>
      <c r="L33" s="77"/>
      <c r="M33" s="77"/>
      <c r="N33" s="77"/>
      <c r="O33" s="77"/>
      <c r="P33" s="77"/>
      <c r="S33" s="31"/>
    </row>
    <row r="34" spans="1:19" ht="31.5" customHeight="1" x14ac:dyDescent="0.3">
      <c r="A34" s="75" t="s">
        <v>36</v>
      </c>
      <c r="B34" s="75"/>
      <c r="C34" s="35">
        <v>19000</v>
      </c>
      <c r="D34" s="77"/>
      <c r="E34" s="77"/>
      <c r="F34" s="77"/>
      <c r="G34" s="77"/>
      <c r="H34" s="77"/>
      <c r="I34" s="77"/>
      <c r="J34" s="77"/>
      <c r="K34" s="77"/>
      <c r="L34" s="77"/>
      <c r="M34" s="77"/>
      <c r="N34" s="77"/>
      <c r="O34" s="77"/>
      <c r="P34" s="77"/>
      <c r="S34" s="31"/>
    </row>
    <row r="35" spans="1:19" s="36" customFormat="1" x14ac:dyDescent="0.3"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</row>
    <row r="36" spans="1:19" x14ac:dyDescent="0.3"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</row>
    <row r="37" spans="1:19" x14ac:dyDescent="0.3">
      <c r="A37" s="72" t="str">
        <f>CONCATENATE("participant"," ",C9)</f>
        <v xml:space="preserve">participant </v>
      </c>
      <c r="B37" s="73"/>
      <c r="C37" s="49" t="s">
        <v>32</v>
      </c>
      <c r="D37" s="82" t="s">
        <v>33</v>
      </c>
      <c r="E37" s="83"/>
      <c r="F37" s="83"/>
      <c r="G37" s="83"/>
      <c r="H37" s="83"/>
      <c r="I37" s="83"/>
      <c r="J37" s="83"/>
      <c r="K37" s="83"/>
      <c r="L37" s="83"/>
      <c r="M37" s="83"/>
      <c r="N37" s="83"/>
      <c r="O37" s="83"/>
      <c r="P37" s="83"/>
    </row>
    <row r="38" spans="1:19" ht="27.75" customHeight="1" x14ac:dyDescent="0.3">
      <c r="A38" s="75" t="s">
        <v>37</v>
      </c>
      <c r="B38" s="75"/>
      <c r="C38" s="35"/>
      <c r="D38" s="81" t="s">
        <v>61</v>
      </c>
      <c r="E38" s="77"/>
      <c r="F38" s="77"/>
      <c r="G38" s="77"/>
      <c r="H38" s="77"/>
      <c r="I38" s="77"/>
      <c r="J38" s="77"/>
      <c r="K38" s="77"/>
      <c r="L38" s="77"/>
      <c r="M38" s="77"/>
      <c r="N38" s="77"/>
      <c r="O38" s="77"/>
      <c r="P38" s="77"/>
      <c r="S38" s="31"/>
    </row>
    <row r="39" spans="1:19" ht="25.5" customHeight="1" x14ac:dyDescent="0.3">
      <c r="A39" s="75" t="s">
        <v>38</v>
      </c>
      <c r="B39" s="75"/>
      <c r="C39" s="35"/>
      <c r="D39" s="78" t="s">
        <v>39</v>
      </c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80"/>
      <c r="S39" s="31"/>
    </row>
    <row r="40" spans="1:19" ht="26.25" customHeight="1" x14ac:dyDescent="0.3">
      <c r="A40" s="75" t="s">
        <v>40</v>
      </c>
      <c r="B40" s="75"/>
      <c r="C40" s="35"/>
      <c r="D40" s="81" t="s">
        <v>41</v>
      </c>
      <c r="E40" s="77"/>
      <c r="F40" s="77"/>
      <c r="G40" s="77"/>
      <c r="H40" s="77"/>
      <c r="I40" s="77"/>
      <c r="J40" s="77"/>
      <c r="K40" s="77"/>
      <c r="L40" s="77"/>
      <c r="M40" s="77"/>
      <c r="N40" s="77"/>
      <c r="O40" s="77"/>
      <c r="P40" s="77"/>
      <c r="S40" s="31"/>
    </row>
  </sheetData>
  <protectedRanges>
    <protectedRange sqref="C32:P40 D14:H23 P14:P23 O6 J14:N23 R14:S23" name="Range1"/>
  </protectedRanges>
  <mergeCells count="41">
    <mergeCell ref="A39:B39"/>
    <mergeCell ref="D39:P39"/>
    <mergeCell ref="A40:B40"/>
    <mergeCell ref="D40:P40"/>
    <mergeCell ref="A34:B34"/>
    <mergeCell ref="D34:P34"/>
    <mergeCell ref="A37:B37"/>
    <mergeCell ref="D37:P37"/>
    <mergeCell ref="A38:B38"/>
    <mergeCell ref="D38:P38"/>
    <mergeCell ref="A31:B31"/>
    <mergeCell ref="D31:P31"/>
    <mergeCell ref="A32:B32"/>
    <mergeCell ref="D32:P32"/>
    <mergeCell ref="A33:B33"/>
    <mergeCell ref="D33:P33"/>
    <mergeCell ref="A28:P28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E3:I3"/>
    <mergeCell ref="E4:I4"/>
    <mergeCell ref="L4:N4"/>
    <mergeCell ref="E5:I5"/>
    <mergeCell ref="L5:N5"/>
    <mergeCell ref="E6:I6"/>
    <mergeCell ref="L6:N6"/>
    <mergeCell ref="E7:I7"/>
    <mergeCell ref="L7:N7"/>
    <mergeCell ref="A10:R10"/>
    <mergeCell ref="D12:I12"/>
    <mergeCell ref="J12:R12"/>
  </mergeCells>
  <conditionalFormatting sqref="O4">
    <cfRule type="expression" dxfId="0" priority="1">
      <formula>AND($O$4="",$G$7="")</formula>
    </cfRule>
  </conditionalFormatting>
  <dataValidations count="1">
    <dataValidation type="list" allowBlank="1" showInputMessage="1" showErrorMessage="1" sqref="O6" xr:uid="{1CA1ACB4-7C73-43D3-BF38-3F2AE2FE436B}">
      <formula1>"70%, 100%"</formula1>
    </dataValidation>
  </dataValidations>
  <pageMargins left="0.7" right="0.7" top="0.75" bottom="0.75" header="0.3" footer="0.3"/>
  <pageSetup scale="53" orientation="landscape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B1:T65"/>
  <sheetViews>
    <sheetView zoomScale="85" zoomScaleNormal="85" workbookViewId="0">
      <selection activeCell="P7" sqref="P7"/>
    </sheetView>
  </sheetViews>
  <sheetFormatPr defaultRowHeight="14.4" x14ac:dyDescent="0.3"/>
  <cols>
    <col min="4" max="4" width="29.88671875" customWidth="1"/>
    <col min="6" max="6" width="16.21875" bestFit="1" customWidth="1"/>
    <col min="7" max="7" width="17.77734375" bestFit="1" customWidth="1"/>
    <col min="18" max="18" width="12" customWidth="1"/>
    <col min="19" max="19" width="10.6640625" customWidth="1"/>
    <col min="20" max="20" width="16.77734375" customWidth="1"/>
  </cols>
  <sheetData>
    <row r="1" spans="2:16" ht="15" thickBot="1" x14ac:dyDescent="0.35"/>
    <row r="2" spans="2:16" ht="18.600000000000001" thickBot="1" x14ac:dyDescent="0.4">
      <c r="B2" s="84" t="s">
        <v>44</v>
      </c>
      <c r="C2" s="85"/>
      <c r="D2" s="43">
        <f>SUM(P5:P38)</f>
        <v>469847</v>
      </c>
    </row>
    <row r="3" spans="2:16" ht="43.2" x14ac:dyDescent="0.3">
      <c r="N3" s="38" t="s">
        <v>100</v>
      </c>
      <c r="O3" s="38" t="s">
        <v>101</v>
      </c>
    </row>
    <row r="4" spans="2:16" ht="160.80000000000001" x14ac:dyDescent="0.3">
      <c r="B4" s="41" t="s">
        <v>52</v>
      </c>
      <c r="C4" s="41" t="s">
        <v>45</v>
      </c>
      <c r="D4" s="41" t="s">
        <v>46</v>
      </c>
      <c r="E4" s="40" t="s">
        <v>47</v>
      </c>
      <c r="F4" s="44" t="s">
        <v>54</v>
      </c>
      <c r="G4" s="44" t="s">
        <v>55</v>
      </c>
      <c r="H4" s="10" t="s">
        <v>13</v>
      </c>
      <c r="I4" s="10" t="s">
        <v>14</v>
      </c>
      <c r="J4" s="10" t="s">
        <v>15</v>
      </c>
      <c r="K4" s="10" t="s">
        <v>16</v>
      </c>
      <c r="L4" s="10" t="s">
        <v>17</v>
      </c>
      <c r="M4" s="45" t="s">
        <v>56</v>
      </c>
      <c r="N4" s="10" t="s">
        <v>57</v>
      </c>
      <c r="O4" s="10" t="s">
        <v>58</v>
      </c>
      <c r="P4" s="46" t="s">
        <v>51</v>
      </c>
    </row>
    <row r="5" spans="2:16" ht="28.8" hidden="1" x14ac:dyDescent="0.3">
      <c r="B5" s="39" t="s">
        <v>64</v>
      </c>
      <c r="C5" s="39" t="s">
        <v>65</v>
      </c>
      <c r="D5" s="48" t="s">
        <v>98</v>
      </c>
      <c r="E5" s="39" t="s">
        <v>74</v>
      </c>
      <c r="F5" s="39" t="s">
        <v>80</v>
      </c>
      <c r="G5" s="39" t="s">
        <v>84</v>
      </c>
      <c r="H5" s="39">
        <v>4</v>
      </c>
      <c r="I5" s="39"/>
      <c r="J5" s="39"/>
      <c r="K5" s="39"/>
      <c r="L5" s="39"/>
      <c r="M5" s="39">
        <v>5</v>
      </c>
      <c r="N5" s="39">
        <f>4*S64</f>
        <v>2520</v>
      </c>
      <c r="O5" s="39">
        <f>4*4*(S54+T54)</f>
        <v>3200</v>
      </c>
      <c r="P5" s="39">
        <f t="shared" ref="P5:P38" si="0">N5+O5</f>
        <v>5720</v>
      </c>
    </row>
    <row r="6" spans="2:16" hidden="1" x14ac:dyDescent="0.3">
      <c r="B6" s="52" t="s">
        <v>64</v>
      </c>
      <c r="C6" s="39" t="s">
        <v>93</v>
      </c>
      <c r="D6" s="39" t="s">
        <v>66</v>
      </c>
      <c r="E6" s="39" t="s">
        <v>75</v>
      </c>
      <c r="F6" s="39" t="s">
        <v>82</v>
      </c>
      <c r="G6" s="52" t="s">
        <v>84</v>
      </c>
      <c r="H6" s="39">
        <v>4</v>
      </c>
      <c r="I6" s="39"/>
      <c r="J6" s="39"/>
      <c r="K6" s="39"/>
      <c r="L6" s="39"/>
      <c r="M6" s="39">
        <v>5</v>
      </c>
      <c r="N6" s="39">
        <f>4*S63</f>
        <v>1200</v>
      </c>
      <c r="O6" s="52">
        <f>4*4*(S54+T54)</f>
        <v>3200</v>
      </c>
      <c r="P6" s="39">
        <f t="shared" si="0"/>
        <v>4400</v>
      </c>
    </row>
    <row r="7" spans="2:16" x14ac:dyDescent="0.3">
      <c r="B7" s="52" t="s">
        <v>64</v>
      </c>
      <c r="C7" s="39" t="s">
        <v>94</v>
      </c>
      <c r="D7" s="52" t="s">
        <v>67</v>
      </c>
      <c r="E7" s="39" t="s">
        <v>76</v>
      </c>
      <c r="F7" s="39" t="s">
        <v>79</v>
      </c>
      <c r="G7" s="52" t="s">
        <v>84</v>
      </c>
      <c r="H7" s="39">
        <v>4</v>
      </c>
      <c r="I7" s="39"/>
      <c r="J7" s="39"/>
      <c r="K7" s="39"/>
      <c r="L7" s="39"/>
      <c r="M7" s="39">
        <v>5</v>
      </c>
      <c r="N7" s="39">
        <f>4*S64</f>
        <v>2520</v>
      </c>
      <c r="O7" s="52">
        <f>4*4*(S54+T54)</f>
        <v>3200</v>
      </c>
      <c r="P7" s="39">
        <f t="shared" si="0"/>
        <v>5720</v>
      </c>
    </row>
    <row r="8" spans="2:16" hidden="1" x14ac:dyDescent="0.3">
      <c r="B8" s="52" t="s">
        <v>64</v>
      </c>
      <c r="C8" s="39" t="s">
        <v>95</v>
      </c>
      <c r="D8" s="52" t="s">
        <v>68</v>
      </c>
      <c r="E8" s="39" t="s">
        <v>77</v>
      </c>
      <c r="F8" s="39" t="s">
        <v>81</v>
      </c>
      <c r="G8" s="52" t="s">
        <v>84</v>
      </c>
      <c r="H8" s="39">
        <v>4</v>
      </c>
      <c r="I8" s="39"/>
      <c r="J8" s="39"/>
      <c r="K8" s="39"/>
      <c r="L8" s="39"/>
      <c r="M8" s="39">
        <v>5</v>
      </c>
      <c r="N8" s="39">
        <f>4*S64</f>
        <v>2520</v>
      </c>
      <c r="O8" s="52">
        <f>4*4*(S54+T54)</f>
        <v>3200</v>
      </c>
      <c r="P8" s="39">
        <f t="shared" si="0"/>
        <v>5720</v>
      </c>
    </row>
    <row r="9" spans="2:16" hidden="1" x14ac:dyDescent="0.3">
      <c r="B9" s="52" t="s">
        <v>64</v>
      </c>
      <c r="C9" s="39" t="s">
        <v>69</v>
      </c>
      <c r="D9" s="52" t="s">
        <v>96</v>
      </c>
      <c r="E9" s="39" t="s">
        <v>78</v>
      </c>
      <c r="F9" s="39" t="s">
        <v>83</v>
      </c>
      <c r="G9" s="52" t="s">
        <v>84</v>
      </c>
      <c r="H9" s="52">
        <v>4</v>
      </c>
      <c r="I9" s="39"/>
      <c r="J9" s="39"/>
      <c r="K9" s="39"/>
      <c r="L9" s="52"/>
      <c r="M9" s="52">
        <v>5</v>
      </c>
      <c r="N9" s="39">
        <f>4*S64</f>
        <v>2520</v>
      </c>
      <c r="O9" s="52">
        <f>4*4*(S54+T54)</f>
        <v>3200</v>
      </c>
      <c r="P9" s="39">
        <f t="shared" si="0"/>
        <v>5720</v>
      </c>
    </row>
    <row r="10" spans="2:16" hidden="1" x14ac:dyDescent="0.3">
      <c r="B10" s="39" t="s">
        <v>71</v>
      </c>
      <c r="C10" s="39" t="s">
        <v>92</v>
      </c>
      <c r="D10" s="52" t="s">
        <v>97</v>
      </c>
      <c r="E10" s="39" t="s">
        <v>99</v>
      </c>
      <c r="F10" s="52" t="s">
        <v>84</v>
      </c>
      <c r="G10" s="52" t="s">
        <v>79</v>
      </c>
      <c r="H10" s="39">
        <v>5</v>
      </c>
      <c r="I10" s="39">
        <v>3</v>
      </c>
      <c r="J10" s="39">
        <v>4</v>
      </c>
      <c r="K10" s="39">
        <v>3</v>
      </c>
      <c r="L10" s="39"/>
      <c r="M10" s="39">
        <v>6</v>
      </c>
      <c r="N10" s="39">
        <f>S64*15</f>
        <v>9450</v>
      </c>
      <c r="O10" s="39">
        <f>15*5*(S57+T57)</f>
        <v>16725</v>
      </c>
      <c r="P10" s="39">
        <f t="shared" si="0"/>
        <v>26175</v>
      </c>
    </row>
    <row r="11" spans="2:16" hidden="1" x14ac:dyDescent="0.3">
      <c r="B11" s="52" t="s">
        <v>71</v>
      </c>
      <c r="C11" s="39" t="s">
        <v>69</v>
      </c>
      <c r="D11" s="54" t="s">
        <v>96</v>
      </c>
      <c r="E11" s="39" t="s">
        <v>78</v>
      </c>
      <c r="F11" s="52" t="s">
        <v>83</v>
      </c>
      <c r="G11" s="52" t="s">
        <v>79</v>
      </c>
      <c r="H11" s="39">
        <v>4</v>
      </c>
      <c r="I11" s="39">
        <v>2</v>
      </c>
      <c r="J11" s="39">
        <v>3</v>
      </c>
      <c r="K11" s="39">
        <v>3</v>
      </c>
      <c r="L11" s="39"/>
      <c r="M11" s="39">
        <v>6</v>
      </c>
      <c r="N11" s="39">
        <f>S64*12</f>
        <v>7560</v>
      </c>
      <c r="O11" s="52">
        <f>12*5*(S57+T57)</f>
        <v>13380</v>
      </c>
      <c r="P11" s="39">
        <f t="shared" si="0"/>
        <v>20940</v>
      </c>
    </row>
    <row r="12" spans="2:16" hidden="1" x14ac:dyDescent="0.3">
      <c r="B12" s="52" t="s">
        <v>71</v>
      </c>
      <c r="C12" s="39" t="s">
        <v>95</v>
      </c>
      <c r="D12" s="52" t="s">
        <v>68</v>
      </c>
      <c r="E12" s="39" t="s">
        <v>77</v>
      </c>
      <c r="F12" s="52" t="s">
        <v>81</v>
      </c>
      <c r="G12" s="52" t="s">
        <v>79</v>
      </c>
      <c r="H12" s="39">
        <v>3</v>
      </c>
      <c r="I12" s="39"/>
      <c r="J12" s="39">
        <v>5</v>
      </c>
      <c r="K12" s="39"/>
      <c r="L12" s="39"/>
      <c r="M12" s="39">
        <v>6</v>
      </c>
      <c r="N12" s="39">
        <f>8*S64</f>
        <v>5040</v>
      </c>
      <c r="O12" s="39">
        <f>8*5*(S57+T57)</f>
        <v>8920</v>
      </c>
      <c r="P12" s="39">
        <f t="shared" si="0"/>
        <v>13960</v>
      </c>
    </row>
    <row r="13" spans="2:16" hidden="1" x14ac:dyDescent="0.3">
      <c r="B13" s="39" t="s">
        <v>72</v>
      </c>
      <c r="C13" s="39" t="s">
        <v>92</v>
      </c>
      <c r="D13" s="52" t="s">
        <v>97</v>
      </c>
      <c r="E13" s="52" t="s">
        <v>99</v>
      </c>
      <c r="F13" s="52" t="s">
        <v>84</v>
      </c>
      <c r="G13" s="52" t="s">
        <v>81</v>
      </c>
      <c r="H13" s="39">
        <v>5</v>
      </c>
      <c r="I13" s="39">
        <v>3</v>
      </c>
      <c r="J13" s="39">
        <v>6</v>
      </c>
      <c r="K13" s="39">
        <v>2</v>
      </c>
      <c r="L13" s="39">
        <v>1</v>
      </c>
      <c r="M13" s="39">
        <v>5</v>
      </c>
      <c r="N13" s="39">
        <f>17*S64</f>
        <v>10710</v>
      </c>
      <c r="O13" s="39">
        <f>17*4*(S55+T55)</f>
        <v>14756</v>
      </c>
      <c r="P13" s="39">
        <f t="shared" si="0"/>
        <v>25466</v>
      </c>
    </row>
    <row r="14" spans="2:16" hidden="1" x14ac:dyDescent="0.3">
      <c r="B14" s="52" t="s">
        <v>72</v>
      </c>
      <c r="C14" s="39" t="s">
        <v>69</v>
      </c>
      <c r="D14" s="54" t="s">
        <v>96</v>
      </c>
      <c r="E14" s="52" t="s">
        <v>78</v>
      </c>
      <c r="F14" s="52" t="s">
        <v>83</v>
      </c>
      <c r="G14" s="52" t="s">
        <v>81</v>
      </c>
      <c r="H14" s="39">
        <v>3</v>
      </c>
      <c r="I14" s="39">
        <v>2</v>
      </c>
      <c r="J14" s="39">
        <v>5</v>
      </c>
      <c r="K14" s="39">
        <v>3</v>
      </c>
      <c r="L14" s="39"/>
      <c r="M14" s="39">
        <v>5</v>
      </c>
      <c r="N14" s="39">
        <f>13*S63</f>
        <v>3900</v>
      </c>
      <c r="O14" s="39">
        <f>13*4*(S55+T55)</f>
        <v>11284</v>
      </c>
      <c r="P14" s="39">
        <f t="shared" si="0"/>
        <v>15184</v>
      </c>
    </row>
    <row r="15" spans="2:16" x14ac:dyDescent="0.3">
      <c r="B15" s="52" t="s">
        <v>72</v>
      </c>
      <c r="C15" s="39" t="s">
        <v>94</v>
      </c>
      <c r="D15" s="52" t="s">
        <v>67</v>
      </c>
      <c r="E15" s="52" t="s">
        <v>76</v>
      </c>
      <c r="F15" s="52" t="s">
        <v>79</v>
      </c>
      <c r="G15" s="52" t="s">
        <v>81</v>
      </c>
      <c r="H15" s="39">
        <v>3</v>
      </c>
      <c r="I15" s="39"/>
      <c r="J15" s="39">
        <v>3</v>
      </c>
      <c r="K15" s="39"/>
      <c r="L15" s="39">
        <v>1</v>
      </c>
      <c r="M15" s="39">
        <v>5</v>
      </c>
      <c r="N15" s="39">
        <f>7*S64</f>
        <v>4410</v>
      </c>
      <c r="O15" s="39">
        <f>7*4*(S55+T55)</f>
        <v>6076</v>
      </c>
      <c r="P15" s="39">
        <f t="shared" si="0"/>
        <v>10486</v>
      </c>
    </row>
    <row r="16" spans="2:16" ht="28.8" hidden="1" x14ac:dyDescent="0.3">
      <c r="B16" s="52" t="s">
        <v>72</v>
      </c>
      <c r="C16" s="39" t="s">
        <v>65</v>
      </c>
      <c r="D16" s="48" t="s">
        <v>98</v>
      </c>
      <c r="E16" s="52" t="s">
        <v>74</v>
      </c>
      <c r="F16" s="52" t="s">
        <v>80</v>
      </c>
      <c r="G16" s="52" t="s">
        <v>81</v>
      </c>
      <c r="H16" s="39">
        <v>7</v>
      </c>
      <c r="I16" s="39"/>
      <c r="J16" s="39"/>
      <c r="K16" s="39"/>
      <c r="L16" s="39">
        <v>4</v>
      </c>
      <c r="M16" s="39">
        <v>3</v>
      </c>
      <c r="N16" s="39">
        <f>11*S63</f>
        <v>3300</v>
      </c>
      <c r="O16" s="39">
        <f>2*11*(S55+T55)</f>
        <v>4774</v>
      </c>
      <c r="P16" s="39">
        <f t="shared" si="0"/>
        <v>8074</v>
      </c>
    </row>
    <row r="17" spans="2:16" hidden="1" x14ac:dyDescent="0.3">
      <c r="B17" s="52" t="s">
        <v>72</v>
      </c>
      <c r="C17" s="39" t="s">
        <v>108</v>
      </c>
      <c r="D17" s="52" t="s">
        <v>107</v>
      </c>
      <c r="E17" s="52" t="s">
        <v>99</v>
      </c>
      <c r="F17" s="52" t="s">
        <v>84</v>
      </c>
      <c r="G17" s="52" t="s">
        <v>81</v>
      </c>
      <c r="H17" s="39">
        <v>5</v>
      </c>
      <c r="I17" s="39"/>
      <c r="J17" s="39"/>
      <c r="K17" s="39"/>
      <c r="L17" s="39">
        <v>4</v>
      </c>
      <c r="M17" s="39">
        <v>3</v>
      </c>
      <c r="N17" s="39">
        <f>9*S64</f>
        <v>5670</v>
      </c>
      <c r="O17" s="39">
        <f>9*2*(S55+T55)</f>
        <v>3906</v>
      </c>
      <c r="P17" s="39">
        <f t="shared" si="0"/>
        <v>9576</v>
      </c>
    </row>
    <row r="18" spans="2:16" hidden="1" x14ac:dyDescent="0.3">
      <c r="B18" s="39" t="s">
        <v>73</v>
      </c>
      <c r="C18" s="39" t="s">
        <v>95</v>
      </c>
      <c r="D18" s="52" t="s">
        <v>68</v>
      </c>
      <c r="E18" s="52" t="s">
        <v>77</v>
      </c>
      <c r="F18" s="52" t="s">
        <v>81</v>
      </c>
      <c r="G18" s="52" t="s">
        <v>84</v>
      </c>
      <c r="H18" s="39">
        <v>5</v>
      </c>
      <c r="I18" s="39"/>
      <c r="J18" s="39">
        <v>4</v>
      </c>
      <c r="K18" s="39"/>
      <c r="L18" s="39">
        <v>2</v>
      </c>
      <c r="M18" s="39">
        <v>5</v>
      </c>
      <c r="N18" s="39">
        <f>11*S64</f>
        <v>6930</v>
      </c>
      <c r="O18" s="39">
        <f>11*4*(S54+T54)</f>
        <v>8800</v>
      </c>
      <c r="P18" s="39">
        <f t="shared" si="0"/>
        <v>15730</v>
      </c>
    </row>
    <row r="19" spans="2:16" x14ac:dyDescent="0.3">
      <c r="B19" s="52" t="s">
        <v>73</v>
      </c>
      <c r="C19" s="52" t="s">
        <v>94</v>
      </c>
      <c r="D19" s="52" t="s">
        <v>67</v>
      </c>
      <c r="E19" s="52" t="s">
        <v>76</v>
      </c>
      <c r="F19" s="52" t="s">
        <v>79</v>
      </c>
      <c r="G19" s="52" t="s">
        <v>84</v>
      </c>
      <c r="H19" s="52">
        <v>2</v>
      </c>
      <c r="I19" s="39"/>
      <c r="J19" s="39">
        <v>6</v>
      </c>
      <c r="K19" s="39"/>
      <c r="L19" s="52"/>
      <c r="M19" s="52">
        <v>5</v>
      </c>
      <c r="N19" s="39">
        <f>8*S64</f>
        <v>5040</v>
      </c>
      <c r="O19" s="39">
        <f>8*4*(S54+T54)</f>
        <v>6400</v>
      </c>
      <c r="P19" s="39">
        <f t="shared" si="0"/>
        <v>11440</v>
      </c>
    </row>
    <row r="20" spans="2:16" hidden="1" x14ac:dyDescent="0.3">
      <c r="B20" s="52" t="s">
        <v>73</v>
      </c>
      <c r="C20" s="52" t="s">
        <v>93</v>
      </c>
      <c r="D20" s="52" t="s">
        <v>66</v>
      </c>
      <c r="E20" s="52" t="s">
        <v>75</v>
      </c>
      <c r="F20" s="52" t="s">
        <v>82</v>
      </c>
      <c r="G20" s="52" t="s">
        <v>84</v>
      </c>
      <c r="H20" s="39">
        <v>6</v>
      </c>
      <c r="I20" s="39"/>
      <c r="J20" s="39">
        <v>5</v>
      </c>
      <c r="K20" s="39"/>
      <c r="L20" s="39">
        <v>3</v>
      </c>
      <c r="M20" s="39">
        <v>5</v>
      </c>
      <c r="N20" s="39">
        <f>14*S63</f>
        <v>4200</v>
      </c>
      <c r="O20" s="39">
        <f>14*4*(S54+T54)</f>
        <v>11200</v>
      </c>
      <c r="P20" s="39">
        <f t="shared" si="0"/>
        <v>15400</v>
      </c>
    </row>
    <row r="21" spans="2:16" hidden="1" x14ac:dyDescent="0.3">
      <c r="B21" s="39" t="s">
        <v>109</v>
      </c>
      <c r="C21" s="52" t="s">
        <v>92</v>
      </c>
      <c r="D21" s="52" t="s">
        <v>97</v>
      </c>
      <c r="E21" s="52" t="s">
        <v>99</v>
      </c>
      <c r="F21" s="52" t="s">
        <v>84</v>
      </c>
      <c r="G21" s="52" t="s">
        <v>82</v>
      </c>
      <c r="H21" s="39">
        <v>4</v>
      </c>
      <c r="I21" s="39">
        <v>2</v>
      </c>
      <c r="J21" s="39">
        <v>5</v>
      </c>
      <c r="K21" s="39">
        <v>2</v>
      </c>
      <c r="L21" s="39"/>
      <c r="M21" s="39">
        <v>6</v>
      </c>
      <c r="N21" s="39">
        <f>13*S63</f>
        <v>3900</v>
      </c>
      <c r="O21" s="39">
        <f>13*5*(S58+T58)</f>
        <v>11570</v>
      </c>
      <c r="P21" s="39">
        <f t="shared" si="0"/>
        <v>15470</v>
      </c>
    </row>
    <row r="22" spans="2:16" hidden="1" x14ac:dyDescent="0.3">
      <c r="B22" s="52" t="s">
        <v>109</v>
      </c>
      <c r="C22" s="52" t="s">
        <v>108</v>
      </c>
      <c r="D22" s="52" t="s">
        <v>107</v>
      </c>
      <c r="E22" s="52" t="s">
        <v>99</v>
      </c>
      <c r="F22" s="52" t="s">
        <v>84</v>
      </c>
      <c r="G22" s="52" t="s">
        <v>82</v>
      </c>
      <c r="H22" s="39">
        <v>6</v>
      </c>
      <c r="I22" s="39"/>
      <c r="J22" s="39">
        <v>1</v>
      </c>
      <c r="K22" s="39"/>
      <c r="L22" s="39">
        <v>1</v>
      </c>
      <c r="M22" s="52">
        <v>6</v>
      </c>
      <c r="N22" s="39">
        <f>8*S63</f>
        <v>2400</v>
      </c>
      <c r="O22" s="39">
        <f>8*5*(S58+T58)</f>
        <v>7120</v>
      </c>
      <c r="P22" s="39">
        <f t="shared" si="0"/>
        <v>9520</v>
      </c>
    </row>
    <row r="23" spans="2:16" hidden="1" x14ac:dyDescent="0.3">
      <c r="B23" s="52" t="s">
        <v>109</v>
      </c>
      <c r="C23" s="52" t="s">
        <v>95</v>
      </c>
      <c r="D23" s="52" t="s">
        <v>68</v>
      </c>
      <c r="E23" s="52" t="s">
        <v>77</v>
      </c>
      <c r="F23" s="52" t="s">
        <v>81</v>
      </c>
      <c r="G23" s="52" t="s">
        <v>82</v>
      </c>
      <c r="H23" s="39">
        <v>3</v>
      </c>
      <c r="I23" s="39"/>
      <c r="J23" s="39">
        <v>3</v>
      </c>
      <c r="K23" s="39"/>
      <c r="L23" s="39"/>
      <c r="M23" s="52">
        <v>6</v>
      </c>
      <c r="N23" s="39">
        <f>6*S64</f>
        <v>3780</v>
      </c>
      <c r="O23" s="39">
        <f>6*5*(S58+T58)</f>
        <v>5340</v>
      </c>
      <c r="P23" s="39">
        <f t="shared" si="0"/>
        <v>9120</v>
      </c>
    </row>
    <row r="24" spans="2:16" x14ac:dyDescent="0.3">
      <c r="B24" s="52" t="s">
        <v>109</v>
      </c>
      <c r="C24" s="52" t="s">
        <v>94</v>
      </c>
      <c r="D24" s="52" t="s">
        <v>67</v>
      </c>
      <c r="E24" s="52" t="s">
        <v>76</v>
      </c>
      <c r="F24" s="52" t="s">
        <v>79</v>
      </c>
      <c r="G24" s="52" t="s">
        <v>82</v>
      </c>
      <c r="H24" s="39">
        <v>2</v>
      </c>
      <c r="I24" s="39"/>
      <c r="J24" s="39">
        <v>4</v>
      </c>
      <c r="K24" s="39"/>
      <c r="L24" s="39"/>
      <c r="M24" s="52">
        <v>6</v>
      </c>
      <c r="N24" s="39">
        <f>6*S64</f>
        <v>3780</v>
      </c>
      <c r="O24" s="39">
        <f>6*5*(S58+T58)</f>
        <v>5340</v>
      </c>
      <c r="P24" s="39">
        <f t="shared" si="0"/>
        <v>9120</v>
      </c>
    </row>
    <row r="25" spans="2:16" hidden="1" x14ac:dyDescent="0.3">
      <c r="B25" s="52" t="s">
        <v>109</v>
      </c>
      <c r="C25" s="52" t="s">
        <v>69</v>
      </c>
      <c r="D25" s="54" t="s">
        <v>96</v>
      </c>
      <c r="E25" s="52" t="s">
        <v>78</v>
      </c>
      <c r="F25" s="52" t="s">
        <v>83</v>
      </c>
      <c r="G25" s="52" t="s">
        <v>82</v>
      </c>
      <c r="H25" s="39">
        <v>4</v>
      </c>
      <c r="I25" s="39">
        <v>3</v>
      </c>
      <c r="J25" s="39">
        <v>1</v>
      </c>
      <c r="K25" s="39">
        <v>1</v>
      </c>
      <c r="L25" s="39"/>
      <c r="M25" s="52">
        <v>6</v>
      </c>
      <c r="N25" s="39">
        <f>9*S64</f>
        <v>5670</v>
      </c>
      <c r="O25" s="39">
        <f>9*5*(S58+T58)</f>
        <v>8010</v>
      </c>
      <c r="P25" s="39">
        <f t="shared" si="0"/>
        <v>13680</v>
      </c>
    </row>
    <row r="26" spans="2:16" ht="28.8" hidden="1" x14ac:dyDescent="0.3">
      <c r="B26" s="52" t="s">
        <v>109</v>
      </c>
      <c r="C26" s="52" t="s">
        <v>65</v>
      </c>
      <c r="D26" s="48" t="s">
        <v>98</v>
      </c>
      <c r="E26" s="52" t="s">
        <v>74</v>
      </c>
      <c r="F26" s="52" t="s">
        <v>80</v>
      </c>
      <c r="G26" s="52" t="s">
        <v>82</v>
      </c>
      <c r="H26" s="39">
        <v>4</v>
      </c>
      <c r="I26" s="39"/>
      <c r="J26" s="39">
        <v>3</v>
      </c>
      <c r="K26" s="39"/>
      <c r="L26" s="39">
        <v>1</v>
      </c>
      <c r="M26" s="52">
        <v>6</v>
      </c>
      <c r="N26" s="39">
        <f>8*S64</f>
        <v>5040</v>
      </c>
      <c r="O26" s="39">
        <f>8*5*(S58+T58)</f>
        <v>7120</v>
      </c>
      <c r="P26" s="39">
        <f t="shared" si="0"/>
        <v>12160</v>
      </c>
    </row>
    <row r="27" spans="2:16" hidden="1" x14ac:dyDescent="0.3">
      <c r="B27" s="39" t="s">
        <v>64</v>
      </c>
      <c r="C27" s="52" t="s">
        <v>92</v>
      </c>
      <c r="D27" s="52" t="s">
        <v>97</v>
      </c>
      <c r="E27" s="52" t="s">
        <v>99</v>
      </c>
      <c r="F27" s="52" t="s">
        <v>84</v>
      </c>
      <c r="G27" s="52" t="s">
        <v>80</v>
      </c>
      <c r="H27" s="39">
        <v>5</v>
      </c>
      <c r="I27" s="39">
        <v>1</v>
      </c>
      <c r="J27" s="39">
        <v>2</v>
      </c>
      <c r="K27" s="39">
        <v>1</v>
      </c>
      <c r="L27" s="39"/>
      <c r="M27" s="39">
        <v>7</v>
      </c>
      <c r="N27" s="39">
        <f>9*S64</f>
        <v>5670</v>
      </c>
      <c r="O27" s="39">
        <f>9*6*(S59+T59)</f>
        <v>11988</v>
      </c>
      <c r="P27" s="39">
        <f t="shared" si="0"/>
        <v>17658</v>
      </c>
    </row>
    <row r="28" spans="2:16" hidden="1" x14ac:dyDescent="0.3">
      <c r="B28" s="52" t="s">
        <v>64</v>
      </c>
      <c r="C28" s="52" t="s">
        <v>108</v>
      </c>
      <c r="D28" s="52" t="s">
        <v>107</v>
      </c>
      <c r="E28" s="52" t="s">
        <v>99</v>
      </c>
      <c r="F28" s="52" t="s">
        <v>84</v>
      </c>
      <c r="G28" s="52" t="s">
        <v>80</v>
      </c>
      <c r="H28" s="39">
        <v>4</v>
      </c>
      <c r="I28" s="39"/>
      <c r="J28" s="39"/>
      <c r="K28" s="39"/>
      <c r="L28" s="39">
        <v>2</v>
      </c>
      <c r="M28" s="39">
        <v>7</v>
      </c>
      <c r="N28" s="39">
        <f>6*S64</f>
        <v>3780</v>
      </c>
      <c r="O28" s="39">
        <f>6*6*(S59+T59)</f>
        <v>7992</v>
      </c>
      <c r="P28" s="39">
        <f t="shared" si="0"/>
        <v>11772</v>
      </c>
    </row>
    <row r="29" spans="2:16" hidden="1" x14ac:dyDescent="0.3">
      <c r="B29" s="52" t="s">
        <v>64</v>
      </c>
      <c r="C29" s="52" t="s">
        <v>69</v>
      </c>
      <c r="D29" s="54" t="s">
        <v>96</v>
      </c>
      <c r="E29" s="52" t="s">
        <v>78</v>
      </c>
      <c r="F29" s="52" t="s">
        <v>83</v>
      </c>
      <c r="G29" s="52" t="s">
        <v>80</v>
      </c>
      <c r="H29" s="39">
        <v>4</v>
      </c>
      <c r="I29" s="39">
        <v>1</v>
      </c>
      <c r="J29" s="39"/>
      <c r="K29" s="39">
        <v>1</v>
      </c>
      <c r="L29" s="39"/>
      <c r="M29" s="39">
        <v>7</v>
      </c>
      <c r="N29" s="39">
        <f>6*S64</f>
        <v>3780</v>
      </c>
      <c r="O29" s="39">
        <f>6*6*(S59+T59)</f>
        <v>7992</v>
      </c>
      <c r="P29" s="39">
        <f t="shared" si="0"/>
        <v>11772</v>
      </c>
    </row>
    <row r="30" spans="2:16" hidden="1" x14ac:dyDescent="0.3">
      <c r="B30" s="39" t="s">
        <v>110</v>
      </c>
      <c r="C30" s="52" t="s">
        <v>92</v>
      </c>
      <c r="D30" s="52" t="s">
        <v>97</v>
      </c>
      <c r="E30" s="52" t="s">
        <v>99</v>
      </c>
      <c r="F30" s="52" t="s">
        <v>84</v>
      </c>
      <c r="G30" s="52" t="s">
        <v>83</v>
      </c>
      <c r="H30" s="39">
        <v>4</v>
      </c>
      <c r="I30" s="39">
        <v>3</v>
      </c>
      <c r="J30" s="39">
        <v>3</v>
      </c>
      <c r="K30" s="39">
        <v>4</v>
      </c>
      <c r="L30" s="39"/>
      <c r="M30" s="39">
        <v>8</v>
      </c>
      <c r="N30" s="39">
        <f>14*S64</f>
        <v>8820</v>
      </c>
      <c r="O30" s="39">
        <f>7*14*(S56+T56)</f>
        <v>21364</v>
      </c>
      <c r="P30" s="39">
        <f t="shared" si="0"/>
        <v>30184</v>
      </c>
    </row>
    <row r="31" spans="2:16" hidden="1" x14ac:dyDescent="0.3">
      <c r="B31" s="52" t="s">
        <v>110</v>
      </c>
      <c r="C31" s="52" t="s">
        <v>108</v>
      </c>
      <c r="D31" s="52" t="s">
        <v>107</v>
      </c>
      <c r="E31" s="52" t="s">
        <v>99</v>
      </c>
      <c r="F31" s="52" t="s">
        <v>84</v>
      </c>
      <c r="G31" s="52" t="s">
        <v>83</v>
      </c>
      <c r="H31" s="39">
        <v>3</v>
      </c>
      <c r="I31" s="39"/>
      <c r="J31" s="39">
        <v>1</v>
      </c>
      <c r="K31" s="39"/>
      <c r="L31" s="39">
        <v>2</v>
      </c>
      <c r="M31" s="39">
        <v>8</v>
      </c>
      <c r="N31" s="39">
        <f>6*S64</f>
        <v>3780</v>
      </c>
      <c r="O31" s="39">
        <f>7*7*(S56+T56)</f>
        <v>10682</v>
      </c>
      <c r="P31" s="39">
        <f t="shared" si="0"/>
        <v>14462</v>
      </c>
    </row>
    <row r="32" spans="2:16" hidden="1" x14ac:dyDescent="0.3">
      <c r="B32" s="52" t="s">
        <v>110</v>
      </c>
      <c r="C32" s="52" t="s">
        <v>93</v>
      </c>
      <c r="D32" s="52" t="s">
        <v>66</v>
      </c>
      <c r="E32" s="52" t="s">
        <v>75</v>
      </c>
      <c r="F32" s="52" t="s">
        <v>82</v>
      </c>
      <c r="G32" s="52" t="s">
        <v>83</v>
      </c>
      <c r="H32" s="39">
        <v>4</v>
      </c>
      <c r="I32" s="39"/>
      <c r="J32" s="39">
        <v>4</v>
      </c>
      <c r="K32" s="39"/>
      <c r="L32" s="39">
        <v>1</v>
      </c>
      <c r="M32" s="39">
        <v>8</v>
      </c>
      <c r="N32" s="39">
        <f>9*S64</f>
        <v>5670</v>
      </c>
      <c r="O32" s="39">
        <f>9*7*(S56+T56)</f>
        <v>13734</v>
      </c>
      <c r="P32" s="39">
        <f t="shared" si="0"/>
        <v>19404</v>
      </c>
    </row>
    <row r="33" spans="2:16" ht="28.8" hidden="1" x14ac:dyDescent="0.3">
      <c r="B33" s="52" t="s">
        <v>110</v>
      </c>
      <c r="C33" s="52" t="s">
        <v>65</v>
      </c>
      <c r="D33" s="48" t="s">
        <v>98</v>
      </c>
      <c r="E33" s="52" t="s">
        <v>74</v>
      </c>
      <c r="F33" s="52" t="s">
        <v>80</v>
      </c>
      <c r="G33" s="52" t="s">
        <v>83</v>
      </c>
      <c r="H33" s="39">
        <v>6</v>
      </c>
      <c r="I33" s="39"/>
      <c r="J33" s="39">
        <v>2</v>
      </c>
      <c r="K33" s="39"/>
      <c r="L33" s="39">
        <v>1</v>
      </c>
      <c r="M33" s="39">
        <v>8</v>
      </c>
      <c r="N33" s="39">
        <f>9*S64</f>
        <v>5670</v>
      </c>
      <c r="O33" s="39">
        <f>9*7*(S56+T56)</f>
        <v>13734</v>
      </c>
      <c r="P33" s="39">
        <f t="shared" si="0"/>
        <v>19404</v>
      </c>
    </row>
    <row r="34" spans="2:16" ht="28.8" hidden="1" x14ac:dyDescent="0.3">
      <c r="B34" s="39" t="s">
        <v>111</v>
      </c>
      <c r="C34" s="52" t="s">
        <v>65</v>
      </c>
      <c r="D34" s="48" t="s">
        <v>98</v>
      </c>
      <c r="E34" s="52" t="s">
        <v>74</v>
      </c>
      <c r="F34" s="52" t="s">
        <v>80</v>
      </c>
      <c r="G34" s="52" t="s">
        <v>84</v>
      </c>
      <c r="H34" s="52">
        <v>5</v>
      </c>
      <c r="I34" s="52"/>
      <c r="J34" s="52"/>
      <c r="K34" s="52"/>
      <c r="L34" s="52">
        <v>2</v>
      </c>
      <c r="M34" s="52">
        <v>7</v>
      </c>
      <c r="N34" s="52">
        <f>7*S64</f>
        <v>4410</v>
      </c>
      <c r="O34" s="52">
        <f>7*6*(S54+T54)</f>
        <v>8400</v>
      </c>
      <c r="P34" s="52">
        <f t="shared" si="0"/>
        <v>12810</v>
      </c>
    </row>
    <row r="35" spans="2:16" hidden="1" x14ac:dyDescent="0.3">
      <c r="B35" s="39" t="s">
        <v>111</v>
      </c>
      <c r="C35" s="52" t="s">
        <v>93</v>
      </c>
      <c r="D35" s="52" t="s">
        <v>66</v>
      </c>
      <c r="E35" s="52" t="s">
        <v>75</v>
      </c>
      <c r="F35" s="52" t="s">
        <v>82</v>
      </c>
      <c r="G35" s="52" t="s">
        <v>84</v>
      </c>
      <c r="H35" s="52">
        <v>4</v>
      </c>
      <c r="I35" s="52"/>
      <c r="J35" s="52"/>
      <c r="K35" s="52"/>
      <c r="L35" s="52">
        <v>1</v>
      </c>
      <c r="M35" s="52">
        <v>7</v>
      </c>
      <c r="N35" s="52">
        <f>5*S63</f>
        <v>1500</v>
      </c>
      <c r="O35" s="52">
        <f>5*6*(S54+T54)</f>
        <v>6000</v>
      </c>
      <c r="P35" s="52">
        <f t="shared" si="0"/>
        <v>7500</v>
      </c>
    </row>
    <row r="36" spans="2:16" x14ac:dyDescent="0.3">
      <c r="B36" s="52" t="s">
        <v>111</v>
      </c>
      <c r="C36" s="52" t="s">
        <v>94</v>
      </c>
      <c r="D36" s="52" t="s">
        <v>67</v>
      </c>
      <c r="E36" s="52" t="s">
        <v>76</v>
      </c>
      <c r="F36" s="52" t="s">
        <v>79</v>
      </c>
      <c r="G36" s="52" t="s">
        <v>84</v>
      </c>
      <c r="H36" s="56">
        <v>6</v>
      </c>
      <c r="I36" s="52"/>
      <c r="J36" s="52"/>
      <c r="K36" s="52"/>
      <c r="L36" s="56">
        <v>2</v>
      </c>
      <c r="M36" s="56">
        <v>7</v>
      </c>
      <c r="N36" s="52">
        <f>8*S64</f>
        <v>5040</v>
      </c>
      <c r="O36" s="52">
        <f>8*6*(S54+T54)</f>
        <v>9600</v>
      </c>
      <c r="P36" s="52">
        <f t="shared" si="0"/>
        <v>14640</v>
      </c>
    </row>
    <row r="37" spans="2:16" hidden="1" x14ac:dyDescent="0.3">
      <c r="B37" s="52" t="s">
        <v>111</v>
      </c>
      <c r="C37" s="52" t="s">
        <v>95</v>
      </c>
      <c r="D37" s="52" t="s">
        <v>68</v>
      </c>
      <c r="E37" s="52" t="s">
        <v>77</v>
      </c>
      <c r="F37" s="52" t="s">
        <v>81</v>
      </c>
      <c r="G37" s="52" t="s">
        <v>84</v>
      </c>
      <c r="H37" s="56">
        <v>7</v>
      </c>
      <c r="I37" s="52"/>
      <c r="J37" s="52"/>
      <c r="K37" s="52"/>
      <c r="L37" s="56">
        <v>2</v>
      </c>
      <c r="M37" s="56">
        <v>7</v>
      </c>
      <c r="N37" s="52">
        <f>9*S64</f>
        <v>5670</v>
      </c>
      <c r="O37" s="52">
        <f>9*6*(S54+T54)</f>
        <v>10800</v>
      </c>
      <c r="P37" s="52">
        <f t="shared" si="0"/>
        <v>16470</v>
      </c>
    </row>
    <row r="38" spans="2:16" hidden="1" x14ac:dyDescent="0.3">
      <c r="B38" s="52" t="s">
        <v>111</v>
      </c>
      <c r="C38" s="52" t="s">
        <v>69</v>
      </c>
      <c r="D38" s="54" t="s">
        <v>96</v>
      </c>
      <c r="E38" s="52" t="s">
        <v>78</v>
      </c>
      <c r="F38" s="52" t="s">
        <v>83</v>
      </c>
      <c r="G38" s="52" t="s">
        <v>84</v>
      </c>
      <c r="H38" s="56">
        <v>8</v>
      </c>
      <c r="I38" s="52">
        <v>2</v>
      </c>
      <c r="J38" s="52"/>
      <c r="K38" s="52">
        <v>3</v>
      </c>
      <c r="L38" s="56">
        <v>1</v>
      </c>
      <c r="M38" s="56">
        <v>7</v>
      </c>
      <c r="N38" s="52">
        <f>13*S64</f>
        <v>8190</v>
      </c>
      <c r="O38" s="52">
        <f>14*6*(S54+T54)</f>
        <v>16800</v>
      </c>
      <c r="P38" s="52">
        <f t="shared" si="0"/>
        <v>24990</v>
      </c>
    </row>
    <row r="39" spans="2:16" hidden="1" x14ac:dyDescent="0.3">
      <c r="P39" s="57"/>
    </row>
    <row r="40" spans="2:16" hidden="1" x14ac:dyDescent="0.3">
      <c r="P40" s="57"/>
    </row>
    <row r="41" spans="2:16" x14ac:dyDescent="0.3">
      <c r="P41" s="57"/>
    </row>
    <row r="42" spans="2:16" x14ac:dyDescent="0.3">
      <c r="P42" s="55"/>
    </row>
    <row r="53" spans="18:20" x14ac:dyDescent="0.3">
      <c r="R53" t="s">
        <v>102</v>
      </c>
      <c r="S53" t="s">
        <v>103</v>
      </c>
      <c r="T53" t="s">
        <v>104</v>
      </c>
    </row>
    <row r="54" spans="18:20" x14ac:dyDescent="0.3">
      <c r="R54" t="s">
        <v>99</v>
      </c>
      <c r="S54">
        <v>80</v>
      </c>
      <c r="T54">
        <v>120</v>
      </c>
    </row>
    <row r="55" spans="18:20" x14ac:dyDescent="0.3">
      <c r="R55" t="s">
        <v>77</v>
      </c>
      <c r="S55">
        <v>97</v>
      </c>
      <c r="T55">
        <v>120</v>
      </c>
    </row>
    <row r="56" spans="18:20" x14ac:dyDescent="0.3">
      <c r="R56" t="s">
        <v>78</v>
      </c>
      <c r="S56">
        <v>98</v>
      </c>
      <c r="T56">
        <v>120</v>
      </c>
    </row>
    <row r="57" spans="18:20" x14ac:dyDescent="0.3">
      <c r="R57" t="s">
        <v>76</v>
      </c>
      <c r="S57">
        <v>103</v>
      </c>
      <c r="T57">
        <v>120</v>
      </c>
    </row>
    <row r="58" spans="18:20" x14ac:dyDescent="0.3">
      <c r="R58" t="s">
        <v>75</v>
      </c>
      <c r="S58">
        <v>58</v>
      </c>
      <c r="T58">
        <v>120</v>
      </c>
    </row>
    <row r="59" spans="18:20" x14ac:dyDescent="0.3">
      <c r="R59" t="s">
        <v>74</v>
      </c>
      <c r="S59">
        <v>102</v>
      </c>
      <c r="T59">
        <v>120</v>
      </c>
    </row>
    <row r="62" spans="18:20" x14ac:dyDescent="0.3">
      <c r="R62" t="s">
        <v>105</v>
      </c>
      <c r="S62" t="s">
        <v>106</v>
      </c>
    </row>
    <row r="63" spans="18:20" x14ac:dyDescent="0.3">
      <c r="R63" t="s">
        <v>112</v>
      </c>
      <c r="S63">
        <v>300</v>
      </c>
    </row>
    <row r="64" spans="18:20" x14ac:dyDescent="0.3">
      <c r="R64" t="s">
        <v>136</v>
      </c>
      <c r="S64">
        <v>630</v>
      </c>
    </row>
    <row r="65" spans="18:19" x14ac:dyDescent="0.3">
      <c r="R65" t="s">
        <v>137</v>
      </c>
      <c r="S65">
        <v>920</v>
      </c>
    </row>
  </sheetData>
  <autoFilter ref="B4:P40" xr:uid="{47F2FC3E-A1F8-40C9-A910-B49FA41A830B}">
    <filterColumn colId="1">
      <filters>
        <filter val="CIS"/>
      </filters>
    </filterColumn>
  </autoFilter>
  <sortState xmlns:xlrd2="http://schemas.microsoft.com/office/spreadsheetml/2017/richdata2" ref="B5:P16">
    <sortCondition ref="B5"/>
  </sortState>
  <mergeCells count="1">
    <mergeCell ref="B2:C2"/>
  </mergeCells>
  <phoneticPr fontId="15" type="noConversion"/>
  <conditionalFormatting sqref="S54:T5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I35"/>
  <sheetViews>
    <sheetView workbookViewId="0">
      <selection activeCell="C17" sqref="C17"/>
    </sheetView>
  </sheetViews>
  <sheetFormatPr defaultRowHeight="14.4" x14ac:dyDescent="0.3"/>
  <cols>
    <col min="2" max="2" width="18.5546875" customWidth="1"/>
    <col min="4" max="4" width="34.21875" customWidth="1"/>
    <col min="6" max="6" width="70.77734375" bestFit="1" customWidth="1"/>
    <col min="7" max="7" width="32.5546875" bestFit="1" customWidth="1"/>
    <col min="9" max="9" width="12" bestFit="1" customWidth="1"/>
  </cols>
  <sheetData>
    <row r="1" spans="2:9" ht="15" thickBot="1" x14ac:dyDescent="0.35"/>
    <row r="2" spans="2:9" ht="18.600000000000001" thickBot="1" x14ac:dyDescent="0.4">
      <c r="B2" s="84" t="s">
        <v>44</v>
      </c>
      <c r="C2" s="85"/>
      <c r="D2" s="43">
        <f>SUM(I5:I35)</f>
        <v>375200</v>
      </c>
    </row>
    <row r="4" spans="2:9" ht="43.2" x14ac:dyDescent="0.3">
      <c r="B4" s="41" t="s">
        <v>52</v>
      </c>
      <c r="C4" s="41" t="s">
        <v>45</v>
      </c>
      <c r="D4" s="41" t="s">
        <v>46</v>
      </c>
      <c r="E4" s="40" t="s">
        <v>47</v>
      </c>
      <c r="F4" s="40" t="s">
        <v>48</v>
      </c>
      <c r="G4" s="40" t="s">
        <v>50</v>
      </c>
      <c r="H4" s="40" t="s">
        <v>49</v>
      </c>
      <c r="I4" s="42" t="s">
        <v>51</v>
      </c>
    </row>
    <row r="5" spans="2:9" x14ac:dyDescent="0.3">
      <c r="B5" s="39" t="s">
        <v>71</v>
      </c>
      <c r="C5" s="59" t="s">
        <v>92</v>
      </c>
      <c r="D5" s="52" t="s">
        <v>97</v>
      </c>
      <c r="E5" s="39" t="s">
        <v>99</v>
      </c>
      <c r="F5" s="39" t="s">
        <v>113</v>
      </c>
      <c r="G5" s="39">
        <v>7000</v>
      </c>
      <c r="H5" s="39">
        <v>2</v>
      </c>
      <c r="I5" s="39">
        <f>G5*H5</f>
        <v>14000</v>
      </c>
    </row>
    <row r="6" spans="2:9" x14ac:dyDescent="0.3">
      <c r="B6" s="39" t="s">
        <v>70</v>
      </c>
      <c r="C6" s="58" t="s">
        <v>94</v>
      </c>
      <c r="D6" s="39" t="s">
        <v>67</v>
      </c>
      <c r="E6" s="39" t="s">
        <v>76</v>
      </c>
      <c r="F6" s="39" t="s">
        <v>114</v>
      </c>
      <c r="G6" s="39">
        <v>150</v>
      </c>
      <c r="H6" s="52">
        <v>200</v>
      </c>
      <c r="I6" s="39">
        <f t="shared" ref="I6:I35" si="0">G6*H6</f>
        <v>30000</v>
      </c>
    </row>
    <row r="7" spans="2:9" x14ac:dyDescent="0.3">
      <c r="B7" s="39" t="s">
        <v>70</v>
      </c>
      <c r="C7" s="52" t="s">
        <v>108</v>
      </c>
      <c r="D7" s="52" t="s">
        <v>107</v>
      </c>
      <c r="E7" s="39" t="s">
        <v>99</v>
      </c>
      <c r="F7" s="39" t="s">
        <v>115</v>
      </c>
      <c r="G7" s="39">
        <v>4500</v>
      </c>
      <c r="H7" s="39">
        <v>1</v>
      </c>
      <c r="I7" s="39">
        <f t="shared" si="0"/>
        <v>4500</v>
      </c>
    </row>
    <row r="8" spans="2:9" x14ac:dyDescent="0.3">
      <c r="B8" s="39" t="s">
        <v>64</v>
      </c>
      <c r="C8" s="39" t="s">
        <v>69</v>
      </c>
      <c r="D8" s="39" t="s">
        <v>96</v>
      </c>
      <c r="E8" s="39" t="s">
        <v>78</v>
      </c>
      <c r="F8" s="39" t="s">
        <v>119</v>
      </c>
      <c r="G8" s="39">
        <v>1700</v>
      </c>
      <c r="H8" s="39">
        <v>6</v>
      </c>
      <c r="I8" s="39">
        <f t="shared" si="0"/>
        <v>10200</v>
      </c>
    </row>
    <row r="9" spans="2:9" x14ac:dyDescent="0.3">
      <c r="B9" s="52" t="s">
        <v>64</v>
      </c>
      <c r="C9" s="39" t="s">
        <v>65</v>
      </c>
      <c r="D9" s="39" t="s">
        <v>98</v>
      </c>
      <c r="E9" s="39" t="s">
        <v>74</v>
      </c>
      <c r="F9" s="39" t="s">
        <v>119</v>
      </c>
      <c r="G9" s="39">
        <v>1700</v>
      </c>
      <c r="H9" s="39">
        <v>5</v>
      </c>
      <c r="I9" s="39">
        <f t="shared" si="0"/>
        <v>8500</v>
      </c>
    </row>
    <row r="10" spans="2:9" x14ac:dyDescent="0.3">
      <c r="B10" s="39" t="s">
        <v>110</v>
      </c>
      <c r="C10" s="39" t="s">
        <v>121</v>
      </c>
      <c r="D10" s="39" t="s">
        <v>122</v>
      </c>
      <c r="E10" s="39" t="s">
        <v>75</v>
      </c>
      <c r="F10" s="39" t="s">
        <v>124</v>
      </c>
      <c r="G10" s="39">
        <v>800</v>
      </c>
      <c r="H10" s="39">
        <v>10</v>
      </c>
      <c r="I10" s="39">
        <f>G10*H10</f>
        <v>8000</v>
      </c>
    </row>
    <row r="11" spans="2:9" x14ac:dyDescent="0.3">
      <c r="B11" s="39" t="s">
        <v>109</v>
      </c>
      <c r="C11" s="58" t="s">
        <v>94</v>
      </c>
      <c r="D11" s="39" t="s">
        <v>67</v>
      </c>
      <c r="E11" s="39" t="s">
        <v>76</v>
      </c>
      <c r="F11" s="39" t="s">
        <v>123</v>
      </c>
      <c r="G11" s="39">
        <v>30000</v>
      </c>
      <c r="H11" s="39">
        <v>1</v>
      </c>
      <c r="I11" s="39">
        <f t="shared" si="0"/>
        <v>30000</v>
      </c>
    </row>
    <row r="12" spans="2:9" x14ac:dyDescent="0.3">
      <c r="B12" s="39" t="s">
        <v>64</v>
      </c>
      <c r="C12" s="59" t="s">
        <v>92</v>
      </c>
      <c r="D12" s="39" t="s">
        <v>97</v>
      </c>
      <c r="E12" s="39" t="s">
        <v>99</v>
      </c>
      <c r="F12" s="39" t="s">
        <v>125</v>
      </c>
      <c r="G12" s="39">
        <v>300</v>
      </c>
      <c r="H12" s="39">
        <v>10</v>
      </c>
      <c r="I12" s="39">
        <f t="shared" si="0"/>
        <v>3000</v>
      </c>
    </row>
    <row r="13" spans="2:9" x14ac:dyDescent="0.3">
      <c r="B13" s="52" t="s">
        <v>64</v>
      </c>
      <c r="C13" s="39" t="s">
        <v>69</v>
      </c>
      <c r="D13" s="39" t="s">
        <v>96</v>
      </c>
      <c r="E13" s="39" t="s">
        <v>78</v>
      </c>
      <c r="F13" s="52" t="s">
        <v>125</v>
      </c>
      <c r="G13" s="39">
        <v>300</v>
      </c>
      <c r="H13" s="39">
        <v>10</v>
      </c>
      <c r="I13" s="39">
        <f t="shared" si="0"/>
        <v>3000</v>
      </c>
    </row>
    <row r="14" spans="2:9" x14ac:dyDescent="0.3">
      <c r="B14" s="52" t="s">
        <v>64</v>
      </c>
      <c r="C14" s="39" t="s">
        <v>65</v>
      </c>
      <c r="D14" s="39" t="s">
        <v>98</v>
      </c>
      <c r="E14" s="39" t="s">
        <v>74</v>
      </c>
      <c r="F14" s="52" t="s">
        <v>125</v>
      </c>
      <c r="G14" s="39">
        <v>300</v>
      </c>
      <c r="H14" s="39">
        <v>10</v>
      </c>
      <c r="I14" s="39">
        <f t="shared" si="0"/>
        <v>3000</v>
      </c>
    </row>
    <row r="15" spans="2:9" x14ac:dyDescent="0.3">
      <c r="B15" s="52" t="s">
        <v>64</v>
      </c>
      <c r="C15" s="39" t="s">
        <v>108</v>
      </c>
      <c r="D15" s="39" t="s">
        <v>107</v>
      </c>
      <c r="E15" s="39" t="s">
        <v>99</v>
      </c>
      <c r="F15" s="52" t="s">
        <v>125</v>
      </c>
      <c r="G15" s="39">
        <v>300</v>
      </c>
      <c r="H15" s="39">
        <v>10</v>
      </c>
      <c r="I15" s="39">
        <f t="shared" si="0"/>
        <v>3000</v>
      </c>
    </row>
    <row r="16" spans="2:9" x14ac:dyDescent="0.3">
      <c r="B16" s="39" t="s">
        <v>72</v>
      </c>
      <c r="C16" s="39" t="s">
        <v>95</v>
      </c>
      <c r="D16" s="39" t="s">
        <v>68</v>
      </c>
      <c r="E16" s="39" t="s">
        <v>77</v>
      </c>
      <c r="F16" s="39" t="s">
        <v>129</v>
      </c>
      <c r="G16" s="39">
        <v>8000</v>
      </c>
      <c r="H16" s="39">
        <v>1</v>
      </c>
      <c r="I16" s="39">
        <f t="shared" si="0"/>
        <v>8000</v>
      </c>
    </row>
    <row r="17" spans="2:9" x14ac:dyDescent="0.3">
      <c r="B17" s="39" t="s">
        <v>71</v>
      </c>
      <c r="C17" s="59" t="s">
        <v>92</v>
      </c>
      <c r="D17" s="39" t="s">
        <v>97</v>
      </c>
      <c r="E17" s="39" t="s">
        <v>99</v>
      </c>
      <c r="F17" s="39" t="s">
        <v>131</v>
      </c>
      <c r="G17" s="39">
        <v>50000</v>
      </c>
      <c r="H17" s="39">
        <v>1</v>
      </c>
      <c r="I17" s="39">
        <f t="shared" si="0"/>
        <v>50000</v>
      </c>
    </row>
    <row r="18" spans="2:9" x14ac:dyDescent="0.3">
      <c r="B18" s="52" t="s">
        <v>71</v>
      </c>
      <c r="C18" s="39" t="s">
        <v>69</v>
      </c>
      <c r="D18" s="39" t="s">
        <v>96</v>
      </c>
      <c r="E18" s="39" t="s">
        <v>78</v>
      </c>
      <c r="F18" s="52" t="s">
        <v>131</v>
      </c>
      <c r="G18" s="52">
        <v>50000</v>
      </c>
      <c r="H18" s="39">
        <v>2</v>
      </c>
      <c r="I18" s="39">
        <f t="shared" si="0"/>
        <v>100000</v>
      </c>
    </row>
    <row r="19" spans="2:9" x14ac:dyDescent="0.3">
      <c r="B19" s="52" t="s">
        <v>71</v>
      </c>
      <c r="C19" s="39" t="s">
        <v>95</v>
      </c>
      <c r="D19" s="52" t="s">
        <v>68</v>
      </c>
      <c r="E19" s="39" t="s">
        <v>77</v>
      </c>
      <c r="F19" s="52" t="s">
        <v>131</v>
      </c>
      <c r="G19" s="52">
        <v>50000</v>
      </c>
      <c r="H19" s="39">
        <v>2</v>
      </c>
      <c r="I19" s="39">
        <f t="shared" si="0"/>
        <v>100000</v>
      </c>
    </row>
    <row r="20" spans="2:9" x14ac:dyDescent="0.3">
      <c r="B20" s="39"/>
      <c r="C20" s="39"/>
      <c r="E20" s="39"/>
      <c r="F20" s="39"/>
      <c r="G20" s="39"/>
      <c r="H20" s="39"/>
      <c r="I20" s="39">
        <f t="shared" si="0"/>
        <v>0</v>
      </c>
    </row>
    <row r="21" spans="2:9" x14ac:dyDescent="0.3">
      <c r="B21" s="39"/>
      <c r="C21" s="39"/>
      <c r="D21" s="39"/>
      <c r="E21" s="39"/>
      <c r="F21" s="39"/>
      <c r="G21" s="39"/>
      <c r="H21" s="39"/>
      <c r="I21" s="39">
        <f t="shared" si="0"/>
        <v>0</v>
      </c>
    </row>
    <row r="22" spans="2:9" x14ac:dyDescent="0.3">
      <c r="B22" s="39"/>
      <c r="C22" s="39"/>
      <c r="D22" s="39"/>
      <c r="E22" s="39"/>
      <c r="F22" s="39"/>
      <c r="G22" s="39"/>
      <c r="H22" s="39"/>
      <c r="I22" s="39">
        <f t="shared" si="0"/>
        <v>0</v>
      </c>
    </row>
    <row r="23" spans="2:9" x14ac:dyDescent="0.3">
      <c r="B23" s="39"/>
      <c r="C23" s="39"/>
      <c r="D23" s="39"/>
      <c r="E23" s="39"/>
      <c r="F23" s="39"/>
      <c r="G23" s="39"/>
      <c r="H23" s="39"/>
      <c r="I23" s="39">
        <f t="shared" si="0"/>
        <v>0</v>
      </c>
    </row>
    <row r="24" spans="2:9" x14ac:dyDescent="0.3">
      <c r="B24" s="39"/>
      <c r="C24" s="39"/>
      <c r="D24" s="39"/>
      <c r="E24" s="39"/>
      <c r="F24" s="39"/>
      <c r="G24" s="39"/>
      <c r="H24" s="39"/>
      <c r="I24" s="39">
        <f t="shared" si="0"/>
        <v>0</v>
      </c>
    </row>
    <row r="25" spans="2:9" x14ac:dyDescent="0.3">
      <c r="B25" s="39"/>
      <c r="C25" s="39"/>
      <c r="D25" s="39"/>
      <c r="E25" s="39"/>
      <c r="F25" s="39"/>
      <c r="G25" s="39"/>
      <c r="H25" s="39"/>
      <c r="I25" s="39">
        <f t="shared" si="0"/>
        <v>0</v>
      </c>
    </row>
    <row r="26" spans="2:9" x14ac:dyDescent="0.3">
      <c r="B26" s="39"/>
      <c r="C26" s="39"/>
      <c r="D26" s="39"/>
      <c r="E26" s="39"/>
      <c r="F26" s="39"/>
      <c r="G26" s="39"/>
      <c r="H26" s="39"/>
      <c r="I26" s="39">
        <f t="shared" si="0"/>
        <v>0</v>
      </c>
    </row>
    <row r="27" spans="2:9" x14ac:dyDescent="0.3">
      <c r="B27" s="39"/>
      <c r="C27" s="39"/>
      <c r="D27" s="39"/>
      <c r="E27" s="39"/>
      <c r="F27" s="39"/>
      <c r="G27" s="39"/>
      <c r="H27" s="39"/>
      <c r="I27" s="39">
        <f t="shared" si="0"/>
        <v>0</v>
      </c>
    </row>
    <row r="28" spans="2:9" x14ac:dyDescent="0.3">
      <c r="B28" s="39"/>
      <c r="C28" s="39"/>
      <c r="D28" s="39"/>
      <c r="E28" s="39"/>
      <c r="F28" s="39"/>
      <c r="G28" s="39"/>
      <c r="H28" s="39"/>
      <c r="I28" s="39">
        <f t="shared" si="0"/>
        <v>0</v>
      </c>
    </row>
    <row r="29" spans="2:9" x14ac:dyDescent="0.3">
      <c r="B29" s="39"/>
      <c r="C29" s="39"/>
      <c r="D29" s="39"/>
      <c r="E29" s="39"/>
      <c r="F29" s="39"/>
      <c r="G29" s="39"/>
      <c r="H29" s="39"/>
      <c r="I29" s="39">
        <f t="shared" si="0"/>
        <v>0</v>
      </c>
    </row>
    <row r="30" spans="2:9" x14ac:dyDescent="0.3">
      <c r="B30" s="39"/>
      <c r="C30" s="39"/>
      <c r="D30" s="39"/>
      <c r="E30" s="39"/>
      <c r="F30" s="39"/>
      <c r="G30" s="39"/>
      <c r="H30" s="39"/>
      <c r="I30" s="39">
        <f t="shared" si="0"/>
        <v>0</v>
      </c>
    </row>
    <row r="31" spans="2:9" x14ac:dyDescent="0.3">
      <c r="B31" s="39"/>
      <c r="C31" s="39"/>
      <c r="D31" s="39"/>
      <c r="E31" s="39"/>
      <c r="F31" s="39"/>
      <c r="G31" s="39"/>
      <c r="H31" s="39"/>
      <c r="I31" s="39">
        <f t="shared" si="0"/>
        <v>0</v>
      </c>
    </row>
    <row r="32" spans="2:9" x14ac:dyDescent="0.3">
      <c r="B32" s="39"/>
      <c r="C32" s="39"/>
      <c r="D32" s="39"/>
      <c r="E32" s="39"/>
      <c r="F32" s="39"/>
      <c r="G32" s="39"/>
      <c r="H32" s="39"/>
      <c r="I32" s="39">
        <f t="shared" si="0"/>
        <v>0</v>
      </c>
    </row>
    <row r="33" spans="2:9" x14ac:dyDescent="0.3">
      <c r="B33" s="39"/>
      <c r="C33" s="39"/>
      <c r="D33" s="39"/>
      <c r="E33" s="39"/>
      <c r="F33" s="39"/>
      <c r="G33" s="39"/>
      <c r="H33" s="39"/>
      <c r="I33" s="39">
        <f t="shared" si="0"/>
        <v>0</v>
      </c>
    </row>
    <row r="34" spans="2:9" x14ac:dyDescent="0.3">
      <c r="B34" s="39"/>
      <c r="C34" s="39"/>
      <c r="D34" s="39"/>
      <c r="E34" s="39"/>
      <c r="F34" s="39"/>
      <c r="G34" s="39"/>
      <c r="H34" s="39"/>
      <c r="I34" s="39">
        <f t="shared" si="0"/>
        <v>0</v>
      </c>
    </row>
    <row r="35" spans="2:9" x14ac:dyDescent="0.3">
      <c r="B35" s="39"/>
      <c r="C35" s="39"/>
      <c r="D35" s="39"/>
      <c r="E35" s="39"/>
      <c r="F35" s="39"/>
      <c r="G35" s="39"/>
      <c r="H35" s="39"/>
      <c r="I35" s="39">
        <f t="shared" si="0"/>
        <v>0</v>
      </c>
    </row>
  </sheetData>
  <mergeCells count="1">
    <mergeCell ref="B2:C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38632-8991-497A-A4ED-8B1346B51BB4}">
  <dimension ref="B1:I35"/>
  <sheetViews>
    <sheetView workbookViewId="0">
      <selection activeCell="G11" sqref="G11"/>
    </sheetView>
  </sheetViews>
  <sheetFormatPr defaultRowHeight="14.4" x14ac:dyDescent="0.3"/>
  <cols>
    <col min="2" max="2" width="18.5546875" customWidth="1"/>
    <col min="4" max="4" width="32.6640625" customWidth="1"/>
    <col min="6" max="6" width="38.77734375" bestFit="1" customWidth="1"/>
    <col min="7" max="7" width="34.21875" bestFit="1" customWidth="1"/>
    <col min="9" max="9" width="12" bestFit="1" customWidth="1"/>
  </cols>
  <sheetData>
    <row r="1" spans="2:9" ht="15" thickBot="1" x14ac:dyDescent="0.35"/>
    <row r="2" spans="2:9" ht="18.600000000000001" thickBot="1" x14ac:dyDescent="0.4">
      <c r="B2" s="84" t="s">
        <v>44</v>
      </c>
      <c r="C2" s="85"/>
      <c r="D2" s="43">
        <f>SUM(I5:I35)</f>
        <v>99000</v>
      </c>
    </row>
    <row r="4" spans="2:9" ht="43.2" x14ac:dyDescent="0.3">
      <c r="B4" s="41" t="s">
        <v>52</v>
      </c>
      <c r="C4" s="41" t="s">
        <v>45</v>
      </c>
      <c r="D4" s="41" t="s">
        <v>46</v>
      </c>
      <c r="E4" s="40" t="s">
        <v>47</v>
      </c>
      <c r="F4" s="40" t="s">
        <v>48</v>
      </c>
      <c r="G4" s="40" t="s">
        <v>50</v>
      </c>
      <c r="H4" s="40" t="s">
        <v>49</v>
      </c>
      <c r="I4" s="42" t="s">
        <v>51</v>
      </c>
    </row>
    <row r="5" spans="2:9" x14ac:dyDescent="0.3">
      <c r="B5" s="39" t="s">
        <v>70</v>
      </c>
      <c r="C5" s="39" t="s">
        <v>108</v>
      </c>
      <c r="D5" s="39" t="s">
        <v>107</v>
      </c>
      <c r="E5" s="39" t="s">
        <v>99</v>
      </c>
      <c r="F5" s="39" t="s">
        <v>116</v>
      </c>
      <c r="G5" s="39">
        <v>1000</v>
      </c>
      <c r="H5" s="39">
        <v>1</v>
      </c>
      <c r="I5" s="39">
        <f>G5*H5</f>
        <v>1000</v>
      </c>
    </row>
    <row r="6" spans="2:9" x14ac:dyDescent="0.3">
      <c r="B6" s="39" t="s">
        <v>64</v>
      </c>
      <c r="C6" s="39" t="s">
        <v>117</v>
      </c>
      <c r="D6" s="52" t="s">
        <v>97</v>
      </c>
      <c r="E6" s="39" t="s">
        <v>99</v>
      </c>
      <c r="F6" s="39" t="s">
        <v>118</v>
      </c>
      <c r="G6" s="39">
        <v>20000</v>
      </c>
      <c r="H6" s="39">
        <v>2</v>
      </c>
      <c r="I6" s="39">
        <f>G6*H6</f>
        <v>40000</v>
      </c>
    </row>
    <row r="7" spans="2:9" x14ac:dyDescent="0.3">
      <c r="B7" s="52" t="s">
        <v>70</v>
      </c>
      <c r="C7" s="52" t="s">
        <v>108</v>
      </c>
      <c r="D7" s="52" t="s">
        <v>107</v>
      </c>
      <c r="E7" s="52" t="s">
        <v>99</v>
      </c>
      <c r="F7" s="39" t="s">
        <v>120</v>
      </c>
      <c r="G7" s="39">
        <v>10000</v>
      </c>
      <c r="H7" s="39">
        <v>1</v>
      </c>
      <c r="I7" s="39">
        <f>G7*H7</f>
        <v>10000</v>
      </c>
    </row>
    <row r="8" spans="2:9" hidden="1" x14ac:dyDescent="0.3"/>
    <row r="9" spans="2:9" x14ac:dyDescent="0.3">
      <c r="B9" s="39" t="s">
        <v>111</v>
      </c>
      <c r="C9" s="39" t="s">
        <v>65</v>
      </c>
      <c r="D9" s="52" t="s">
        <v>98</v>
      </c>
      <c r="E9" s="39" t="s">
        <v>74</v>
      </c>
      <c r="F9" s="39" t="s">
        <v>126</v>
      </c>
      <c r="G9" s="39">
        <v>15000</v>
      </c>
      <c r="H9" s="39">
        <v>1</v>
      </c>
      <c r="I9" s="39">
        <f t="shared" ref="I9:I35" si="0">G9*H9</f>
        <v>15000</v>
      </c>
    </row>
    <row r="10" spans="2:9" x14ac:dyDescent="0.3">
      <c r="B10" s="39" t="s">
        <v>71</v>
      </c>
      <c r="C10" s="39" t="s">
        <v>94</v>
      </c>
      <c r="D10" s="39" t="s">
        <v>67</v>
      </c>
      <c r="E10" s="39" t="s">
        <v>76</v>
      </c>
      <c r="F10" s="39" t="s">
        <v>127</v>
      </c>
      <c r="G10" s="39">
        <v>20000</v>
      </c>
      <c r="H10" s="39">
        <v>1</v>
      </c>
      <c r="I10" s="39">
        <f t="shared" si="0"/>
        <v>20000</v>
      </c>
    </row>
    <row r="11" spans="2:9" x14ac:dyDescent="0.3">
      <c r="B11" s="39" t="s">
        <v>110</v>
      </c>
      <c r="C11" s="39" t="s">
        <v>121</v>
      </c>
      <c r="D11" s="39" t="s">
        <v>122</v>
      </c>
      <c r="E11" s="39" t="s">
        <v>75</v>
      </c>
      <c r="F11" s="39" t="s">
        <v>128</v>
      </c>
      <c r="G11" s="39">
        <v>13000</v>
      </c>
      <c r="H11" s="39">
        <v>1</v>
      </c>
      <c r="I11" s="39">
        <f t="shared" si="0"/>
        <v>13000</v>
      </c>
    </row>
    <row r="12" spans="2:9" x14ac:dyDescent="0.3">
      <c r="B12" s="39"/>
      <c r="C12" s="39"/>
      <c r="D12" s="39"/>
      <c r="E12" s="39"/>
      <c r="F12" s="39"/>
      <c r="G12" s="39"/>
      <c r="H12" s="39"/>
      <c r="I12" s="39">
        <f t="shared" si="0"/>
        <v>0</v>
      </c>
    </row>
    <row r="13" spans="2:9" x14ac:dyDescent="0.3">
      <c r="B13" s="39"/>
      <c r="C13" s="39"/>
      <c r="D13" s="39"/>
      <c r="E13" s="39"/>
      <c r="F13" s="39"/>
      <c r="G13" s="39"/>
      <c r="H13" s="39"/>
      <c r="I13" s="39">
        <f t="shared" si="0"/>
        <v>0</v>
      </c>
    </row>
    <row r="14" spans="2:9" x14ac:dyDescent="0.3">
      <c r="B14" s="39"/>
      <c r="C14" s="39"/>
      <c r="D14" s="39"/>
      <c r="E14" s="39"/>
      <c r="F14" s="39"/>
      <c r="G14" s="39"/>
      <c r="H14" s="39"/>
      <c r="I14" s="39">
        <f t="shared" si="0"/>
        <v>0</v>
      </c>
    </row>
    <row r="15" spans="2:9" x14ac:dyDescent="0.3">
      <c r="B15" s="39"/>
      <c r="C15" s="39"/>
      <c r="D15" s="39"/>
      <c r="E15" s="39"/>
      <c r="F15" s="39"/>
      <c r="G15" s="39"/>
      <c r="H15" s="39"/>
      <c r="I15" s="39">
        <f t="shared" si="0"/>
        <v>0</v>
      </c>
    </row>
    <row r="16" spans="2:9" x14ac:dyDescent="0.3">
      <c r="B16" s="39"/>
      <c r="C16" s="39"/>
      <c r="D16" s="39"/>
      <c r="E16" s="39"/>
      <c r="F16" s="39"/>
      <c r="G16" s="39"/>
      <c r="H16" s="39"/>
      <c r="I16" s="39">
        <f t="shared" si="0"/>
        <v>0</v>
      </c>
    </row>
    <row r="17" spans="2:9" x14ac:dyDescent="0.3">
      <c r="B17" s="39"/>
      <c r="C17" s="39"/>
      <c r="D17" s="39"/>
      <c r="E17" s="39"/>
      <c r="F17" s="39"/>
      <c r="G17" s="39"/>
      <c r="H17" s="39"/>
      <c r="I17" s="39">
        <f t="shared" si="0"/>
        <v>0</v>
      </c>
    </row>
    <row r="18" spans="2:9" x14ac:dyDescent="0.3">
      <c r="B18" s="39"/>
      <c r="C18" s="39"/>
      <c r="D18" s="39"/>
      <c r="E18" s="39"/>
      <c r="F18" s="39"/>
      <c r="G18" s="39"/>
      <c r="H18" s="39"/>
      <c r="I18" s="39">
        <f t="shared" si="0"/>
        <v>0</v>
      </c>
    </row>
    <row r="19" spans="2:9" x14ac:dyDescent="0.3">
      <c r="B19" s="39"/>
      <c r="C19" s="39"/>
      <c r="D19" s="39"/>
      <c r="E19" s="39"/>
      <c r="F19" s="39"/>
      <c r="G19" s="39"/>
      <c r="H19" s="39"/>
      <c r="I19" s="39">
        <f t="shared" si="0"/>
        <v>0</v>
      </c>
    </row>
    <row r="20" spans="2:9" x14ac:dyDescent="0.3">
      <c r="B20" s="39"/>
      <c r="C20" s="39"/>
      <c r="D20" s="39"/>
      <c r="E20" s="39"/>
      <c r="F20" s="39"/>
      <c r="G20" s="39"/>
      <c r="H20" s="39"/>
      <c r="I20" s="39">
        <f t="shared" si="0"/>
        <v>0</v>
      </c>
    </row>
    <row r="21" spans="2:9" x14ac:dyDescent="0.3">
      <c r="B21" s="39"/>
      <c r="C21" s="39"/>
      <c r="D21" s="39"/>
      <c r="E21" s="39"/>
      <c r="F21" s="39"/>
      <c r="G21" s="39"/>
      <c r="H21" s="39"/>
      <c r="I21" s="39">
        <f t="shared" si="0"/>
        <v>0</v>
      </c>
    </row>
    <row r="22" spans="2:9" x14ac:dyDescent="0.3">
      <c r="B22" s="39"/>
      <c r="C22" s="39"/>
      <c r="D22" s="39"/>
      <c r="E22" s="39"/>
      <c r="F22" s="39"/>
      <c r="G22" s="39"/>
      <c r="H22" s="39"/>
      <c r="I22" s="39">
        <f t="shared" si="0"/>
        <v>0</v>
      </c>
    </row>
    <row r="23" spans="2:9" x14ac:dyDescent="0.3">
      <c r="B23" s="39"/>
      <c r="C23" s="39"/>
      <c r="D23" s="39"/>
      <c r="E23" s="39"/>
      <c r="F23" s="39"/>
      <c r="G23" s="39"/>
      <c r="H23" s="39"/>
      <c r="I23" s="39">
        <f t="shared" si="0"/>
        <v>0</v>
      </c>
    </row>
    <row r="24" spans="2:9" x14ac:dyDescent="0.3">
      <c r="B24" s="39"/>
      <c r="C24" s="39"/>
      <c r="D24" s="39"/>
      <c r="E24" s="39"/>
      <c r="F24" s="39"/>
      <c r="G24" s="39"/>
      <c r="H24" s="39"/>
      <c r="I24" s="39">
        <f t="shared" si="0"/>
        <v>0</v>
      </c>
    </row>
    <row r="25" spans="2:9" x14ac:dyDescent="0.3">
      <c r="B25" s="39"/>
      <c r="C25" s="39"/>
      <c r="D25" s="39"/>
      <c r="E25" s="39"/>
      <c r="F25" s="39"/>
      <c r="G25" s="39"/>
      <c r="H25" s="39"/>
      <c r="I25" s="39">
        <f t="shared" si="0"/>
        <v>0</v>
      </c>
    </row>
    <row r="26" spans="2:9" x14ac:dyDescent="0.3">
      <c r="B26" s="39"/>
      <c r="C26" s="39"/>
      <c r="D26" s="39"/>
      <c r="E26" s="39"/>
      <c r="F26" s="39"/>
      <c r="G26" s="39"/>
      <c r="H26" s="39"/>
      <c r="I26" s="39">
        <f t="shared" si="0"/>
        <v>0</v>
      </c>
    </row>
    <row r="27" spans="2:9" x14ac:dyDescent="0.3">
      <c r="B27" s="39"/>
      <c r="C27" s="39"/>
      <c r="D27" s="39"/>
      <c r="E27" s="39"/>
      <c r="F27" s="39"/>
      <c r="G27" s="39"/>
      <c r="H27" s="39"/>
      <c r="I27" s="39">
        <f t="shared" si="0"/>
        <v>0</v>
      </c>
    </row>
    <row r="28" spans="2:9" x14ac:dyDescent="0.3">
      <c r="B28" s="39"/>
      <c r="C28" s="39"/>
      <c r="D28" s="39"/>
      <c r="E28" s="39"/>
      <c r="F28" s="39"/>
      <c r="G28" s="39"/>
      <c r="H28" s="39"/>
      <c r="I28" s="39">
        <f t="shared" si="0"/>
        <v>0</v>
      </c>
    </row>
    <row r="29" spans="2:9" x14ac:dyDescent="0.3">
      <c r="B29" s="39"/>
      <c r="C29" s="39"/>
      <c r="D29" s="39"/>
      <c r="E29" s="39"/>
      <c r="F29" s="39"/>
      <c r="G29" s="39"/>
      <c r="H29" s="39"/>
      <c r="I29" s="39">
        <f t="shared" si="0"/>
        <v>0</v>
      </c>
    </row>
    <row r="30" spans="2:9" x14ac:dyDescent="0.3">
      <c r="B30" s="39"/>
      <c r="C30" s="39"/>
      <c r="D30" s="39"/>
      <c r="E30" s="39"/>
      <c r="F30" s="39"/>
      <c r="G30" s="39"/>
      <c r="H30" s="39"/>
      <c r="I30" s="39">
        <f t="shared" si="0"/>
        <v>0</v>
      </c>
    </row>
    <row r="31" spans="2:9" x14ac:dyDescent="0.3">
      <c r="B31" s="39"/>
      <c r="C31" s="39"/>
      <c r="D31" s="39"/>
      <c r="E31" s="39"/>
      <c r="F31" s="39"/>
      <c r="G31" s="39"/>
      <c r="H31" s="39"/>
      <c r="I31" s="39">
        <f t="shared" si="0"/>
        <v>0</v>
      </c>
    </row>
    <row r="32" spans="2:9" x14ac:dyDescent="0.3">
      <c r="B32" s="39"/>
      <c r="C32" s="39"/>
      <c r="D32" s="39"/>
      <c r="E32" s="39"/>
      <c r="F32" s="39"/>
      <c r="G32" s="39"/>
      <c r="H32" s="39"/>
      <c r="I32" s="39">
        <f t="shared" si="0"/>
        <v>0</v>
      </c>
    </row>
    <row r="33" spans="2:9" x14ac:dyDescent="0.3">
      <c r="B33" s="39"/>
      <c r="C33" s="39"/>
      <c r="D33" s="39"/>
      <c r="E33" s="39"/>
      <c r="F33" s="39"/>
      <c r="G33" s="39"/>
      <c r="H33" s="39"/>
      <c r="I33" s="39">
        <f t="shared" si="0"/>
        <v>0</v>
      </c>
    </row>
    <row r="34" spans="2:9" x14ac:dyDescent="0.3">
      <c r="B34" s="39"/>
      <c r="C34" s="39"/>
      <c r="D34" s="39"/>
      <c r="E34" s="39"/>
      <c r="F34" s="39"/>
      <c r="G34" s="39"/>
      <c r="H34" s="39"/>
      <c r="I34" s="39">
        <f t="shared" si="0"/>
        <v>0</v>
      </c>
    </row>
    <row r="35" spans="2:9" x14ac:dyDescent="0.3">
      <c r="B35" s="39"/>
      <c r="C35" s="39"/>
      <c r="D35" s="39"/>
      <c r="E35" s="39"/>
      <c r="F35" s="39"/>
      <c r="G35" s="39"/>
      <c r="H35" s="39"/>
      <c r="I35" s="39">
        <f t="shared" si="0"/>
        <v>0</v>
      </c>
    </row>
  </sheetData>
  <mergeCells count="1">
    <mergeCell ref="B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Detaljno budzet-ETF</vt:lpstr>
      <vt:lpstr>Detaljno budzet -CISCO</vt:lpstr>
      <vt:lpstr>Travel - budzet</vt:lpstr>
      <vt:lpstr>Equipment - budzet</vt:lpstr>
      <vt:lpstr>Subcontracting - budzet</vt:lpstr>
    </vt:vector>
  </TitlesOfParts>
  <Company>www.horizon2020.info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Kampen, Jan-Joris van</dc:creator>
  <cp:lastModifiedBy>Ana</cp:lastModifiedBy>
  <cp:lastPrinted>2014-02-27T12:39:20Z</cp:lastPrinted>
  <dcterms:created xsi:type="dcterms:W3CDTF">2014-02-27T12:37:14Z</dcterms:created>
  <dcterms:modified xsi:type="dcterms:W3CDTF">2020-04-08T18:14:09Z</dcterms:modified>
</cp:coreProperties>
</file>