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din\Københavns Universitet\Rasmus Lindø Kaslund - Seminar Environment Economics\Data\"/>
    </mc:Choice>
  </mc:AlternateContent>
  <xr:revisionPtr revIDLastSave="0" documentId="13_ncr:1_{93B3AC91-4E8F-4D13-BE7D-3F3B22A79883}" xr6:coauthVersionLast="44" xr6:coauthVersionMax="44" xr10:uidLastSave="{00000000-0000-0000-0000-000000000000}"/>
  <bookViews>
    <workbookView xWindow="-110" yWindow="-110" windowWidth="22780" windowHeight="14660" activeTab="1" xr2:uid="{5E5DB688-4E22-47C6-8F75-C9085D995F12}"/>
  </bookViews>
  <sheets>
    <sheet name="Ark1" sheetId="1" r:id="rId1"/>
    <sheet name="Ark2" sheetId="2" r:id="rId2"/>
    <sheet name="Ark4" sheetId="4" r:id="rId3"/>
    <sheet name="Ark3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4" l="1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11" i="4"/>
  <c r="B11" i="4"/>
  <c r="F11" i="4"/>
  <c r="Q69" i="1"/>
  <c r="P26" i="1"/>
  <c r="P85" i="1" l="1"/>
  <c r="P86" i="1"/>
  <c r="P87" i="1"/>
  <c r="P88" i="1"/>
  <c r="P89" i="1"/>
  <c r="P90" i="1"/>
  <c r="P91" i="1"/>
  <c r="P92" i="1"/>
  <c r="P93" i="1"/>
  <c r="P84" i="1"/>
  <c r="O85" i="1"/>
  <c r="O86" i="1"/>
  <c r="O87" i="1"/>
  <c r="O88" i="1"/>
  <c r="O89" i="1"/>
  <c r="O90" i="1"/>
  <c r="O91" i="1"/>
  <c r="O92" i="1"/>
  <c r="O93" i="1"/>
  <c r="O84" i="1"/>
  <c r="N85" i="1"/>
  <c r="N86" i="1"/>
  <c r="N87" i="1"/>
  <c r="N88" i="1"/>
  <c r="N89" i="1"/>
  <c r="N90" i="1"/>
  <c r="N91" i="1"/>
  <c r="N92" i="1"/>
  <c r="N93" i="1"/>
  <c r="N84" i="1"/>
  <c r="M85" i="1"/>
  <c r="M86" i="1"/>
  <c r="M87" i="1"/>
  <c r="M88" i="1"/>
  <c r="M89" i="1"/>
  <c r="M90" i="1"/>
  <c r="M91" i="1"/>
  <c r="M92" i="1"/>
  <c r="M93" i="1"/>
  <c r="M94" i="1"/>
  <c r="M84" i="1"/>
  <c r="L85" i="1"/>
  <c r="L86" i="1"/>
  <c r="L87" i="1"/>
  <c r="L88" i="1"/>
  <c r="L89" i="1"/>
  <c r="L90" i="1"/>
  <c r="L91" i="1"/>
  <c r="L92" i="1"/>
  <c r="L93" i="1"/>
  <c r="L84" i="1"/>
  <c r="K94" i="1"/>
  <c r="K93" i="1"/>
  <c r="K92" i="1"/>
  <c r="K91" i="1"/>
  <c r="K90" i="1"/>
  <c r="K89" i="1"/>
  <c r="K88" i="1"/>
  <c r="K87" i="1"/>
  <c r="K86" i="1"/>
  <c r="K85" i="1"/>
  <c r="K84" i="1"/>
  <c r="J94" i="1"/>
  <c r="J93" i="1"/>
  <c r="J92" i="1"/>
  <c r="J91" i="1"/>
  <c r="J89" i="1"/>
  <c r="J88" i="1"/>
  <c r="J87" i="1"/>
  <c r="J84" i="1"/>
  <c r="J85" i="1"/>
  <c r="J90" i="1"/>
  <c r="J86" i="1"/>
  <c r="K53" i="1"/>
  <c r="H36" i="1"/>
  <c r="H37" i="1"/>
  <c r="H38" i="1"/>
  <c r="H39" i="1"/>
  <c r="H40" i="1"/>
  <c r="H41" i="1"/>
  <c r="H42" i="1"/>
  <c r="H43" i="1"/>
  <c r="H44" i="1"/>
  <c r="H35" i="1"/>
  <c r="G80" i="1"/>
  <c r="G81" i="1"/>
  <c r="G82" i="1"/>
  <c r="G83" i="1"/>
  <c r="G79" i="1"/>
  <c r="F80" i="1"/>
  <c r="F81" i="1"/>
  <c r="F82" i="1"/>
  <c r="F83" i="1"/>
  <c r="F79" i="1"/>
  <c r="E83" i="1"/>
  <c r="E82" i="1"/>
  <c r="E81" i="1"/>
  <c r="E80" i="1"/>
  <c r="E79" i="1"/>
  <c r="L69" i="1"/>
  <c r="D80" i="1"/>
  <c r="D81" i="1"/>
  <c r="D82" i="1"/>
  <c r="D83" i="1"/>
  <c r="D79" i="1"/>
  <c r="T30" i="1"/>
  <c r="T29" i="1"/>
  <c r="T28" i="1"/>
  <c r="T27" i="1"/>
  <c r="T26" i="1"/>
  <c r="N36" i="1"/>
  <c r="S26" i="1"/>
  <c r="U72" i="1"/>
  <c r="U73" i="1"/>
  <c r="Q74" i="1"/>
  <c r="U69" i="1" s="1"/>
  <c r="R73" i="1"/>
  <c r="S70" i="1"/>
  <c r="S71" i="1"/>
  <c r="S72" i="1"/>
  <c r="R72" i="1"/>
  <c r="R71" i="1"/>
  <c r="Q72" i="1"/>
  <c r="Q71" i="1"/>
  <c r="S69" i="1"/>
  <c r="R70" i="1"/>
  <c r="R69" i="1"/>
  <c r="Q73" i="1"/>
  <c r="Q70" i="1"/>
  <c r="J69" i="1"/>
  <c r="K69" i="1"/>
  <c r="J70" i="1"/>
  <c r="K70" i="1"/>
  <c r="M70" i="1" s="1"/>
  <c r="L70" i="1"/>
  <c r="J71" i="1"/>
  <c r="K71" i="1"/>
  <c r="L71" i="1" s="1"/>
  <c r="J72" i="1"/>
  <c r="J74" i="1" s="1"/>
  <c r="K72" i="1"/>
  <c r="M72" i="1" s="1"/>
  <c r="L72" i="1"/>
  <c r="J73" i="1"/>
  <c r="K73" i="1"/>
  <c r="L73" i="1" s="1"/>
  <c r="K74" i="1"/>
  <c r="M74" i="1" s="1"/>
  <c r="M73" i="1"/>
  <c r="K54" i="1"/>
  <c r="K55" i="1"/>
  <c r="K56" i="1"/>
  <c r="K57" i="1"/>
  <c r="K58" i="1"/>
  <c r="K59" i="1"/>
  <c r="K60" i="1"/>
  <c r="K61" i="1"/>
  <c r="K62" i="1"/>
  <c r="K63" i="1"/>
  <c r="K64" i="1"/>
  <c r="K65" i="1"/>
  <c r="G73" i="1"/>
  <c r="G72" i="1"/>
  <c r="G71" i="1"/>
  <c r="G70" i="1"/>
  <c r="G69" i="1"/>
  <c r="J54" i="1"/>
  <c r="J55" i="1"/>
  <c r="J56" i="1"/>
  <c r="J57" i="1"/>
  <c r="J58" i="1"/>
  <c r="J59" i="1"/>
  <c r="J60" i="1"/>
  <c r="J61" i="1"/>
  <c r="J62" i="1"/>
  <c r="J63" i="1"/>
  <c r="J64" i="1"/>
  <c r="J65" i="1"/>
  <c r="J53" i="1"/>
  <c r="S35" i="1"/>
  <c r="S34" i="1"/>
  <c r="S33" i="1"/>
  <c r="S32" i="1"/>
  <c r="S36" i="1"/>
  <c r="S30" i="1"/>
  <c r="S29" i="1"/>
  <c r="S28" i="1"/>
  <c r="S27" i="1"/>
  <c r="P27" i="1"/>
  <c r="P28" i="1"/>
  <c r="P29" i="1"/>
  <c r="P30" i="1"/>
  <c r="P31" i="1"/>
  <c r="P32" i="1"/>
  <c r="P33" i="1"/>
  <c r="P34" i="1"/>
  <c r="P35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P20" i="1"/>
  <c r="P21" i="1"/>
  <c r="P22" i="1"/>
  <c r="P23" i="1"/>
  <c r="P19" i="1"/>
  <c r="O23" i="1"/>
  <c r="O22" i="1"/>
  <c r="O21" i="1"/>
  <c r="O20" i="1"/>
  <c r="O19" i="1"/>
  <c r="N23" i="1"/>
  <c r="N22" i="1"/>
  <c r="N21" i="1"/>
  <c r="N20" i="1"/>
  <c r="N19" i="1"/>
  <c r="P13" i="1"/>
  <c r="P12" i="1"/>
  <c r="P11" i="1"/>
  <c r="P10" i="1"/>
  <c r="P9" i="1"/>
  <c r="Q10" i="1"/>
  <c r="Q11" i="1"/>
  <c r="Q12" i="1"/>
  <c r="Q13" i="1"/>
  <c r="Q9" i="1"/>
  <c r="O13" i="1"/>
  <c r="O12" i="1"/>
  <c r="O11" i="1"/>
  <c r="O10" i="1"/>
  <c r="O9" i="1"/>
  <c r="N14" i="1"/>
  <c r="R12" i="1" s="1"/>
  <c r="N13" i="1"/>
  <c r="N12" i="1"/>
  <c r="N11" i="1"/>
  <c r="N10" i="1"/>
  <c r="N9" i="1"/>
  <c r="A4" i="1"/>
  <c r="B4" i="1"/>
  <c r="C4" i="1"/>
  <c r="D4" i="1"/>
  <c r="E4" i="1"/>
  <c r="U71" i="1" l="1"/>
  <c r="U70" i="1"/>
  <c r="T73" i="1"/>
  <c r="R74" i="1"/>
  <c r="S73" i="1"/>
  <c r="M69" i="1"/>
  <c r="M71" i="1"/>
  <c r="R11" i="1"/>
  <c r="R9" i="1"/>
  <c r="R10" i="1"/>
  <c r="R13" i="1"/>
  <c r="T69" i="1" l="1"/>
  <c r="T70" i="1"/>
  <c r="T71" i="1"/>
  <c r="T72" i="1"/>
</calcChain>
</file>

<file path=xl/sharedStrings.xml><?xml version="1.0" encoding="utf-8"?>
<sst xmlns="http://schemas.openxmlformats.org/spreadsheetml/2006/main" count="282" uniqueCount="201">
  <si>
    <t>Kvintiler</t>
  </si>
  <si>
    <t>Skat i procent af indkomst</t>
  </si>
  <si>
    <t>Under 250.000 kr.</t>
  </si>
  <si>
    <t>250.000 - 449.999 kr.</t>
  </si>
  <si>
    <t>450.000 - 699.999 kr.</t>
  </si>
  <si>
    <t>700.000 - 999.999 kr.</t>
  </si>
  <si>
    <t>1.000.000 kr. og derover</t>
  </si>
  <si>
    <t>2.</t>
  </si>
  <si>
    <t>5.</t>
  </si>
  <si>
    <t>10.</t>
  </si>
  <si>
    <t>20.</t>
  </si>
  <si>
    <t>25. (nedre kvartil)</t>
  </si>
  <si>
    <t>30.</t>
  </si>
  <si>
    <t>40.</t>
  </si>
  <si>
    <t>50. (median)</t>
  </si>
  <si>
    <t>60.</t>
  </si>
  <si>
    <t>70.</t>
  </si>
  <si>
    <t>75. (øvre kvartil)</t>
  </si>
  <si>
    <t>80.</t>
  </si>
  <si>
    <t>90.</t>
  </si>
  <si>
    <t>95.</t>
  </si>
  <si>
    <t>98.</t>
  </si>
  <si>
    <t>99.</t>
  </si>
  <si>
    <t>100.</t>
  </si>
  <si>
    <t>I alt (gennemsnit)</t>
  </si>
  <si>
    <t xml:space="preserve">1. </t>
  </si>
  <si>
    <t>Indkomst</t>
  </si>
  <si>
    <t>I alt</t>
  </si>
  <si>
    <t>skat</t>
  </si>
  <si>
    <t>procent skat</t>
  </si>
  <si>
    <t>Procent indkomst</t>
  </si>
  <si>
    <t>Percentil</t>
  </si>
  <si>
    <t>Brutto-</t>
  </si>
  <si>
    <t>indkomst</t>
  </si>
  <si>
    <t>Skatte-</t>
  </si>
  <si>
    <t>pligtig indkomst</t>
  </si>
  <si>
    <t>Arbejds-</t>
  </si>
  <si>
    <t>markeds-</t>
  </si>
  <si>
    <t>bidrag</t>
  </si>
  <si>
    <t>Kommune- og kirkeskat samt sundheds-</t>
  </si>
  <si>
    <t>Bundskat</t>
  </si>
  <si>
    <t>Topskat</t>
  </si>
  <si>
    <t>Aktie-</t>
  </si>
  <si>
    <t>indkomst-</t>
  </si>
  <si>
    <t>Indkomst-</t>
  </si>
  <si>
    <t>skatter og AM-bidrag i alt</t>
  </si>
  <si>
    <t>Indkomst efter skat og AM-bidrag</t>
  </si>
  <si>
    <t>deciler</t>
  </si>
  <si>
    <t>procent indkomst</t>
  </si>
  <si>
    <t>Gennemsnitlig ækvivalret disponibel indkomst efter tid, decil gennemsnit og kommune</t>
  </si>
  <si>
    <t>Enhed: gns.</t>
  </si>
  <si>
    <t>Hele landet</t>
  </si>
  <si>
    <t>2018</t>
  </si>
  <si>
    <t>1. decil</t>
  </si>
  <si>
    <t>2. decil</t>
  </si>
  <si>
    <t>3. decil</t>
  </si>
  <si>
    <t>4. decil</t>
  </si>
  <si>
    <t>5. decil</t>
  </si>
  <si>
    <t>6. decil</t>
  </si>
  <si>
    <t>7. decil</t>
  </si>
  <si>
    <t>8. decil</t>
  </si>
  <si>
    <t>9. decil</t>
  </si>
  <si>
    <t>10. decil</t>
  </si>
  <si>
    <t>Indkomst i alt efter køn, region, tid, indkomstinterval og enhed</t>
  </si>
  <si>
    <t>Enhed: -</t>
  </si>
  <si>
    <t>Personer i gruppen (antal)</t>
  </si>
  <si>
    <t>Indkomstbeløb (1.000 kr.)</t>
  </si>
  <si>
    <t>Gennemsnit for personer i gruppen (kr.)</t>
  </si>
  <si>
    <t>Mænd og kvinder i alt</t>
  </si>
  <si>
    <t>Alle</t>
  </si>
  <si>
    <t>Under 100.000 kr.</t>
  </si>
  <si>
    <t>100.000 - 199.999 kr.</t>
  </si>
  <si>
    <t>200.000 - 299.999 kr.</t>
  </si>
  <si>
    <t>300.000 - 399.999 kr.</t>
  </si>
  <si>
    <t>400.000 - 499.999 kr.</t>
  </si>
  <si>
    <t>500.000 - 749.999 kr.</t>
  </si>
  <si>
    <t>750.000 - 999.999 kr.</t>
  </si>
  <si>
    <t>1.000.000 - 1.999.999 kr.</t>
  </si>
  <si>
    <t>2.000.000 - 2.999.999 kr.</t>
  </si>
  <si>
    <t>3.000.000 - 3.999.999 kr.</t>
  </si>
  <si>
    <t>4.000.000 - 4.999.999 kr.</t>
  </si>
  <si>
    <t>5.000.000 - 9.999.999 kr.</t>
  </si>
  <si>
    <t>10.000.000 kr. og derover</t>
  </si>
  <si>
    <t xml:space="preserve">13. Nov. 2019: 2018-Data om skattefri kontanthjælp og herved kontanthjælp, samlede overførsler og indkomst før skat er rettet i forhold til september-udgivelsen. </t>
  </si>
  <si>
    <t>Deciler</t>
  </si>
  <si>
    <t>Personer</t>
  </si>
  <si>
    <t>Indkomst grænser</t>
  </si>
  <si>
    <t>Gennemsnit</t>
  </si>
  <si>
    <t>Personandel</t>
  </si>
  <si>
    <t>under 100.000-150.000</t>
  </si>
  <si>
    <t>150.000-250.000</t>
  </si>
  <si>
    <t>250.000-350.000</t>
  </si>
  <si>
    <t>350.000-499.000</t>
  </si>
  <si>
    <t>500.000 og derover</t>
  </si>
  <si>
    <t>Antal personer</t>
  </si>
  <si>
    <t>Andel af indkomst</t>
  </si>
  <si>
    <t>Under 250.000</t>
  </si>
  <si>
    <t>449.000-699.000</t>
  </si>
  <si>
    <t>700.000-999.000</t>
  </si>
  <si>
    <t>1.000.000 og derover</t>
  </si>
  <si>
    <t>250.000-449.000</t>
  </si>
  <si>
    <t>Andel personer</t>
  </si>
  <si>
    <t>Grænser fra forbrugsundersøgelsen</t>
  </si>
  <si>
    <t>Fra anden beregning (fra 2010):</t>
  </si>
  <si>
    <t>Ny beregning baseret på dst for 2018</t>
  </si>
  <si>
    <t>Indkomst før skat</t>
  </si>
  <si>
    <t>Disponibel</t>
  </si>
  <si>
    <t>Skat</t>
  </si>
  <si>
    <t xml:space="preserve">Andel </t>
  </si>
  <si>
    <t>Decilgrænser på ækvivaleret disponibel indkomst efter tid, decilgrænse og kommune</t>
  </si>
  <si>
    <t>Enhed: kr.</t>
  </si>
  <si>
    <t>Andel</t>
  </si>
  <si>
    <t>Indkomstandel</t>
  </si>
  <si>
    <t>Disponipel indkomst</t>
  </si>
  <si>
    <t>Skat som andel af indkomst</t>
  </si>
  <si>
    <t>*note: er grænserne fra forbrugsundersøgelsen disponibel indkomst eller før skat indkomst?</t>
  </si>
  <si>
    <t>Tabel 1. Skattepligtige personer fordelt efter indkomst i 2016</t>
  </si>
  <si>
    <t>Personlig indkomst før fradrag af AM-bidrag</t>
  </si>
  <si>
    <t>Antal skattepligtige personer</t>
  </si>
  <si>
    <r>
      <t>Samlet indkomst</t>
    </r>
    <r>
      <rPr>
        <sz val="3"/>
        <color rgb="FF000000"/>
        <rFont val="Arial"/>
        <family val="2"/>
      </rPr>
      <t>1)</t>
    </r>
  </si>
  <si>
    <t>Indkomst- og ejendoms-</t>
  </si>
  <si>
    <t>værdiskat</t>
  </si>
  <si>
    <t>Arbejdsmar-</t>
  </si>
  <si>
    <r>
      <t>kedsbidrag</t>
    </r>
    <r>
      <rPr>
        <sz val="3"/>
        <color rgb="FF000000"/>
        <rFont val="Arial"/>
        <family val="2"/>
      </rPr>
      <t>2)</t>
    </r>
  </si>
  <si>
    <t>Indkomstskat,</t>
  </si>
  <si>
    <t>ejendoms-</t>
  </si>
  <si>
    <r>
      <t>værdiskat, og AM-bidrag i pct. af indkomst </t>
    </r>
    <r>
      <rPr>
        <sz val="3"/>
        <color rgb="FF000000"/>
        <rFont val="Arial"/>
        <family val="2"/>
      </rPr>
      <t>1)</t>
    </r>
  </si>
  <si>
    <t>Kr.</t>
  </si>
  <si>
    <t>Pct.</t>
  </si>
  <si>
    <t>Mia. kr.</t>
  </si>
  <si>
    <t>Negativ</t>
  </si>
  <si>
    <t>-</t>
  </si>
  <si>
    <t>0 - 25.000</t>
  </si>
  <si>
    <t>25.001- 50.000</t>
  </si>
  <si>
    <t>50.001- 75.000</t>
  </si>
  <si>
    <t>75.001- 100.000</t>
  </si>
  <si>
    <t>100.001- 125.000</t>
  </si>
  <si>
    <t>125.001- 150.000</t>
  </si>
  <si>
    <t>150.001- 200.000</t>
  </si>
  <si>
    <t>200.001- 250.000</t>
  </si>
  <si>
    <t>250.001- 300.000</t>
  </si>
  <si>
    <t>300.001- 350.000</t>
  </si>
  <si>
    <t>350.001- 400.000</t>
  </si>
  <si>
    <t>400.001- 500.000</t>
  </si>
  <si>
    <t>500.001- 750.000</t>
  </si>
  <si>
    <t>750.001-1.000.000</t>
  </si>
  <si>
    <t>Over 1.000.000</t>
  </si>
  <si>
    <t>Alle skattepligtige</t>
  </si>
  <si>
    <t>Anm: Lovmodelberegninger på grundlag af stikprøve på ca. 3,3 pct. af befolkningen i 2013 fremregnet til 2016, december 2015 forudsætninger.</t>
  </si>
  <si>
    <t>1) Personlig indkomst før fradrag af AM-bidrag.</t>
  </si>
  <si>
    <t>2) Ekskl. bidrag af arbejdsgiveradministrerede pensionsindbetalinger.</t>
  </si>
  <si>
    <t>https://www.skm.dk/skattetal/statistik/indkomstfordeling/progressionen-i-indkomstskattesystemet-2016</t>
  </si>
  <si>
    <t>https://www.skm.dk/skattetal/statistik/indkomstfordeling/fordelingsprofilen-i-indkomstskattesystemet-2016</t>
  </si>
  <si>
    <t>Indkomstinterval</t>
  </si>
  <si>
    <t>Indkomstgrundlag</t>
  </si>
  <si>
    <t>for kommuneskat og sundhedsbidrag.</t>
  </si>
  <si>
    <t>Skattepligtig indkomst</t>
  </si>
  <si>
    <t>Indkomstgrundlag for</t>
  </si>
  <si>
    <t>bundskat.</t>
  </si>
  <si>
    <t>Personlig indkomst</t>
  </si>
  <si>
    <t>+ pos. nettokap.indk.</t>
  </si>
  <si>
    <t>for topskat.</t>
  </si>
  <si>
    <t>&gt; 41.900 kr./83.800 kr.</t>
  </si>
  <si>
    <t>før fradrag af</t>
  </si>
  <si>
    <t>AM-bidrag</t>
  </si>
  <si>
    <t>Under 100.000</t>
  </si>
  <si>
    <t>100.001-150.000</t>
  </si>
  <si>
    <t>150.001-200.000</t>
  </si>
  <si>
    <t>200.001-300.000</t>
  </si>
  <si>
    <t>300.001-500.000</t>
  </si>
  <si>
    <t>over 500.000</t>
  </si>
  <si>
    <t>Anm.: Lovmodelberegninger på grundlag af stikprøve på ca. 3,3 pct. af befolkningen i 2013 fremregnet til 2016, december 2015 forudsætninger.</t>
  </si>
  <si>
    <t>Tabel 2. Fordeling af indkomster og fradrag samt skat og AM-bidrag i 2016. Alle personer.</t>
  </si>
  <si>
    <t>Antal</t>
  </si>
  <si>
    <t>Nettokapital-</t>
  </si>
  <si>
    <t>Lignings-</t>
  </si>
  <si>
    <t>mæssige fradrag</t>
  </si>
  <si>
    <t>Skattepligtig</t>
  </si>
  <si>
    <t>og ejendoms-</t>
  </si>
  <si>
    <t>markedsbidrag</t>
  </si>
  <si>
    <t>Gns.</t>
  </si>
  <si>
    <t>25.001 - 50.000</t>
  </si>
  <si>
    <t>50.001 - 75.000</t>
  </si>
  <si>
    <t>75.001 - 100.000</t>
  </si>
  <si>
    <t>100.001 - 125.000</t>
  </si>
  <si>
    <t>125.001 - 150.000</t>
  </si>
  <si>
    <t>150.001 - 175.000</t>
  </si>
  <si>
    <t>175.001 - 200.000</t>
  </si>
  <si>
    <t>200.001 - 250.000</t>
  </si>
  <si>
    <t>250.001 - 300.000</t>
  </si>
  <si>
    <t>300.001 - 350.000</t>
  </si>
  <si>
    <t>350.001 - 400.000</t>
  </si>
  <si>
    <t>400.001 - 500.000</t>
  </si>
  <si>
    <t>500.001 - 750.000</t>
  </si>
  <si>
    <t>750.001 - 1 mill.</t>
  </si>
  <si>
    <t>Over 1 mill.</t>
  </si>
  <si>
    <t>T</t>
  </si>
  <si>
    <t>Z</t>
  </si>
  <si>
    <t>Epsilon</t>
  </si>
  <si>
    <t>r</t>
  </si>
  <si>
    <t>Output,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</si>
</sst>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kr.&quot;;[Red]\-#,##0\ &quot;kr.&quot;"/>
  </numFmts>
  <fonts count="13" x14ac:knownFonts="1">
    <font>
      <sz val="11"/>
      <color theme="1"/>
      <name val="Calibri"/>
      <family val="2"/>
      <scheme val="minor"/>
    </font>
    <font>
      <sz val="5"/>
      <color rgb="FF222222"/>
      <name val="Arial"/>
      <family val="2"/>
    </font>
    <font>
      <sz val="5"/>
      <color rgb="FF000000"/>
      <name val="Arial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5"/>
      <color rgb="FFFFFFFF"/>
      <name val="Arial"/>
      <family val="2"/>
    </font>
    <font>
      <sz val="4"/>
      <color rgb="FF000000"/>
      <name val="Arial"/>
      <family val="2"/>
    </font>
    <font>
      <sz val="3"/>
      <color rgb="FF000000"/>
      <name val="Arial"/>
      <family val="2"/>
    </font>
    <font>
      <sz val="4"/>
      <color theme="1"/>
      <name val="Arial"/>
      <family val="2"/>
    </font>
    <font>
      <sz val="4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1C5C3"/>
        <bgColor indexed="64"/>
      </patternFill>
    </fill>
    <fill>
      <patternFill patternType="solid">
        <fgColor rgb="FF14143C"/>
        <bgColor indexed="64"/>
      </patternFill>
    </fill>
  </fills>
  <borders count="5">
    <border>
      <left/>
      <right/>
      <top/>
      <bottom/>
      <diagonal/>
    </border>
    <border>
      <left style="medium">
        <color rgb="FFC4C4C4"/>
      </left>
      <right style="medium">
        <color rgb="FFC4C4C4"/>
      </right>
      <top style="medium">
        <color rgb="FFC4C4C4"/>
      </top>
      <bottom style="medium">
        <color rgb="FFC4C4C4"/>
      </bottom>
      <diagonal/>
    </border>
    <border>
      <left style="medium">
        <color rgb="FFC4C4C4"/>
      </left>
      <right style="medium">
        <color rgb="FFC4C4C4"/>
      </right>
      <top style="medium">
        <color rgb="FFC4C4C4"/>
      </top>
      <bottom/>
      <diagonal/>
    </border>
    <border>
      <left style="medium">
        <color rgb="FFC4C4C4"/>
      </left>
      <right style="medium">
        <color rgb="FFC4C4C4"/>
      </right>
      <top/>
      <bottom/>
      <diagonal/>
    </border>
    <border>
      <left style="medium">
        <color rgb="FFC4C4C4"/>
      </left>
      <right style="medium">
        <color rgb="FFC4C4C4"/>
      </right>
      <top/>
      <bottom style="medium">
        <color rgb="FFC4C4C4"/>
      </bottom>
      <diagonal/>
    </border>
  </borders>
  <cellStyleXfs count="3">
    <xf numFmtId="0" fontId="0" fillId="0" borderId="0"/>
    <xf numFmtId="0" fontId="3" fillId="0" borderId="0" applyNumberFormat="0" applyBorder="0" applyAlignment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3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3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3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0" xfId="1" applyFill="1" applyProtection="1"/>
    <xf numFmtId="0" fontId="4" fillId="0" borderId="0" xfId="1" applyFont="1" applyFill="1" applyProtection="1"/>
    <xf numFmtId="0" fontId="5" fillId="0" borderId="0" xfId="1" applyFont="1" applyFill="1" applyProtection="1"/>
    <xf numFmtId="0" fontId="6" fillId="0" borderId="0" xfId="1" applyFont="1" applyFill="1" applyAlignment="1" applyProtection="1">
      <alignment horizontal="left"/>
    </xf>
    <xf numFmtId="0" fontId="3" fillId="0" borderId="0" xfId="1" applyFill="1" applyAlignment="1" applyProtection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 applyAlignment="1">
      <alignment wrapText="1"/>
    </xf>
    <xf numFmtId="0" fontId="3" fillId="0" borderId="0" xfId="1" applyFill="1" applyProtection="1"/>
    <xf numFmtId="0" fontId="4" fillId="0" borderId="0" xfId="1" applyFont="1" applyFill="1" applyProtection="1"/>
    <xf numFmtId="0" fontId="5" fillId="0" borderId="0" xfId="1" applyFont="1" applyFill="1" applyProtection="1"/>
    <xf numFmtId="0" fontId="6" fillId="0" borderId="0" xfId="1" applyFont="1" applyFill="1" applyAlignment="1" applyProtection="1">
      <alignment horizontal="left"/>
    </xf>
    <xf numFmtId="0" fontId="3" fillId="0" borderId="0" xfId="1" applyFill="1" applyAlignment="1" applyProtection="1">
      <alignment horizontal="right"/>
    </xf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3" fontId="10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10" fillId="3" borderId="0" xfId="0" applyFont="1" applyFill="1" applyAlignment="1">
      <alignment horizontal="right" vertical="center" wrapText="1"/>
    </xf>
    <xf numFmtId="3" fontId="8" fillId="4" borderId="0" xfId="0" applyNumberFormat="1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4" fontId="8" fillId="4" borderId="0" xfId="0" applyNumberFormat="1" applyFont="1" applyFill="1" applyAlignment="1">
      <alignment horizontal="right" vertical="center" wrapText="1"/>
    </xf>
    <xf numFmtId="0" fontId="7" fillId="5" borderId="0" xfId="0" applyFont="1" applyFill="1" applyAlignment="1">
      <alignment horizontal="left" vertical="top" wrapText="1"/>
    </xf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2"/>
    <xf numFmtId="3" fontId="10" fillId="3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6" fontId="10" fillId="0" borderId="0" xfId="0" applyNumberFormat="1" applyFont="1" applyAlignment="1">
      <alignment horizontal="center" vertical="center" wrapText="1"/>
    </xf>
  </cellXfs>
  <cellStyles count="3">
    <cellStyle name="Link" xfId="2" builtinId="8"/>
    <cellStyle name="Normal" xfId="0" builtinId="0"/>
    <cellStyle name="Normal 2" xfId="1" xr:uid="{46D8CCA1-B1DB-4570-9383-E32D9F851F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km.dk/skattetal/statistik/indkomstfordeling/progressionen-i-indkomstskattesystemet-201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km.dk/skattetal/statistik/indkomstfordeling/fordelingsprofilen-i-indkomstskattesystemet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D633-6ACB-40E3-A231-57A7CB7B126F}">
  <dimension ref="A1:U96"/>
  <sheetViews>
    <sheetView topLeftCell="F54" zoomScale="85" workbookViewId="0">
      <selection activeCell="F53" sqref="F53:F63"/>
    </sheetView>
  </sheetViews>
  <sheetFormatPr defaultRowHeight="14.25" x14ac:dyDescent="0.45"/>
  <cols>
    <col min="1" max="1" width="15.73046875" bestFit="1" customWidth="1"/>
    <col min="2" max="4" width="18.265625" bestFit="1" customWidth="1"/>
    <col min="5" max="5" width="21.265625" bestFit="1" customWidth="1"/>
    <col min="6" max="6" width="22.33203125" bestFit="1" customWidth="1"/>
    <col min="7" max="7" width="11.9296875" bestFit="1" customWidth="1"/>
    <col min="8" max="8" width="22.796875" bestFit="1" customWidth="1"/>
    <col min="9" max="9" width="34.796875" bestFit="1" customWidth="1"/>
    <col min="10" max="10" width="12.46484375" customWidth="1"/>
    <col min="11" max="11" width="11.796875" bestFit="1" customWidth="1"/>
    <col min="12" max="12" width="19.19921875" customWidth="1"/>
    <col min="14" max="14" width="8.9296875" bestFit="1" customWidth="1"/>
    <col min="16" max="16" width="18.53125" bestFit="1" customWidth="1"/>
    <col min="17" max="17" width="11.796875" bestFit="1" customWidth="1"/>
    <col min="18" max="18" width="21.265625" bestFit="1" customWidth="1"/>
    <col min="19" max="19" width="11.796875" bestFit="1" customWidth="1"/>
    <col min="20" max="20" width="16" bestFit="1" customWidth="1"/>
    <col min="21" max="21" width="11.796875" bestFit="1" customWidth="1"/>
    <col min="22" max="22" width="20.796875" customWidth="1"/>
  </cols>
  <sheetData>
    <row r="1" spans="1:18" x14ac:dyDescent="0.45">
      <c r="A1" t="s">
        <v>0</v>
      </c>
    </row>
    <row r="2" spans="1:18" x14ac:dyDescent="0.45">
      <c r="A2" s="29" t="s">
        <v>1</v>
      </c>
      <c r="B2" s="29"/>
      <c r="C2" s="29"/>
      <c r="D2" s="29"/>
      <c r="E2" s="29"/>
    </row>
    <row r="3" spans="1:18" x14ac:dyDescent="0.4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18" x14ac:dyDescent="0.45">
      <c r="A4">
        <f>(0.137+0.225)/2</f>
        <v>0.18099999999999999</v>
      </c>
      <c r="B4">
        <f>(0.24+0.245)/2</f>
        <v>0.24249999999999999</v>
      </c>
      <c r="C4">
        <f>(0.267+0.29)/2</f>
        <v>0.27849999999999997</v>
      </c>
      <c r="D4">
        <f>(0.305+0.31)/2</f>
        <v>0.3075</v>
      </c>
      <c r="E4">
        <f>(0.325+0.378)/2</f>
        <v>0.35150000000000003</v>
      </c>
    </row>
    <row r="5" spans="1:18" ht="14.65" thickBot="1" x14ac:dyDescent="0.5"/>
    <row r="6" spans="1:18" x14ac:dyDescent="0.45">
      <c r="A6" s="30" t="s">
        <v>31</v>
      </c>
      <c r="B6" s="11" t="s">
        <v>32</v>
      </c>
      <c r="C6" s="11" t="s">
        <v>34</v>
      </c>
      <c r="D6" s="11" t="s">
        <v>36</v>
      </c>
      <c r="E6" s="11" t="s">
        <v>39</v>
      </c>
      <c r="F6" s="33" t="s">
        <v>40</v>
      </c>
      <c r="G6" s="33" t="s">
        <v>41</v>
      </c>
      <c r="H6" s="11" t="s">
        <v>42</v>
      </c>
      <c r="I6" s="11" t="s">
        <v>44</v>
      </c>
      <c r="J6" s="33" t="s">
        <v>46</v>
      </c>
    </row>
    <row r="7" spans="1:18" x14ac:dyDescent="0.45">
      <c r="A7" s="31"/>
      <c r="B7" s="12" t="s">
        <v>33</v>
      </c>
      <c r="C7" s="12" t="s">
        <v>35</v>
      </c>
      <c r="D7" s="12" t="s">
        <v>37</v>
      </c>
      <c r="E7" s="12" t="s">
        <v>38</v>
      </c>
      <c r="F7" s="34"/>
      <c r="G7" s="34"/>
      <c r="H7" s="12" t="s">
        <v>43</v>
      </c>
      <c r="I7" s="12" t="s">
        <v>45</v>
      </c>
      <c r="J7" s="34"/>
    </row>
    <row r="8" spans="1:18" ht="14.65" thickBot="1" x14ac:dyDescent="0.5">
      <c r="A8" s="32"/>
      <c r="B8" s="13"/>
      <c r="C8" s="13"/>
      <c r="D8" s="13" t="s">
        <v>38</v>
      </c>
      <c r="E8" s="13"/>
      <c r="F8" s="35"/>
      <c r="G8" s="35"/>
      <c r="H8" s="13" t="s">
        <v>28</v>
      </c>
      <c r="I8" s="13"/>
      <c r="J8" s="35"/>
      <c r="N8" t="s">
        <v>26</v>
      </c>
      <c r="O8" t="s">
        <v>28</v>
      </c>
      <c r="Q8" t="s">
        <v>29</v>
      </c>
      <c r="R8" t="s">
        <v>30</v>
      </c>
    </row>
    <row r="9" spans="1:18" ht="14.65" thickBot="1" x14ac:dyDescent="0.5">
      <c r="A9" t="s">
        <v>25</v>
      </c>
      <c r="B9" s="1">
        <v>-81580</v>
      </c>
      <c r="C9" s="1">
        <v>-115340</v>
      </c>
      <c r="D9" s="2">
        <v>950</v>
      </c>
      <c r="E9" s="2">
        <v>0</v>
      </c>
      <c r="F9" s="2">
        <v>0</v>
      </c>
      <c r="G9" s="2">
        <v>0</v>
      </c>
      <c r="H9" s="2">
        <v>260</v>
      </c>
      <c r="I9" s="1">
        <v>1210</v>
      </c>
      <c r="J9" s="1">
        <v>-82790</v>
      </c>
      <c r="M9">
        <v>1</v>
      </c>
      <c r="N9" s="10">
        <f>SUM(B9:B13)</f>
        <v>60850</v>
      </c>
      <c r="O9">
        <f>SUM(H9:I13)</f>
        <v>26980</v>
      </c>
      <c r="P9" s="10">
        <f>SUM(B9:B13)-SUM(J9:J13)</f>
        <v>26560</v>
      </c>
      <c r="Q9">
        <f>O9/N9</f>
        <v>0.44338537387017257</v>
      </c>
      <c r="R9">
        <f>N9/$N$14</f>
        <v>9.9540819915361674E-3</v>
      </c>
    </row>
    <row r="10" spans="1:18" ht="14.65" thickBot="1" x14ac:dyDescent="0.5">
      <c r="A10" s="3" t="s">
        <v>7</v>
      </c>
      <c r="B10" s="4">
        <v>0</v>
      </c>
      <c r="C10" s="5">
        <v>-3640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M10">
        <v>2</v>
      </c>
      <c r="N10" s="10">
        <f>SUM(B14:B16)</f>
        <v>441570</v>
      </c>
      <c r="O10">
        <f>SUM(H14:I16)</f>
        <v>110940</v>
      </c>
      <c r="P10" s="10">
        <f>SUM(B14:B16)-SUM(J14:J16)</f>
        <v>110640</v>
      </c>
      <c r="Q10">
        <f t="shared" ref="Q10:Q13" si="0">O10/N10</f>
        <v>0.25123989401453906</v>
      </c>
      <c r="R10">
        <f t="shared" ref="R10:R13" si="1">N10/$N$14</f>
        <v>7.223375488911464E-2</v>
      </c>
    </row>
    <row r="11" spans="1:18" ht="14.65" thickBot="1" x14ac:dyDescent="0.5">
      <c r="A11" s="6" t="s">
        <v>8</v>
      </c>
      <c r="B11" s="1">
        <v>3100</v>
      </c>
      <c r="C11" s="2">
        <v>880</v>
      </c>
      <c r="D11" s="2">
        <v>220</v>
      </c>
      <c r="E11" s="2">
        <v>10</v>
      </c>
      <c r="F11" s="2">
        <v>0</v>
      </c>
      <c r="G11" s="2">
        <v>0</v>
      </c>
      <c r="H11" s="2">
        <v>30</v>
      </c>
      <c r="I11" s="2">
        <v>250</v>
      </c>
      <c r="J11" s="1">
        <v>2850</v>
      </c>
      <c r="M11">
        <v>3</v>
      </c>
      <c r="N11" s="10">
        <f>SUM(B17:B18)</f>
        <v>495630</v>
      </c>
      <c r="O11">
        <f>SUM(H17:I18)</f>
        <v>144920</v>
      </c>
      <c r="P11" s="10">
        <f>SUM(B17:B18)-SUM(J17:J18)</f>
        <v>144490</v>
      </c>
      <c r="Q11">
        <f t="shared" si="0"/>
        <v>0.29239553699332166</v>
      </c>
      <c r="R11">
        <f t="shared" si="1"/>
        <v>8.1077102012573066E-2</v>
      </c>
    </row>
    <row r="12" spans="1:18" ht="14.65" thickBot="1" x14ac:dyDescent="0.5">
      <c r="A12" s="3" t="s">
        <v>9</v>
      </c>
      <c r="B12" s="5">
        <v>32160</v>
      </c>
      <c r="C12" s="5">
        <v>25520</v>
      </c>
      <c r="D12" s="5">
        <v>2110</v>
      </c>
      <c r="E12" s="4">
        <v>260</v>
      </c>
      <c r="F12" s="4">
        <v>30</v>
      </c>
      <c r="G12" s="4">
        <v>0</v>
      </c>
      <c r="H12" s="4">
        <v>60</v>
      </c>
      <c r="I12" s="5">
        <v>2470</v>
      </c>
      <c r="J12" s="5">
        <v>29690</v>
      </c>
      <c r="M12">
        <v>4</v>
      </c>
      <c r="N12" s="10">
        <f>SUM(B19:B21)</f>
        <v>1043490</v>
      </c>
      <c r="O12">
        <f>SUM(H19:I21)</f>
        <v>333420</v>
      </c>
      <c r="P12" s="10">
        <f>SUM(B19:B21)-SUM(J19:J21)</f>
        <v>332620</v>
      </c>
      <c r="Q12">
        <f t="shared" si="0"/>
        <v>0.31952390535606473</v>
      </c>
      <c r="R12">
        <f t="shared" si="1"/>
        <v>0.17069819256118449</v>
      </c>
    </row>
    <row r="13" spans="1:18" ht="14.65" thickBot="1" x14ac:dyDescent="0.5">
      <c r="A13" s="6" t="s">
        <v>10</v>
      </c>
      <c r="B13" s="1">
        <v>107170</v>
      </c>
      <c r="C13" s="1">
        <v>96610</v>
      </c>
      <c r="D13" s="1">
        <v>1720</v>
      </c>
      <c r="E13" s="1">
        <v>18590</v>
      </c>
      <c r="F13" s="1">
        <v>2250</v>
      </c>
      <c r="G13" s="2">
        <v>0</v>
      </c>
      <c r="H13" s="2">
        <v>70</v>
      </c>
      <c r="I13" s="1">
        <v>22630</v>
      </c>
      <c r="J13" s="1">
        <v>84540</v>
      </c>
      <c r="M13">
        <v>5</v>
      </c>
      <c r="N13" s="10">
        <f>SUM(B22:B26)</f>
        <v>4071530</v>
      </c>
      <c r="O13">
        <f>SUM(H22:I26)</f>
        <v>1800410</v>
      </c>
      <c r="P13" s="10">
        <f>SUM(B22:B26)-SUM(J22:J26)</f>
        <v>1675170</v>
      </c>
      <c r="Q13">
        <f t="shared" si="0"/>
        <v>0.44219494882759058</v>
      </c>
      <c r="R13">
        <f t="shared" si="1"/>
        <v>0.66603686854559163</v>
      </c>
    </row>
    <row r="14" spans="1:18" ht="14.65" thickBot="1" x14ac:dyDescent="0.5">
      <c r="A14" s="7" t="s">
        <v>11</v>
      </c>
      <c r="B14" s="8">
        <v>126720</v>
      </c>
      <c r="C14" s="8">
        <v>111970</v>
      </c>
      <c r="D14" s="8">
        <v>3040</v>
      </c>
      <c r="E14" s="8">
        <v>23380</v>
      </c>
      <c r="F14" s="8">
        <v>2910</v>
      </c>
      <c r="G14" s="9">
        <v>10</v>
      </c>
      <c r="H14" s="9">
        <v>120</v>
      </c>
      <c r="I14" s="8">
        <v>29450</v>
      </c>
      <c r="J14" s="8">
        <v>97270</v>
      </c>
      <c r="M14" t="s">
        <v>27</v>
      </c>
      <c r="N14" s="10">
        <f>SUM(N9:N13)</f>
        <v>6113070</v>
      </c>
    </row>
    <row r="15" spans="1:18" ht="14.65" thickBot="1" x14ac:dyDescent="0.5">
      <c r="A15" s="6" t="s">
        <v>12</v>
      </c>
      <c r="B15" s="1">
        <v>140590</v>
      </c>
      <c r="C15" s="1">
        <v>132250</v>
      </c>
      <c r="D15" s="1">
        <v>1410</v>
      </c>
      <c r="E15" s="1">
        <v>30290</v>
      </c>
      <c r="F15" s="1">
        <v>3500</v>
      </c>
      <c r="G15" s="2">
        <v>0</v>
      </c>
      <c r="H15" s="2">
        <v>80</v>
      </c>
      <c r="I15" s="1">
        <v>35280</v>
      </c>
      <c r="J15" s="1">
        <v>105310</v>
      </c>
    </row>
    <row r="16" spans="1:18" ht="14.65" thickBot="1" x14ac:dyDescent="0.5">
      <c r="A16" s="3" t="s">
        <v>13</v>
      </c>
      <c r="B16" s="5">
        <v>174260</v>
      </c>
      <c r="C16" s="5">
        <v>156770</v>
      </c>
      <c r="D16" s="5">
        <v>2780</v>
      </c>
      <c r="E16" s="5">
        <v>38300</v>
      </c>
      <c r="F16" s="5">
        <v>4720</v>
      </c>
      <c r="G16" s="4">
        <v>10</v>
      </c>
      <c r="H16" s="4">
        <v>100</v>
      </c>
      <c r="I16" s="5">
        <v>45910</v>
      </c>
      <c r="J16" s="5">
        <v>128350</v>
      </c>
    </row>
    <row r="17" spans="1:20" ht="14.65" thickBot="1" x14ac:dyDescent="0.5">
      <c r="A17" s="7" t="s">
        <v>14</v>
      </c>
      <c r="B17" s="8">
        <v>220940</v>
      </c>
      <c r="C17" s="8">
        <v>182700</v>
      </c>
      <c r="D17" s="8">
        <v>9640</v>
      </c>
      <c r="E17" s="8">
        <v>46710</v>
      </c>
      <c r="F17" s="8">
        <v>6070</v>
      </c>
      <c r="G17" s="9">
        <v>10</v>
      </c>
      <c r="H17" s="9">
        <v>260</v>
      </c>
      <c r="I17" s="8">
        <v>62690</v>
      </c>
      <c r="J17" s="8">
        <v>158250</v>
      </c>
    </row>
    <row r="18" spans="1:20" ht="14.65" thickBot="1" x14ac:dyDescent="0.5">
      <c r="A18" s="3" t="s">
        <v>15</v>
      </c>
      <c r="B18" s="5">
        <v>274690</v>
      </c>
      <c r="C18" s="5">
        <v>212590</v>
      </c>
      <c r="D18" s="5">
        <v>17000</v>
      </c>
      <c r="E18" s="5">
        <v>56820</v>
      </c>
      <c r="F18" s="5">
        <v>7790</v>
      </c>
      <c r="G18" s="4">
        <v>10</v>
      </c>
      <c r="H18" s="4">
        <v>170</v>
      </c>
      <c r="I18" s="5">
        <v>81800</v>
      </c>
      <c r="J18" s="5">
        <v>192890</v>
      </c>
    </row>
    <row r="19" spans="1:20" ht="14.65" thickBot="1" x14ac:dyDescent="0.5">
      <c r="A19" s="6" t="s">
        <v>16</v>
      </c>
      <c r="B19" s="1">
        <v>322040</v>
      </c>
      <c r="C19" s="1">
        <v>243950</v>
      </c>
      <c r="D19" s="1">
        <v>23330</v>
      </c>
      <c r="E19" s="1">
        <v>67580</v>
      </c>
      <c r="F19" s="1">
        <v>9290</v>
      </c>
      <c r="G19" s="2">
        <v>20</v>
      </c>
      <c r="H19" s="2">
        <v>150</v>
      </c>
      <c r="I19" s="1">
        <v>100370</v>
      </c>
      <c r="J19" s="1">
        <v>221670</v>
      </c>
      <c r="M19">
        <v>1</v>
      </c>
      <c r="N19" s="10">
        <f>B13</f>
        <v>107170</v>
      </c>
      <c r="O19" s="10">
        <f>B13-J13</f>
        <v>22630</v>
      </c>
      <c r="P19">
        <f>O19/N19</f>
        <v>0.21115983950732481</v>
      </c>
    </row>
    <row r="20" spans="1:20" ht="14.65" thickBot="1" x14ac:dyDescent="0.5">
      <c r="A20" s="7" t="s">
        <v>17</v>
      </c>
      <c r="B20" s="8">
        <v>346750</v>
      </c>
      <c r="C20" s="8">
        <v>265030</v>
      </c>
      <c r="D20" s="8">
        <v>25610</v>
      </c>
      <c r="E20" s="8">
        <v>74590</v>
      </c>
      <c r="F20" s="8">
        <v>10100</v>
      </c>
      <c r="G20" s="9">
        <v>30</v>
      </c>
      <c r="H20" s="9">
        <v>400</v>
      </c>
      <c r="I20" s="8">
        <v>110730</v>
      </c>
      <c r="J20" s="8">
        <v>236020</v>
      </c>
      <c r="M20">
        <v>2</v>
      </c>
      <c r="N20" s="10">
        <f>B16</f>
        <v>174260</v>
      </c>
      <c r="O20" s="10">
        <f>B16-J16</f>
        <v>45910</v>
      </c>
      <c r="P20">
        <f t="shared" ref="P20:P23" si="2">O20/N20</f>
        <v>0.26345690347756229</v>
      </c>
    </row>
    <row r="21" spans="1:20" ht="14.65" thickBot="1" x14ac:dyDescent="0.5">
      <c r="A21" s="6" t="s">
        <v>18</v>
      </c>
      <c r="B21" s="1">
        <v>374700</v>
      </c>
      <c r="C21" s="1">
        <v>287990</v>
      </c>
      <c r="D21" s="1">
        <v>27930</v>
      </c>
      <c r="E21" s="1">
        <v>82260</v>
      </c>
      <c r="F21" s="1">
        <v>11070</v>
      </c>
      <c r="G21" s="2">
        <v>10</v>
      </c>
      <c r="H21" s="2">
        <v>250</v>
      </c>
      <c r="I21" s="1">
        <v>121520</v>
      </c>
      <c r="J21" s="1">
        <v>253180</v>
      </c>
      <c r="M21">
        <v>3</v>
      </c>
      <c r="N21" s="10">
        <f>B18</f>
        <v>274690</v>
      </c>
      <c r="O21" s="10">
        <f>B18-J18</f>
        <v>81800</v>
      </c>
      <c r="P21">
        <f t="shared" si="2"/>
        <v>0.29779023626633661</v>
      </c>
    </row>
    <row r="22" spans="1:20" ht="14.65" thickBot="1" x14ac:dyDescent="0.5">
      <c r="A22" s="3" t="s">
        <v>19</v>
      </c>
      <c r="B22" s="5">
        <v>456190</v>
      </c>
      <c r="C22" s="5">
        <v>352270</v>
      </c>
      <c r="D22" s="5">
        <v>34470</v>
      </c>
      <c r="E22" s="5">
        <v>102910</v>
      </c>
      <c r="F22" s="5">
        <v>13640</v>
      </c>
      <c r="G22" s="5">
        <v>5080</v>
      </c>
      <c r="H22" s="4">
        <v>800</v>
      </c>
      <c r="I22" s="5">
        <v>156900</v>
      </c>
      <c r="J22" s="5">
        <v>299290</v>
      </c>
      <c r="M22">
        <v>4</v>
      </c>
      <c r="N22" s="10">
        <f>B21</f>
        <v>374700</v>
      </c>
      <c r="O22" s="10">
        <f>B21-J21</f>
        <v>121520</v>
      </c>
      <c r="P22">
        <f t="shared" si="2"/>
        <v>0.32431278356018151</v>
      </c>
    </row>
    <row r="23" spans="1:20" ht="14.65" thickBot="1" x14ac:dyDescent="0.5">
      <c r="A23" s="6" t="s">
        <v>20</v>
      </c>
      <c r="B23" s="1">
        <v>549250</v>
      </c>
      <c r="C23" s="1">
        <v>430240</v>
      </c>
      <c r="D23" s="1">
        <v>41080</v>
      </c>
      <c r="E23" s="1">
        <v>128480</v>
      </c>
      <c r="F23" s="1">
        <v>16670</v>
      </c>
      <c r="G23" s="1">
        <v>17040</v>
      </c>
      <c r="H23" s="1">
        <v>2030</v>
      </c>
      <c r="I23" s="1">
        <v>205290</v>
      </c>
      <c r="J23" s="1">
        <v>343960</v>
      </c>
      <c r="M23">
        <v>5</v>
      </c>
      <c r="N23" s="10">
        <f>B26</f>
        <v>1551180</v>
      </c>
      <c r="O23" s="10">
        <f>B26-J26</f>
        <v>687710</v>
      </c>
      <c r="P23">
        <f t="shared" si="2"/>
        <v>0.44334635567761316</v>
      </c>
    </row>
    <row r="24" spans="1:20" ht="14.65" thickBot="1" x14ac:dyDescent="0.5">
      <c r="A24" s="3" t="s">
        <v>21</v>
      </c>
      <c r="B24" s="5">
        <v>698690</v>
      </c>
      <c r="C24" s="5">
        <v>556720</v>
      </c>
      <c r="D24" s="5">
        <v>52370</v>
      </c>
      <c r="E24" s="5">
        <v>168550</v>
      </c>
      <c r="F24" s="5">
        <v>21360</v>
      </c>
      <c r="G24" s="5">
        <v>35940</v>
      </c>
      <c r="H24" s="5">
        <v>4400</v>
      </c>
      <c r="I24" s="5">
        <v>282620</v>
      </c>
      <c r="J24" s="5">
        <v>416070</v>
      </c>
    </row>
    <row r="25" spans="1:20" ht="14.65" thickBot="1" x14ac:dyDescent="0.5">
      <c r="A25" s="6" t="s">
        <v>22</v>
      </c>
      <c r="B25" s="1">
        <v>816220</v>
      </c>
      <c r="C25" s="1">
        <v>648300</v>
      </c>
      <c r="D25" s="1">
        <v>60730</v>
      </c>
      <c r="E25" s="1">
        <v>199090</v>
      </c>
      <c r="F25" s="1">
        <v>24980</v>
      </c>
      <c r="G25" s="1">
        <v>50500</v>
      </c>
      <c r="H25" s="1">
        <v>7350</v>
      </c>
      <c r="I25" s="1">
        <v>342650</v>
      </c>
      <c r="J25" s="1">
        <v>473570</v>
      </c>
      <c r="M25" t="s">
        <v>47</v>
      </c>
      <c r="S25" t="s">
        <v>29</v>
      </c>
      <c r="T25" t="s">
        <v>48</v>
      </c>
    </row>
    <row r="26" spans="1:20" ht="14.65" thickBot="1" x14ac:dyDescent="0.5">
      <c r="A26" s="3" t="s">
        <v>23</v>
      </c>
      <c r="B26" s="5">
        <v>1551180</v>
      </c>
      <c r="C26" s="5">
        <v>1069320</v>
      </c>
      <c r="D26" s="5">
        <v>93420</v>
      </c>
      <c r="E26" s="5">
        <v>329280</v>
      </c>
      <c r="F26" s="5">
        <v>40540</v>
      </c>
      <c r="G26" s="5">
        <v>113810</v>
      </c>
      <c r="H26" s="5">
        <v>110660</v>
      </c>
      <c r="I26" s="5">
        <v>687710</v>
      </c>
      <c r="J26" s="5">
        <v>863470</v>
      </c>
      <c r="M26">
        <v>1</v>
      </c>
      <c r="N26" s="10">
        <f>B12</f>
        <v>32160</v>
      </c>
      <c r="O26" s="10">
        <f>B12-J12</f>
        <v>2470</v>
      </c>
      <c r="P26">
        <f>O26/N26</f>
        <v>7.6803482587064681E-2</v>
      </c>
      <c r="R26">
        <v>1</v>
      </c>
      <c r="S26">
        <f>SUM(P26:P27)/2</f>
        <v>0.14398166104719473</v>
      </c>
      <c r="T26">
        <f>SUM(N26:N27)/N36</f>
        <v>3.813165039190787E-2</v>
      </c>
    </row>
    <row r="27" spans="1:20" ht="14.65" thickBot="1" x14ac:dyDescent="0.5">
      <c r="A27" s="7" t="s">
        <v>24</v>
      </c>
      <c r="B27" s="8">
        <v>256090</v>
      </c>
      <c r="C27" s="8">
        <v>202360</v>
      </c>
      <c r="D27" s="8">
        <v>15390</v>
      </c>
      <c r="E27" s="8">
        <v>54970</v>
      </c>
      <c r="F27" s="8">
        <v>7180</v>
      </c>
      <c r="G27" s="8">
        <v>3200</v>
      </c>
      <c r="H27" s="8">
        <v>1500</v>
      </c>
      <c r="I27" s="8">
        <v>82240</v>
      </c>
      <c r="J27" s="8">
        <v>173850</v>
      </c>
      <c r="M27">
        <v>2</v>
      </c>
      <c r="N27" s="10">
        <f>B13</f>
        <v>107170</v>
      </c>
      <c r="O27" s="10">
        <f>B13-J13</f>
        <v>22630</v>
      </c>
      <c r="P27">
        <f t="shared" ref="P27:P35" si="3">O27/N27</f>
        <v>0.21115983950732481</v>
      </c>
      <c r="R27">
        <v>2</v>
      </c>
      <c r="S27">
        <f>SUM(P28:P29)/2</f>
        <v>0.25719968013340377</v>
      </c>
      <c r="T27">
        <f>SUM(N28:N29)/N36</f>
        <v>8.6167732188991555E-2</v>
      </c>
    </row>
    <row r="28" spans="1:20" x14ac:dyDescent="0.45">
      <c r="M28">
        <v>3</v>
      </c>
      <c r="N28" s="10">
        <f>B15</f>
        <v>140590</v>
      </c>
      <c r="O28" s="10">
        <f>B15-J15</f>
        <v>35280</v>
      </c>
      <c r="P28">
        <f t="shared" si="3"/>
        <v>0.25094245678924532</v>
      </c>
      <c r="R28">
        <v>3</v>
      </c>
      <c r="S28">
        <f>SUM(P30:P31)/2</f>
        <v>0.29076621435838779</v>
      </c>
      <c r="T28">
        <f>SUM(N30:N31)/N36</f>
        <v>0.13564336383938347</v>
      </c>
    </row>
    <row r="29" spans="1:20" x14ac:dyDescent="0.45">
      <c r="M29">
        <v>4</v>
      </c>
      <c r="N29" s="10">
        <f>B16</f>
        <v>174260</v>
      </c>
      <c r="O29" s="10">
        <f>B16-J16</f>
        <v>45910</v>
      </c>
      <c r="P29">
        <f t="shared" si="3"/>
        <v>0.26345690347756229</v>
      </c>
      <c r="R29">
        <v>4</v>
      </c>
      <c r="S29">
        <f>SUM(P32:P33)/2</f>
        <v>0.31799107070196381</v>
      </c>
      <c r="T29">
        <f>SUM(N32:N33)/N36</f>
        <v>0.1906828830406796</v>
      </c>
    </row>
    <row r="30" spans="1:20" x14ac:dyDescent="0.45">
      <c r="M30">
        <v>5</v>
      </c>
      <c r="N30" s="10">
        <f>B17</f>
        <v>220940</v>
      </c>
      <c r="O30" s="10">
        <f>B17-J17</f>
        <v>62690</v>
      </c>
      <c r="P30">
        <f t="shared" si="3"/>
        <v>0.28374219245043902</v>
      </c>
      <c r="R30">
        <v>5</v>
      </c>
      <c r="S30">
        <f>SUM(P34:P35)/2</f>
        <v>0.39364099826450638</v>
      </c>
      <c r="T30">
        <f>SUM(N34:N35)/N36</f>
        <v>0.54937437053903748</v>
      </c>
    </row>
    <row r="31" spans="1:20" x14ac:dyDescent="0.45">
      <c r="M31">
        <v>6</v>
      </c>
      <c r="N31" s="10">
        <f>B18</f>
        <v>274690</v>
      </c>
      <c r="O31" s="10">
        <f>B18-J18</f>
        <v>81800</v>
      </c>
      <c r="P31">
        <f t="shared" si="3"/>
        <v>0.29779023626633661</v>
      </c>
    </row>
    <row r="32" spans="1:20" ht="16.899999999999999" x14ac:dyDescent="0.5">
      <c r="E32" s="15" t="s">
        <v>49</v>
      </c>
      <c r="F32" s="14"/>
      <c r="G32" s="14"/>
      <c r="I32" s="25" t="s">
        <v>109</v>
      </c>
      <c r="J32" s="24"/>
      <c r="K32" s="24"/>
      <c r="M32">
        <v>7</v>
      </c>
      <c r="N32" s="10">
        <f>B19</f>
        <v>322040</v>
      </c>
      <c r="O32" s="10">
        <f>B19-J19</f>
        <v>100370</v>
      </c>
      <c r="P32">
        <f t="shared" si="3"/>
        <v>0.31166935784374611</v>
      </c>
      <c r="R32" t="s">
        <v>2</v>
      </c>
      <c r="S32">
        <f>(SUM(B10:B17)-SUM(J10:J17))/SUM(B10:B17)</f>
        <v>0.24682585037394092</v>
      </c>
    </row>
    <row r="33" spans="5:19" x14ac:dyDescent="0.45">
      <c r="E33" s="16" t="s">
        <v>50</v>
      </c>
      <c r="F33" s="14"/>
      <c r="G33" s="14"/>
      <c r="I33" s="26" t="s">
        <v>110</v>
      </c>
      <c r="J33" s="24"/>
      <c r="K33" s="24"/>
      <c r="M33">
        <v>8</v>
      </c>
      <c r="N33" s="10">
        <f>B21</f>
        <v>374700</v>
      </c>
      <c r="O33" s="10">
        <f>B21-J21</f>
        <v>121520</v>
      </c>
      <c r="P33">
        <f t="shared" si="3"/>
        <v>0.32431278356018151</v>
      </c>
      <c r="R33" t="s">
        <v>3</v>
      </c>
      <c r="S33">
        <f>(SUM(B18:B22)-SUM(J18:J22))/SUM(B18:B22)</f>
        <v>0.32198470443030486</v>
      </c>
    </row>
    <row r="34" spans="5:19" x14ac:dyDescent="0.45">
      <c r="E34" s="14"/>
      <c r="F34" s="14"/>
      <c r="G34" s="17" t="s">
        <v>51</v>
      </c>
      <c r="H34" t="s">
        <v>85</v>
      </c>
      <c r="I34" s="24"/>
      <c r="J34" s="24"/>
      <c r="K34" s="27" t="s">
        <v>51</v>
      </c>
      <c r="M34">
        <v>9</v>
      </c>
      <c r="N34" s="10">
        <f>B22</f>
        <v>456190</v>
      </c>
      <c r="O34" s="10">
        <f>B22-J22</f>
        <v>156900</v>
      </c>
      <c r="P34">
        <f t="shared" si="3"/>
        <v>0.34393564085139966</v>
      </c>
      <c r="R34" t="s">
        <v>4</v>
      </c>
      <c r="S34">
        <f>(SUM(B22:B24)-SUM(J22:J24))/SUM(B22:B24)</f>
        <v>0.37838075733658816</v>
      </c>
    </row>
    <row r="35" spans="5:19" x14ac:dyDescent="0.45">
      <c r="E35" s="17" t="s">
        <v>52</v>
      </c>
      <c r="F35" s="17" t="s">
        <v>53</v>
      </c>
      <c r="G35" s="18">
        <v>78721</v>
      </c>
      <c r="H35">
        <f>$G$52/10</f>
        <v>477429.9</v>
      </c>
      <c r="I35" s="27" t="s">
        <v>52</v>
      </c>
      <c r="J35" s="27" t="s">
        <v>53</v>
      </c>
      <c r="K35" s="28">
        <v>130472</v>
      </c>
      <c r="M35">
        <v>10</v>
      </c>
      <c r="N35" s="10">
        <f>B26</f>
        <v>1551180</v>
      </c>
      <c r="O35" s="10">
        <f>B26-J26</f>
        <v>687710</v>
      </c>
      <c r="P35">
        <f t="shared" si="3"/>
        <v>0.44334635567761316</v>
      </c>
      <c r="R35" t="s">
        <v>5</v>
      </c>
      <c r="S35">
        <f>O34/N34</f>
        <v>0.34393564085139966</v>
      </c>
    </row>
    <row r="36" spans="5:19" x14ac:dyDescent="0.45">
      <c r="E36" s="14"/>
      <c r="F36" s="17" t="s">
        <v>54</v>
      </c>
      <c r="G36" s="18">
        <v>151039</v>
      </c>
      <c r="H36">
        <f t="shared" ref="H36:H44" si="4">$G$52/10</f>
        <v>477429.9</v>
      </c>
      <c r="I36" s="24"/>
      <c r="J36" s="27" t="s">
        <v>54</v>
      </c>
      <c r="K36" s="28">
        <v>167440</v>
      </c>
      <c r="N36" s="10">
        <f>SUM(N26:N35)</f>
        <v>3653920</v>
      </c>
      <c r="R36" t="s">
        <v>6</v>
      </c>
      <c r="S36">
        <f>O35/N35</f>
        <v>0.44334635567761316</v>
      </c>
    </row>
    <row r="37" spans="5:19" x14ac:dyDescent="0.45">
      <c r="E37" s="14"/>
      <c r="F37" s="17" t="s">
        <v>55</v>
      </c>
      <c r="G37" s="18">
        <v>179714</v>
      </c>
      <c r="H37">
        <f t="shared" si="4"/>
        <v>477429.9</v>
      </c>
      <c r="I37" s="24"/>
      <c r="J37" s="27" t="s">
        <v>55</v>
      </c>
      <c r="K37" s="28">
        <v>192187</v>
      </c>
    </row>
    <row r="38" spans="5:19" x14ac:dyDescent="0.45">
      <c r="E38" s="14"/>
      <c r="F38" s="17" t="s">
        <v>56</v>
      </c>
      <c r="G38" s="18">
        <v>205721</v>
      </c>
      <c r="H38">
        <f t="shared" si="4"/>
        <v>477429.9</v>
      </c>
      <c r="I38" s="24"/>
      <c r="J38" s="27" t="s">
        <v>56</v>
      </c>
      <c r="K38" s="28">
        <v>219481</v>
      </c>
    </row>
    <row r="39" spans="5:19" x14ac:dyDescent="0.45">
      <c r="E39" s="14"/>
      <c r="F39" s="17" t="s">
        <v>57</v>
      </c>
      <c r="G39" s="18">
        <v>233247</v>
      </c>
      <c r="H39">
        <f t="shared" si="4"/>
        <v>477429.9</v>
      </c>
      <c r="I39" s="24"/>
      <c r="J39" s="27" t="s">
        <v>57</v>
      </c>
      <c r="K39" s="28">
        <v>247145</v>
      </c>
    </row>
    <row r="40" spans="5:19" x14ac:dyDescent="0.45">
      <c r="E40" s="14"/>
      <c r="F40" s="17" t="s">
        <v>58</v>
      </c>
      <c r="G40" s="18">
        <v>261607</v>
      </c>
      <c r="H40">
        <f t="shared" si="4"/>
        <v>477429.9</v>
      </c>
      <c r="I40" s="24"/>
      <c r="J40" s="27" t="s">
        <v>58</v>
      </c>
      <c r="K40" s="28">
        <v>276611</v>
      </c>
    </row>
    <row r="41" spans="5:19" x14ac:dyDescent="0.45">
      <c r="E41" s="14"/>
      <c r="F41" s="17" t="s">
        <v>59</v>
      </c>
      <c r="G41" s="18">
        <v>293222</v>
      </c>
      <c r="H41">
        <f t="shared" si="4"/>
        <v>477429.9</v>
      </c>
      <c r="I41" s="24"/>
      <c r="J41" s="27" t="s">
        <v>59</v>
      </c>
      <c r="K41" s="28">
        <v>310987</v>
      </c>
    </row>
    <row r="42" spans="5:19" x14ac:dyDescent="0.45">
      <c r="E42" s="14"/>
      <c r="F42" s="17" t="s">
        <v>60</v>
      </c>
      <c r="G42" s="18">
        <v>331975</v>
      </c>
      <c r="H42">
        <f t="shared" si="4"/>
        <v>477429.9</v>
      </c>
      <c r="I42" s="24"/>
      <c r="J42" s="27" t="s">
        <v>60</v>
      </c>
      <c r="K42" s="28">
        <v>355647</v>
      </c>
    </row>
    <row r="43" spans="5:19" x14ac:dyDescent="0.45">
      <c r="E43" s="14"/>
      <c r="F43" s="17" t="s">
        <v>61</v>
      </c>
      <c r="G43" s="18">
        <v>388934</v>
      </c>
      <c r="H43">
        <f t="shared" si="4"/>
        <v>477429.9</v>
      </c>
      <c r="I43" s="24"/>
      <c r="J43" s="27" t="s">
        <v>61</v>
      </c>
      <c r="K43" s="28">
        <v>431520</v>
      </c>
    </row>
    <row r="44" spans="5:19" x14ac:dyDescent="0.45">
      <c r="E44" s="14"/>
      <c r="F44" s="17" t="s">
        <v>62</v>
      </c>
      <c r="G44" s="18">
        <v>648231</v>
      </c>
      <c r="H44">
        <f t="shared" si="4"/>
        <v>477429.9</v>
      </c>
    </row>
    <row r="49" spans="3:11" ht="16.899999999999999" x14ac:dyDescent="0.5">
      <c r="C49" s="19" t="s">
        <v>63</v>
      </c>
    </row>
    <row r="50" spans="3:11" x14ac:dyDescent="0.45">
      <c r="C50" s="20" t="s">
        <v>64</v>
      </c>
    </row>
    <row r="51" spans="3:11" x14ac:dyDescent="0.45">
      <c r="G51" s="21" t="s">
        <v>65</v>
      </c>
      <c r="H51" s="21" t="s">
        <v>66</v>
      </c>
      <c r="I51" s="21" t="s">
        <v>67</v>
      </c>
      <c r="J51" s="21" t="s">
        <v>88</v>
      </c>
    </row>
    <row r="52" spans="3:11" x14ac:dyDescent="0.45">
      <c r="C52" s="21" t="s">
        <v>68</v>
      </c>
      <c r="D52" s="21" t="s">
        <v>51</v>
      </c>
      <c r="E52" s="21" t="s">
        <v>52</v>
      </c>
      <c r="F52" s="21" t="s">
        <v>69</v>
      </c>
      <c r="G52" s="22">
        <v>4774299</v>
      </c>
      <c r="H52" s="22">
        <v>1556651779</v>
      </c>
      <c r="I52" s="22">
        <v>326048</v>
      </c>
    </row>
    <row r="53" spans="3:11" x14ac:dyDescent="0.45">
      <c r="F53" s="21" t="s">
        <v>70</v>
      </c>
      <c r="G53" s="22">
        <v>618287</v>
      </c>
      <c r="H53" s="22">
        <v>19578771</v>
      </c>
      <c r="I53" s="22">
        <v>31666</v>
      </c>
      <c r="J53">
        <f>G53/$G$52</f>
        <v>0.12950320036512167</v>
      </c>
      <c r="K53">
        <f>H53*1000/G53</f>
        <v>31666.15342066063</v>
      </c>
    </row>
    <row r="54" spans="3:11" x14ac:dyDescent="0.45">
      <c r="F54" s="21" t="s">
        <v>71</v>
      </c>
      <c r="G54" s="22">
        <v>952384</v>
      </c>
      <c r="H54" s="22">
        <v>148382176</v>
      </c>
      <c r="I54" s="22">
        <v>155801</v>
      </c>
      <c r="J54">
        <f t="shared" ref="J54:J65" si="5">G54/$G$52</f>
        <v>0.19948143172432226</v>
      </c>
      <c r="K54">
        <f t="shared" ref="K54:K65" si="6">H54*1000/G54</f>
        <v>155800.78623748405</v>
      </c>
    </row>
    <row r="55" spans="3:11" x14ac:dyDescent="0.45">
      <c r="F55" s="21" t="s">
        <v>72</v>
      </c>
      <c r="G55" s="22">
        <v>1037949</v>
      </c>
      <c r="H55" s="22">
        <v>255718973</v>
      </c>
      <c r="I55" s="22">
        <v>246369</v>
      </c>
      <c r="J55">
        <f t="shared" si="5"/>
        <v>0.21740343451467953</v>
      </c>
      <c r="K55">
        <f t="shared" si="6"/>
        <v>246369.4969598699</v>
      </c>
    </row>
    <row r="56" spans="3:11" x14ac:dyDescent="0.45">
      <c r="F56" s="21" t="s">
        <v>73</v>
      </c>
      <c r="G56" s="22">
        <v>885035</v>
      </c>
      <c r="H56" s="22">
        <v>308771440</v>
      </c>
      <c r="I56" s="22">
        <v>348880</v>
      </c>
      <c r="J56">
        <f t="shared" si="5"/>
        <v>0.18537485817289617</v>
      </c>
      <c r="K56">
        <f t="shared" si="6"/>
        <v>348880.4849525725</v>
      </c>
    </row>
    <row r="57" spans="3:11" x14ac:dyDescent="0.45">
      <c r="F57" s="21" t="s">
        <v>74</v>
      </c>
      <c r="G57" s="22">
        <v>591466</v>
      </c>
      <c r="H57" s="22">
        <v>263112289</v>
      </c>
      <c r="I57" s="22">
        <v>444848</v>
      </c>
      <c r="J57">
        <f t="shared" si="5"/>
        <v>0.12388541228775156</v>
      </c>
      <c r="K57">
        <f t="shared" si="6"/>
        <v>444847.69876882189</v>
      </c>
    </row>
    <row r="58" spans="3:11" x14ac:dyDescent="0.45">
      <c r="F58" s="21" t="s">
        <v>75</v>
      </c>
      <c r="G58" s="22">
        <v>488461</v>
      </c>
      <c r="H58" s="22">
        <v>288609120</v>
      </c>
      <c r="I58" s="22">
        <v>590854</v>
      </c>
      <c r="J58">
        <f t="shared" si="5"/>
        <v>0.10231051720891381</v>
      </c>
      <c r="K58">
        <f t="shared" si="6"/>
        <v>590853.96787051577</v>
      </c>
    </row>
    <row r="59" spans="3:11" x14ac:dyDescent="0.45">
      <c r="F59" s="21" t="s">
        <v>76</v>
      </c>
      <c r="G59" s="22">
        <v>110363</v>
      </c>
      <c r="H59" s="22">
        <v>93894596</v>
      </c>
      <c r="I59" s="22">
        <v>850780</v>
      </c>
      <c r="J59">
        <f t="shared" si="5"/>
        <v>2.3116063740456976E-2</v>
      </c>
      <c r="K59">
        <f t="shared" si="6"/>
        <v>850779.66347417166</v>
      </c>
    </row>
    <row r="60" spans="3:11" x14ac:dyDescent="0.45">
      <c r="F60" s="21" t="s">
        <v>77</v>
      </c>
      <c r="G60" s="22">
        <v>71557</v>
      </c>
      <c r="H60" s="22">
        <v>93024160</v>
      </c>
      <c r="I60" s="22">
        <v>1300001</v>
      </c>
      <c r="J60">
        <f t="shared" si="5"/>
        <v>1.4987959488921829E-2</v>
      </c>
      <c r="K60">
        <f t="shared" si="6"/>
        <v>1300000.8384923907</v>
      </c>
    </row>
    <row r="61" spans="3:11" x14ac:dyDescent="0.45">
      <c r="F61" s="21" t="s">
        <v>78</v>
      </c>
      <c r="G61" s="22">
        <v>9953</v>
      </c>
      <c r="H61" s="22">
        <v>23856189</v>
      </c>
      <c r="I61" s="22">
        <v>2396884</v>
      </c>
      <c r="J61">
        <f t="shared" si="5"/>
        <v>2.0847039533971375E-3</v>
      </c>
      <c r="K61">
        <f t="shared" si="6"/>
        <v>2396884.256003215</v>
      </c>
    </row>
    <row r="62" spans="3:11" x14ac:dyDescent="0.45">
      <c r="F62" s="21" t="s">
        <v>79</v>
      </c>
      <c r="G62" s="22">
        <v>3550</v>
      </c>
      <c r="H62" s="22">
        <v>12172066</v>
      </c>
      <c r="I62" s="22">
        <v>3428751</v>
      </c>
      <c r="J62">
        <f t="shared" si="5"/>
        <v>7.4356465734550772E-4</v>
      </c>
      <c r="K62">
        <f t="shared" si="6"/>
        <v>3428750.9859154928</v>
      </c>
    </row>
    <row r="63" spans="3:11" x14ac:dyDescent="0.45">
      <c r="F63" s="21" t="s">
        <v>80</v>
      </c>
      <c r="G63" s="22">
        <v>1631</v>
      </c>
      <c r="H63" s="22">
        <v>7259479</v>
      </c>
      <c r="I63" s="22">
        <v>4450937</v>
      </c>
      <c r="J63">
        <f t="shared" si="5"/>
        <v>3.4162083271282339E-4</v>
      </c>
      <c r="K63">
        <f t="shared" si="6"/>
        <v>4450937.4616799513</v>
      </c>
    </row>
    <row r="64" spans="3:11" x14ac:dyDescent="0.45">
      <c r="F64" s="21" t="s">
        <v>81</v>
      </c>
      <c r="G64" s="22">
        <v>2575</v>
      </c>
      <c r="H64" s="22">
        <v>17409152</v>
      </c>
      <c r="I64" s="22">
        <v>6760836</v>
      </c>
      <c r="J64">
        <f t="shared" si="5"/>
        <v>5.3934619511681193E-4</v>
      </c>
      <c r="K64">
        <f t="shared" si="6"/>
        <v>6760835.7281553401</v>
      </c>
    </row>
    <row r="65" spans="3:21" x14ac:dyDescent="0.45">
      <c r="F65" s="21" t="s">
        <v>82</v>
      </c>
      <c r="G65" s="22">
        <v>1088</v>
      </c>
      <c r="H65" s="22">
        <v>24863370</v>
      </c>
      <c r="I65" s="22">
        <v>22852362</v>
      </c>
      <c r="J65">
        <f t="shared" si="5"/>
        <v>2.2788685836391898E-4</v>
      </c>
      <c r="K65">
        <f t="shared" si="6"/>
        <v>22852362.132352941</v>
      </c>
    </row>
    <row r="66" spans="3:21" x14ac:dyDescent="0.45">
      <c r="P66" t="s">
        <v>115</v>
      </c>
    </row>
    <row r="67" spans="3:21" ht="15.5" customHeight="1" x14ac:dyDescent="0.45">
      <c r="C67" s="23" t="s">
        <v>83</v>
      </c>
    </row>
    <row r="68" spans="3:21" x14ac:dyDescent="0.45">
      <c r="F68" s="21" t="s">
        <v>0</v>
      </c>
      <c r="G68" t="s">
        <v>88</v>
      </c>
      <c r="H68" t="s">
        <v>86</v>
      </c>
      <c r="J68" t="s">
        <v>94</v>
      </c>
      <c r="K68" t="s">
        <v>26</v>
      </c>
      <c r="L68" t="s">
        <v>87</v>
      </c>
      <c r="M68" t="s">
        <v>95</v>
      </c>
      <c r="P68" t="s">
        <v>102</v>
      </c>
      <c r="Q68" t="s">
        <v>94</v>
      </c>
      <c r="R68" t="s">
        <v>26</v>
      </c>
      <c r="S68" t="s">
        <v>87</v>
      </c>
      <c r="T68" t="s">
        <v>95</v>
      </c>
      <c r="U68" t="s">
        <v>101</v>
      </c>
    </row>
    <row r="69" spans="3:21" x14ac:dyDescent="0.45">
      <c r="F69">
        <v>1</v>
      </c>
      <c r="G69">
        <f>J53+(J54/2)</f>
        <v>0.2292439162272828</v>
      </c>
      <c r="H69" t="s">
        <v>89</v>
      </c>
      <c r="J69">
        <f>G53+0.5*G54</f>
        <v>1094479</v>
      </c>
      <c r="K69">
        <f>(0.5*H53+0.5*H54)*1000</f>
        <v>83980473500</v>
      </c>
      <c r="L69">
        <f>K69/J69</f>
        <v>76731.004889084215</v>
      </c>
      <c r="M69">
        <f>K69/$K$74</f>
        <v>5.4197396897698993E-2</v>
      </c>
      <c r="P69" t="s">
        <v>96</v>
      </c>
      <c r="Q69">
        <f>SUM(G53:G54)+0.5*G55</f>
        <v>2089645.5</v>
      </c>
      <c r="R69">
        <f>(H53+H54+0.5*H55)*1000</f>
        <v>295820433500</v>
      </c>
      <c r="S69">
        <f>R69/Q69</f>
        <v>141564.8891163597</v>
      </c>
      <c r="T69">
        <f>R69/$R$74</f>
        <v>0.19003635694937737</v>
      </c>
      <c r="U69">
        <f>Q69/$Q$74</f>
        <v>0.43768634934678369</v>
      </c>
    </row>
    <row r="70" spans="3:21" x14ac:dyDescent="0.45">
      <c r="F70">
        <v>2</v>
      </c>
      <c r="G70">
        <f>(J54/2)+(J55/2)</f>
        <v>0.20844243311950089</v>
      </c>
      <c r="H70" t="s">
        <v>90</v>
      </c>
      <c r="J70">
        <f>0.5*G54+0.5*G55</f>
        <v>995166.5</v>
      </c>
      <c r="K70">
        <f>(0.5*H54+0.5*H55)*1000</f>
        <v>202050574500</v>
      </c>
      <c r="L70">
        <f t="shared" ref="L70:L72" si="7">K70/J70</f>
        <v>203031.92933041858</v>
      </c>
      <c r="M70">
        <f t="shared" ref="M70:M73" si="8">K70/$K$74</f>
        <v>0.13039477777634342</v>
      </c>
      <c r="P70" t="s">
        <v>100</v>
      </c>
      <c r="Q70">
        <f>0.5*G55+G56+0.5*G57</f>
        <v>1699742.5</v>
      </c>
      <c r="R70">
        <f>(0.5*H55+H56+0.5*H57)*1000</f>
        <v>568187071000</v>
      </c>
      <c r="S70">
        <f t="shared" ref="S70:S73" si="9">R70/Q70</f>
        <v>334278.32215762092</v>
      </c>
      <c r="T70">
        <f t="shared" ref="T70:T73" si="10">R70/$R$74</f>
        <v>0.36500589144927076</v>
      </c>
      <c r="U70">
        <f t="shared" ref="U70:U73" si="11">Q70/$Q$74</f>
        <v>0.35601928157411172</v>
      </c>
    </row>
    <row r="71" spans="3:21" x14ac:dyDescent="0.45">
      <c r="F71">
        <v>3</v>
      </c>
      <c r="G71">
        <f>0.5*J55+0.5*J56</f>
        <v>0.20138914634378785</v>
      </c>
      <c r="H71" t="s">
        <v>91</v>
      </c>
      <c r="J71">
        <f>0.5*G55+0.5*G56</f>
        <v>961492</v>
      </c>
      <c r="K71">
        <f>(0.5*H55+0.5*H56)*1000</f>
        <v>282245206500</v>
      </c>
      <c r="L71">
        <f t="shared" si="7"/>
        <v>293549.19905729842</v>
      </c>
      <c r="M71">
        <f t="shared" si="8"/>
        <v>0.18214895488953764</v>
      </c>
      <c r="P71" t="s">
        <v>97</v>
      </c>
      <c r="Q71">
        <f>0.5*G57+0.8*G58</f>
        <v>686501.8</v>
      </c>
      <c r="R71">
        <f>(0.5*H57+0.8*H58)*1000</f>
        <v>362443440500</v>
      </c>
      <c r="S71">
        <f t="shared" si="9"/>
        <v>527957.01409668545</v>
      </c>
      <c r="T71">
        <f t="shared" si="10"/>
        <v>0.23283527178259786</v>
      </c>
      <c r="U71">
        <f t="shared" si="11"/>
        <v>0.14379111991100685</v>
      </c>
    </row>
    <row r="72" spans="3:21" x14ac:dyDescent="0.45">
      <c r="F72">
        <v>4</v>
      </c>
      <c r="G72">
        <f>0.5*J56+J57</f>
        <v>0.21657284137419963</v>
      </c>
      <c r="H72" t="s">
        <v>92</v>
      </c>
      <c r="J72">
        <f>0.5*G56+G57</f>
        <v>1033983.5</v>
      </c>
      <c r="K72">
        <f>(0.5*H57+H58)*1000</f>
        <v>420165264500</v>
      </c>
      <c r="L72">
        <f t="shared" si="7"/>
        <v>406355.86979869602</v>
      </c>
      <c r="M72">
        <f t="shared" si="8"/>
        <v>0.27115664694047215</v>
      </c>
      <c r="P72" t="s">
        <v>98</v>
      </c>
      <c r="Q72">
        <f>0.2*G58+G59</f>
        <v>208055.2</v>
      </c>
      <c r="R72">
        <f>(H58*0.2+H59)*1000</f>
        <v>151616420000</v>
      </c>
      <c r="S72">
        <f t="shared" si="9"/>
        <v>728731.70197139983</v>
      </c>
      <c r="T72">
        <f t="shared" si="10"/>
        <v>9.7399059860774351E-2</v>
      </c>
      <c r="U72">
        <f t="shared" si="11"/>
        <v>4.3578167182239738E-2</v>
      </c>
    </row>
    <row r="73" spans="3:21" x14ac:dyDescent="0.45">
      <c r="F73">
        <v>5</v>
      </c>
      <c r="G73">
        <f>SUM(J58:J65)</f>
        <v>0.1443516629352288</v>
      </c>
      <c r="H73" t="s">
        <v>93</v>
      </c>
      <c r="J73">
        <f>SUM(G58:G65)</f>
        <v>689178</v>
      </c>
      <c r="K73">
        <f>SUM(H58:H65)*1000</f>
        <v>561088132000</v>
      </c>
      <c r="L73">
        <f>K73/J73</f>
        <v>814141.09562406223</v>
      </c>
      <c r="M73">
        <f t="shared" si="8"/>
        <v>0.36210222349594778</v>
      </c>
      <c r="P73" t="s">
        <v>99</v>
      </c>
      <c r="Q73">
        <f>SUM(G60:G65)</f>
        <v>90354</v>
      </c>
      <c r="R73">
        <f>SUM(H60:H65)*1000</f>
        <v>178584416000</v>
      </c>
      <c r="S73">
        <f t="shared" si="9"/>
        <v>1976497.0670916617</v>
      </c>
      <c r="T73">
        <f t="shared" si="10"/>
        <v>0.11472341995797967</v>
      </c>
      <c r="U73">
        <f t="shared" si="11"/>
        <v>1.8925081985858027E-2</v>
      </c>
    </row>
    <row r="74" spans="3:21" x14ac:dyDescent="0.45">
      <c r="J74">
        <f>SUM(J69:J73)</f>
        <v>4774299</v>
      </c>
      <c r="K74">
        <f>SUM(K69:K73)</f>
        <v>1549529651000</v>
      </c>
      <c r="M74">
        <f>K74/$K$74</f>
        <v>1</v>
      </c>
      <c r="Q74">
        <f>SUM(Q69:Q73)</f>
        <v>4774299</v>
      </c>
      <c r="R74">
        <f>SUM(R69:R73)</f>
        <v>1556651781000</v>
      </c>
    </row>
    <row r="77" spans="3:21" x14ac:dyDescent="0.45">
      <c r="C77" t="s">
        <v>104</v>
      </c>
      <c r="L77" t="s">
        <v>103</v>
      </c>
      <c r="M77">
        <v>3.813165039190787E-2</v>
      </c>
    </row>
    <row r="78" spans="3:21" x14ac:dyDescent="0.45">
      <c r="C78" t="s">
        <v>0</v>
      </c>
      <c r="D78" t="s">
        <v>105</v>
      </c>
      <c r="E78" t="s">
        <v>106</v>
      </c>
      <c r="F78" t="s">
        <v>107</v>
      </c>
      <c r="G78" t="s">
        <v>108</v>
      </c>
      <c r="M78">
        <v>8.6167732188991555E-2</v>
      </c>
    </row>
    <row r="79" spans="3:21" x14ac:dyDescent="0.45">
      <c r="C79">
        <v>1</v>
      </c>
      <c r="D79">
        <f>L69</f>
        <v>76731.004889084215</v>
      </c>
      <c r="E79">
        <f>SUM(G35:G36)/2</f>
        <v>114880</v>
      </c>
      <c r="F79">
        <f>D79-E79</f>
        <v>-38148.995110915785</v>
      </c>
      <c r="G79">
        <f>F79/D79</f>
        <v>-0.49717835920513115</v>
      </c>
      <c r="M79">
        <v>0.13564336383938347</v>
      </c>
    </row>
    <row r="80" spans="3:21" x14ac:dyDescent="0.45">
      <c r="C80">
        <v>2</v>
      </c>
      <c r="D80">
        <f t="shared" ref="D80:D83" si="12">L70</f>
        <v>203031.92933041858</v>
      </c>
      <c r="E80">
        <f>AVERAGE(G37:G38)</f>
        <v>192717.5</v>
      </c>
      <c r="F80">
        <f t="shared" ref="F80:F83" si="13">D80-E80</f>
        <v>10314.429330418585</v>
      </c>
      <c r="G80">
        <f t="shared" ref="G80:G83" si="14">F80/D80</f>
        <v>5.0802006189049495E-2</v>
      </c>
      <c r="M80">
        <v>0.1906828830406796</v>
      </c>
    </row>
    <row r="81" spans="3:16" x14ac:dyDescent="0.45">
      <c r="C81">
        <v>3</v>
      </c>
      <c r="D81">
        <f t="shared" si="12"/>
        <v>293549.19905729842</v>
      </c>
      <c r="E81">
        <f>AVERAGE(G39:G40)</f>
        <v>247427</v>
      </c>
      <c r="F81">
        <f t="shared" si="13"/>
        <v>46122.199057298421</v>
      </c>
      <c r="G81">
        <f t="shared" si="14"/>
        <v>0.15711914461158433</v>
      </c>
      <c r="M81">
        <v>0.54937437053903748</v>
      </c>
    </row>
    <row r="82" spans="3:16" x14ac:dyDescent="0.45">
      <c r="C82">
        <v>4</v>
      </c>
      <c r="D82">
        <f t="shared" si="12"/>
        <v>406355.86979869602</v>
      </c>
      <c r="E82">
        <f>AVERAGE(G41:G42)</f>
        <v>312598.5</v>
      </c>
      <c r="F82">
        <f t="shared" si="13"/>
        <v>93757.369798696018</v>
      </c>
      <c r="G82">
        <f t="shared" si="14"/>
        <v>0.23072724369686681</v>
      </c>
    </row>
    <row r="83" spans="3:16" x14ac:dyDescent="0.45">
      <c r="C83">
        <v>5</v>
      </c>
      <c r="D83">
        <f t="shared" si="12"/>
        <v>814141.09562406223</v>
      </c>
      <c r="E83">
        <f>AVERAGE(G43:G44)</f>
        <v>518582.5</v>
      </c>
      <c r="F83">
        <f t="shared" si="13"/>
        <v>295558.59562406223</v>
      </c>
      <c r="G83">
        <f t="shared" si="14"/>
        <v>0.3630311713935877</v>
      </c>
      <c r="I83" t="s">
        <v>84</v>
      </c>
      <c r="J83" t="s">
        <v>94</v>
      </c>
      <c r="K83" t="s">
        <v>26</v>
      </c>
      <c r="L83" t="s">
        <v>87</v>
      </c>
      <c r="M83" t="s">
        <v>112</v>
      </c>
      <c r="N83" t="s">
        <v>113</v>
      </c>
      <c r="O83" t="s">
        <v>107</v>
      </c>
      <c r="P83" t="s">
        <v>114</v>
      </c>
    </row>
    <row r="84" spans="3:16" x14ac:dyDescent="0.45">
      <c r="I84">
        <v>1</v>
      </c>
      <c r="J84">
        <f>0.75*G53</f>
        <v>463715.25</v>
      </c>
      <c r="K84">
        <f>0.75*H53*1000</f>
        <v>14684078250</v>
      </c>
      <c r="L84">
        <f>K84/J84</f>
        <v>31666.15342066063</v>
      </c>
      <c r="M84">
        <f>K84/$K$94</f>
        <v>9.4331169174951147E-3</v>
      </c>
      <c r="N84">
        <f>G35</f>
        <v>78721</v>
      </c>
      <c r="O84">
        <f>L84-N84</f>
        <v>-47054.84657933937</v>
      </c>
      <c r="P84">
        <f>O84/L84</f>
        <v>-1.4859666077610287</v>
      </c>
    </row>
    <row r="85" spans="3:16" x14ac:dyDescent="0.45">
      <c r="I85">
        <v>2</v>
      </c>
      <c r="J85">
        <f>0.25*G53+0.35*G54</f>
        <v>487906.14999999997</v>
      </c>
      <c r="K85">
        <f>(0.25*H53+0.35*H54)*1000</f>
        <v>56828454349.999992</v>
      </c>
      <c r="L85">
        <f t="shared" ref="L85:L93" si="15">K85/J85</f>
        <v>116474.15051029793</v>
      </c>
      <c r="M85">
        <f t="shared" ref="M85:M94" si="16">K85/$K$94</f>
        <v>3.6506850821506877E-2</v>
      </c>
      <c r="N85">
        <f t="shared" ref="N85:N93" si="17">G36</f>
        <v>151039</v>
      </c>
      <c r="O85">
        <f t="shared" ref="O85:O93" si="18">L85-N85</f>
        <v>-34564.849489702072</v>
      </c>
      <c r="P85">
        <f t="shared" ref="P85:P93" si="19">O85/L85</f>
        <v>-0.29675983330435246</v>
      </c>
    </row>
    <row r="86" spans="3:16" x14ac:dyDescent="0.45">
      <c r="C86" t="s">
        <v>84</v>
      </c>
      <c r="D86" t="s">
        <v>105</v>
      </c>
      <c r="E86" t="s">
        <v>106</v>
      </c>
      <c r="F86" t="s">
        <v>107</v>
      </c>
      <c r="G86" t="s">
        <v>111</v>
      </c>
      <c r="I86">
        <v>3</v>
      </c>
      <c r="J86">
        <f>0.5*G54</f>
        <v>476192</v>
      </c>
      <c r="K86">
        <f>0.5*H54*1000</f>
        <v>74191088000</v>
      </c>
      <c r="L86">
        <f t="shared" si="15"/>
        <v>155800.78623748405</v>
      </c>
      <c r="M86">
        <f t="shared" si="16"/>
        <v>4.7660683593821682E-2</v>
      </c>
      <c r="N86">
        <f t="shared" si="17"/>
        <v>179714</v>
      </c>
      <c r="O86">
        <f t="shared" si="18"/>
        <v>-23913.213762515952</v>
      </c>
      <c r="P86">
        <f t="shared" si="19"/>
        <v>-0.1534858349563494</v>
      </c>
    </row>
    <row r="87" spans="3:16" x14ac:dyDescent="0.45">
      <c r="C87">
        <v>1</v>
      </c>
      <c r="I87">
        <v>4</v>
      </c>
      <c r="J87">
        <f>0.15*G54+0.32*G55</f>
        <v>475001.28</v>
      </c>
      <c r="K87">
        <f>(0.15*H54+0.32*H55)*1000</f>
        <v>104087397759.99998</v>
      </c>
      <c r="L87">
        <f t="shared" si="15"/>
        <v>219130.77320549532</v>
      </c>
      <c r="M87">
        <f t="shared" si="16"/>
        <v>6.6866205422727087E-2</v>
      </c>
      <c r="N87">
        <f t="shared" si="17"/>
        <v>205721</v>
      </c>
      <c r="O87">
        <f t="shared" si="18"/>
        <v>13409.773205495323</v>
      </c>
      <c r="P87">
        <f t="shared" si="19"/>
        <v>6.1195299087088859E-2</v>
      </c>
    </row>
    <row r="88" spans="3:16" x14ac:dyDescent="0.45">
      <c r="C88">
        <v>2</v>
      </c>
      <c r="I88">
        <v>5</v>
      </c>
      <c r="J88">
        <f>0.46*G55</f>
        <v>477456.54000000004</v>
      </c>
      <c r="K88">
        <f>0.46*H55*1000</f>
        <v>117630727580</v>
      </c>
      <c r="L88">
        <f t="shared" si="15"/>
        <v>246369.49695986987</v>
      </c>
      <c r="M88">
        <f t="shared" si="16"/>
        <v>7.5566500495334601E-2</v>
      </c>
      <c r="N88">
        <f t="shared" si="17"/>
        <v>233247</v>
      </c>
      <c r="O88">
        <f t="shared" si="18"/>
        <v>13122.496959869866</v>
      </c>
      <c r="P88">
        <f t="shared" si="19"/>
        <v>5.3263480754711032E-2</v>
      </c>
    </row>
    <row r="89" spans="3:16" x14ac:dyDescent="0.45">
      <c r="C89">
        <v>3</v>
      </c>
      <c r="I89">
        <v>6</v>
      </c>
      <c r="J89">
        <f>0.22*G55+0.3*G56</f>
        <v>493859.28</v>
      </c>
      <c r="K89">
        <f>(0.22*H55+0.3*H56)*1000</f>
        <v>148889606060</v>
      </c>
      <c r="L89">
        <f t="shared" si="15"/>
        <v>301481.84328944876</v>
      </c>
      <c r="M89">
        <f t="shared" si="16"/>
        <v>9.5647342506075872E-2</v>
      </c>
      <c r="N89">
        <f t="shared" si="17"/>
        <v>261607</v>
      </c>
      <c r="O89">
        <f t="shared" si="18"/>
        <v>39874.843289448763</v>
      </c>
      <c r="P89">
        <f t="shared" si="19"/>
        <v>0.13226283498328439</v>
      </c>
    </row>
    <row r="90" spans="3:16" x14ac:dyDescent="0.45">
      <c r="C90">
        <v>4</v>
      </c>
      <c r="I90">
        <v>7</v>
      </c>
      <c r="J90">
        <f>0.55*G56</f>
        <v>486769.25000000006</v>
      </c>
      <c r="K90">
        <f>0.55*H56*1000</f>
        <v>169824292000</v>
      </c>
      <c r="L90">
        <f t="shared" si="15"/>
        <v>348880.48495257244</v>
      </c>
      <c r="M90">
        <f t="shared" si="16"/>
        <v>0.10909587749349063</v>
      </c>
      <c r="N90">
        <f t="shared" si="17"/>
        <v>293222</v>
      </c>
      <c r="O90">
        <f t="shared" si="18"/>
        <v>55658.484952572442</v>
      </c>
      <c r="P90">
        <f t="shared" si="19"/>
        <v>0.15953453217693955</v>
      </c>
    </row>
    <row r="91" spans="3:16" x14ac:dyDescent="0.45">
      <c r="C91">
        <v>5</v>
      </c>
      <c r="I91">
        <v>8</v>
      </c>
      <c r="J91">
        <f>0.15*G56+0.58*G57</f>
        <v>475805.52999999997</v>
      </c>
      <c r="K91">
        <f>(0.15*H56+0.58*H57)*1000</f>
        <v>198920843619.99997</v>
      </c>
      <c r="L91">
        <f t="shared" si="15"/>
        <v>418071.73535793077</v>
      </c>
      <c r="M91">
        <f t="shared" si="16"/>
        <v>0.12778763115037348</v>
      </c>
      <c r="N91">
        <f t="shared" si="17"/>
        <v>331975</v>
      </c>
      <c r="O91">
        <f t="shared" si="18"/>
        <v>86096.735357930767</v>
      </c>
      <c r="P91">
        <f t="shared" si="19"/>
        <v>0.20593770895375008</v>
      </c>
    </row>
    <row r="92" spans="3:16" x14ac:dyDescent="0.45">
      <c r="C92">
        <v>6</v>
      </c>
      <c r="I92">
        <v>9</v>
      </c>
      <c r="J92">
        <f>0.42*G57+0.45*G58</f>
        <v>468223.17000000004</v>
      </c>
      <c r="K92">
        <f>(0.42*H57+0.45*H58)*1000</f>
        <v>240381265380</v>
      </c>
      <c r="L92">
        <f t="shared" si="15"/>
        <v>513390.36763174273</v>
      </c>
      <c r="M92">
        <f t="shared" si="16"/>
        <v>0.15442198975648749</v>
      </c>
      <c r="N92">
        <f t="shared" si="17"/>
        <v>388934</v>
      </c>
      <c r="O92">
        <f t="shared" si="18"/>
        <v>124456.36763174273</v>
      </c>
      <c r="P92">
        <f t="shared" si="19"/>
        <v>0.24242053509078662</v>
      </c>
    </row>
    <row r="93" spans="3:16" x14ac:dyDescent="0.45">
      <c r="C93">
        <v>7</v>
      </c>
      <c r="I93">
        <v>10</v>
      </c>
      <c r="J93">
        <f>0.55*G58+SUM(G59:G65)</f>
        <v>469370.55000000005</v>
      </c>
      <c r="K93">
        <f>(0.55*H58+SUM(H59:H65))*1000</f>
        <v>431214028000</v>
      </c>
      <c r="L93">
        <f t="shared" si="15"/>
        <v>918707.03860734333</v>
      </c>
      <c r="M93">
        <f t="shared" si="16"/>
        <v>0.27701380184268715</v>
      </c>
      <c r="N93">
        <f t="shared" si="17"/>
        <v>648231</v>
      </c>
      <c r="O93">
        <f t="shared" si="18"/>
        <v>270476.03860734333</v>
      </c>
      <c r="P93">
        <f t="shared" si="19"/>
        <v>0.29440945507215732</v>
      </c>
    </row>
    <row r="94" spans="3:16" x14ac:dyDescent="0.45">
      <c r="C94">
        <v>8</v>
      </c>
      <c r="I94" t="s">
        <v>27</v>
      </c>
      <c r="J94">
        <f>SUM(J84:J93)</f>
        <v>4774299</v>
      </c>
      <c r="K94">
        <f>SUM(K84:K93)</f>
        <v>1556651781000</v>
      </c>
      <c r="M94">
        <f t="shared" si="16"/>
        <v>1</v>
      </c>
    </row>
    <row r="95" spans="3:16" x14ac:dyDescent="0.45">
      <c r="C95">
        <v>9</v>
      </c>
    </row>
    <row r="96" spans="3:16" x14ac:dyDescent="0.45">
      <c r="C96">
        <v>10</v>
      </c>
    </row>
  </sheetData>
  <mergeCells count="5">
    <mergeCell ref="A2:E2"/>
    <mergeCell ref="A6:A8"/>
    <mergeCell ref="F6:F8"/>
    <mergeCell ref="G6:G8"/>
    <mergeCell ref="J6:J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228A-BE4B-4B6D-A4C0-E7C3A891B37B}">
  <dimension ref="B1:H26"/>
  <sheetViews>
    <sheetView tabSelected="1" workbookViewId="0">
      <selection activeCell="K14" sqref="K14"/>
    </sheetView>
  </sheetViews>
  <sheetFormatPr defaultRowHeight="14.25" x14ac:dyDescent="0.45"/>
  <sheetData>
    <row r="1" spans="2:8" x14ac:dyDescent="0.45">
      <c r="B1" s="51" t="s">
        <v>151</v>
      </c>
    </row>
    <row r="2" spans="2:8" x14ac:dyDescent="0.45">
      <c r="B2" s="47" t="s">
        <v>116</v>
      </c>
      <c r="C2" s="47"/>
      <c r="D2" s="47"/>
      <c r="E2" s="47"/>
      <c r="F2" s="47"/>
      <c r="G2" s="47"/>
      <c r="H2" s="47"/>
    </row>
    <row r="3" spans="2:8" x14ac:dyDescent="0.45">
      <c r="B3" s="48" t="s">
        <v>117</v>
      </c>
      <c r="C3" s="49" t="s">
        <v>118</v>
      </c>
      <c r="D3" s="49"/>
      <c r="E3" s="49" t="s">
        <v>119</v>
      </c>
      <c r="F3" s="37" t="s">
        <v>120</v>
      </c>
      <c r="G3" s="37" t="s">
        <v>122</v>
      </c>
      <c r="H3" s="37" t="s">
        <v>124</v>
      </c>
    </row>
    <row r="4" spans="2:8" x14ac:dyDescent="0.45">
      <c r="B4" s="48"/>
      <c r="C4" s="49"/>
      <c r="D4" s="49"/>
      <c r="E4" s="49"/>
      <c r="F4" s="37" t="s">
        <v>121</v>
      </c>
      <c r="G4" s="37" t="s">
        <v>123</v>
      </c>
      <c r="H4" s="37" t="s">
        <v>125</v>
      </c>
    </row>
    <row r="5" spans="2:8" x14ac:dyDescent="0.45">
      <c r="B5" s="48"/>
      <c r="C5" s="49"/>
      <c r="D5" s="49"/>
      <c r="E5" s="49"/>
      <c r="F5" s="37"/>
      <c r="G5" s="37"/>
      <c r="H5" s="37" t="s">
        <v>126</v>
      </c>
    </row>
    <row r="6" spans="2:8" x14ac:dyDescent="0.45">
      <c r="B6" s="38" t="s">
        <v>127</v>
      </c>
      <c r="C6" s="39">
        <v>-1000</v>
      </c>
      <c r="D6" s="40" t="s">
        <v>128</v>
      </c>
      <c r="E6" s="40" t="s">
        <v>129</v>
      </c>
      <c r="F6" s="40" t="s">
        <v>129</v>
      </c>
      <c r="G6" s="40" t="s">
        <v>129</v>
      </c>
      <c r="H6" s="40" t="s">
        <v>128</v>
      </c>
    </row>
    <row r="7" spans="2:8" x14ac:dyDescent="0.45">
      <c r="B7" s="41" t="s">
        <v>130</v>
      </c>
      <c r="C7" s="42">
        <v>10</v>
      </c>
      <c r="D7" s="42">
        <v>0</v>
      </c>
      <c r="E7" s="42">
        <v>-1</v>
      </c>
      <c r="F7" s="42">
        <v>0.1</v>
      </c>
      <c r="G7" s="42">
        <v>0</v>
      </c>
      <c r="H7" s="42" t="s">
        <v>131</v>
      </c>
    </row>
    <row r="8" spans="2:8" x14ac:dyDescent="0.45">
      <c r="B8" s="38" t="s">
        <v>132</v>
      </c>
      <c r="C8" s="43">
        <v>435</v>
      </c>
      <c r="D8" s="43">
        <v>9</v>
      </c>
      <c r="E8" s="43">
        <v>2.2000000000000002</v>
      </c>
      <c r="F8" s="43">
        <v>0.2</v>
      </c>
      <c r="G8" s="43">
        <v>0.1</v>
      </c>
      <c r="H8" s="43">
        <v>13.6</v>
      </c>
    </row>
    <row r="9" spans="2:8" x14ac:dyDescent="0.45">
      <c r="B9" s="41" t="s">
        <v>133</v>
      </c>
      <c r="C9" s="42">
        <v>120</v>
      </c>
      <c r="D9" s="42">
        <v>2</v>
      </c>
      <c r="E9" s="42">
        <v>4.4000000000000004</v>
      </c>
      <c r="F9" s="42">
        <v>0.1</v>
      </c>
      <c r="G9" s="42">
        <v>0.2</v>
      </c>
      <c r="H9" s="42">
        <v>6.8</v>
      </c>
    </row>
    <row r="10" spans="2:8" x14ac:dyDescent="0.45">
      <c r="B10" s="38" t="s">
        <v>134</v>
      </c>
      <c r="C10" s="43">
        <v>115</v>
      </c>
      <c r="D10" s="43">
        <v>2</v>
      </c>
      <c r="E10" s="43">
        <v>7.5</v>
      </c>
      <c r="F10" s="43">
        <v>0.9</v>
      </c>
      <c r="G10" s="43">
        <v>0.2</v>
      </c>
      <c r="H10" s="43">
        <v>14.7</v>
      </c>
    </row>
    <row r="11" spans="2:8" x14ac:dyDescent="0.45">
      <c r="B11" s="41" t="s">
        <v>135</v>
      </c>
      <c r="C11" s="42">
        <v>120</v>
      </c>
      <c r="D11" s="42">
        <v>2</v>
      </c>
      <c r="E11" s="42">
        <v>10.6</v>
      </c>
      <c r="F11" s="42">
        <v>1.8</v>
      </c>
      <c r="G11" s="42">
        <v>0.3</v>
      </c>
      <c r="H11" s="42">
        <v>19.8</v>
      </c>
    </row>
    <row r="12" spans="2:8" x14ac:dyDescent="0.45">
      <c r="B12" s="38" t="s">
        <v>136</v>
      </c>
      <c r="C12" s="43">
        <v>220</v>
      </c>
      <c r="D12" s="43">
        <v>4</v>
      </c>
      <c r="E12" s="43">
        <v>24.9</v>
      </c>
      <c r="F12" s="43">
        <v>5.6</v>
      </c>
      <c r="G12" s="43">
        <v>0.5</v>
      </c>
      <c r="H12" s="43">
        <v>24.5</v>
      </c>
    </row>
    <row r="13" spans="2:8" x14ac:dyDescent="0.45">
      <c r="B13" s="41" t="s">
        <v>137</v>
      </c>
      <c r="C13" s="42">
        <v>355</v>
      </c>
      <c r="D13" s="42">
        <v>7</v>
      </c>
      <c r="E13" s="42">
        <v>48.7</v>
      </c>
      <c r="F13" s="42">
        <v>12</v>
      </c>
      <c r="G13" s="42">
        <v>0.7</v>
      </c>
      <c r="H13" s="42">
        <v>26.1</v>
      </c>
    </row>
    <row r="14" spans="2:8" x14ac:dyDescent="0.45">
      <c r="B14" s="38" t="s">
        <v>138</v>
      </c>
      <c r="C14" s="43">
        <v>710</v>
      </c>
      <c r="D14" s="43">
        <v>14</v>
      </c>
      <c r="E14" s="43">
        <v>123.7</v>
      </c>
      <c r="F14" s="43">
        <v>33.1</v>
      </c>
      <c r="G14" s="43">
        <v>2</v>
      </c>
      <c r="H14" s="43">
        <v>28.4</v>
      </c>
    </row>
    <row r="15" spans="2:8" x14ac:dyDescent="0.45">
      <c r="B15" s="41" t="s">
        <v>139</v>
      </c>
      <c r="C15" s="42">
        <v>445</v>
      </c>
      <c r="D15" s="42">
        <v>9</v>
      </c>
      <c r="E15" s="42">
        <v>98.9</v>
      </c>
      <c r="F15" s="42">
        <v>26.7</v>
      </c>
      <c r="G15" s="42">
        <v>3.3</v>
      </c>
      <c r="H15" s="42">
        <v>30.3</v>
      </c>
    </row>
    <row r="16" spans="2:8" x14ac:dyDescent="0.45">
      <c r="B16" s="38" t="s">
        <v>140</v>
      </c>
      <c r="C16" s="43">
        <v>435</v>
      </c>
      <c r="D16" s="43">
        <v>9</v>
      </c>
      <c r="E16" s="43">
        <v>119.6</v>
      </c>
      <c r="F16" s="43">
        <v>31.6</v>
      </c>
      <c r="G16" s="43">
        <v>6.6</v>
      </c>
      <c r="H16" s="43">
        <v>31.9</v>
      </c>
    </row>
    <row r="17" spans="2:8" x14ac:dyDescent="0.45">
      <c r="B17" s="41" t="s">
        <v>141</v>
      </c>
      <c r="C17" s="42">
        <v>480</v>
      </c>
      <c r="D17" s="42">
        <v>10</v>
      </c>
      <c r="E17" s="42">
        <v>156.5</v>
      </c>
      <c r="F17" s="42">
        <v>40.9</v>
      </c>
      <c r="G17" s="42">
        <v>10.6</v>
      </c>
      <c r="H17" s="42">
        <v>32.9</v>
      </c>
    </row>
    <row r="18" spans="2:8" x14ac:dyDescent="0.45">
      <c r="B18" s="38" t="s">
        <v>142</v>
      </c>
      <c r="C18" s="43">
        <v>420</v>
      </c>
      <c r="D18" s="43">
        <v>9</v>
      </c>
      <c r="E18" s="43">
        <v>157.80000000000001</v>
      </c>
      <c r="F18" s="43">
        <v>42.1</v>
      </c>
      <c r="G18" s="43">
        <v>11.7</v>
      </c>
      <c r="H18" s="43">
        <v>34.1</v>
      </c>
    </row>
    <row r="19" spans="2:8" x14ac:dyDescent="0.45">
      <c r="B19" s="41" t="s">
        <v>143</v>
      </c>
      <c r="C19" s="42">
        <v>530</v>
      </c>
      <c r="D19" s="42">
        <v>11</v>
      </c>
      <c r="E19" s="42">
        <v>234.6</v>
      </c>
      <c r="F19" s="42">
        <v>65.099999999999994</v>
      </c>
      <c r="G19" s="42">
        <v>17.8</v>
      </c>
      <c r="H19" s="42">
        <v>35.299999999999997</v>
      </c>
    </row>
    <row r="20" spans="2:8" x14ac:dyDescent="0.45">
      <c r="B20" s="38" t="s">
        <v>144</v>
      </c>
      <c r="C20" s="43">
        <v>380</v>
      </c>
      <c r="D20" s="43">
        <v>8</v>
      </c>
      <c r="E20" s="43">
        <v>224.6</v>
      </c>
      <c r="F20" s="43">
        <v>69.7</v>
      </c>
      <c r="G20" s="43">
        <v>17.5</v>
      </c>
      <c r="H20" s="43">
        <v>38.799999999999997</v>
      </c>
    </row>
    <row r="21" spans="2:8" x14ac:dyDescent="0.45">
      <c r="B21" s="41" t="s">
        <v>145</v>
      </c>
      <c r="C21" s="42">
        <v>80</v>
      </c>
      <c r="D21" s="42">
        <v>2</v>
      </c>
      <c r="E21" s="42">
        <v>67.599999999999994</v>
      </c>
      <c r="F21" s="42">
        <v>24.3</v>
      </c>
      <c r="G21" s="42">
        <v>5.3</v>
      </c>
      <c r="H21" s="42">
        <v>43.8</v>
      </c>
    </row>
    <row r="22" spans="2:8" x14ac:dyDescent="0.45">
      <c r="B22" s="38" t="s">
        <v>146</v>
      </c>
      <c r="C22" s="43">
        <v>55</v>
      </c>
      <c r="D22" s="43">
        <v>1</v>
      </c>
      <c r="E22" s="43">
        <v>87.3</v>
      </c>
      <c r="F22" s="43">
        <v>35</v>
      </c>
      <c r="G22" s="43">
        <v>6.7</v>
      </c>
      <c r="H22" s="43">
        <v>47.8</v>
      </c>
    </row>
    <row r="23" spans="2:8" x14ac:dyDescent="0.45">
      <c r="B23" s="36" t="s">
        <v>147</v>
      </c>
      <c r="C23" s="44">
        <v>4910</v>
      </c>
      <c r="D23" s="45">
        <v>100</v>
      </c>
      <c r="E23" s="46">
        <v>1368</v>
      </c>
      <c r="F23" s="45">
        <v>389.2</v>
      </c>
      <c r="G23" s="45">
        <v>83.5</v>
      </c>
      <c r="H23" s="45">
        <v>34.5</v>
      </c>
    </row>
    <row r="24" spans="2:8" ht="42" x14ac:dyDescent="0.45">
      <c r="B24" s="50" t="s">
        <v>148</v>
      </c>
    </row>
    <row r="25" spans="2:8" x14ac:dyDescent="0.45">
      <c r="B25" s="50" t="s">
        <v>149</v>
      </c>
    </row>
    <row r="26" spans="2:8" ht="21" x14ac:dyDescent="0.45">
      <c r="B26" s="50" t="s">
        <v>150</v>
      </c>
    </row>
  </sheetData>
  <mergeCells count="4">
    <mergeCell ref="B2:H2"/>
    <mergeCell ref="B3:B5"/>
    <mergeCell ref="C3:D5"/>
    <mergeCell ref="E3:E5"/>
  </mergeCells>
  <hyperlinks>
    <hyperlink ref="B1" r:id="rId1" xr:uid="{07E93D3D-EAB2-425D-8447-783D174941EA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18F0-B06C-4B65-903B-6CA9E00B1A92}">
  <dimension ref="B10:G26"/>
  <sheetViews>
    <sheetView workbookViewId="0">
      <selection activeCell="C30" sqref="C30"/>
    </sheetView>
  </sheetViews>
  <sheetFormatPr defaultRowHeight="14.25" x14ac:dyDescent="0.45"/>
  <cols>
    <col min="4" max="4" width="10.265625" bestFit="1" customWidth="1"/>
  </cols>
  <sheetData>
    <row r="10" spans="2:7" x14ac:dyDescent="0.45">
      <c r="B10" t="s">
        <v>200</v>
      </c>
      <c r="D10" t="s">
        <v>198</v>
      </c>
      <c r="E10" t="s">
        <v>196</v>
      </c>
      <c r="F10" t="s">
        <v>199</v>
      </c>
      <c r="G10" t="s">
        <v>197</v>
      </c>
    </row>
    <row r="11" spans="2:7" x14ac:dyDescent="0.45">
      <c r="B11">
        <f>($D$11*E11^$F$11+(1-$D$11)*G11^$F$11)^(1/$F$11)</f>
        <v>0.99944475291504709</v>
      </c>
      <c r="D11">
        <v>0.995</v>
      </c>
      <c r="E11">
        <v>1</v>
      </c>
      <c r="F11">
        <f>1-(1/0.5)</f>
        <v>-1</v>
      </c>
      <c r="G11">
        <f>E11-0.1</f>
        <v>0.9</v>
      </c>
    </row>
    <row r="12" spans="2:7" x14ac:dyDescent="0.45">
      <c r="B12">
        <f t="shared" ref="B12:B26" si="0">($D$11*E12^$F$11+(1-$D$11)*G12^$F$11)^(1/$F$11)</f>
        <v>1.9994738226782427</v>
      </c>
      <c r="E12">
        <v>2</v>
      </c>
      <c r="G12">
        <f t="shared" ref="G12:G26" si="1">E12-0.1</f>
        <v>1.9</v>
      </c>
    </row>
    <row r="13" spans="2:7" x14ac:dyDescent="0.45">
      <c r="B13">
        <f t="shared" si="0"/>
        <v>2.9994828477848645</v>
      </c>
      <c r="E13">
        <v>3</v>
      </c>
      <c r="G13">
        <f t="shared" si="1"/>
        <v>2.9</v>
      </c>
    </row>
    <row r="14" spans="2:7" x14ac:dyDescent="0.45">
      <c r="B14">
        <f t="shared" si="0"/>
        <v>3.9994872452249708</v>
      </c>
      <c r="E14">
        <v>4</v>
      </c>
      <c r="G14">
        <f t="shared" si="1"/>
        <v>3.9</v>
      </c>
    </row>
    <row r="15" spans="2:7" x14ac:dyDescent="0.45">
      <c r="B15">
        <f t="shared" si="0"/>
        <v>4.9994898479746963</v>
      </c>
      <c r="E15">
        <v>5</v>
      </c>
      <c r="G15">
        <f t="shared" si="1"/>
        <v>4.9000000000000004</v>
      </c>
    </row>
    <row r="16" spans="2:7" x14ac:dyDescent="0.45">
      <c r="B16">
        <f t="shared" si="0"/>
        <v>5.999491568511143</v>
      </c>
      <c r="E16">
        <v>6</v>
      </c>
      <c r="G16">
        <f t="shared" si="1"/>
        <v>5.9</v>
      </c>
    </row>
    <row r="17" spans="2:7" x14ac:dyDescent="0.45">
      <c r="B17">
        <f t="shared" si="0"/>
        <v>6.9994927903775093</v>
      </c>
      <c r="E17">
        <v>7</v>
      </c>
      <c r="G17">
        <f t="shared" si="1"/>
        <v>6.9</v>
      </c>
    </row>
    <row r="18" spans="2:7" x14ac:dyDescent="0.45">
      <c r="B18">
        <f t="shared" si="0"/>
        <v>7.9994937029301951</v>
      </c>
      <c r="E18">
        <v>8</v>
      </c>
      <c r="G18">
        <f t="shared" si="1"/>
        <v>7.9</v>
      </c>
    </row>
    <row r="19" spans="2:7" x14ac:dyDescent="0.45">
      <c r="B19">
        <f t="shared" si="0"/>
        <v>8.9994944104263812</v>
      </c>
      <c r="E19">
        <v>9</v>
      </c>
      <c r="G19">
        <f t="shared" si="1"/>
        <v>8.9</v>
      </c>
    </row>
    <row r="20" spans="2:7" x14ac:dyDescent="0.45">
      <c r="B20">
        <f t="shared" si="0"/>
        <v>9.9994949750012623</v>
      </c>
      <c r="E20">
        <v>10</v>
      </c>
      <c r="G20">
        <f t="shared" si="1"/>
        <v>9.9</v>
      </c>
    </row>
    <row r="21" spans="2:7" x14ac:dyDescent="0.45">
      <c r="B21">
        <f t="shared" si="0"/>
        <v>10.999495435989175</v>
      </c>
      <c r="E21">
        <v>11</v>
      </c>
      <c r="G21">
        <f t="shared" si="1"/>
        <v>10.9</v>
      </c>
    </row>
    <row r="22" spans="2:7" x14ac:dyDescent="0.45">
      <c r="B22">
        <f t="shared" si="0"/>
        <v>11.999495819503382</v>
      </c>
      <c r="E22">
        <v>12</v>
      </c>
      <c r="G22">
        <f t="shared" si="1"/>
        <v>11.9</v>
      </c>
    </row>
    <row r="23" spans="2:7" x14ac:dyDescent="0.45">
      <c r="B23">
        <f t="shared" si="0"/>
        <v>12.999496143560327</v>
      </c>
      <c r="E23">
        <v>13</v>
      </c>
      <c r="G23">
        <f t="shared" si="1"/>
        <v>12.9</v>
      </c>
    </row>
    <row r="24" spans="2:7" x14ac:dyDescent="0.45">
      <c r="B24">
        <f t="shared" si="0"/>
        <v>13.999496420992052</v>
      </c>
      <c r="E24">
        <v>14</v>
      </c>
      <c r="G24">
        <f t="shared" si="1"/>
        <v>13.9</v>
      </c>
    </row>
    <row r="25" spans="2:7" x14ac:dyDescent="0.45">
      <c r="B25">
        <f t="shared" si="0"/>
        <v>14.999496661185869</v>
      </c>
      <c r="E25">
        <v>15</v>
      </c>
      <c r="G25">
        <f t="shared" si="1"/>
        <v>14.9</v>
      </c>
    </row>
    <row r="26" spans="2:7" x14ac:dyDescent="0.45">
      <c r="B26">
        <f t="shared" si="0"/>
        <v>15.999496871167572</v>
      </c>
      <c r="E26">
        <v>16</v>
      </c>
      <c r="G26">
        <f t="shared" si="1"/>
        <v>15.9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9E4E-8C3D-48EE-B305-CF6509F6CD23}">
  <dimension ref="B1:O44"/>
  <sheetViews>
    <sheetView workbookViewId="0">
      <selection activeCell="Q28" sqref="Q28"/>
    </sheetView>
  </sheetViews>
  <sheetFormatPr defaultRowHeight="14.25" x14ac:dyDescent="0.45"/>
  <sheetData>
    <row r="1" spans="2:10" x14ac:dyDescent="0.45">
      <c r="B1" s="51" t="s">
        <v>152</v>
      </c>
    </row>
    <row r="3" spans="2:10" x14ac:dyDescent="0.45">
      <c r="B3" s="47" t="s">
        <v>116</v>
      </c>
      <c r="C3" s="47"/>
      <c r="D3" s="47"/>
      <c r="E3" s="47"/>
      <c r="F3" s="47"/>
      <c r="G3" s="47"/>
      <c r="H3" s="47"/>
      <c r="I3" s="47"/>
      <c r="J3" s="47"/>
    </row>
    <row r="4" spans="2:10" x14ac:dyDescent="0.45">
      <c r="B4" s="48" t="s">
        <v>153</v>
      </c>
      <c r="C4" s="49" t="s">
        <v>154</v>
      </c>
      <c r="D4" s="49"/>
      <c r="E4" s="49" t="s">
        <v>157</v>
      </c>
      <c r="F4" s="49"/>
      <c r="G4" s="49" t="s">
        <v>154</v>
      </c>
      <c r="H4" s="49"/>
      <c r="I4" s="49" t="s">
        <v>159</v>
      </c>
      <c r="J4" s="49"/>
    </row>
    <row r="5" spans="2:10" x14ac:dyDescent="0.45">
      <c r="B5" s="48"/>
      <c r="C5" s="49" t="s">
        <v>155</v>
      </c>
      <c r="D5" s="49"/>
      <c r="E5" s="49" t="s">
        <v>158</v>
      </c>
      <c r="F5" s="49"/>
      <c r="G5" s="49" t="s">
        <v>161</v>
      </c>
      <c r="H5" s="49"/>
      <c r="I5" s="49" t="s">
        <v>163</v>
      </c>
      <c r="J5" s="49"/>
    </row>
    <row r="6" spans="2:10" x14ac:dyDescent="0.45">
      <c r="B6" s="48"/>
      <c r="C6" s="49" t="s">
        <v>156</v>
      </c>
      <c r="D6" s="49"/>
      <c r="E6" s="49" t="s">
        <v>159</v>
      </c>
      <c r="F6" s="49"/>
      <c r="G6" s="49" t="s">
        <v>159</v>
      </c>
      <c r="H6" s="49"/>
      <c r="I6" s="49" t="s">
        <v>164</v>
      </c>
      <c r="J6" s="49"/>
    </row>
    <row r="7" spans="2:10" x14ac:dyDescent="0.45">
      <c r="B7" s="48"/>
      <c r="C7" s="49"/>
      <c r="D7" s="49"/>
      <c r="E7" s="49" t="s">
        <v>160</v>
      </c>
      <c r="F7" s="49"/>
      <c r="G7" s="49" t="s">
        <v>160</v>
      </c>
      <c r="H7" s="49"/>
      <c r="I7" s="49"/>
      <c r="J7" s="49"/>
    </row>
    <row r="8" spans="2:10" x14ac:dyDescent="0.45">
      <c r="B8" s="48"/>
      <c r="C8" s="49"/>
      <c r="D8" s="49"/>
      <c r="E8" s="49"/>
      <c r="F8" s="49"/>
      <c r="G8" s="49" t="s">
        <v>162</v>
      </c>
      <c r="H8" s="49"/>
      <c r="I8" s="49"/>
      <c r="J8" s="49"/>
    </row>
    <row r="9" spans="2:10" x14ac:dyDescent="0.45">
      <c r="B9" s="40" t="s">
        <v>127</v>
      </c>
      <c r="C9" s="39">
        <v>-1000</v>
      </c>
      <c r="D9" s="40" t="s">
        <v>128</v>
      </c>
      <c r="E9" s="39">
        <v>-1000</v>
      </c>
      <c r="F9" s="40" t="s">
        <v>128</v>
      </c>
      <c r="G9" s="39">
        <v>-1000</v>
      </c>
      <c r="H9" s="40" t="s">
        <v>128</v>
      </c>
      <c r="I9" s="39">
        <v>-1000</v>
      </c>
      <c r="J9" s="40" t="s">
        <v>128</v>
      </c>
    </row>
    <row r="10" spans="2:10" x14ac:dyDescent="0.45">
      <c r="B10" s="41" t="s">
        <v>165</v>
      </c>
      <c r="C10" s="42">
        <v>905</v>
      </c>
      <c r="D10" s="42">
        <v>18</v>
      </c>
      <c r="E10" s="42">
        <v>815</v>
      </c>
      <c r="F10" s="42">
        <v>17</v>
      </c>
      <c r="G10" s="42">
        <v>820</v>
      </c>
      <c r="H10" s="42">
        <v>17</v>
      </c>
      <c r="I10" s="42">
        <v>800</v>
      </c>
      <c r="J10" s="42">
        <v>16</v>
      </c>
    </row>
    <row r="11" spans="2:10" x14ac:dyDescent="0.45">
      <c r="B11" s="38" t="s">
        <v>166</v>
      </c>
      <c r="C11" s="43">
        <v>660</v>
      </c>
      <c r="D11" s="43">
        <v>13</v>
      </c>
      <c r="E11" s="43">
        <v>565</v>
      </c>
      <c r="F11" s="43">
        <v>12</v>
      </c>
      <c r="G11" s="43">
        <v>590</v>
      </c>
      <c r="H11" s="43">
        <v>12</v>
      </c>
      <c r="I11" s="43">
        <v>575</v>
      </c>
      <c r="J11" s="43">
        <v>12</v>
      </c>
    </row>
    <row r="12" spans="2:10" x14ac:dyDescent="0.45">
      <c r="B12" s="41" t="s">
        <v>167</v>
      </c>
      <c r="C12" s="42">
        <v>890</v>
      </c>
      <c r="D12" s="42">
        <v>18</v>
      </c>
      <c r="E12" s="42">
        <v>725</v>
      </c>
      <c r="F12" s="42">
        <v>15</v>
      </c>
      <c r="G12" s="42">
        <v>725</v>
      </c>
      <c r="H12" s="42">
        <v>15</v>
      </c>
      <c r="I12" s="42">
        <v>710</v>
      </c>
      <c r="J12" s="42">
        <v>14</v>
      </c>
    </row>
    <row r="13" spans="2:10" x14ac:dyDescent="0.45">
      <c r="B13" s="38" t="s">
        <v>168</v>
      </c>
      <c r="C13" s="52">
        <v>1275</v>
      </c>
      <c r="D13" s="43">
        <v>26</v>
      </c>
      <c r="E13" s="52">
        <v>1045</v>
      </c>
      <c r="F13" s="43">
        <v>21</v>
      </c>
      <c r="G13" s="52">
        <v>1035</v>
      </c>
      <c r="H13" s="43">
        <v>21</v>
      </c>
      <c r="I13" s="43">
        <v>880</v>
      </c>
      <c r="J13" s="43">
        <v>18</v>
      </c>
    </row>
    <row r="14" spans="2:10" x14ac:dyDescent="0.45">
      <c r="B14" s="41" t="s">
        <v>169</v>
      </c>
      <c r="C14" s="42">
        <v>910</v>
      </c>
      <c r="D14" s="42">
        <v>19</v>
      </c>
      <c r="E14" s="53">
        <v>1355</v>
      </c>
      <c r="F14" s="42">
        <v>28</v>
      </c>
      <c r="G14" s="53">
        <v>1350</v>
      </c>
      <c r="H14" s="42">
        <v>27</v>
      </c>
      <c r="I14" s="53">
        <v>1430</v>
      </c>
      <c r="J14" s="42">
        <v>29</v>
      </c>
    </row>
    <row r="15" spans="2:10" x14ac:dyDescent="0.45">
      <c r="B15" s="38" t="s">
        <v>170</v>
      </c>
      <c r="C15" s="43">
        <v>270</v>
      </c>
      <c r="D15" s="43">
        <v>5</v>
      </c>
      <c r="E15" s="43">
        <v>405</v>
      </c>
      <c r="F15" s="43">
        <v>8</v>
      </c>
      <c r="G15" s="43">
        <v>390</v>
      </c>
      <c r="H15" s="43">
        <v>8</v>
      </c>
      <c r="I15" s="43">
        <v>515</v>
      </c>
      <c r="J15" s="43">
        <v>10</v>
      </c>
    </row>
    <row r="16" spans="2:10" x14ac:dyDescent="0.45">
      <c r="B16" s="36" t="s">
        <v>147</v>
      </c>
      <c r="C16" s="44">
        <v>4910</v>
      </c>
      <c r="D16" s="45">
        <v>100</v>
      </c>
      <c r="E16" s="44">
        <v>4910</v>
      </c>
      <c r="F16" s="45">
        <v>100</v>
      </c>
      <c r="G16" s="44">
        <v>4910</v>
      </c>
      <c r="H16" s="45">
        <v>100</v>
      </c>
      <c r="I16" s="44">
        <v>4910</v>
      </c>
      <c r="J16" s="45">
        <v>100</v>
      </c>
    </row>
    <row r="17" spans="2:15" ht="42" x14ac:dyDescent="0.45">
      <c r="B17" s="50" t="s">
        <v>171</v>
      </c>
    </row>
    <row r="20" spans="2:15" x14ac:dyDescent="0.45">
      <c r="B20" s="47" t="s">
        <v>172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</row>
    <row r="21" spans="2:15" x14ac:dyDescent="0.45">
      <c r="B21" s="48" t="s">
        <v>117</v>
      </c>
      <c r="C21" s="49" t="s">
        <v>173</v>
      </c>
      <c r="D21" s="49" t="s">
        <v>159</v>
      </c>
      <c r="E21" s="49"/>
      <c r="F21" s="49" t="s">
        <v>174</v>
      </c>
      <c r="G21" s="49"/>
      <c r="H21" s="49" t="s">
        <v>175</v>
      </c>
      <c r="I21" s="49"/>
      <c r="J21" s="49" t="s">
        <v>177</v>
      </c>
      <c r="K21" s="49"/>
      <c r="L21" s="49" t="s">
        <v>44</v>
      </c>
      <c r="M21" s="49"/>
      <c r="N21" s="49" t="s">
        <v>36</v>
      </c>
      <c r="O21" s="49"/>
    </row>
    <row r="22" spans="2:15" x14ac:dyDescent="0.45">
      <c r="B22" s="48"/>
      <c r="C22" s="49"/>
      <c r="D22" s="49"/>
      <c r="E22" s="49"/>
      <c r="F22" s="49" t="s">
        <v>33</v>
      </c>
      <c r="G22" s="49"/>
      <c r="H22" s="49" t="s">
        <v>176</v>
      </c>
      <c r="I22" s="49"/>
      <c r="J22" s="49" t="s">
        <v>33</v>
      </c>
      <c r="K22" s="49"/>
      <c r="L22" s="49" t="s">
        <v>178</v>
      </c>
      <c r="M22" s="49"/>
      <c r="N22" s="49" t="s">
        <v>179</v>
      </c>
      <c r="O22" s="49"/>
    </row>
    <row r="23" spans="2:15" x14ac:dyDescent="0.45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 t="s">
        <v>121</v>
      </c>
      <c r="M23" s="49"/>
      <c r="N23" s="49"/>
      <c r="O23" s="49"/>
    </row>
    <row r="24" spans="2:15" x14ac:dyDescent="0.45">
      <c r="B24" s="48"/>
      <c r="C24" s="49"/>
      <c r="D24" s="37" t="s">
        <v>27</v>
      </c>
      <c r="E24" s="37" t="s">
        <v>180</v>
      </c>
      <c r="F24" s="37" t="s">
        <v>27</v>
      </c>
      <c r="G24" s="37" t="s">
        <v>180</v>
      </c>
      <c r="H24" s="37" t="s">
        <v>27</v>
      </c>
      <c r="I24" s="37" t="s">
        <v>180</v>
      </c>
      <c r="J24" s="37" t="s">
        <v>27</v>
      </c>
      <c r="K24" s="37" t="s">
        <v>180</v>
      </c>
      <c r="L24" s="37" t="s">
        <v>27</v>
      </c>
      <c r="M24" s="37" t="s">
        <v>180</v>
      </c>
      <c r="N24" s="37" t="s">
        <v>27</v>
      </c>
      <c r="O24" s="37" t="s">
        <v>180</v>
      </c>
    </row>
    <row r="25" spans="2:15" x14ac:dyDescent="0.45">
      <c r="B25" s="41" t="s">
        <v>127</v>
      </c>
      <c r="C25" s="54">
        <v>1000</v>
      </c>
      <c r="D25" s="55" t="s">
        <v>129</v>
      </c>
      <c r="E25" s="56">
        <v>1000</v>
      </c>
      <c r="F25" s="55" t="s">
        <v>129</v>
      </c>
      <c r="G25" s="56">
        <v>1000</v>
      </c>
      <c r="H25" s="55" t="s">
        <v>129</v>
      </c>
      <c r="I25" s="56">
        <v>1000</v>
      </c>
      <c r="J25" s="55" t="s">
        <v>129</v>
      </c>
      <c r="K25" s="56">
        <v>1000</v>
      </c>
      <c r="L25" s="55" t="s">
        <v>129</v>
      </c>
      <c r="M25" s="56">
        <v>1000</v>
      </c>
      <c r="N25" s="55" t="s">
        <v>129</v>
      </c>
      <c r="O25" s="56">
        <v>1000</v>
      </c>
    </row>
    <row r="26" spans="2:15" x14ac:dyDescent="0.45">
      <c r="B26" s="38" t="s">
        <v>130</v>
      </c>
      <c r="C26" s="43">
        <v>10</v>
      </c>
      <c r="D26" s="43">
        <v>-1</v>
      </c>
      <c r="E26" s="43">
        <v>-106.8</v>
      </c>
      <c r="F26" s="43">
        <v>-0.1</v>
      </c>
      <c r="G26" s="43">
        <v>-10.5</v>
      </c>
      <c r="H26" s="43">
        <v>0.1</v>
      </c>
      <c r="I26" s="43">
        <v>9.3000000000000007</v>
      </c>
      <c r="J26" s="43">
        <v>-1.2</v>
      </c>
      <c r="K26" s="43">
        <v>-126.6</v>
      </c>
      <c r="L26" s="43">
        <v>0.1</v>
      </c>
      <c r="M26" s="43">
        <v>8.1999999999999993</v>
      </c>
      <c r="N26" s="43">
        <v>0</v>
      </c>
      <c r="O26" s="43">
        <v>2.4</v>
      </c>
    </row>
    <row r="27" spans="2:15" x14ac:dyDescent="0.45">
      <c r="B27" s="41" t="s">
        <v>132</v>
      </c>
      <c r="C27" s="42">
        <v>435</v>
      </c>
      <c r="D27" s="42">
        <v>2.1</v>
      </c>
      <c r="E27" s="42">
        <v>4.8</v>
      </c>
      <c r="F27" s="42">
        <v>-0.2</v>
      </c>
      <c r="G27" s="42">
        <v>-0.4</v>
      </c>
      <c r="H27" s="42">
        <v>0.3</v>
      </c>
      <c r="I27" s="42">
        <v>0.6</v>
      </c>
      <c r="J27" s="42">
        <v>1.6</v>
      </c>
      <c r="K27" s="42">
        <v>3.8</v>
      </c>
      <c r="L27" s="42">
        <v>0.2</v>
      </c>
      <c r="M27" s="42">
        <v>0.4</v>
      </c>
      <c r="N27" s="42">
        <v>0.1</v>
      </c>
      <c r="O27" s="42">
        <v>0.3</v>
      </c>
    </row>
    <row r="28" spans="2:15" x14ac:dyDescent="0.45">
      <c r="B28" s="38" t="s">
        <v>181</v>
      </c>
      <c r="C28" s="43">
        <v>120</v>
      </c>
      <c r="D28" s="43">
        <v>4.2</v>
      </c>
      <c r="E28" s="43">
        <v>34.799999999999997</v>
      </c>
      <c r="F28" s="43">
        <v>-0.2</v>
      </c>
      <c r="G28" s="43">
        <v>-1.3</v>
      </c>
      <c r="H28" s="43">
        <v>0.3</v>
      </c>
      <c r="I28" s="43">
        <v>2.4</v>
      </c>
      <c r="J28" s="43">
        <v>3.7</v>
      </c>
      <c r="K28" s="43">
        <v>31.1</v>
      </c>
      <c r="L28" s="43">
        <v>0.1</v>
      </c>
      <c r="M28" s="43">
        <v>1.1000000000000001</v>
      </c>
      <c r="N28" s="43">
        <v>0.2</v>
      </c>
      <c r="O28" s="43">
        <v>1.7</v>
      </c>
    </row>
    <row r="29" spans="2:15" x14ac:dyDescent="0.45">
      <c r="B29" s="41" t="s">
        <v>182</v>
      </c>
      <c r="C29" s="42">
        <v>115</v>
      </c>
      <c r="D29" s="42">
        <v>7.3</v>
      </c>
      <c r="E29" s="42">
        <v>63.1</v>
      </c>
      <c r="F29" s="42">
        <v>-0.1</v>
      </c>
      <c r="G29" s="42">
        <v>-1.3</v>
      </c>
      <c r="H29" s="42">
        <v>0.4</v>
      </c>
      <c r="I29" s="42">
        <v>3.5</v>
      </c>
      <c r="J29" s="42">
        <v>6.8</v>
      </c>
      <c r="K29" s="42">
        <v>58.3</v>
      </c>
      <c r="L29" s="42">
        <v>0.9</v>
      </c>
      <c r="M29" s="42">
        <v>7.4</v>
      </c>
      <c r="N29" s="42">
        <v>0.2</v>
      </c>
      <c r="O29" s="42">
        <v>1.8</v>
      </c>
    </row>
    <row r="30" spans="2:15" x14ac:dyDescent="0.45">
      <c r="B30" s="38" t="s">
        <v>183</v>
      </c>
      <c r="C30" s="43">
        <v>120</v>
      </c>
      <c r="D30" s="43">
        <v>10.3</v>
      </c>
      <c r="E30" s="43">
        <v>84.9</v>
      </c>
      <c r="F30" s="43">
        <v>-0.1</v>
      </c>
      <c r="G30" s="43">
        <v>-1.2</v>
      </c>
      <c r="H30" s="43">
        <v>0.6</v>
      </c>
      <c r="I30" s="43">
        <v>4.9000000000000004</v>
      </c>
      <c r="J30" s="43">
        <v>9.6</v>
      </c>
      <c r="K30" s="43">
        <v>78.8</v>
      </c>
      <c r="L30" s="43">
        <v>1.8</v>
      </c>
      <c r="M30" s="43">
        <v>15</v>
      </c>
      <c r="N30" s="43">
        <v>0.3</v>
      </c>
      <c r="O30" s="43">
        <v>2.5</v>
      </c>
    </row>
    <row r="31" spans="2:15" x14ac:dyDescent="0.45">
      <c r="B31" s="41" t="s">
        <v>184</v>
      </c>
      <c r="C31" s="42">
        <v>220</v>
      </c>
      <c r="D31" s="42">
        <v>24.4</v>
      </c>
      <c r="E31" s="42">
        <v>111.7</v>
      </c>
      <c r="F31" s="42">
        <v>-0.3</v>
      </c>
      <c r="G31" s="42">
        <v>-1.2</v>
      </c>
      <c r="H31" s="42">
        <v>0.9</v>
      </c>
      <c r="I31" s="42">
        <v>4</v>
      </c>
      <c r="J31" s="42">
        <v>23.2</v>
      </c>
      <c r="K31" s="42">
        <v>106.6</v>
      </c>
      <c r="L31" s="42">
        <v>5.6</v>
      </c>
      <c r="M31" s="42">
        <v>25.5</v>
      </c>
      <c r="N31" s="42">
        <v>0.5</v>
      </c>
      <c r="O31" s="42">
        <v>2.1</v>
      </c>
    </row>
    <row r="32" spans="2:15" x14ac:dyDescent="0.45">
      <c r="B32" s="38" t="s">
        <v>185</v>
      </c>
      <c r="C32" s="43">
        <v>355</v>
      </c>
      <c r="D32" s="43">
        <v>47.9</v>
      </c>
      <c r="E32" s="43">
        <v>135.80000000000001</v>
      </c>
      <c r="F32" s="43">
        <v>-0.9</v>
      </c>
      <c r="G32" s="43">
        <v>-2.5</v>
      </c>
      <c r="H32" s="43">
        <v>1.4</v>
      </c>
      <c r="I32" s="43">
        <v>3.8</v>
      </c>
      <c r="J32" s="43">
        <v>45.6</v>
      </c>
      <c r="K32" s="43">
        <v>129.5</v>
      </c>
      <c r="L32" s="43">
        <v>12</v>
      </c>
      <c r="M32" s="43">
        <v>34.1</v>
      </c>
      <c r="N32" s="43">
        <v>0.7</v>
      </c>
      <c r="O32" s="43">
        <v>1.9</v>
      </c>
    </row>
    <row r="33" spans="2:15" x14ac:dyDescent="0.45">
      <c r="B33" s="41" t="s">
        <v>186</v>
      </c>
      <c r="C33" s="42">
        <v>375</v>
      </c>
      <c r="D33" s="42">
        <v>60.4</v>
      </c>
      <c r="E33" s="42">
        <v>161.80000000000001</v>
      </c>
      <c r="F33" s="42">
        <v>-0.9</v>
      </c>
      <c r="G33" s="42">
        <v>-2.4</v>
      </c>
      <c r="H33" s="42">
        <v>1.9</v>
      </c>
      <c r="I33" s="42">
        <v>4.9000000000000004</v>
      </c>
      <c r="J33" s="42">
        <v>57.6</v>
      </c>
      <c r="K33" s="42">
        <v>154.4</v>
      </c>
      <c r="L33" s="42">
        <v>16.2</v>
      </c>
      <c r="M33" s="42">
        <v>43.6</v>
      </c>
      <c r="N33" s="42">
        <v>0.9</v>
      </c>
      <c r="O33" s="42">
        <v>2.2999999999999998</v>
      </c>
    </row>
    <row r="34" spans="2:15" x14ac:dyDescent="0.45">
      <c r="B34" s="38" t="s">
        <v>187</v>
      </c>
      <c r="C34" s="43">
        <v>335</v>
      </c>
      <c r="D34" s="43">
        <v>61.3</v>
      </c>
      <c r="E34" s="43">
        <v>184</v>
      </c>
      <c r="F34" s="43">
        <v>-1.4</v>
      </c>
      <c r="G34" s="43">
        <v>-4.2</v>
      </c>
      <c r="H34" s="43">
        <v>2.5</v>
      </c>
      <c r="I34" s="43">
        <v>7.3</v>
      </c>
      <c r="J34" s="43">
        <v>57.4</v>
      </c>
      <c r="K34" s="43">
        <v>172.4</v>
      </c>
      <c r="L34" s="43">
        <v>16.899999999999999</v>
      </c>
      <c r="M34" s="43">
        <v>50.8</v>
      </c>
      <c r="N34" s="43">
        <v>1.1000000000000001</v>
      </c>
      <c r="O34" s="43">
        <v>3.2</v>
      </c>
    </row>
    <row r="35" spans="2:15" x14ac:dyDescent="0.45">
      <c r="B35" s="41" t="s">
        <v>188</v>
      </c>
      <c r="C35" s="42">
        <v>445</v>
      </c>
      <c r="D35" s="42">
        <v>95.6</v>
      </c>
      <c r="E35" s="42">
        <v>216</v>
      </c>
      <c r="F35" s="42">
        <v>-2.9</v>
      </c>
      <c r="G35" s="42">
        <v>-6.5</v>
      </c>
      <c r="H35" s="42">
        <v>6.9</v>
      </c>
      <c r="I35" s="42">
        <v>15</v>
      </c>
      <c r="J35" s="42">
        <v>85.8</v>
      </c>
      <c r="K35" s="42">
        <v>194.5</v>
      </c>
      <c r="L35" s="42">
        <v>26.7</v>
      </c>
      <c r="M35" s="42">
        <v>60.5</v>
      </c>
      <c r="N35" s="42">
        <v>3.3</v>
      </c>
      <c r="O35" s="42">
        <v>7.2</v>
      </c>
    </row>
    <row r="36" spans="2:15" x14ac:dyDescent="0.45">
      <c r="B36" s="38" t="s">
        <v>189</v>
      </c>
      <c r="C36" s="43">
        <v>435</v>
      </c>
      <c r="D36" s="43">
        <v>112.9</v>
      </c>
      <c r="E36" s="43">
        <v>260.7</v>
      </c>
      <c r="F36" s="43">
        <v>-4.2</v>
      </c>
      <c r="G36" s="43">
        <v>-9.6999999999999993</v>
      </c>
      <c r="H36" s="43">
        <v>12.9</v>
      </c>
      <c r="I36" s="43">
        <v>28.5</v>
      </c>
      <c r="J36" s="43">
        <v>95.8</v>
      </c>
      <c r="K36" s="43">
        <v>222.5</v>
      </c>
      <c r="L36" s="43">
        <v>31.6</v>
      </c>
      <c r="M36" s="43">
        <v>73.2</v>
      </c>
      <c r="N36" s="43">
        <v>6.6</v>
      </c>
      <c r="O36" s="43">
        <v>15</v>
      </c>
    </row>
    <row r="37" spans="2:15" x14ac:dyDescent="0.45">
      <c r="B37" s="41" t="s">
        <v>190</v>
      </c>
      <c r="C37" s="42">
        <v>480</v>
      </c>
      <c r="D37" s="42">
        <v>145.9</v>
      </c>
      <c r="E37" s="42">
        <v>303.2</v>
      </c>
      <c r="F37" s="42">
        <v>-6.2</v>
      </c>
      <c r="G37" s="42">
        <v>-13</v>
      </c>
      <c r="H37" s="42">
        <v>20.100000000000001</v>
      </c>
      <c r="I37" s="42">
        <v>40.1</v>
      </c>
      <c r="J37" s="42">
        <v>119.6</v>
      </c>
      <c r="K37" s="42">
        <v>250</v>
      </c>
      <c r="L37" s="42">
        <v>40.9</v>
      </c>
      <c r="M37" s="42">
        <v>85.1</v>
      </c>
      <c r="N37" s="42">
        <v>10.6</v>
      </c>
      <c r="O37" s="42">
        <v>21.5</v>
      </c>
    </row>
    <row r="38" spans="2:15" x14ac:dyDescent="0.45">
      <c r="B38" s="38" t="s">
        <v>191</v>
      </c>
      <c r="C38" s="43">
        <v>420</v>
      </c>
      <c r="D38" s="43">
        <v>146.19999999999999</v>
      </c>
      <c r="E38" s="43">
        <v>346.9</v>
      </c>
      <c r="F38" s="43">
        <v>-6.6</v>
      </c>
      <c r="G38" s="43">
        <v>-15.8</v>
      </c>
      <c r="H38" s="43">
        <v>19.100000000000001</v>
      </c>
      <c r="I38" s="43">
        <v>43.4</v>
      </c>
      <c r="J38" s="43">
        <v>120.5</v>
      </c>
      <c r="K38" s="43">
        <v>287.60000000000002</v>
      </c>
      <c r="L38" s="43">
        <v>42.1</v>
      </c>
      <c r="M38" s="43">
        <v>100.1</v>
      </c>
      <c r="N38" s="43">
        <v>11.7</v>
      </c>
      <c r="O38" s="43">
        <v>27.1</v>
      </c>
    </row>
    <row r="39" spans="2:15" x14ac:dyDescent="0.45">
      <c r="B39" s="41" t="s">
        <v>192</v>
      </c>
      <c r="C39" s="42">
        <v>530</v>
      </c>
      <c r="D39" s="42">
        <v>216.9</v>
      </c>
      <c r="E39" s="42">
        <v>411.1</v>
      </c>
      <c r="F39" s="42">
        <v>-9.1999999999999993</v>
      </c>
      <c r="G39" s="42">
        <v>-17.5</v>
      </c>
      <c r="H39" s="42">
        <v>24.6</v>
      </c>
      <c r="I39" s="42">
        <v>44.8</v>
      </c>
      <c r="J39" s="42">
        <v>183.1</v>
      </c>
      <c r="K39" s="42">
        <v>348.8</v>
      </c>
      <c r="L39" s="42">
        <v>65.099999999999994</v>
      </c>
      <c r="M39" s="42">
        <v>123.6</v>
      </c>
      <c r="N39" s="42">
        <v>17.8</v>
      </c>
      <c r="O39" s="42">
        <v>33</v>
      </c>
    </row>
    <row r="40" spans="2:15" x14ac:dyDescent="0.45">
      <c r="B40" s="38" t="s">
        <v>193</v>
      </c>
      <c r="C40" s="43">
        <v>380</v>
      </c>
      <c r="D40" s="43">
        <v>207.2</v>
      </c>
      <c r="E40" s="43">
        <v>544</v>
      </c>
      <c r="F40" s="43">
        <v>-7.6</v>
      </c>
      <c r="G40" s="43">
        <v>-20.100000000000001</v>
      </c>
      <c r="H40" s="43">
        <v>18.7</v>
      </c>
      <c r="I40" s="43">
        <v>47.2</v>
      </c>
      <c r="J40" s="43">
        <v>180.9</v>
      </c>
      <c r="K40" s="43">
        <v>476.7</v>
      </c>
      <c r="L40" s="43">
        <v>69.7</v>
      </c>
      <c r="M40" s="43">
        <v>183.5</v>
      </c>
      <c r="N40" s="43">
        <v>17.5</v>
      </c>
      <c r="O40" s="43">
        <v>45</v>
      </c>
    </row>
    <row r="41" spans="2:15" x14ac:dyDescent="0.45">
      <c r="B41" s="41" t="s">
        <v>194</v>
      </c>
      <c r="C41" s="42">
        <v>80</v>
      </c>
      <c r="D41" s="42">
        <v>62.3</v>
      </c>
      <c r="E41" s="42">
        <v>783.4</v>
      </c>
      <c r="F41" s="42">
        <v>-1.7</v>
      </c>
      <c r="G41" s="42">
        <v>-21.7</v>
      </c>
      <c r="H41" s="42">
        <v>3.9</v>
      </c>
      <c r="I41" s="42">
        <v>47</v>
      </c>
      <c r="J41" s="42">
        <v>56.7</v>
      </c>
      <c r="K41" s="42">
        <v>714.8</v>
      </c>
      <c r="L41" s="42">
        <v>24.3</v>
      </c>
      <c r="M41" s="42">
        <v>305.39999999999998</v>
      </c>
      <c r="N41" s="42">
        <v>5.3</v>
      </c>
      <c r="O41" s="42">
        <v>65.099999999999994</v>
      </c>
    </row>
    <row r="42" spans="2:15" x14ac:dyDescent="0.45">
      <c r="B42" s="38" t="s">
        <v>195</v>
      </c>
      <c r="C42" s="43">
        <v>55</v>
      </c>
      <c r="D42" s="43">
        <v>80.599999999999994</v>
      </c>
      <c r="E42" s="43">
        <v>1517.9</v>
      </c>
      <c r="F42" s="43">
        <v>-1</v>
      </c>
      <c r="G42" s="43">
        <v>-19</v>
      </c>
      <c r="H42" s="43">
        <v>4</v>
      </c>
      <c r="I42" s="43">
        <v>72.099999999999994</v>
      </c>
      <c r="J42" s="43">
        <v>75.599999999999994</v>
      </c>
      <c r="K42" s="43">
        <v>1426.8</v>
      </c>
      <c r="L42" s="43">
        <v>35</v>
      </c>
      <c r="M42" s="43">
        <v>660.5</v>
      </c>
      <c r="N42" s="43">
        <v>6.7</v>
      </c>
      <c r="O42" s="43">
        <v>124.3</v>
      </c>
    </row>
    <row r="43" spans="2:15" x14ac:dyDescent="0.45">
      <c r="B43" s="36" t="s">
        <v>147</v>
      </c>
      <c r="C43" s="44">
        <v>4910</v>
      </c>
      <c r="D43" s="46">
        <v>1284.5999999999999</v>
      </c>
      <c r="E43" s="45">
        <v>261.7</v>
      </c>
      <c r="F43" s="45">
        <v>-43.6</v>
      </c>
      <c r="G43" s="45">
        <v>-8.9</v>
      </c>
      <c r="H43" s="45">
        <v>118.7</v>
      </c>
      <c r="I43" s="45">
        <v>24.2</v>
      </c>
      <c r="J43" s="46">
        <v>1122.2</v>
      </c>
      <c r="K43" s="45">
        <v>228.7</v>
      </c>
      <c r="L43" s="45">
        <v>389.2</v>
      </c>
      <c r="M43" s="45">
        <v>79.3</v>
      </c>
      <c r="N43" s="45">
        <v>83.5</v>
      </c>
      <c r="O43" s="45">
        <v>16.7</v>
      </c>
    </row>
    <row r="44" spans="2:15" ht="42" x14ac:dyDescent="0.45">
      <c r="B44" s="50" t="s">
        <v>171</v>
      </c>
    </row>
  </sheetData>
  <mergeCells count="41">
    <mergeCell ref="L21:M21"/>
    <mergeCell ref="L22:M22"/>
    <mergeCell ref="L23:M23"/>
    <mergeCell ref="N21:O21"/>
    <mergeCell ref="N22:O22"/>
    <mergeCell ref="N23:O23"/>
    <mergeCell ref="H21:I21"/>
    <mergeCell ref="H22:I22"/>
    <mergeCell ref="H23:I23"/>
    <mergeCell ref="J21:K21"/>
    <mergeCell ref="J22:K22"/>
    <mergeCell ref="J23:K23"/>
    <mergeCell ref="B21:B24"/>
    <mergeCell ref="C21:C24"/>
    <mergeCell ref="D21:E23"/>
    <mergeCell ref="F21:G21"/>
    <mergeCell ref="F22:G22"/>
    <mergeCell ref="F23:G23"/>
    <mergeCell ref="I4:J4"/>
    <mergeCell ref="I5:J5"/>
    <mergeCell ref="I6:J6"/>
    <mergeCell ref="I7:J7"/>
    <mergeCell ref="I8:J8"/>
    <mergeCell ref="B20:O20"/>
    <mergeCell ref="E7:F7"/>
    <mergeCell ref="E8:F8"/>
    <mergeCell ref="G4:H4"/>
    <mergeCell ref="G5:H5"/>
    <mergeCell ref="G6:H6"/>
    <mergeCell ref="G7:H7"/>
    <mergeCell ref="G8:H8"/>
    <mergeCell ref="B3:J3"/>
    <mergeCell ref="B4:B8"/>
    <mergeCell ref="C4:D4"/>
    <mergeCell ref="C5:D5"/>
    <mergeCell ref="C6:D6"/>
    <mergeCell ref="C7:D7"/>
    <mergeCell ref="C8:D8"/>
    <mergeCell ref="E4:F4"/>
    <mergeCell ref="E5:F5"/>
    <mergeCell ref="E6:F6"/>
  </mergeCells>
  <hyperlinks>
    <hyperlink ref="B1" r:id="rId1" xr:uid="{79FC7674-AD46-4D37-BD3B-BFE89B4880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Ark4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2020-03-12T12:45:11Z</dcterms:created>
  <dcterms:modified xsi:type="dcterms:W3CDTF">2020-03-27T11:47:46Z</dcterms:modified>
</cp:coreProperties>
</file>