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2" documentId="8_{C53EE47B-D3D2-034E-BD23-03ECC1306993}" xr6:coauthVersionLast="45" xr6:coauthVersionMax="45" xr10:uidLastSave="{6543490E-D412-5645-B199-DCE359C72B7A}"/>
  <bookViews>
    <workbookView xWindow="40" yWindow="460" windowWidth="25100" windowHeight="15240" firstSheet="6" activeTab="10"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incomeandtotexp" sheetId="19" r:id="rId12"/>
    <sheet name="resultater_kvintiler" sheetId="12" r:id="rId13"/>
    <sheet name="c_i" sheetId="5" r:id="rId14"/>
    <sheet name="resultater" sheetId="7" r:id="rId15"/>
  </sheets>
  <externalReferences>
    <externalReference r:id="rId16"/>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21" i="12" l="1"/>
  <c r="V5" i="17"/>
  <c r="B24" i="16"/>
  <c r="D5" i="17" l="1"/>
  <c r="B25" i="16"/>
  <c r="D124" i="17"/>
  <c r="K123" i="17"/>
  <c r="I123" i="17"/>
  <c r="J123" i="17" s="1"/>
  <c r="G123" i="17"/>
  <c r="D123" i="17"/>
  <c r="F123" i="17" s="1"/>
  <c r="K122" i="17"/>
  <c r="J122" i="17"/>
  <c r="I122" i="17"/>
  <c r="G122" i="17"/>
  <c r="D122" i="17"/>
  <c r="F122" i="17" s="1"/>
  <c r="K121" i="17"/>
  <c r="J121" i="17"/>
  <c r="I121" i="17"/>
  <c r="G121" i="17"/>
  <c r="D121" i="17"/>
  <c r="F121" i="17" s="1"/>
  <c r="K120" i="17"/>
  <c r="J120" i="17"/>
  <c r="I120" i="17"/>
  <c r="G120" i="17"/>
  <c r="D120" i="17"/>
  <c r="F120" i="17" s="1"/>
  <c r="K119" i="17"/>
  <c r="J119" i="17"/>
  <c r="I119" i="17"/>
  <c r="G119" i="17"/>
  <c r="D119" i="17"/>
  <c r="F119" i="17" s="1"/>
  <c r="K118" i="17"/>
  <c r="J118" i="17"/>
  <c r="I118" i="17"/>
  <c r="G118" i="17"/>
  <c r="D118" i="17"/>
  <c r="F118" i="17" s="1"/>
  <c r="K117" i="17"/>
  <c r="J117" i="17"/>
  <c r="I117" i="17"/>
  <c r="G117" i="17"/>
  <c r="D117" i="17"/>
  <c r="F117" i="17" s="1"/>
  <c r="K116" i="17"/>
  <c r="J116" i="17"/>
  <c r="I116" i="17"/>
  <c r="G116" i="17"/>
  <c r="D116" i="17"/>
  <c r="F116" i="17" s="1"/>
  <c r="K115" i="17"/>
  <c r="J115" i="17"/>
  <c r="I115" i="17"/>
  <c r="G115" i="17"/>
  <c r="D115" i="17"/>
  <c r="F115" i="17" s="1"/>
  <c r="K114" i="17"/>
  <c r="J114" i="17"/>
  <c r="I114" i="17"/>
  <c r="G114" i="17"/>
  <c r="D114" i="17"/>
  <c r="F114" i="17" s="1"/>
  <c r="K113" i="17"/>
  <c r="J113" i="17"/>
  <c r="I113" i="17"/>
  <c r="G113" i="17"/>
  <c r="D113" i="17"/>
  <c r="F113" i="17" s="1"/>
  <c r="K112" i="17"/>
  <c r="J112" i="17"/>
  <c r="I112" i="17"/>
  <c r="G112" i="17"/>
  <c r="D112" i="17"/>
  <c r="F112" i="17" s="1"/>
  <c r="K111" i="17"/>
  <c r="J111" i="17"/>
  <c r="I111" i="17"/>
  <c r="G111" i="17"/>
  <c r="D111" i="17"/>
  <c r="F111" i="17" s="1"/>
  <c r="K110" i="17"/>
  <c r="J110" i="17"/>
  <c r="I110" i="17"/>
  <c r="G110" i="17"/>
  <c r="D110" i="17"/>
  <c r="F110" i="17" s="1"/>
  <c r="K109" i="17"/>
  <c r="J109" i="17"/>
  <c r="I109" i="17"/>
  <c r="G109" i="17"/>
  <c r="D109" i="17"/>
  <c r="F109" i="17" s="1"/>
  <c r="K108" i="17"/>
  <c r="J108" i="17"/>
  <c r="I108" i="17"/>
  <c r="G108" i="17"/>
  <c r="D108" i="17"/>
  <c r="F108" i="17" s="1"/>
  <c r="K107" i="17"/>
  <c r="J107" i="17"/>
  <c r="I107" i="17"/>
  <c r="G107" i="17"/>
  <c r="D107" i="17"/>
  <c r="F107" i="17" s="1"/>
  <c r="K106" i="17"/>
  <c r="J106" i="17"/>
  <c r="I106" i="17"/>
  <c r="G106" i="17"/>
  <c r="D106" i="17"/>
  <c r="F106" i="17" s="1"/>
  <c r="K105" i="17"/>
  <c r="J105" i="17"/>
  <c r="I105" i="17"/>
  <c r="G105" i="17"/>
  <c r="D105" i="17"/>
  <c r="F105" i="17" s="1"/>
  <c r="K104" i="17"/>
  <c r="J104" i="17"/>
  <c r="I104" i="17"/>
  <c r="G104" i="17"/>
  <c r="D104" i="17"/>
  <c r="F104" i="17" s="1"/>
  <c r="K103" i="17"/>
  <c r="J103" i="17"/>
  <c r="I103" i="17"/>
  <c r="G103" i="17"/>
  <c r="D103" i="17"/>
  <c r="F103" i="17" s="1"/>
  <c r="K102" i="17"/>
  <c r="J102" i="17"/>
  <c r="I102" i="17"/>
  <c r="G102" i="17"/>
  <c r="D102" i="17"/>
  <c r="F102" i="17" s="1"/>
  <c r="K101" i="17"/>
  <c r="J101" i="17"/>
  <c r="I101" i="17"/>
  <c r="G101" i="17"/>
  <c r="D101" i="17"/>
  <c r="F101" i="17" s="1"/>
  <c r="K100" i="17"/>
  <c r="J100" i="17"/>
  <c r="I100" i="17"/>
  <c r="G100" i="17"/>
  <c r="D100" i="17"/>
  <c r="F100" i="17" s="1"/>
  <c r="K99" i="17"/>
  <c r="J99" i="17"/>
  <c r="I99" i="17"/>
  <c r="G99" i="17"/>
  <c r="D99" i="17"/>
  <c r="F99" i="17" s="1"/>
  <c r="K98" i="17"/>
  <c r="J98" i="17"/>
  <c r="I98" i="17"/>
  <c r="G98" i="17"/>
  <c r="D98" i="17"/>
  <c r="F98" i="17" s="1"/>
  <c r="K97" i="17"/>
  <c r="J97" i="17"/>
  <c r="I97" i="17"/>
  <c r="G97" i="17"/>
  <c r="D97" i="17"/>
  <c r="F97" i="17" s="1"/>
  <c r="K96" i="17"/>
  <c r="J96" i="17"/>
  <c r="I96" i="17"/>
  <c r="G96" i="17"/>
  <c r="D96" i="17"/>
  <c r="F96" i="17" s="1"/>
  <c r="K95" i="17"/>
  <c r="J95" i="17"/>
  <c r="I95" i="17"/>
  <c r="G95" i="17"/>
  <c r="D95" i="17"/>
  <c r="F95" i="17" s="1"/>
  <c r="K94" i="17"/>
  <c r="J94" i="17"/>
  <c r="I94" i="17"/>
  <c r="G94" i="17"/>
  <c r="D94" i="17"/>
  <c r="F94" i="17" s="1"/>
  <c r="K93" i="17"/>
  <c r="J93" i="17"/>
  <c r="I93" i="17"/>
  <c r="G93" i="17"/>
  <c r="D93" i="17"/>
  <c r="F93" i="17" s="1"/>
  <c r="K92" i="17"/>
  <c r="J92" i="17"/>
  <c r="I92" i="17"/>
  <c r="G92" i="17"/>
  <c r="D92" i="17"/>
  <c r="F92" i="17" s="1"/>
  <c r="K91" i="17"/>
  <c r="J91" i="17"/>
  <c r="I91" i="17"/>
  <c r="G91" i="17"/>
  <c r="D91" i="17"/>
  <c r="F91" i="17" s="1"/>
  <c r="K90" i="17"/>
  <c r="J90" i="17"/>
  <c r="I90" i="17"/>
  <c r="G90" i="17"/>
  <c r="D90" i="17"/>
  <c r="F90" i="17" s="1"/>
  <c r="K89" i="17"/>
  <c r="J89" i="17"/>
  <c r="I89" i="17"/>
  <c r="G89" i="17"/>
  <c r="D89" i="17"/>
  <c r="F89" i="17" s="1"/>
  <c r="K88" i="17"/>
  <c r="J88" i="17"/>
  <c r="I88" i="17"/>
  <c r="G88" i="17"/>
  <c r="D88" i="17"/>
  <c r="F88" i="17" s="1"/>
  <c r="K87" i="17"/>
  <c r="J87" i="17"/>
  <c r="I87" i="17"/>
  <c r="G87" i="17"/>
  <c r="D87" i="17"/>
  <c r="F87" i="17" s="1"/>
  <c r="K86" i="17"/>
  <c r="J86" i="17"/>
  <c r="I86" i="17"/>
  <c r="G86" i="17"/>
  <c r="D86" i="17"/>
  <c r="F86" i="17" s="1"/>
  <c r="K85" i="17"/>
  <c r="J85" i="17"/>
  <c r="I85" i="17"/>
  <c r="G85" i="17"/>
  <c r="D85" i="17"/>
  <c r="F85" i="17" s="1"/>
  <c r="K84" i="17"/>
  <c r="J84" i="17"/>
  <c r="I84" i="17"/>
  <c r="G84" i="17"/>
  <c r="D84" i="17"/>
  <c r="F84" i="17" s="1"/>
  <c r="K83" i="17"/>
  <c r="J83" i="17"/>
  <c r="I83" i="17"/>
  <c r="G83" i="17"/>
  <c r="D83" i="17"/>
  <c r="F83" i="17" s="1"/>
  <c r="K82" i="17"/>
  <c r="J82" i="17"/>
  <c r="I82" i="17"/>
  <c r="G82" i="17"/>
  <c r="D82" i="17"/>
  <c r="F82" i="17" s="1"/>
  <c r="K81" i="17"/>
  <c r="J81" i="17"/>
  <c r="I81" i="17"/>
  <c r="G81" i="17"/>
  <c r="D81" i="17"/>
  <c r="F81" i="17" s="1"/>
  <c r="K80" i="17"/>
  <c r="J80" i="17"/>
  <c r="I80" i="17"/>
  <c r="G80" i="17"/>
  <c r="D80" i="17"/>
  <c r="F80" i="17" s="1"/>
  <c r="K79" i="17"/>
  <c r="J79" i="17"/>
  <c r="I79" i="17"/>
  <c r="G79" i="17"/>
  <c r="D79" i="17"/>
  <c r="F79" i="17" s="1"/>
  <c r="K78" i="17"/>
  <c r="J78" i="17"/>
  <c r="I78" i="17"/>
  <c r="G78" i="17"/>
  <c r="D78" i="17"/>
  <c r="F78" i="17" s="1"/>
  <c r="K77" i="17"/>
  <c r="J77" i="17"/>
  <c r="I77" i="17"/>
  <c r="G77" i="17"/>
  <c r="D77" i="17"/>
  <c r="F77" i="17" s="1"/>
  <c r="K76" i="17"/>
  <c r="J76" i="17"/>
  <c r="I76" i="17"/>
  <c r="G76" i="17"/>
  <c r="D76" i="17"/>
  <c r="F76" i="17" s="1"/>
  <c r="K75" i="17"/>
  <c r="J75" i="17"/>
  <c r="I75" i="17"/>
  <c r="G75" i="17"/>
  <c r="D75" i="17"/>
  <c r="F75" i="17" s="1"/>
  <c r="K74" i="17"/>
  <c r="J74" i="17"/>
  <c r="I74" i="17"/>
  <c r="G74" i="17"/>
  <c r="D74" i="17"/>
  <c r="F74" i="17" s="1"/>
  <c r="K73" i="17"/>
  <c r="J73" i="17"/>
  <c r="I73" i="17"/>
  <c r="G73" i="17"/>
  <c r="D73" i="17"/>
  <c r="F73" i="17" s="1"/>
  <c r="K72" i="17"/>
  <c r="J72" i="17"/>
  <c r="I72" i="17"/>
  <c r="G72" i="17"/>
  <c r="D72" i="17"/>
  <c r="F72" i="17" s="1"/>
  <c r="K71" i="17"/>
  <c r="J71" i="17"/>
  <c r="I71" i="17"/>
  <c r="G71" i="17"/>
  <c r="D71" i="17"/>
  <c r="F71" i="17" s="1"/>
  <c r="K70" i="17"/>
  <c r="J70" i="17"/>
  <c r="I70" i="17"/>
  <c r="G70" i="17"/>
  <c r="D70" i="17"/>
  <c r="F70" i="17" s="1"/>
  <c r="K69" i="17"/>
  <c r="J69" i="17"/>
  <c r="I69" i="17"/>
  <c r="G69" i="17"/>
  <c r="D69" i="17"/>
  <c r="F69" i="17" s="1"/>
  <c r="K68" i="17"/>
  <c r="J68" i="17"/>
  <c r="I68" i="17"/>
  <c r="G68" i="17"/>
  <c r="D68" i="17"/>
  <c r="F68" i="17" s="1"/>
  <c r="K67" i="17"/>
  <c r="J67" i="17"/>
  <c r="I67" i="17"/>
  <c r="G67" i="17"/>
  <c r="D67" i="17"/>
  <c r="F67" i="17" s="1"/>
  <c r="K66" i="17"/>
  <c r="J66" i="17"/>
  <c r="I66" i="17"/>
  <c r="G66" i="17"/>
  <c r="D66" i="17"/>
  <c r="F66" i="17" s="1"/>
  <c r="K65" i="17"/>
  <c r="J65" i="17"/>
  <c r="I65" i="17"/>
  <c r="G65" i="17"/>
  <c r="D65" i="17"/>
  <c r="F65" i="17" s="1"/>
  <c r="K64" i="17"/>
  <c r="J64" i="17"/>
  <c r="I64" i="17"/>
  <c r="G64" i="17"/>
  <c r="D64" i="17"/>
  <c r="F64" i="17" s="1"/>
  <c r="K63" i="17"/>
  <c r="J63" i="17"/>
  <c r="I63" i="17"/>
  <c r="G63" i="17"/>
  <c r="D63" i="17"/>
  <c r="F63" i="17" s="1"/>
  <c r="K62" i="17"/>
  <c r="J62" i="17"/>
  <c r="I62" i="17"/>
  <c r="G62" i="17"/>
  <c r="D62" i="17"/>
  <c r="F62" i="17" s="1"/>
  <c r="K61" i="17"/>
  <c r="J61" i="17"/>
  <c r="I61" i="17"/>
  <c r="G61" i="17"/>
  <c r="D61" i="17"/>
  <c r="F61" i="17" s="1"/>
  <c r="K60" i="17"/>
  <c r="J60" i="17"/>
  <c r="I60" i="17"/>
  <c r="G60" i="17"/>
  <c r="D60" i="17"/>
  <c r="F60" i="17" s="1"/>
  <c r="K59" i="17"/>
  <c r="J59" i="17"/>
  <c r="I59" i="17"/>
  <c r="G59" i="17"/>
  <c r="D59" i="17"/>
  <c r="F59" i="17" s="1"/>
  <c r="K58" i="17"/>
  <c r="J58" i="17"/>
  <c r="I58" i="17"/>
  <c r="G58" i="17"/>
  <c r="D58" i="17"/>
  <c r="F58" i="17" s="1"/>
  <c r="K57" i="17"/>
  <c r="J57" i="17"/>
  <c r="I57" i="17"/>
  <c r="G57" i="17"/>
  <c r="D57" i="17"/>
  <c r="F57" i="17" s="1"/>
  <c r="K56" i="17"/>
  <c r="J56" i="17"/>
  <c r="I56" i="17"/>
  <c r="G56" i="17"/>
  <c r="D56" i="17"/>
  <c r="F56" i="17" s="1"/>
  <c r="K55" i="17"/>
  <c r="J55" i="17"/>
  <c r="I55" i="17"/>
  <c r="G55" i="17"/>
  <c r="D55" i="17"/>
  <c r="F55" i="17" s="1"/>
  <c r="K54" i="17"/>
  <c r="J54" i="17"/>
  <c r="I54" i="17"/>
  <c r="G54" i="17"/>
  <c r="D54" i="17"/>
  <c r="F54" i="17" s="1"/>
  <c r="K53" i="17"/>
  <c r="J53" i="17"/>
  <c r="I53" i="17"/>
  <c r="H53" i="17"/>
  <c r="G53" i="17" s="1"/>
  <c r="F53" i="17"/>
  <c r="D53" i="17"/>
  <c r="K52" i="17"/>
  <c r="I52" i="17"/>
  <c r="J52" i="17" s="1"/>
  <c r="D52" i="17"/>
  <c r="F52" i="17" s="1"/>
  <c r="K51" i="17"/>
  <c r="J51" i="17"/>
  <c r="I51" i="17"/>
  <c r="H51" i="17"/>
  <c r="G51" i="17" s="1"/>
  <c r="F51" i="17"/>
  <c r="D51" i="17"/>
  <c r="K50" i="17"/>
  <c r="I50" i="17"/>
  <c r="J50" i="17" s="1"/>
  <c r="D50" i="17"/>
  <c r="F50" i="17" s="1"/>
  <c r="K49" i="17"/>
  <c r="J49" i="17"/>
  <c r="I49" i="17"/>
  <c r="H49" i="17"/>
  <c r="G49" i="17" s="1"/>
  <c r="F49" i="17"/>
  <c r="D49" i="17"/>
  <c r="K48" i="17"/>
  <c r="I48" i="17"/>
  <c r="J48" i="17" s="1"/>
  <c r="H48" i="17"/>
  <c r="H50" i="17" s="1"/>
  <c r="G50" i="17" s="1"/>
  <c r="G48" i="17"/>
  <c r="D48" i="17"/>
  <c r="F48" i="17" s="1"/>
  <c r="K47" i="17"/>
  <c r="J47" i="17"/>
  <c r="I47" i="17"/>
  <c r="F47" i="17"/>
  <c r="D47" i="17"/>
  <c r="K46" i="17"/>
  <c r="I46" i="17"/>
  <c r="J46" i="17" s="1"/>
  <c r="D46" i="17"/>
  <c r="F46" i="17" s="1"/>
  <c r="K45" i="17"/>
  <c r="J45" i="17"/>
  <c r="I45" i="17"/>
  <c r="F45" i="17"/>
  <c r="D45" i="17"/>
  <c r="K44" i="17"/>
  <c r="I44" i="17"/>
  <c r="J44" i="17" s="1"/>
  <c r="D44" i="17"/>
  <c r="F44" i="17" s="1"/>
  <c r="K43" i="17"/>
  <c r="J43" i="17"/>
  <c r="I43" i="17"/>
  <c r="F43" i="17"/>
  <c r="D43" i="17"/>
  <c r="K42" i="17"/>
  <c r="J42" i="17"/>
  <c r="I42" i="17"/>
  <c r="F42" i="17"/>
  <c r="D42" i="17"/>
  <c r="K41" i="17"/>
  <c r="I41" i="17"/>
  <c r="J41" i="17" s="1"/>
  <c r="D41" i="17"/>
  <c r="F41" i="17" s="1"/>
  <c r="K40" i="17"/>
  <c r="I40" i="17"/>
  <c r="J40" i="17" s="1"/>
  <c r="D40" i="17"/>
  <c r="F40" i="17" s="1"/>
  <c r="K39" i="17"/>
  <c r="J39" i="17"/>
  <c r="I39" i="17"/>
  <c r="F39" i="17"/>
  <c r="D39" i="17"/>
  <c r="K38" i="17"/>
  <c r="J38" i="17"/>
  <c r="I38" i="17"/>
  <c r="F38" i="17"/>
  <c r="D38" i="17"/>
  <c r="K37" i="17"/>
  <c r="I37" i="17"/>
  <c r="J37" i="17" s="1"/>
  <c r="D37" i="17"/>
  <c r="F37" i="17" s="1"/>
  <c r="K36" i="17"/>
  <c r="I36" i="17"/>
  <c r="J36" i="17" s="1"/>
  <c r="D36" i="17"/>
  <c r="F36" i="17" s="1"/>
  <c r="K35" i="17"/>
  <c r="J35" i="17"/>
  <c r="I35" i="17"/>
  <c r="F35" i="17"/>
  <c r="D35" i="17"/>
  <c r="K34" i="17"/>
  <c r="J34" i="17"/>
  <c r="I34" i="17"/>
  <c r="F34" i="17"/>
  <c r="D34" i="17"/>
  <c r="K33" i="17"/>
  <c r="I33" i="17"/>
  <c r="J33" i="17" s="1"/>
  <c r="D33" i="17"/>
  <c r="F33" i="17" s="1"/>
  <c r="K32" i="17"/>
  <c r="I32" i="17"/>
  <c r="J32" i="17" s="1"/>
  <c r="D32" i="17"/>
  <c r="F32" i="17" s="1"/>
  <c r="K31" i="17"/>
  <c r="J31" i="17"/>
  <c r="I31" i="17"/>
  <c r="F31" i="17"/>
  <c r="D31" i="17"/>
  <c r="K30" i="17"/>
  <c r="J30" i="17"/>
  <c r="I30" i="17"/>
  <c r="F30" i="17"/>
  <c r="D30" i="17"/>
  <c r="K29" i="17"/>
  <c r="I29" i="17"/>
  <c r="J29" i="17" s="1"/>
  <c r="D29" i="17"/>
  <c r="F29" i="17" s="1"/>
  <c r="K28" i="17"/>
  <c r="I28" i="17"/>
  <c r="J28" i="17" s="1"/>
  <c r="D28" i="17"/>
  <c r="F28" i="17" s="1"/>
  <c r="K27" i="17"/>
  <c r="J27" i="17"/>
  <c r="I27" i="17"/>
  <c r="F27" i="17"/>
  <c r="D27" i="17"/>
  <c r="K26" i="17"/>
  <c r="J26" i="17"/>
  <c r="I26" i="17"/>
  <c r="F26" i="17"/>
  <c r="D26" i="17"/>
  <c r="K25" i="17"/>
  <c r="I25" i="17"/>
  <c r="J25" i="17" s="1"/>
  <c r="D25" i="17"/>
  <c r="F25" i="17" s="1"/>
  <c r="K24" i="17"/>
  <c r="I24" i="17"/>
  <c r="J24" i="17" s="1"/>
  <c r="H24" i="17"/>
  <c r="G24" i="17" s="1"/>
  <c r="D24" i="17"/>
  <c r="F24" i="17" s="1"/>
  <c r="K23" i="17"/>
  <c r="J23" i="17"/>
  <c r="I23" i="17"/>
  <c r="F23" i="17"/>
  <c r="D23" i="17"/>
  <c r="K22" i="17"/>
  <c r="J22" i="17"/>
  <c r="I22" i="17"/>
  <c r="F22" i="17"/>
  <c r="D22" i="17"/>
  <c r="K21" i="17"/>
  <c r="I21" i="17"/>
  <c r="J21" i="17" s="1"/>
  <c r="D21" i="17"/>
  <c r="F21" i="17" s="1"/>
  <c r="K20" i="17"/>
  <c r="I20" i="17"/>
  <c r="J20" i="17" s="1"/>
  <c r="H20" i="17"/>
  <c r="G20" i="17" s="1"/>
  <c r="D20" i="17"/>
  <c r="F20" i="17" s="1"/>
  <c r="K19" i="17"/>
  <c r="J19" i="17"/>
  <c r="I19" i="17"/>
  <c r="F19" i="17"/>
  <c r="D19" i="17"/>
  <c r="K18" i="17"/>
  <c r="J18" i="17"/>
  <c r="I18" i="17"/>
  <c r="F18" i="17"/>
  <c r="D18" i="17"/>
  <c r="K17" i="17"/>
  <c r="I17" i="17"/>
  <c r="J17" i="17" s="1"/>
  <c r="D17" i="17"/>
  <c r="F17" i="17" s="1"/>
  <c r="K16" i="17"/>
  <c r="I16" i="17"/>
  <c r="J16" i="17" s="1"/>
  <c r="H16" i="17"/>
  <c r="G16" i="17" s="1"/>
  <c r="D16" i="17"/>
  <c r="F16" i="17" s="1"/>
  <c r="K15" i="17"/>
  <c r="J15" i="17"/>
  <c r="I15" i="17"/>
  <c r="F15" i="17"/>
  <c r="D15" i="17"/>
  <c r="K14" i="17"/>
  <c r="J14" i="17"/>
  <c r="I14" i="17"/>
  <c r="F14" i="17"/>
  <c r="D14" i="17"/>
  <c r="K13" i="17"/>
  <c r="I13" i="17"/>
  <c r="J13" i="17" s="1"/>
  <c r="H13" i="17"/>
  <c r="H45" i="17" s="1"/>
  <c r="G45" i="17" s="1"/>
  <c r="D13" i="17"/>
  <c r="F13" i="17" s="1"/>
  <c r="K12" i="17"/>
  <c r="I12" i="17"/>
  <c r="J12" i="17" s="1"/>
  <c r="G12" i="17"/>
  <c r="F12" i="17"/>
  <c r="D12" i="17"/>
  <c r="K11" i="17"/>
  <c r="J11" i="17"/>
  <c r="I11" i="17"/>
  <c r="F11" i="17"/>
  <c r="D11" i="17"/>
  <c r="K10" i="17"/>
  <c r="I10" i="17"/>
  <c r="J10" i="17" s="1"/>
  <c r="H10" i="17"/>
  <c r="H11" i="17" s="1"/>
  <c r="G11" i="17" s="1"/>
  <c r="D10" i="17"/>
  <c r="F10" i="17" s="1"/>
  <c r="K9" i="17"/>
  <c r="I9" i="17"/>
  <c r="J9" i="17" s="1"/>
  <c r="G9" i="17"/>
  <c r="F9" i="17"/>
  <c r="D9" i="17"/>
  <c r="K8" i="17"/>
  <c r="J8" i="17"/>
  <c r="I8" i="17"/>
  <c r="G8" i="17"/>
  <c r="D8" i="17"/>
  <c r="F8" i="17" s="1"/>
  <c r="K7" i="17"/>
  <c r="I7" i="17"/>
  <c r="J7" i="17" s="1"/>
  <c r="H7" i="17"/>
  <c r="G7" i="17" s="1"/>
  <c r="D7" i="17"/>
  <c r="F7" i="17" s="1"/>
  <c r="D6" i="17"/>
  <c r="H28" i="17" l="1"/>
  <c r="G28" i="17" s="1"/>
  <c r="H32" i="17"/>
  <c r="G32" i="17" s="1"/>
  <c r="H36" i="17"/>
  <c r="G36" i="17" s="1"/>
  <c r="H40" i="17"/>
  <c r="G40" i="17" s="1"/>
  <c r="H44" i="17"/>
  <c r="G44" i="17" s="1"/>
  <c r="H52" i="17"/>
  <c r="G52" i="17" s="1"/>
  <c r="H15" i="17"/>
  <c r="G15" i="17" s="1"/>
  <c r="H19" i="17"/>
  <c r="G19" i="17" s="1"/>
  <c r="H23" i="17"/>
  <c r="G23" i="17" s="1"/>
  <c r="H27" i="17"/>
  <c r="G27" i="17" s="1"/>
  <c r="H31" i="17"/>
  <c r="G31" i="17" s="1"/>
  <c r="H35" i="17"/>
  <c r="G35" i="17" s="1"/>
  <c r="H39" i="17"/>
  <c r="G39" i="17" s="1"/>
  <c r="H43" i="17"/>
  <c r="G43" i="17" s="1"/>
  <c r="H47" i="17"/>
  <c r="G47" i="17" s="1"/>
  <c r="G10" i="17"/>
  <c r="G13" i="17"/>
  <c r="H14" i="17"/>
  <c r="G14" i="17" s="1"/>
  <c r="H18" i="17"/>
  <c r="G18" i="17" s="1"/>
  <c r="H22" i="17"/>
  <c r="G22" i="17" s="1"/>
  <c r="H26" i="17"/>
  <c r="G26" i="17" s="1"/>
  <c r="H30" i="17"/>
  <c r="G30" i="17" s="1"/>
  <c r="H34" i="17"/>
  <c r="G34" i="17" s="1"/>
  <c r="H38" i="17"/>
  <c r="G38" i="17" s="1"/>
  <c r="H42" i="17"/>
  <c r="G42" i="17" s="1"/>
  <c r="H46" i="17"/>
  <c r="G46" i="17" s="1"/>
  <c r="H17" i="17"/>
  <c r="G17" i="17" s="1"/>
  <c r="H21" i="17"/>
  <c r="G21" i="17" s="1"/>
  <c r="H25" i="17"/>
  <c r="G25" i="17" s="1"/>
  <c r="H29" i="17"/>
  <c r="G29" i="17" s="1"/>
  <c r="H33" i="17"/>
  <c r="G33" i="17" s="1"/>
  <c r="H37" i="17"/>
  <c r="G37" i="17" s="1"/>
  <c r="H41" i="17"/>
  <c r="G41" i="17" s="1"/>
  <c r="C23" i="16" l="1"/>
  <c r="D22" i="12" l="1"/>
  <c r="E22" i="12"/>
  <c r="F22" i="12"/>
  <c r="G22" i="12"/>
  <c r="C22" i="12"/>
  <c r="B2" i="10" l="1"/>
  <c r="G21" i="12"/>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D23" i="16" l="1"/>
  <c r="B2" i="9" l="1"/>
  <c r="C24" i="16" l="1"/>
  <c r="D24" i="16"/>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D27" i="16"/>
  <c r="D28" i="16" s="1"/>
  <c r="D25" i="16"/>
  <c r="F18" i="16" s="1"/>
  <c r="C15" i="16"/>
  <c r="C25" i="16"/>
  <c r="E14" i="16" s="1"/>
  <c r="C13" i="16"/>
  <c r="C17" i="16"/>
  <c r="G3" i="16"/>
  <c r="G7" i="16"/>
  <c r="B28" i="16" l="1"/>
  <c r="F15" i="16"/>
  <c r="F16" i="16"/>
  <c r="F14" i="16"/>
  <c r="G14" i="16" s="1"/>
  <c r="F13" i="16"/>
  <c r="F17" i="16"/>
  <c r="E16" i="16"/>
  <c r="E18" i="16"/>
  <c r="G18" i="16" s="1"/>
  <c r="H18" i="16" s="1"/>
  <c r="E15" i="16"/>
  <c r="E17" i="16"/>
  <c r="G17" i="16" s="1"/>
  <c r="E13" i="16"/>
  <c r="B27" i="16"/>
  <c r="H14" i="16" l="1"/>
  <c r="D29" i="12"/>
  <c r="H17" i="16"/>
  <c r="G29" i="12"/>
  <c r="G15" i="16"/>
  <c r="G13" i="16"/>
  <c r="G16" i="16"/>
  <c r="H16" i="16" l="1"/>
  <c r="F29" i="12"/>
  <c r="H13" i="16"/>
  <c r="C29" i="12"/>
  <c r="H15" i="16"/>
  <c r="E29" i="12"/>
  <c r="F21" i="12"/>
  <c r="E21" i="12"/>
  <c r="D21" i="12"/>
  <c r="D30" i="12" l="1"/>
  <c r="D36" i="12" s="1"/>
  <c r="E30" i="12"/>
  <c r="E36" i="12" s="1"/>
  <c r="F30" i="12"/>
  <c r="F36" i="12" s="1"/>
  <c r="C30" i="12"/>
  <c r="C36" i="12" s="1"/>
  <c r="G30" i="12"/>
  <c r="G36" i="12" s="1"/>
  <c r="L19" i="12"/>
  <c r="K19" i="12"/>
  <c r="J19" i="12"/>
  <c r="I19" i="12"/>
  <c r="H19" i="12"/>
  <c r="G19" i="12"/>
  <c r="F19" i="12"/>
  <c r="E19" i="12"/>
  <c r="D19" i="12"/>
  <c r="C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C7" i="12" l="1" a="1"/>
  <c r="J15" i="7"/>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7" i="12" l="1"/>
  <c r="F10" i="12" s="1"/>
  <c r="H7" i="12"/>
  <c r="H10" i="12" s="1"/>
  <c r="C7" i="12"/>
  <c r="C10" i="12" s="1"/>
  <c r="I7" i="12"/>
  <c r="I10" i="12" s="1"/>
  <c r="D7" i="12"/>
  <c r="D10" i="12" s="1"/>
  <c r="M7" i="12"/>
  <c r="M10" i="12" s="1"/>
  <c r="E7" i="12"/>
  <c r="E10" i="12" s="1"/>
  <c r="K7" i="12"/>
  <c r="K10" i="12" s="1"/>
  <c r="J7" i="12"/>
  <c r="J10" i="12" s="1"/>
  <c r="L7" i="12"/>
  <c r="L10" i="12" s="1"/>
  <c r="G7" i="12"/>
  <c r="G10" i="12" s="1"/>
  <c r="D13" i="7"/>
  <c r="E13" i="7"/>
  <c r="J13" i="7"/>
  <c r="L13" i="7"/>
  <c r="K13" i="7"/>
  <c r="F13" i="7"/>
  <c r="H13" i="7"/>
  <c r="G13" i="7"/>
  <c r="M13" i="7"/>
  <c r="M16" i="7" s="1"/>
  <c r="C13" i="7"/>
  <c r="I13" i="7"/>
  <c r="C25" i="12" a="1"/>
  <c r="F2" i="11"/>
  <c r="B2" i="11"/>
  <c r="C2" i="11"/>
  <c r="K15" i="7"/>
  <c r="G31" i="12"/>
  <c r="J61" i="10"/>
  <c r="J63" i="10"/>
  <c r="J62" i="10"/>
  <c r="J60" i="10"/>
  <c r="B63" i="10"/>
  <c r="B62" i="10"/>
  <c r="B60" i="10"/>
  <c r="B61" i="10"/>
  <c r="C15" i="7"/>
  <c r="E15" i="7"/>
  <c r="D31" i="12"/>
  <c r="D60" i="10"/>
  <c r="D62" i="10"/>
  <c r="D61" i="10"/>
  <c r="D63" i="10"/>
  <c r="D61" i="11"/>
  <c r="D63" i="11"/>
  <c r="D60" i="11"/>
  <c r="D62" i="11"/>
  <c r="E2" i="11"/>
  <c r="G15" i="7"/>
  <c r="E31" i="12"/>
  <c r="F61" i="10"/>
  <c r="F63" i="10"/>
  <c r="F60" i="10"/>
  <c r="F62" i="10"/>
  <c r="H6" i="7"/>
  <c r="E6" i="7"/>
  <c r="F6" i="7"/>
  <c r="G6" i="7"/>
  <c r="C6" i="7"/>
  <c r="C7" i="7" s="1"/>
  <c r="D6" i="7"/>
  <c r="F31" i="12" l="1"/>
  <c r="F40" i="12" s="1"/>
  <c r="C18" i="12"/>
  <c r="C15" i="12"/>
  <c r="I15" i="12"/>
  <c r="I18" i="12"/>
  <c r="C25" i="12"/>
  <c r="G25" i="12"/>
  <c r="F25" i="12"/>
  <c r="E25" i="12"/>
  <c r="D25" i="12"/>
  <c r="G40" i="12"/>
  <c r="F18" i="12"/>
  <c r="F15" i="12"/>
  <c r="D18" i="12"/>
  <c r="D15" i="12"/>
  <c r="E40" i="12"/>
  <c r="D40"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F27" i="12" l="1"/>
  <c r="F37" i="12"/>
  <c r="G27" i="12"/>
  <c r="G39" i="12" s="1"/>
  <c r="G44" i="12" s="1"/>
  <c r="G37" i="12"/>
  <c r="D27" i="12"/>
  <c r="D37" i="12"/>
  <c r="C27" i="12"/>
  <c r="C39" i="12" s="1"/>
  <c r="C26" i="12"/>
  <c r="C35" i="12" s="1"/>
  <c r="C43" i="12" s="1"/>
  <c r="C37" i="12"/>
  <c r="E27" i="12"/>
  <c r="E39" i="12" s="1"/>
  <c r="E44" i="12" s="1"/>
  <c r="E37" i="12"/>
  <c r="C31" i="12"/>
  <c r="C40" i="12" s="1"/>
  <c r="D39" i="12"/>
  <c r="D44" i="12" s="1"/>
  <c r="D26" i="12"/>
  <c r="D35" i="12" s="1"/>
  <c r="D43" i="12" s="1"/>
  <c r="E26" i="12"/>
  <c r="E35" i="12" s="1"/>
  <c r="E43" i="12" s="1"/>
  <c r="F26" i="12"/>
  <c r="F35" i="12" s="1"/>
  <c r="F43" i="12" s="1"/>
  <c r="F39" i="12"/>
  <c r="F44" i="12" s="1"/>
  <c r="C24" i="7" a="1"/>
  <c r="C24" i="7" s="1"/>
  <c r="G26" i="12"/>
  <c r="G35" i="12" s="1"/>
  <c r="G43" i="12" s="1"/>
  <c r="C44" i="1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<sst xmlns="http://schemas.openxmlformats.org/spreadsheetml/2006/main" count="1723" uniqueCount="628">
  <si>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</si>
  <si>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</si>
  <si>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</si>
  <si>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</si>
  <si>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</si>
  <si>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</si>
  <si>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</si>
  <si>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</si>
  <si>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</si>
  <si>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</si>
  <si>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</si>
  <si>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</si>
  <si>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</si>
  <si>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</si>
  <si>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</si>
  <si>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</si>
  <si>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</si>
  <si>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</si>
  <si>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</si>
  <si>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</si>
  <si>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</si>
  <si>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</si>
  <si>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</si>
  <si>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</si>
  <si>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</si>
  <si>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</si>
  <si>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</si>
  <si>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</si>
  <si>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</si>
  <si>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</si>
  <si>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</si>
  <si>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</si>
  <si>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</si>
  <si>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</si>
  <si>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</si>
  <si>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</si>
  <si>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</si>
  <si>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</si>
  <si>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</si>
  <si>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</si>
  <si>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</si>
  <si>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</si>
  <si>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</si>
  <si>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</si>
  <si>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</si>
  <si>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</si>
  <si>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</si>
  <si>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</si>
  <si>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</si>
  <si>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</si>
  <si>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</si>
  <si>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</si>
  <si>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</si>
  <si>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</si>
  <si>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</si>
  <si>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</si>
  <si>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</si>
  <si>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</si>
  <si>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</si>
  <si>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</si>
  <si>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</si>
  <si>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</si>
  <si>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</si>
  <si>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</si>
  <si>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</si>
  <si>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</si>
  <si>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</si>
  <si>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</si>
  <si>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</si>
  <si>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</si>
  <si>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</si>
  <si>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</si>
  <si>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</si>
  <si>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</si>
  <si>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</si>
  <si>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</si>
  <si>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</si>
  <si>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</si>
  <si>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</si>
  <si>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</si>
  <si>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</si>
  <si>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</si>
  <si>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</si>
  <si>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</si>
  <si>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</si>
  <si>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</si>
  <si>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</si>
  <si>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</si>
  <si>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</si>
  <si>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</si>
  <si>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</si>
  <si>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</si>
  <si>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</si>
  <si>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</si>
  <si>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</si>
  <si>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</si>
  <si>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</si>
  <si>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</si>
  <si>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</si>
  <si>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</si>
  <si>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</si>
  <si>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</si>
  <si>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</si>
  <si>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</si>
  <si>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</si>
  <si>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</si>
  <si>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</si>
  <si>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</si>
  <si>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</si>
  <si>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</si>
  <si>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</si>
  <si>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</si>
  <si>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</si>
  <si>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</si>
  <si>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</si>
  <si>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</si>
  <si>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</si>
  <si>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</si>
  <si>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</si>
  <si>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</si>
  <si>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</si>
  <si>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</si>
  <si>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</si>
  <si>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</si>
  <si>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</si>
  <si>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</si>
  <si>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</si>
  <si>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</si>
  <si>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</si>
  <si>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</si>
  <si>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</si>
  <si>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</si>
  <si>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</si>
  <si>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</si>
  <si>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</si>
  <si>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</si>
  <si>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</si>
  <si>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</si>
  <si>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</si>
  <si>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</si>
  <si>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</si>
  <si>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</si>
  <si>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</si>
  <si>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</si>
  <si>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</si>
  <si>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</si>
  <si>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</si>
  <si>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</si>
  <si>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</si>
  <si>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</si>
  <si>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</si>
  <si>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</si>
  <si>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</si>
  <si>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</si>
  <si>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</si>
  <si>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</si>
  <si>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</si>
  <si>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</si>
  <si>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</si>
  <si>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</si>
  <si>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</si>
  <si>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</si>
  <si>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</si>
  <si>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</si>
  <si>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</si>
  <si>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</si>
  <si>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</si>
  <si>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</si>
  <si>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</si>
  <si>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</si>
  <si>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</si>
  <si>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</si>
  <si>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</si>
  <si>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</si>
  <si>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</si>
  <si>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</si>
  <si>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</si>
  <si>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</si>
  <si>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</si>
  <si>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</si>
  <si>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</si>
  <si>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</si>
  <si>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</si>
  <si>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</si>
  <si>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</si>
  <si>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</si>
  <si>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</si>
  <si>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</si>
  <si>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</si>
  <si>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</si>
  <si>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</si>
  <si>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</si>
  <si>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</si>
  <si>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</si>
  <si>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</si>
  <si>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</si>
  <si>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</si>
  <si>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</si>
  <si>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</si>
  <si>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</si>
  <si>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</si>
  <si>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</si>
  <si>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</si>
  <si>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</si>
  <si>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</si>
  <si>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</si>
  <si>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</si>
  <si>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</si>
  <si>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</si>
  <si>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</si>
  <si>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</si>
  <si>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</si>
  <si>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</si>
  <si>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</si>
  <si>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</si>
  <si>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</si>
  <si>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</si>
  <si>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</si>
  <si>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</si>
  <si>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</si>
  <si>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</si>
  <si>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</si>
  <si>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</si>
  <si>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</si>
  <si>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</si>
  <si>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</si>
  <si>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</si>
  <si>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</si>
  <si>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</si>
  <si>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</si>
  <si>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</si>
  <si>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</si>
  <si>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</si>
  <si>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</si>
  <si>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</si>
  <si>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</si>
  <si>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</si>
  <si>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</si>
  <si>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</si>
  <si>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</si>
  <si>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</si>
  <si>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</si>
  <si>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</si>
  <si>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</si>
  <si>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</si>
  <si>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</si>
  <si>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</si>
  <si>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</si>
  <si>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</si>
  <si>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</si>
  <si>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</si>
  <si>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</si>
  <si>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</si>
  <si>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</si>
  <si>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</si>
  <si>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</si>
  <si>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</si>
  <si>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</si>
  <si>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</si>
  <si>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</si>
  <si>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</si>
  <si>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</si>
  <si>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</si>
  <si>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</si>
  <si>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</si>
  <si>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</si>
  <si>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</si>
  <si>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</si>
  <si>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</si>
  <si>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</si>
  <si>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</si>
  <si>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</si>
  <si>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</si>
  <si>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</si>
  <si>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</si>
  <si>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</si>
  <si>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</si>
  <si>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</si>
  <si>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</si>
  <si>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</si>
  <si>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</si>
  <si>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</si>
  <si>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</si>
  <si>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</si>
  <si>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</si>
  <si>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</si>
  <si>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</si>
  <si>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</si>
  <si>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</si>
  <si>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</si>
  <si>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</si>
  <si>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</si>
  <si>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</si>
  <si>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</si>
  <si>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</si>
  <si>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</si>
  <si>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</si>
  <si>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</si>
  <si>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</si>
  <si>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</si>
  <si>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</si>
  <si>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</si>
  <si>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</si>
  <si>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</si>
  <si>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</si>
  <si>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</si>
  <si>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</si>
  <si>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</si>
  <si>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</si>
  <si>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</si>
  <si>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</si>
  <si>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</si>
  <si>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</si>
  <si>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</si>
  <si>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</si>
  <si>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</si>
  <si>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</si>
  <si>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</si>
  <si>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</si>
  <si>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</si>
  <si>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</si>
  <si>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</si>
  <si>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</si>
  <si>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</si>
  <si>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</si>
  <si>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</si>
  <si>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</si>
  <si>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</si>
  <si>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</si>
  <si>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</si>
  <si>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</si>
  <si>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</si>
  <si>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</si>
  <si>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</si>
  <si>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</si>
  <si>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</si>
  <si>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</si>
  <si>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</si>
  <si>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</si>
  <si>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</si>
  <si>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</si>
  <si>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</si>
  <si>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</si>
  <si>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</si>
  <si>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</si>
  <si>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</si>
  <si>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</si>
  <si>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</si>
  <si>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</si>
  <si>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</si>
  <si>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</si>
  <si>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</si>
  <si>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</si>
  <si>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</si>
  <si>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</si>
  <si>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</si>
  <si>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</si>
  <si>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</si>
  <si>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</si>
  <si>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</si>
  <si>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</si>
  <si>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</si>
  <si>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</si>
  <si>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</si>
  <si>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</si>
  <si>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</si>
  <si>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</si>
  <si>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</si>
  <si>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</si>
  <si>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</si>
  <si>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</si>
  <si>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</si>
  <si>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</si>
  <si>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</si>
  <si>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</si>
  <si>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</si>
  <si>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</si>
  <si>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</si>
  <si>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</si>
  <si>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</si>
  <si>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</si>
  <si>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</si>
  <si>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</si>
  <si>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</si>
  <si>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</si>
  <si>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</si>
  <si>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</si>
  <si>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</si>
  <si>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</si>
  <si>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</si>
  <si>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</si>
  <si>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</si>
  <si>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</si>
  <si>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</si>
  <si>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</si>
  <si>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</si>
  <si>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</si>
  <si>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</si>
  <si>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</si>
  <si>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</si>
  <si>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</si>
  <si>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</si>
  <si>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</si>
  <si>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</si>
  <si>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</si>
  <si>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</si>
  <si>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</si>
  <si>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</si>
  <si>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</si>
  <si>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</si>
  <si>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</si>
  <si>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</si>
  <si>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</si>
  <si>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</si>
  <si>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</si>
  <si>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</si>
  <si>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</si>
  <si>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</si>
  <si>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</si>
  <si>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</si>
  <si>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</si>
  <si>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</si>
  <si>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</si>
  <si>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</si>
  <si>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</si>
  <si>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</si>
  <si>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</si>
  <si>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</si>
  <si>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</si>
  <si>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</si>
  <si>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</si>
  <si>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</si>
  <si>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</si>
  <si>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</si>
  <si>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</si>
  <si>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</si>
  <si>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</si>
  <si>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</si>
  <si>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</si>
  <si>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</si>
  <si>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</si>
  <si>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</si>
  <si>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</si>
  <si>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</si>
  <si>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</si>
  <si>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</si>
  <si>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</si>
  <si>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</si>
  <si>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</si>
  <si>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</si>
  <si>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</si>
  <si>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</si>
  <si>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</si>
  <si>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</si>
  <si>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</si>
  <si>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</si>
  <si>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</si>
  <si>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</si>
  <si>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</si>
  <si>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</si>
  <si>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</si>
  <si>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</si>
  <si>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</si>
  <si>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</si>
  <si>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</si>
  <si>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</si>
  <si>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</si>
  <si>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</si>
  <si>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</si>
  <si>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</si>
  <si>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</si>
  <si>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</si>
  <si>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</si>
  <si>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</si>
  <si>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</si>
  <si>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</si>
  <si>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</si>
  <si>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</si>
  <si>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</si>
  <si>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</si>
  <si>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</si>
  <si>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</si>
  <si>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</si>
  <si>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</si>
  <si>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</si>
  <si>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</si>
  <si>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</si>
  <si>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</si>
  <si>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</si>
  <si>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</si>
  <si>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</si>
  <si>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</si>
  <si>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Total</t>
  </si>
  <si>
    <t>CO2 skattebetaling uden adfærdsædnringer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</si>
  <si>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</si>
  <si>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</si>
  <si>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</si>
  <si>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</si>
  <si>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</si>
  <si>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</si>
  <si>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</si>
  <si>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</si>
  <si>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</si>
  <si>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</si>
  <si>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</si>
  <si>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</si>
  <si>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</si>
  <si>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</si>
  <si>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</si>
  <si>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</si>
  <si>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</si>
  <si>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</si>
  <si>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</si>
  <si>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</si>
  <si>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</si>
  <si>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</si>
  <si>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</si>
  <si>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</si>
  <si>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</si>
  <si>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</si>
  <si>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</si>
  <si>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</si>
  <si>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</si>
  <si>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</si>
  <si>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</si>
  <si>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</si>
  <si>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</si>
  <si>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</si>
  <si>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</si>
  <si>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</si>
  <si>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</si>
  <si>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</si>
  <si>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</si>
  <si>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</si>
  <si>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</si>
  <si>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</si>
  <si>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</si>
  <si>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</si>
  <si>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</si>
  <si>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</si>
  <si>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</si>
  <si>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</si>
  <si>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</si>
  <si>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</si>
  <si>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</si>
  <si>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</si>
  <si>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</si>
  <si>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</si>
  <si>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</si>
  <si>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</si>
  <si>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</si>
  <si>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</si>
  <si>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</si>
  <si>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</si>
  <si>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</si>
  <si>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</si>
  <si>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</si>
  <si>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</si>
  <si>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</si>
  <si>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</si>
  <si>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</si>
  <si>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</si>
  <si>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</si>
  <si>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</si>
  <si>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</si>
  <si>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</si>
  <si>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</si>
  <si>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</si>
  <si>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</si>
  <si>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</si>
  <si>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</si>
  <si>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</si>
  <si>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</si>
  <si>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</si>
  <si>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</si>
  <si>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</si>
  <si>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</si>
  <si>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</si>
  <si>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</si>
  <si>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</si>
  <si>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</si>
  <si>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</si>
  <si>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</si>
  <si>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</si>
  <si>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</si>
  <si>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</si>
  <si>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</si>
  <si>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</si>
  <si>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</si>
  <si>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</si>
  <si>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</si>
  <si>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</si>
  <si>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</si>
  <si>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</si>
  <si>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</si>
  <si>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</si>
  <si>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</si>
  <si>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</si>
  <si>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</si>
  <si>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</si>
  <si>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</si>
  <si>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</si>
  <si>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Indirect and direct taxes paid in DKK (right axis)</t>
  </si>
  <si>
    <t>Direct tax (share of disposable income)</t>
  </si>
  <si>
    <t>Indirect tax (share of disposable income)</t>
  </si>
  <si>
    <t>Figur 2</t>
  </si>
  <si>
    <t>Figur 1Share of disposable income</t>
  </si>
  <si>
    <t>CO2 tax: Share of disposable income</t>
  </si>
  <si>
    <t>CO2 tax: Share of total expenditure</t>
  </si>
  <si>
    <t>Dispon_13 fra Sune (den ægte vare)</t>
  </si>
  <si>
    <t>Indirekte afgifter</t>
  </si>
  <si>
    <t>Drivhusgasregnskab (i CO2-ækvivalenter) efter emissionstype, branche og tid</t>
  </si>
  <si>
    <t>Kalibreret til 3,5 mia. kroners provenu:</t>
  </si>
  <si>
    <t>Co2 udledning</t>
  </si>
  <si>
    <t>Co2 skat</t>
  </si>
  <si>
    <t>Produktion</t>
  </si>
  <si>
    <t>Co2 skat pr enhed produktion</t>
  </si>
  <si>
    <t>Drivhusgasser i alt, ekskl. (CO2) fra afbrænding af biomasse</t>
  </si>
  <si>
    <t>Skat med fradrag pr enhed produktion</t>
  </si>
  <si>
    <t>rabat</t>
  </si>
  <si>
    <t>co2 intensitet, kg pr. kr</t>
  </si>
  <si>
    <t>i dollars</t>
  </si>
  <si>
    <t>i 1000 tons</t>
  </si>
  <si>
    <t xml:space="preserve">Tabellen er baseret på emissionsregnskabet i tabel MRU1. Emissioner af drivhusgasser er omregnet til CO2-ækvivalenter vha. omregningsfaktorer. Faktorerne stammer fra IPCC, og er indhentet fra DCE - Århus Universitet. De anvendte faktorer er 298 for lattergas og 25 for metan. Dvs. at 1 ton lattergas er lig 298 ton CO2-ækvivalenter. For det nyeste år findes endnu ikke tal for de fluorerede gasser. Ved beregning af totalen for nyeste år er de estimeret ved brug af tallet fra året før. </t>
  </si>
  <si>
    <t>Enhed: ton</t>
  </si>
  <si>
    <t>Sum</t>
  </si>
  <si>
    <t>Skattevektor: 1000 kr, kun rabat til skibs- og luftfart</t>
  </si>
  <si>
    <t>Disp indkomst (dispon_13) på kvintiler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</si>
</sst>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2">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
      <b/>
      <sz val="11"/>
      <color rgb="FFFF0000"/>
      <name val="Calibri"/>
      <family val="2"/>
    </font>
  </fonts>
  <fills count="5">
    <fill>
      <patternFill patternType="none"/>
    </fill>
    <fill>
      <patternFill patternType="gray125"/>
    </fill>
    <fill>
      <patternFill patternType="solid">
        <fgColor rgb="FFFFFF00"/>
        <bgColor indexed="64"/>
      </patternFill>
    </fill>
    <fill>
      <patternFill patternType="solid">
        <fgColor rgb="FFFFFFFF"/>
        <bgColor rgb="FF000000"/>
      </patternFill>
    </fill>
    <fill>
      <patternFill patternType="solid">
        <fgColor theme="6"/>
        <bgColor indexed="64"/>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50">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xf numFmtId="1" fontId="0" fillId="0" borderId="0" xfId="1" applyNumberFormat="1" applyFont="1"/>
    <xf numFmtId="10" fontId="0" fillId="0" borderId="0" xfId="0" applyNumberFormat="1" applyAlignment="1"/>
    <xf numFmtId="0" fontId="3" fillId="0" borderId="0" xfId="0" applyFont="1" applyAlignment="1">
      <alignment horizontal="right"/>
    </xf>
    <xf numFmtId="43" fontId="0" fillId="0" borderId="0" xfId="3" applyFont="1" applyFill="1" applyAlignment="1" applyProtection="1">
      <alignment horizontal="right"/>
    </xf>
    <xf numFmtId="164" fontId="0" fillId="0" borderId="0" xfId="3" applyNumberFormat="1" applyFont="1" applyFill="1" applyProtection="1"/>
    <xf numFmtId="2" fontId="0" fillId="0" borderId="0" xfId="0" applyNumberFormat="1"/>
    <xf numFmtId="0" fontId="11" fillId="4" borderId="0" xfId="0" applyFont="1" applyFill="1" applyAlignment="1">
      <alignment horizontal="left"/>
    </xf>
    <xf numFmtId="0" fontId="10" fillId="0" borderId="0" xfId="0" applyFont="1" applyAlignment="1">
      <alignment wrapText="1"/>
    </xf>
    <xf numFmtId="166" fontId="0" fillId="0" borderId="0" xfId="0" applyNumberFormat="1"/>
    <xf numFmtId="0" fontId="1" fillId="2" borderId="0" xfId="0" applyFont="1" applyFill="1" applyAlignment="1" applyProtection="1">
      <alignment horizontal="left"/>
    </xf>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chartsheet" Target="chartsheets/sheet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worksheet" Target="worksheets/sheet1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layout>
        <c:manualLayout>
          <c:xMode val="edge"/>
          <c:yMode val="edge"/>
          <c:x val="0.34318417514883809"/>
          <c:y val="0.73333171815061571"/>
          <c:w val="0.65509506433647013"/>
          <c:h val="0.225642640823743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w="9525">
              <a:solidFill>
                <a:schemeClr val="tx1"/>
              </a:solidFill>
            </a:ln>
            <a:effectLst/>
          </c:spPr>
          <c:invertIfNegative val="0"/>
          <c:val>
            <c:numRef>
              <c:f>resultater_kvintiler!$C$35:$G$35</c:f>
              <c:numCache>
                <c:formatCode>0.00%</c:formatCode>
                <c:ptCount val="5"/>
                <c:pt idx="0">
                  <c:v>4.2362879900641477E-2</c:v>
                </c:pt>
                <c:pt idx="1">
                  <c:v>3.1850371842827803E-2</c:v>
                </c:pt>
                <c:pt idx="2">
                  <c:v>2.769865001090532E-2</c:v>
                </c:pt>
                <c:pt idx="3">
                  <c:v>2.4776599879296611E-2</c:v>
                </c:pt>
                <c:pt idx="4">
                  <c:v>1.9271876526139348E-2</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resultater_kvintiler!$C$36:$G$36</c:f>
              <c:numCache>
                <c:formatCode>0.00%</c:formatCode>
                <c:ptCount val="5"/>
                <c:pt idx="0">
                  <c:v>9.9848688019500888E-3</c:v>
                </c:pt>
                <c:pt idx="1">
                  <c:v>8.587352517538567E-3</c:v>
                </c:pt>
                <c:pt idx="2">
                  <c:v>8.5826269012129891E-3</c:v>
                </c:pt>
                <c:pt idx="3">
                  <c:v>7.9972546610019811E-3</c:v>
                </c:pt>
                <c:pt idx="4">
                  <c:v>6.7630519520491686E-3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8906.2863036253857</c:v>
                </c:pt>
                <c:pt idx="1">
                  <c:v>10291.010625673163</c:v>
                </c:pt>
                <c:pt idx="2">
                  <c:v>13629.45532389174</c:v>
                </c:pt>
                <c:pt idx="3">
                  <c:v>15681.846950496583</c:v>
                </c:pt>
                <c:pt idx="4">
                  <c:v>19906.359686026321</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resultater_kvintiler!$B$43</c:f>
              <c:strCache>
                <c:ptCount val="1"/>
                <c:pt idx="0">
                  <c:v>CO2 tax: Share of disposable income</c:v>
                </c:pt>
              </c:strCache>
            </c:strRef>
          </c:tx>
          <c:spPr>
            <a:solidFill>
              <a:schemeClr val="accent6">
                <a:lumMod val="75000"/>
              </a:schemeClr>
            </a:solidFill>
            <a:ln w="9525">
              <a:solidFill>
                <a:schemeClr val="tx1"/>
              </a:solidFill>
            </a:ln>
            <a:effectLst/>
          </c:spPr>
          <c:invertIfNegative val="0"/>
          <c:val>
            <c:numRef>
              <c:f>resultater_kvintiler!$C$43:$G$43</c:f>
              <c:numCache>
                <c:formatCode>0.00%</c:formatCode>
                <c:ptCount val="5"/>
                <c:pt idx="0">
                  <c:v>5.2347748702591568E-2</c:v>
                </c:pt>
                <c:pt idx="1">
                  <c:v>4.043772436036637E-2</c:v>
                </c:pt>
                <c:pt idx="2">
                  <c:v>3.6281276912118313E-2</c:v>
                </c:pt>
                <c:pt idx="3">
                  <c:v>3.2773854540298589E-2</c:v>
                </c:pt>
                <c:pt idx="4">
                  <c:v>2.6034928478188515E-2</c:v>
                </c:pt>
              </c:numCache>
            </c:numRef>
          </c:val>
          <c:extLst>
            <c:ext xmlns:c16="http://schemas.microsoft.com/office/drawing/2014/chart" uri="{C3380CC4-5D6E-409C-BE32-E72D297353CC}">
              <c16:uniqueId val="{00000000-3FF3-DD4C-A0AB-44BC0C98509C}"/>
            </c:ext>
          </c:extLst>
        </c:ser>
        <c:ser>
          <c:idx val="1"/>
          <c:order val="1"/>
          <c:tx>
            <c:strRef>
              <c:f>resultater_kvintiler!$B$44</c:f>
              <c:strCache>
                <c:ptCount val="1"/>
                <c:pt idx="0">
                  <c:v>CO2 tax: Share of total expenditure</c:v>
                </c:pt>
              </c:strCache>
            </c:strRef>
          </c:tx>
          <c:spPr>
            <a:pattFill prst="smCheck">
              <a:fgClr>
                <a:schemeClr val="accent6">
                  <a:lumMod val="75000"/>
                </a:schemeClr>
              </a:fgClr>
              <a:bgClr>
                <a:schemeClr val="bg1"/>
              </a:bgClr>
            </a:pattFill>
            <a:ln w="9525">
              <a:solidFill>
                <a:schemeClr val="tx1"/>
              </a:solidFill>
            </a:ln>
            <a:effectLst/>
          </c:spPr>
          <c:invertIfNegative val="0"/>
          <c:val>
            <c:numRef>
              <c:f>resultater_kvintiler!$C$44:$G$44</c:f>
              <c:numCache>
                <c:formatCode>0.00%</c:formatCode>
                <c:ptCount val="5"/>
                <c:pt idx="0">
                  <c:v>4.4177777365868809E-2</c:v>
                </c:pt>
                <c:pt idx="1">
                  <c:v>4.2402448410983846E-2</c:v>
                </c:pt>
                <c:pt idx="2">
                  <c:v>4.0435478503565644E-2</c:v>
                </c:pt>
                <c:pt idx="3">
                  <c:v>4.0473361123221793E-2</c:v>
                </c:pt>
                <c:pt idx="4">
                  <c:v>3.9308117141495541E-2</c:v>
                </c:pt>
              </c:numCache>
            </c:numRef>
          </c:val>
          <c:extLst>
            <c:ext xmlns:c16="http://schemas.microsoft.com/office/drawing/2014/chart" uri="{C3380CC4-5D6E-409C-BE32-E72D297353CC}">
              <c16:uniqueId val="{00000001-3FF3-DD4C-A0AB-44BC0C98509C}"/>
            </c:ext>
          </c:extLst>
        </c:ser>
        <c:dLbls>
          <c:showLegendKey val="0"/>
          <c:showVal val="0"/>
          <c:showCatName val="0"/>
          <c:showSerName val="0"/>
          <c:showPercent val="0"/>
          <c:showBubbleSize val="0"/>
        </c:dLbls>
        <c:gapWidth val="150"/>
        <c:axId val="455114975"/>
        <c:axId val="453681583"/>
      </c:bar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Quintiles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showDLblsOverMax val="0"/>
    <c:extLst/>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3.6776187637421791E-2</c:v>
                </c:pt>
                <c:pt idx="1">
                  <c:v>3.7401575996653516E-2</c:v>
                </c:pt>
                <c:pt idx="2">
                  <c:v>3.6502527860410791E-2</c:v>
                </c:pt>
                <c:pt idx="3">
                  <c:v>3.3178018005189935E-2</c:v>
                </c:pt>
                <c:pt idx="4">
                  <c:v>3.2693535993808288E-2</c:v>
                </c:pt>
                <c:pt idx="5">
                  <c:v>3.1449217509303497E-2</c:v>
                </c:pt>
                <c:pt idx="6">
                  <c:v>3.2301923354556672E-2</c:v>
                </c:pt>
                <c:pt idx="7">
                  <c:v>3.1247878770750432E-2</c:v>
                </c:pt>
                <c:pt idx="8">
                  <c:v>3.1149955944212753E-2</c:v>
                </c:pt>
                <c:pt idx="9">
                  <c:v>2.9442652570743244E-2</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3.5751258138345232E-2</c:v>
                </c:pt>
                <c:pt idx="1">
                  <c:v>3.3397867221723214E-2</c:v>
                </c:pt>
                <c:pt idx="2">
                  <c:v>3.0870141913876697E-2</c:v>
                </c:pt>
                <c:pt idx="3">
                  <c:v>3.0597324861111962E-2</c:v>
                </c:pt>
                <c:pt idx="4">
                  <c:v>2.9097110086573688E-2</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8.4265192275235767E-3</c:v>
                </c:pt>
                <c:pt idx="1">
                  <c:v>9.0045811892606308E-3</c:v>
                </c:pt>
                <c:pt idx="2">
                  <c:v>9.5653365896889459E-3</c:v>
                </c:pt>
                <c:pt idx="3">
                  <c:v>9.8760362621098316E-3</c:v>
                </c:pt>
                <c:pt idx="4">
                  <c:v>1.0211007054921855E-2</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10480496868584"/>
          <c:y val="0.13793103448275862"/>
          <c:w val="0.87289519503131419"/>
          <c:h val="0.79283707503894141"/>
        </c:manualLayout>
      </c:layout>
      <c:barChart>
        <c:barDir val="col"/>
        <c:grouping val="clustered"/>
        <c:varyColors val="0"/>
        <c:ser>
          <c:idx val="0"/>
          <c:order val="0"/>
          <c:tx>
            <c:strRef>
              <c:f>resultater_kvintiler!$B$14</c:f>
              <c:strCache>
                <c:ptCount val="1"/>
                <c:pt idx="0">
                  <c:v>Dispon_13 fra Sune (den ægte vare)</c:v>
                </c:pt>
              </c:strCache>
            </c:strRef>
          </c:tx>
          <c:spPr>
            <a:solidFill>
              <a:schemeClr val="accent1"/>
            </a:solidFill>
            <a:ln>
              <a:noFill/>
            </a:ln>
            <a:effectLst/>
          </c:spPr>
          <c:invertIfNegative val="0"/>
          <c:val>
            <c:numRef>
              <c:f>resultater_kvintiler!$C$14:$L$14</c:f>
              <c:numCache>
                <c:formatCode>General</c:formatCode>
                <c:ptCount val="10"/>
                <c:pt idx="0">
                  <c:v>134879.70000000001</c:v>
                </c:pt>
                <c:pt idx="1">
                  <c:v>205394.2</c:v>
                </c:pt>
                <c:pt idx="2">
                  <c:v>224642</c:v>
                </c:pt>
                <c:pt idx="3">
                  <c:v>284338.7</c:v>
                </c:pt>
                <c:pt idx="4">
                  <c:v>352153.8</c:v>
                </c:pt>
                <c:pt idx="5">
                  <c:v>399167.9</c:v>
                </c:pt>
                <c:pt idx="6">
                  <c:v>448211.6</c:v>
                </c:pt>
                <c:pt idx="7">
                  <c:v>508761.4</c:v>
                </c:pt>
                <c:pt idx="8">
                  <c:v>601053.9</c:v>
                </c:pt>
                <c:pt idx="9">
                  <c:v>928150.2</c:v>
                </c:pt>
              </c:numCache>
            </c:numRef>
          </c:val>
          <c:extLst>
            <c:ext xmlns:c16="http://schemas.microsoft.com/office/drawing/2014/chart" uri="{C3380CC4-5D6E-409C-BE32-E72D297353CC}">
              <c16:uniqueId val="{00000000-A41E-A841-943D-8A03AF4804A0}"/>
            </c:ext>
          </c:extLst>
        </c:ser>
        <c:ser>
          <c:idx val="1"/>
          <c:order val="1"/>
          <c:tx>
            <c:strRef>
              <c:f>resultater_kvintiler!$B$9</c:f>
              <c:strCache>
                <c:ptCount val="1"/>
                <c:pt idx="0">
                  <c:v>Forbrug i alt</c:v>
                </c:pt>
              </c:strCache>
            </c:strRef>
          </c:tx>
          <c:spPr>
            <a:solidFill>
              <a:schemeClr val="accent2"/>
            </a:solidFill>
            <a:ln>
              <a:noFill/>
            </a:ln>
            <a:effectLst/>
          </c:spPr>
          <c:invertIfNegative val="0"/>
          <c:val>
            <c:numRef>
              <c:f>resultater_kvintiler!$C$9:$L$9</c:f>
              <c:numCache>
                <c:formatCode>General</c:formatCode>
                <c:ptCount val="10"/>
                <c:pt idx="0">
                  <c:v>181437.98905999999</c:v>
                </c:pt>
                <c:pt idx="1">
                  <c:v>207006.91408000005</c:v>
                </c:pt>
                <c:pt idx="2">
                  <c:v>209396.04974000002</c:v>
                </c:pt>
                <c:pt idx="3">
                  <c:v>258235.42006000003</c:v>
                </c:pt>
                <c:pt idx="4">
                  <c:v>309873.46738000005</c:v>
                </c:pt>
                <c:pt idx="5">
                  <c:v>339586.74652000004</c:v>
                </c:pt>
                <c:pt idx="6">
                  <c:v>362535.22353999992</c:v>
                </c:pt>
                <c:pt idx="7">
                  <c:v>384024.53492000001</c:v>
                </c:pt>
                <c:pt idx="8">
                  <c:v>434284.92023999989</c:v>
                </c:pt>
                <c:pt idx="9">
                  <c:v>541482.34190000012</c:v>
                </c:pt>
              </c:numCache>
            </c:numRef>
          </c:val>
          <c:extLst>
            <c:ext xmlns:c16="http://schemas.microsoft.com/office/drawing/2014/chart" uri="{C3380CC4-5D6E-409C-BE32-E72D297353CC}">
              <c16:uniqueId val="{00000001-A41E-A841-943D-8A03AF4804A0}"/>
            </c:ext>
          </c:extLst>
        </c:ser>
        <c:dLbls>
          <c:showLegendKey val="0"/>
          <c:showVal val="0"/>
          <c:showCatName val="0"/>
          <c:showSerName val="0"/>
          <c:showPercent val="0"/>
          <c:showBubbleSize val="0"/>
        </c:dLbls>
        <c:gapWidth val="219"/>
        <c:overlap val="-27"/>
        <c:axId val="1116808815"/>
        <c:axId val="1115964431"/>
      </c:barChart>
      <c:catAx>
        <c:axId val="1116808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5964431"/>
        <c:crosses val="autoZero"/>
        <c:auto val="1"/>
        <c:lblAlgn val="ctr"/>
        <c:lblOffset val="100"/>
        <c:noMultiLvlLbl val="0"/>
      </c:catAx>
      <c:valAx>
        <c:axId val="1115964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116808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3.5430179169892155E-2</c:v>
                </c:pt>
                <c:pt idx="1">
                  <c:v>3.6032678315176009E-2</c:v>
                </c:pt>
                <c:pt idx="2">
                  <c:v>3.5166535340719757E-2</c:v>
                </c:pt>
                <c:pt idx="3">
                  <c:v>3.1963702546199971E-2</c:v>
                </c:pt>
                <c:pt idx="4">
                  <c:v>3.1496952576434922E-2</c:v>
                </c:pt>
                <c:pt idx="5">
                  <c:v>3.0298176148462995E-2</c:v>
                </c:pt>
                <c:pt idx="6">
                  <c:v>3.1119672959779906E-2</c:v>
                </c:pt>
                <c:pt idx="7">
                  <c:v>3.010420640774096E-2</c:v>
                </c:pt>
                <c:pt idx="8">
                  <c:v>3.0009867556654562E-2</c:v>
                </c:pt>
                <c:pt idx="9">
                  <c:v>2.8365051486654039E-2</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8.7967483556708914E-2</c:v>
                </c:pt>
                <c:pt idx="1">
                  <c:v>5.3580517846338042E-2</c:v>
                </c:pt>
                <c:pt idx="2">
                  <c:v>4.4622545941983949E-2</c:v>
                </c:pt>
                <c:pt idx="3">
                  <c:v>4.3792721519954551E-2</c:v>
                </c:pt>
                <c:pt idx="4">
                  <c:v>4.575052660266446E-2</c:v>
                </c:pt>
                <c:pt idx="5">
                  <c:v>4.3041589573781847E-2</c:v>
                </c:pt>
                <c:pt idx="6">
                  <c:v>4.2158527600094128E-2</c:v>
                </c:pt>
                <c:pt idx="7">
                  <c:v>3.8191230978857814E-2</c:v>
                </c:pt>
                <c:pt idx="8">
                  <c:v>3.6753559446825478E-2</c:v>
                </c:pt>
                <c:pt idx="9">
                  <c:v>2.5899720358821664E-2</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67038.932012421486</c:v>
                </c:pt>
                <c:pt idx="1">
                  <c:v>134347.86179655959</c:v>
                </c:pt>
                <c:pt idx="2">
                  <c:v>160979.53961340079</c:v>
                </c:pt>
                <c:pt idx="3">
                  <c:v>183889.35851122567</c:v>
                </c:pt>
                <c:pt idx="4">
                  <c:v>207355.95577926183</c:v>
                </c:pt>
                <c:pt idx="5">
                  <c:v>232758.64312415011</c:v>
                </c:pt>
                <c:pt idx="6">
                  <c:v>261287.90167759318</c:v>
                </c:pt>
                <c:pt idx="7">
                  <c:v>296731.81599737355</c:v>
                </c:pt>
                <c:pt idx="8">
                  <c:v>348363.75660233927</c:v>
                </c:pt>
                <c:pt idx="9">
                  <c:v>591937.92381587788</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0.11619933275649641</c:v>
                </c:pt>
                <c:pt idx="1">
                  <c:v>7.0257011788514886E-2</c:v>
                </c:pt>
                <c:pt idx="2">
                  <c:v>6.0203981427032156E-2</c:v>
                </c:pt>
                <c:pt idx="3">
                  <c:v>6.0076984552344559E-2</c:v>
                </c:pt>
                <c:pt idx="4">
                  <c:v>6.3589392110343715E-2</c:v>
                </c:pt>
                <c:pt idx="5">
                  <c:v>6.1933682386569294E-2</c:v>
                </c:pt>
                <c:pt idx="6">
                  <c:v>5.9354147502139479E-2</c:v>
                </c:pt>
                <c:pt idx="7">
                  <c:v>5.5616787667450054E-2</c:v>
                </c:pt>
                <c:pt idx="8">
                  <c:v>5.3544533128465924E-2</c:v>
                </c:pt>
                <c:pt idx="9">
                  <c:v>3.8365563677795957E-2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4.6800965681035457E-2</c:v>
                </c:pt>
                <c:pt idx="1">
                  <c:v>4.7247552037873855E-2</c:v>
                </c:pt>
                <c:pt idx="2">
                  <c:v>4.7446092458695591E-2</c:v>
                </c:pt>
                <c:pt idx="3">
                  <c:v>4.384936120557837E-2</c:v>
                </c:pt>
                <c:pt idx="4">
                  <c:v>4.3778120524347708E-2</c:v>
                </c:pt>
                <c:pt idx="5">
                  <c:v>4.3596847538694652E-2</c:v>
                </c:pt>
                <c:pt idx="6">
                  <c:v>4.3812764918976774E-2</c:v>
                </c:pt>
                <c:pt idx="7">
                  <c:v>4.3839887135434033E-2</c:v>
                </c:pt>
                <c:pt idx="8">
                  <c:v>4.3719965406152111E-2</c:v>
                </c:pt>
                <c:pt idx="9">
                  <c:v>4.2017487986680993E-2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tabSelected="1" workbookViewId="0"/>
  </sheetViews>
  <pageMargins left="0.7" right="0.7" top="0.75" bottom="0.75" header="0.3" footer="0.3"/>
  <pageSetup paperSize="9" orientation="landscape" horizontalDpi="0" verticalDpi="0"/>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B0A7978-2726-8E45-8627-D79D15CB7380}">
  <sheetPr/>
  <sheetViews>
    <sheetView zoomScale="87" workbookViewId="0"/>
  </sheetViews>
  <pageMargins left="0.7" right="0.7" top="0.75" bottom="0.75" header="0.3" footer="0.3"/>
  <pageSetup paperSize="9" orientation="landscape" horizontalDpi="0" verticalDpi="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png"/><Relationship Id="rId5" Type="http://schemas.openxmlformats.org/officeDocument/2006/relationships/chart" Target="../charts/chart10.xm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image" Target="../media/image1.png"/><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260350</xdr:colOff>
      <xdr:row>75</xdr:row>
      <xdr:rowOff>146050</xdr:rowOff>
    </xdr:from>
    <xdr:to>
      <xdr:col>10</xdr:col>
      <xdr:colOff>304800</xdr:colOff>
      <xdr:row>90</xdr:row>
      <xdr:rowOff>31750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72</xdr:row>
      <xdr:rowOff>158750</xdr:rowOff>
    </xdr:from>
    <xdr:to>
      <xdr:col>12</xdr:col>
      <xdr:colOff>622300</xdr:colOff>
      <xdr:row>92</xdr:row>
      <xdr:rowOff>63500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27931" cy="6087241"/>
    <xdr:graphicFrame macro="">
      <xdr:nvGraphicFramePr>
        <xdr:cNvPr id="2" name="Diagram 1">
          <a:extLst>
            <a:ext uri="{FF2B5EF4-FFF2-40B4-BE49-F238E27FC236}">
              <a16:creationId xmlns:a16="http://schemas.microsoft.com/office/drawing/2014/main" id="{2B6C505E-EAE3-0A4A-9B9F-5D95A3DFA38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204759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181510</xdr:colOff>
      <xdr:row>47</xdr:row>
      <xdr:rowOff>165100</xdr:rowOff>
    </xdr:from>
    <xdr:to>
      <xdr:col>7</xdr:col>
      <xdr:colOff>431799</xdr:colOff>
      <xdr:row>65</xdr:row>
      <xdr:rowOff>114300</xdr:rowOff>
    </xdr:to>
    <xdr:pic>
      <xdr:nvPicPr>
        <xdr:cNvPr id="9" name="Billede 8">
          <a:extLst>
            <a:ext uri="{FF2B5EF4-FFF2-40B4-BE49-F238E27FC236}">
              <a16:creationId xmlns:a16="http://schemas.microsoft.com/office/drawing/2014/main" id="{4B9339FB-CC07-634D-806D-9C8F5C631E0A}"/>
            </a:ext>
          </a:extLst>
        </xdr:cNvPr>
        <xdr:cNvPicPr>
          <a:picLocks noChangeAspect="1"/>
        </xdr:cNvPicPr>
      </xdr:nvPicPr>
      <xdr:blipFill>
        <a:blip xmlns:r="http://schemas.openxmlformats.org/officeDocument/2006/relationships" r:embed="rId4"/>
        <a:stretch>
          <a:fillRect/>
        </a:stretch>
      </xdr:blipFill>
      <xdr:spPr>
        <a:xfrm>
          <a:off x="4817010" y="9118600"/>
          <a:ext cx="6016089" cy="3378200"/>
        </a:xfrm>
        <a:prstGeom prst="rect">
          <a:avLst/>
        </a:prstGeom>
      </xdr:spPr>
    </xdr:pic>
    <xdr:clientData/>
  </xdr:twoCellAnchor>
  <xdr:twoCellAnchor>
    <xdr:from>
      <xdr:col>7</xdr:col>
      <xdr:colOff>1092200</xdr:colOff>
      <xdr:row>22</xdr:row>
      <xdr:rowOff>171450</xdr:rowOff>
    </xdr:from>
    <xdr:to>
      <xdr:col>15</xdr:col>
      <xdr:colOff>527050</xdr:colOff>
      <xdr:row>41</xdr:row>
      <xdr:rowOff>50800</xdr:rowOff>
    </xdr:to>
    <xdr:graphicFrame macro="">
      <xdr:nvGraphicFramePr>
        <xdr:cNvPr id="11" name="Diagram 10">
          <a:extLst>
            <a:ext uri="{FF2B5EF4-FFF2-40B4-BE49-F238E27FC236}">
              <a16:creationId xmlns:a16="http://schemas.microsoft.com/office/drawing/2014/main" id="{095A3720-623E-DE4F-8A79-3219D7E4D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row r="51">
          <cell r="H51">
            <v>11126257.843563119</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V127"/>
  <sheetViews>
    <sheetView workbookViewId="0">
      <selection activeCell="C4" sqref="C4"/>
    </sheetView>
  </sheetViews>
  <sheetFormatPr baseColWidth="10" defaultRowHeight="15"/>
  <cols>
    <col min="2" max="2" width="20.83203125" customWidth="1"/>
    <col min="3" max="3" width="16.33203125" customWidth="1"/>
    <col min="4" max="4" width="31.5" bestFit="1" customWidth="1"/>
    <col min="5" max="5" width="19.6640625" bestFit="1" customWidth="1"/>
    <col min="6" max="6" width="13.6640625" bestFit="1" customWidth="1"/>
    <col min="7" max="7" width="18.33203125" customWidth="1"/>
    <col min="21" max="21" width="51.1640625" bestFit="1" customWidth="1"/>
    <col min="22" max="22" width="16" bestFit="1" customWidth="1"/>
  </cols>
  <sheetData>
    <row r="1" spans="1:22" ht="17">
      <c r="A1" s="24" t="s">
        <v>611</v>
      </c>
      <c r="C1">
        <v>2016</v>
      </c>
      <c r="D1" s="7" t="s">
        <v>612</v>
      </c>
      <c r="F1">
        <v>64.149560117302087</v>
      </c>
      <c r="I1" s="2"/>
    </row>
    <row r="2" spans="1:22">
      <c r="A2" s="25" t="s">
        <v>624</v>
      </c>
    </row>
    <row r="3" spans="1:22">
      <c r="C3" s="26" t="s">
        <v>613</v>
      </c>
      <c r="D3" s="7" t="s">
        <v>614</v>
      </c>
      <c r="E3" s="7" t="s">
        <v>615</v>
      </c>
      <c r="F3" s="7" t="s">
        <v>616</v>
      </c>
      <c r="G3" s="7"/>
    </row>
    <row r="4" spans="1:22">
      <c r="A4" s="26" t="s">
        <v>617</v>
      </c>
      <c r="B4" s="26" t="s">
        <v>466</v>
      </c>
      <c r="C4" s="40">
        <v>87713000</v>
      </c>
      <c r="D4" s="9">
        <v>1000</v>
      </c>
    </row>
    <row r="5" spans="1:22">
      <c r="B5" s="26" t="s">
        <v>531</v>
      </c>
      <c r="C5" s="4">
        <v>8306000</v>
      </c>
      <c r="D5" s="2">
        <f>C5*$D$4</f>
        <v>8306000000</v>
      </c>
      <c r="U5" t="s">
        <v>625</v>
      </c>
      <c r="V5" s="45">
        <f>V7+SUM(V9:V125)</f>
        <v>53821000</v>
      </c>
    </row>
    <row r="6" spans="1:22">
      <c r="B6" s="26" t="s">
        <v>532</v>
      </c>
      <c r="C6" s="4">
        <v>79407000</v>
      </c>
      <c r="D6" s="2">
        <f>C6*$D$4</f>
        <v>79407000000</v>
      </c>
      <c r="G6" s="7" t="s">
        <v>618</v>
      </c>
      <c r="H6" t="s">
        <v>619</v>
      </c>
      <c r="I6" t="s">
        <v>620</v>
      </c>
      <c r="J6" t="s">
        <v>621</v>
      </c>
      <c r="K6" t="s">
        <v>622</v>
      </c>
      <c r="U6" s="26" t="s">
        <v>466</v>
      </c>
      <c r="V6" s="40">
        <v>87713000</v>
      </c>
    </row>
    <row r="7" spans="1:22">
      <c r="B7" s="26" t="s">
        <v>332</v>
      </c>
      <c r="C7" s="40">
        <v>11924000</v>
      </c>
      <c r="D7" s="41">
        <f>C7*$D$4</f>
        <v>11924000000</v>
      </c>
      <c r="E7" s="2">
        <v>67852000000</v>
      </c>
      <c r="F7">
        <f>D7/E7</f>
        <v>0.17573542415846255</v>
      </c>
      <c r="G7">
        <f>C7*$D$4/E7*(1-H7)</f>
        <v>6.2024267350045598E-2</v>
      </c>
      <c r="H7">
        <f>4.4/6.8</f>
        <v>0.6470588235294118</v>
      </c>
      <c r="I7" s="42">
        <f>C7*1000/E7</f>
        <v>0.17573542415846255</v>
      </c>
      <c r="J7" s="42">
        <f>I7*6</f>
        <v>1.0544125449507753</v>
      </c>
      <c r="K7">
        <f>C7/1000</f>
        <v>11924</v>
      </c>
      <c r="U7" s="26" t="s">
        <v>531</v>
      </c>
      <c r="V7" s="4">
        <v>8306000</v>
      </c>
    </row>
    <row r="8" spans="1:22">
      <c r="B8" s="26" t="s">
        <v>333</v>
      </c>
      <c r="C8" s="4">
        <v>66000</v>
      </c>
      <c r="D8" s="41">
        <f t="shared" ref="D8:D71" si="0">C8*$D$4</f>
        <v>66000000</v>
      </c>
      <c r="E8" s="2">
        <v>4519000000</v>
      </c>
      <c r="F8">
        <f t="shared" ref="F8:F71" si="1">D8/E8</f>
        <v>1.4605001106439478E-2</v>
      </c>
      <c r="G8">
        <f t="shared" ref="G8:G71" si="2">C8*$D$4/E8*(1-H8)</f>
        <v>1.4605001106439478E-2</v>
      </c>
      <c r="I8" s="42">
        <f t="shared" ref="I8:I71" si="3">C8*1000/E8</f>
        <v>1.4605001106439478E-2</v>
      </c>
      <c r="J8" s="42">
        <f t="shared" ref="J8:J71" si="4">I8*6</f>
        <v>8.7630006638636876E-2</v>
      </c>
      <c r="K8">
        <f t="shared" ref="K8:K71" si="5">C8/1000</f>
        <v>66</v>
      </c>
      <c r="L8" s="7"/>
      <c r="U8" s="26" t="s">
        <v>532</v>
      </c>
      <c r="V8" s="4">
        <v>79407000</v>
      </c>
    </row>
    <row r="9" spans="1:22">
      <c r="B9" s="26" t="s">
        <v>334</v>
      </c>
      <c r="C9" s="4">
        <v>390000</v>
      </c>
      <c r="D9" s="41">
        <f t="shared" si="0"/>
        <v>390000000</v>
      </c>
      <c r="E9" s="2">
        <v>5163000000</v>
      </c>
      <c r="F9">
        <f t="shared" si="1"/>
        <v>7.5537478210342818E-2</v>
      </c>
      <c r="G9">
        <f t="shared" si="2"/>
        <v>7.5537478210342818E-2</v>
      </c>
      <c r="I9" s="42">
        <f t="shared" si="3"/>
        <v>7.5537478210342818E-2</v>
      </c>
      <c r="J9" s="42">
        <f t="shared" si="4"/>
        <v>0.45322486926205691</v>
      </c>
      <c r="K9">
        <f t="shared" si="5"/>
        <v>390</v>
      </c>
      <c r="U9" s="26" t="s">
        <v>332</v>
      </c>
      <c r="V9" s="40">
        <v>11924000</v>
      </c>
    </row>
    <row r="10" spans="1:22">
      <c r="B10" s="26" t="s">
        <v>335</v>
      </c>
      <c r="C10" s="4">
        <v>1661000</v>
      </c>
      <c r="D10" s="41">
        <f t="shared" si="0"/>
        <v>1661000000</v>
      </c>
      <c r="E10" s="2">
        <v>19068000000</v>
      </c>
      <c r="F10">
        <f t="shared" si="1"/>
        <v>8.7109293056429615E-2</v>
      </c>
      <c r="G10">
        <f t="shared" si="2"/>
        <v>3.5868532435000426E-2</v>
      </c>
      <c r="H10">
        <f>1/1.7</f>
        <v>0.58823529411764708</v>
      </c>
      <c r="I10" s="42">
        <f t="shared" si="3"/>
        <v>8.7109293056429615E-2</v>
      </c>
      <c r="J10" s="42">
        <f t="shared" si="4"/>
        <v>0.52265575833857769</v>
      </c>
      <c r="K10">
        <f t="shared" si="5"/>
        <v>1661</v>
      </c>
      <c r="U10" s="26" t="s">
        <v>333</v>
      </c>
      <c r="V10" s="4">
        <v>66000</v>
      </c>
    </row>
    <row r="11" spans="1:22">
      <c r="B11" s="26" t="s">
        <v>336</v>
      </c>
      <c r="C11" s="4">
        <v>111000</v>
      </c>
      <c r="D11" s="41">
        <f t="shared" si="0"/>
        <v>111000000</v>
      </c>
      <c r="E11" s="2">
        <v>2855000000</v>
      </c>
      <c r="F11">
        <f t="shared" si="1"/>
        <v>3.8879159369527148E-2</v>
      </c>
      <c r="G11">
        <f t="shared" si="2"/>
        <v>1.6009065622746472E-2</v>
      </c>
      <c r="H11">
        <f>H10</f>
        <v>0.58823529411764708</v>
      </c>
      <c r="I11" s="42">
        <f t="shared" si="3"/>
        <v>3.8879159369527148E-2</v>
      </c>
      <c r="J11" s="42">
        <f>I11*6</f>
        <v>0.23327495621716288</v>
      </c>
      <c r="K11">
        <f t="shared" si="5"/>
        <v>111</v>
      </c>
      <c r="U11" s="26" t="s">
        <v>334</v>
      </c>
      <c r="V11" s="4">
        <v>390000</v>
      </c>
    </row>
    <row r="12" spans="1:22">
      <c r="B12" s="26" t="s">
        <v>337</v>
      </c>
      <c r="C12" s="4">
        <v>4000</v>
      </c>
      <c r="D12" s="41">
        <f t="shared" si="0"/>
        <v>4000000</v>
      </c>
      <c r="E12" s="2">
        <v>7618000000</v>
      </c>
      <c r="F12">
        <f t="shared" si="1"/>
        <v>5.2507219742714626E-4</v>
      </c>
      <c r="G12">
        <f t="shared" si="2"/>
        <v>5.2507219742714626E-4</v>
      </c>
      <c r="I12" s="42">
        <f t="shared" si="3"/>
        <v>5.2507219742714626E-4</v>
      </c>
      <c r="J12" s="42">
        <f t="shared" si="4"/>
        <v>3.1504331845628774E-3</v>
      </c>
      <c r="K12">
        <f t="shared" si="5"/>
        <v>4</v>
      </c>
      <c r="U12" s="26" t="s">
        <v>335</v>
      </c>
      <c r="V12" s="4">
        <v>1661000</v>
      </c>
    </row>
    <row r="13" spans="1:22">
      <c r="B13" s="26" t="s">
        <v>338</v>
      </c>
      <c r="C13" s="4">
        <v>172000</v>
      </c>
      <c r="D13" s="41">
        <f t="shared" si="0"/>
        <v>172000000</v>
      </c>
      <c r="E13" s="2">
        <v>38562000000</v>
      </c>
      <c r="F13">
        <f t="shared" si="1"/>
        <v>4.4603495669311754E-3</v>
      </c>
      <c r="G13">
        <f t="shared" si="2"/>
        <v>2.2859291530522271E-3</v>
      </c>
      <c r="H13">
        <f>3.9/8</f>
        <v>0.48749999999999999</v>
      </c>
      <c r="I13" s="42">
        <f t="shared" si="3"/>
        <v>4.4603495669311754E-3</v>
      </c>
      <c r="J13" s="42">
        <f t="shared" si="4"/>
        <v>2.6762097401587054E-2</v>
      </c>
      <c r="K13">
        <f t="shared" si="5"/>
        <v>172</v>
      </c>
      <c r="U13" s="26" t="s">
        <v>336</v>
      </c>
      <c r="V13" s="4">
        <v>111000</v>
      </c>
    </row>
    <row r="14" spans="1:22">
      <c r="B14" s="26" t="s">
        <v>339</v>
      </c>
      <c r="C14" s="4">
        <v>138000</v>
      </c>
      <c r="D14" s="41">
        <f t="shared" si="0"/>
        <v>138000000</v>
      </c>
      <c r="E14" s="2">
        <v>13312000000</v>
      </c>
      <c r="F14">
        <f t="shared" si="1"/>
        <v>1.0366586538461538E-2</v>
      </c>
      <c r="G14">
        <f t="shared" si="2"/>
        <v>5.3128756009615374E-3</v>
      </c>
      <c r="H14">
        <f t="shared" ref="H14:H47" si="6">$H$13</f>
        <v>0.48749999999999999</v>
      </c>
      <c r="I14" s="42">
        <f t="shared" si="3"/>
        <v>1.0366586538461538E-2</v>
      </c>
      <c r="J14" s="42">
        <f t="shared" si="4"/>
        <v>6.2199519230769232E-2</v>
      </c>
      <c r="K14">
        <f t="shared" si="5"/>
        <v>138</v>
      </c>
      <c r="U14" s="26" t="s">
        <v>337</v>
      </c>
      <c r="V14" s="4">
        <v>4000</v>
      </c>
    </row>
    <row r="15" spans="1:22">
      <c r="B15" s="26" t="s">
        <v>340</v>
      </c>
      <c r="C15" s="4">
        <v>249000</v>
      </c>
      <c r="D15" s="41">
        <f t="shared" si="0"/>
        <v>249000000</v>
      </c>
      <c r="E15" s="2">
        <v>35041000000</v>
      </c>
      <c r="F15">
        <f t="shared" si="1"/>
        <v>7.105961587854228E-3</v>
      </c>
      <c r="G15">
        <f t="shared" si="2"/>
        <v>3.6418053137752915E-3</v>
      </c>
      <c r="H15">
        <f t="shared" si="6"/>
        <v>0.48749999999999999</v>
      </c>
      <c r="I15" s="42">
        <f t="shared" si="3"/>
        <v>7.105961587854228E-3</v>
      </c>
      <c r="J15" s="42">
        <f t="shared" si="4"/>
        <v>4.2635769527125368E-2</v>
      </c>
      <c r="K15">
        <f t="shared" si="5"/>
        <v>249</v>
      </c>
      <c r="U15" s="26" t="s">
        <v>338</v>
      </c>
      <c r="V15" s="4">
        <v>172000</v>
      </c>
    </row>
    <row r="16" spans="1:22">
      <c r="B16" s="26" t="s">
        <v>341</v>
      </c>
      <c r="C16" s="4">
        <v>107000</v>
      </c>
      <c r="D16" s="41">
        <f t="shared" si="0"/>
        <v>107000000</v>
      </c>
      <c r="E16" s="2">
        <v>13660000000</v>
      </c>
      <c r="F16">
        <f t="shared" si="1"/>
        <v>7.8330893118594442E-3</v>
      </c>
      <c r="G16">
        <f t="shared" si="2"/>
        <v>4.0144582723279651E-3</v>
      </c>
      <c r="H16">
        <f t="shared" si="6"/>
        <v>0.48749999999999999</v>
      </c>
      <c r="I16" s="42">
        <f t="shared" si="3"/>
        <v>7.8330893118594442E-3</v>
      </c>
      <c r="J16" s="42">
        <f t="shared" si="4"/>
        <v>4.6998535871156669E-2</v>
      </c>
      <c r="K16">
        <f t="shared" si="5"/>
        <v>107</v>
      </c>
      <c r="U16" s="26" t="s">
        <v>339</v>
      </c>
      <c r="V16" s="4">
        <v>138000</v>
      </c>
    </row>
    <row r="17" spans="2:22">
      <c r="B17" s="26" t="s">
        <v>342</v>
      </c>
      <c r="C17" s="4">
        <v>391000</v>
      </c>
      <c r="D17" s="41">
        <f t="shared" si="0"/>
        <v>391000000</v>
      </c>
      <c r="E17" s="2">
        <v>34964000000</v>
      </c>
      <c r="F17">
        <f t="shared" si="1"/>
        <v>1.1182931014758037E-2</v>
      </c>
      <c r="G17">
        <f t="shared" si="2"/>
        <v>5.7312521450634934E-3</v>
      </c>
      <c r="H17">
        <f t="shared" si="6"/>
        <v>0.48749999999999999</v>
      </c>
      <c r="I17" s="42">
        <f t="shared" si="3"/>
        <v>1.1182931014758037E-2</v>
      </c>
      <c r="J17" s="42">
        <f t="shared" si="4"/>
        <v>6.7097586088548225E-2</v>
      </c>
      <c r="K17">
        <f>C17/1000</f>
        <v>391</v>
      </c>
      <c r="U17" s="26" t="s">
        <v>340</v>
      </c>
      <c r="V17" s="4">
        <v>249000</v>
      </c>
    </row>
    <row r="18" spans="2:22">
      <c r="B18" s="26" t="s">
        <v>343</v>
      </c>
      <c r="C18" s="4">
        <v>83000</v>
      </c>
      <c r="D18" s="41">
        <f t="shared" si="0"/>
        <v>83000000</v>
      </c>
      <c r="E18" s="2">
        <v>7201000000</v>
      </c>
      <c r="F18">
        <f t="shared" si="1"/>
        <v>1.152617691987224E-2</v>
      </c>
      <c r="G18">
        <f t="shared" si="2"/>
        <v>5.9071656714345224E-3</v>
      </c>
      <c r="H18">
        <f t="shared" si="6"/>
        <v>0.48749999999999999</v>
      </c>
      <c r="I18" s="42">
        <f t="shared" si="3"/>
        <v>1.152617691987224E-2</v>
      </c>
      <c r="J18" s="42">
        <f t="shared" si="4"/>
        <v>6.915706151923344E-2</v>
      </c>
      <c r="K18">
        <f t="shared" si="5"/>
        <v>83</v>
      </c>
      <c r="U18" s="26" t="s">
        <v>341</v>
      </c>
      <c r="V18" s="4">
        <v>107000</v>
      </c>
    </row>
    <row r="19" spans="2:22">
      <c r="B19" s="26" t="s">
        <v>344</v>
      </c>
      <c r="C19" s="4">
        <v>3000</v>
      </c>
      <c r="D19" s="41">
        <f t="shared" si="0"/>
        <v>3000000</v>
      </c>
      <c r="E19" s="2">
        <v>1229000000</v>
      </c>
      <c r="F19">
        <f t="shared" si="1"/>
        <v>2.4410089503661514E-3</v>
      </c>
      <c r="G19">
        <f t="shared" si="2"/>
        <v>1.2510170870626525E-3</v>
      </c>
      <c r="H19">
        <f t="shared" si="6"/>
        <v>0.48749999999999999</v>
      </c>
      <c r="I19" s="42">
        <f t="shared" si="3"/>
        <v>2.4410089503661514E-3</v>
      </c>
      <c r="J19" s="42">
        <f t="shared" si="4"/>
        <v>1.4646053702196907E-2</v>
      </c>
      <c r="K19">
        <f t="shared" si="5"/>
        <v>3</v>
      </c>
      <c r="U19" s="26" t="s">
        <v>342</v>
      </c>
      <c r="V19" s="4">
        <v>391000</v>
      </c>
    </row>
    <row r="20" spans="2:22">
      <c r="B20" s="26" t="s">
        <v>345</v>
      </c>
      <c r="C20" s="4">
        <v>17000</v>
      </c>
      <c r="D20" s="41">
        <f t="shared" si="0"/>
        <v>17000000</v>
      </c>
      <c r="E20" s="2">
        <v>6549000000</v>
      </c>
      <c r="F20">
        <f t="shared" si="1"/>
        <v>2.5958161551381891E-3</v>
      </c>
      <c r="G20">
        <f t="shared" si="2"/>
        <v>1.3303557795083219E-3</v>
      </c>
      <c r="H20">
        <f t="shared" si="6"/>
        <v>0.48749999999999999</v>
      </c>
      <c r="I20" s="42">
        <f t="shared" si="3"/>
        <v>2.5958161551381891E-3</v>
      </c>
      <c r="J20" s="42">
        <f t="shared" si="4"/>
        <v>1.5574896930829134E-2</v>
      </c>
      <c r="K20">
        <f t="shared" si="5"/>
        <v>17</v>
      </c>
      <c r="U20" s="26" t="s">
        <v>343</v>
      </c>
      <c r="V20" s="4">
        <v>83000</v>
      </c>
    </row>
    <row r="21" spans="2:22">
      <c r="B21" s="26" t="s">
        <v>346</v>
      </c>
      <c r="C21" s="4">
        <v>2000</v>
      </c>
      <c r="D21" s="41">
        <f t="shared" si="0"/>
        <v>2000000</v>
      </c>
      <c r="E21" s="2">
        <v>2714000000</v>
      </c>
      <c r="F21">
        <f t="shared" si="1"/>
        <v>7.3691967575534268E-4</v>
      </c>
      <c r="G21">
        <f t="shared" si="2"/>
        <v>3.7767133382461308E-4</v>
      </c>
      <c r="H21">
        <f t="shared" si="6"/>
        <v>0.48749999999999999</v>
      </c>
      <c r="I21" s="42">
        <f t="shared" si="3"/>
        <v>7.3691967575534268E-4</v>
      </c>
      <c r="J21" s="42">
        <f t="shared" si="4"/>
        <v>4.4215180545320561E-3</v>
      </c>
      <c r="K21">
        <f t="shared" si="5"/>
        <v>2</v>
      </c>
      <c r="U21" s="26" t="s">
        <v>344</v>
      </c>
      <c r="V21" s="4">
        <v>3000</v>
      </c>
    </row>
    <row r="22" spans="2:22">
      <c r="B22" s="26" t="s">
        <v>347</v>
      </c>
      <c r="C22" s="4">
        <v>0</v>
      </c>
      <c r="D22" s="41">
        <f t="shared" si="0"/>
        <v>0</v>
      </c>
      <c r="E22" s="2">
        <v>297000000</v>
      </c>
      <c r="F22">
        <f t="shared" si="1"/>
        <v>0</v>
      </c>
      <c r="G22">
        <f t="shared" si="2"/>
        <v>0</v>
      </c>
      <c r="H22">
        <f t="shared" si="6"/>
        <v>0.48749999999999999</v>
      </c>
      <c r="I22" s="42">
        <f t="shared" si="3"/>
        <v>0</v>
      </c>
      <c r="J22" s="42">
        <f t="shared" si="4"/>
        <v>0</v>
      </c>
      <c r="K22">
        <f t="shared" si="5"/>
        <v>0</v>
      </c>
      <c r="U22" s="26" t="s">
        <v>345</v>
      </c>
      <c r="V22" s="4">
        <v>17000</v>
      </c>
    </row>
    <row r="23" spans="2:22">
      <c r="B23" s="26" t="s">
        <v>348</v>
      </c>
      <c r="C23" s="4">
        <v>30000</v>
      </c>
      <c r="D23" s="41">
        <f t="shared" si="0"/>
        <v>30000000</v>
      </c>
      <c r="E23" s="2">
        <v>10615000000</v>
      </c>
      <c r="F23">
        <f t="shared" si="1"/>
        <v>2.8261893546867641E-3</v>
      </c>
      <c r="G23">
        <f t="shared" si="2"/>
        <v>1.4484220442769664E-3</v>
      </c>
      <c r="H23">
        <f t="shared" si="6"/>
        <v>0.48749999999999999</v>
      </c>
      <c r="I23" s="42">
        <f t="shared" si="3"/>
        <v>2.8261893546867641E-3</v>
      </c>
      <c r="J23" s="42">
        <f t="shared" si="4"/>
        <v>1.6957136128120585E-2</v>
      </c>
      <c r="K23">
        <f t="shared" si="5"/>
        <v>30</v>
      </c>
      <c r="U23" s="26" t="s">
        <v>346</v>
      </c>
      <c r="V23" s="4">
        <v>2000</v>
      </c>
    </row>
    <row r="24" spans="2:22">
      <c r="B24" s="26" t="s">
        <v>349</v>
      </c>
      <c r="C24" s="4">
        <v>62000</v>
      </c>
      <c r="D24" s="41">
        <f t="shared" si="0"/>
        <v>62000000</v>
      </c>
      <c r="E24" s="2">
        <v>8901000000</v>
      </c>
      <c r="F24">
        <f t="shared" si="1"/>
        <v>6.9655094933153581E-3</v>
      </c>
      <c r="G24">
        <f t="shared" si="2"/>
        <v>3.5698236153241208E-3</v>
      </c>
      <c r="H24">
        <f t="shared" si="6"/>
        <v>0.48749999999999999</v>
      </c>
      <c r="I24" s="42">
        <f t="shared" si="3"/>
        <v>6.9655094933153581E-3</v>
      </c>
      <c r="J24" s="42">
        <f t="shared" si="4"/>
        <v>4.1793056959892147E-2</v>
      </c>
      <c r="K24">
        <f t="shared" si="5"/>
        <v>62</v>
      </c>
      <c r="U24" s="26" t="s">
        <v>347</v>
      </c>
      <c r="V24" s="4">
        <v>0</v>
      </c>
    </row>
    <row r="25" spans="2:22">
      <c r="B25" s="26" t="s">
        <v>350</v>
      </c>
      <c r="C25" s="4">
        <v>12000</v>
      </c>
      <c r="D25" s="41">
        <f t="shared" si="0"/>
        <v>12000000</v>
      </c>
      <c r="E25" s="2">
        <v>7897000000</v>
      </c>
      <c r="F25">
        <f t="shared" si="1"/>
        <v>1.5195643915410916E-3</v>
      </c>
      <c r="G25">
        <f t="shared" si="2"/>
        <v>7.787767506648094E-4</v>
      </c>
      <c r="H25">
        <f t="shared" si="6"/>
        <v>0.48749999999999999</v>
      </c>
      <c r="I25" s="42">
        <f t="shared" si="3"/>
        <v>1.5195643915410916E-3</v>
      </c>
      <c r="J25" s="42">
        <f t="shared" si="4"/>
        <v>9.11738634924655E-3</v>
      </c>
      <c r="K25">
        <f t="shared" si="5"/>
        <v>12</v>
      </c>
      <c r="U25" s="26" t="s">
        <v>348</v>
      </c>
      <c r="V25" s="4">
        <v>30000</v>
      </c>
    </row>
    <row r="26" spans="2:22">
      <c r="B26" s="26" t="s">
        <v>351</v>
      </c>
      <c r="C26" s="4">
        <v>832000</v>
      </c>
      <c r="D26" s="41">
        <f t="shared" si="0"/>
        <v>832000000</v>
      </c>
      <c r="E26" s="2">
        <v>23038000000</v>
      </c>
      <c r="F26">
        <f t="shared" si="1"/>
        <v>3.6114246028301066E-2</v>
      </c>
      <c r="G26">
        <f t="shared" si="2"/>
        <v>1.8508551089504294E-2</v>
      </c>
      <c r="H26">
        <f t="shared" si="6"/>
        <v>0.48749999999999999</v>
      </c>
      <c r="I26" s="42">
        <f t="shared" si="3"/>
        <v>3.6114246028301066E-2</v>
      </c>
      <c r="J26" s="42">
        <f t="shared" si="4"/>
        <v>0.21668547616980638</v>
      </c>
      <c r="K26">
        <f t="shared" si="5"/>
        <v>832</v>
      </c>
      <c r="U26" s="26" t="s">
        <v>349</v>
      </c>
      <c r="V26" s="4">
        <v>62000</v>
      </c>
    </row>
    <row r="27" spans="2:22">
      <c r="B27" s="26" t="s">
        <v>352</v>
      </c>
      <c r="C27" s="4">
        <v>84000</v>
      </c>
      <c r="D27" s="41">
        <f t="shared" si="0"/>
        <v>84000000</v>
      </c>
      <c r="E27" s="2">
        <v>17183000000</v>
      </c>
      <c r="F27">
        <f t="shared" si="1"/>
        <v>4.8885526392364546E-3</v>
      </c>
      <c r="G27">
        <f t="shared" si="2"/>
        <v>2.5053832276086827E-3</v>
      </c>
      <c r="H27">
        <f t="shared" si="6"/>
        <v>0.48749999999999999</v>
      </c>
      <c r="I27" s="42">
        <f t="shared" si="3"/>
        <v>4.8885526392364546E-3</v>
      </c>
      <c r="J27" s="42">
        <f t="shared" si="4"/>
        <v>2.9331315835418727E-2</v>
      </c>
      <c r="K27">
        <f t="shared" si="5"/>
        <v>84</v>
      </c>
      <c r="U27" s="26" t="s">
        <v>350</v>
      </c>
      <c r="V27" s="4">
        <v>12000</v>
      </c>
    </row>
    <row r="28" spans="2:22">
      <c r="B28" s="26" t="s">
        <v>353</v>
      </c>
      <c r="C28" s="4">
        <v>194000</v>
      </c>
      <c r="D28" s="41">
        <f t="shared" si="0"/>
        <v>194000000</v>
      </c>
      <c r="E28" s="2">
        <v>24797000000</v>
      </c>
      <c r="F28">
        <f t="shared" si="1"/>
        <v>7.8235270395612365E-3</v>
      </c>
      <c r="G28">
        <f t="shared" si="2"/>
        <v>4.0095576077751336E-3</v>
      </c>
      <c r="H28">
        <f t="shared" si="6"/>
        <v>0.48749999999999999</v>
      </c>
      <c r="I28" s="42">
        <f t="shared" si="3"/>
        <v>7.8235270395612365E-3</v>
      </c>
      <c r="J28" s="42">
        <f t="shared" si="4"/>
        <v>4.6941162237367419E-2</v>
      </c>
      <c r="K28">
        <f t="shared" si="5"/>
        <v>194</v>
      </c>
      <c r="U28" s="26" t="s">
        <v>351</v>
      </c>
      <c r="V28" s="4">
        <v>832000</v>
      </c>
    </row>
    <row r="29" spans="2:22">
      <c r="B29" s="26" t="s">
        <v>354</v>
      </c>
      <c r="C29" s="4">
        <v>72000</v>
      </c>
      <c r="D29" s="41">
        <f t="shared" si="0"/>
        <v>72000000</v>
      </c>
      <c r="E29" s="2">
        <v>99045000000</v>
      </c>
      <c r="F29">
        <f t="shared" si="1"/>
        <v>7.2694229895502041E-4</v>
      </c>
      <c r="G29">
        <f t="shared" si="2"/>
        <v>3.7255792821444794E-4</v>
      </c>
      <c r="H29">
        <f t="shared" si="6"/>
        <v>0.48749999999999999</v>
      </c>
      <c r="I29" s="42">
        <f t="shared" si="3"/>
        <v>7.2694229895502041E-4</v>
      </c>
      <c r="J29" s="42">
        <f t="shared" si="4"/>
        <v>4.3616537937301225E-3</v>
      </c>
      <c r="K29">
        <f t="shared" si="5"/>
        <v>72</v>
      </c>
      <c r="U29" s="26" t="s">
        <v>352</v>
      </c>
      <c r="V29" s="4">
        <v>84000</v>
      </c>
    </row>
    <row r="30" spans="2:22">
      <c r="B30" s="26" t="s">
        <v>355</v>
      </c>
      <c r="C30" s="4">
        <v>46000</v>
      </c>
      <c r="D30" s="41">
        <f t="shared" si="0"/>
        <v>46000000</v>
      </c>
      <c r="E30" s="2">
        <v>20988000000</v>
      </c>
      <c r="F30">
        <f t="shared" si="1"/>
        <v>2.1917286068229465E-3</v>
      </c>
      <c r="G30">
        <f t="shared" si="2"/>
        <v>1.1232609109967601E-3</v>
      </c>
      <c r="H30">
        <f t="shared" si="6"/>
        <v>0.48749999999999999</v>
      </c>
      <c r="I30" s="42">
        <f t="shared" si="3"/>
        <v>2.1917286068229465E-3</v>
      </c>
      <c r="J30" s="42">
        <f t="shared" si="4"/>
        <v>1.3150371640937679E-2</v>
      </c>
      <c r="K30">
        <f t="shared" si="5"/>
        <v>46</v>
      </c>
      <c r="U30" s="26" t="s">
        <v>353</v>
      </c>
      <c r="V30" s="4">
        <v>194000</v>
      </c>
    </row>
    <row r="31" spans="2:22">
      <c r="B31" s="26" t="s">
        <v>356</v>
      </c>
      <c r="C31" s="4">
        <v>85000</v>
      </c>
      <c r="D31" s="41">
        <f t="shared" si="0"/>
        <v>85000000</v>
      </c>
      <c r="E31" s="2">
        <v>2307000000</v>
      </c>
      <c r="F31">
        <f t="shared" si="1"/>
        <v>3.6844386649328133E-2</v>
      </c>
      <c r="G31">
        <f t="shared" si="2"/>
        <v>1.8882748157780665E-2</v>
      </c>
      <c r="H31">
        <f t="shared" si="6"/>
        <v>0.48749999999999999</v>
      </c>
      <c r="I31" s="42">
        <f t="shared" si="3"/>
        <v>3.6844386649328133E-2</v>
      </c>
      <c r="J31" s="42">
        <f t="shared" si="4"/>
        <v>0.22106631989596881</v>
      </c>
      <c r="K31">
        <f t="shared" si="5"/>
        <v>85</v>
      </c>
      <c r="U31" s="26" t="s">
        <v>354</v>
      </c>
      <c r="V31" s="4">
        <v>72000</v>
      </c>
    </row>
    <row r="32" spans="2:22">
      <c r="B32" s="26" t="s">
        <v>357</v>
      </c>
      <c r="C32" s="4">
        <v>2681000</v>
      </c>
      <c r="D32" s="41">
        <f t="shared" si="0"/>
        <v>2681000000</v>
      </c>
      <c r="E32" s="2">
        <v>19328000000</v>
      </c>
      <c r="F32">
        <f t="shared" si="1"/>
        <v>0.13871067880794702</v>
      </c>
      <c r="G32">
        <f t="shared" si="2"/>
        <v>7.1089222889072837E-2</v>
      </c>
      <c r="H32">
        <f t="shared" si="6"/>
        <v>0.48749999999999999</v>
      </c>
      <c r="I32" s="42">
        <f t="shared" si="3"/>
        <v>0.13871067880794702</v>
      </c>
      <c r="J32" s="42">
        <f t="shared" si="4"/>
        <v>0.83226407284768211</v>
      </c>
      <c r="K32">
        <f t="shared" si="5"/>
        <v>2681</v>
      </c>
      <c r="U32" s="26" t="s">
        <v>355</v>
      </c>
      <c r="V32" s="4">
        <v>46000</v>
      </c>
    </row>
    <row r="33" spans="2:22">
      <c r="B33" s="26" t="s">
        <v>358</v>
      </c>
      <c r="C33" s="4">
        <v>118000</v>
      </c>
      <c r="D33" s="41">
        <f t="shared" si="0"/>
        <v>118000000</v>
      </c>
      <c r="E33" s="2">
        <v>9200000000</v>
      </c>
      <c r="F33">
        <f t="shared" si="1"/>
        <v>1.2826086956521739E-2</v>
      </c>
      <c r="G33">
        <f t="shared" si="2"/>
        <v>6.573369565217391E-3</v>
      </c>
      <c r="H33">
        <f t="shared" si="6"/>
        <v>0.48749999999999999</v>
      </c>
      <c r="I33" s="42">
        <f t="shared" si="3"/>
        <v>1.2826086956521739E-2</v>
      </c>
      <c r="J33" s="42">
        <f t="shared" si="4"/>
        <v>7.6956521739130437E-2</v>
      </c>
      <c r="K33">
        <f t="shared" si="5"/>
        <v>118</v>
      </c>
      <c r="U33" s="26" t="s">
        <v>356</v>
      </c>
      <c r="V33" s="4">
        <v>85000</v>
      </c>
    </row>
    <row r="34" spans="2:22">
      <c r="B34" s="26" t="s">
        <v>359</v>
      </c>
      <c r="C34" s="4">
        <v>137000</v>
      </c>
      <c r="D34" s="41">
        <f t="shared" si="0"/>
        <v>137000000</v>
      </c>
      <c r="E34" s="2">
        <v>47270000000</v>
      </c>
      <c r="F34">
        <f t="shared" si="1"/>
        <v>2.8982441294690079E-3</v>
      </c>
      <c r="G34">
        <f t="shared" si="2"/>
        <v>1.4853501163528664E-3</v>
      </c>
      <c r="H34">
        <f t="shared" si="6"/>
        <v>0.48749999999999999</v>
      </c>
      <c r="I34" s="42">
        <f t="shared" si="3"/>
        <v>2.8982441294690079E-3</v>
      </c>
      <c r="J34" s="42">
        <f t="shared" si="4"/>
        <v>1.7389464776814047E-2</v>
      </c>
      <c r="K34">
        <f t="shared" si="5"/>
        <v>137</v>
      </c>
      <c r="U34" s="26" t="s">
        <v>357</v>
      </c>
      <c r="V34" s="4">
        <v>2681000</v>
      </c>
    </row>
    <row r="35" spans="2:22">
      <c r="B35" s="26" t="s">
        <v>360</v>
      </c>
      <c r="C35" s="4">
        <v>24000</v>
      </c>
      <c r="D35" s="41">
        <f t="shared" si="0"/>
        <v>24000000</v>
      </c>
      <c r="E35" s="2">
        <v>10292000000</v>
      </c>
      <c r="F35">
        <f t="shared" si="1"/>
        <v>2.3319082782743881E-3</v>
      </c>
      <c r="G35">
        <f t="shared" si="2"/>
        <v>1.1951029926156238E-3</v>
      </c>
      <c r="H35">
        <f t="shared" si="6"/>
        <v>0.48749999999999999</v>
      </c>
      <c r="I35" s="42">
        <f t="shared" si="3"/>
        <v>2.3319082782743881E-3</v>
      </c>
      <c r="J35" s="42">
        <f t="shared" si="4"/>
        <v>1.3991449669646328E-2</v>
      </c>
      <c r="K35">
        <f t="shared" si="5"/>
        <v>24</v>
      </c>
      <c r="U35" s="26" t="s">
        <v>358</v>
      </c>
      <c r="V35" s="4">
        <v>118000</v>
      </c>
    </row>
    <row r="36" spans="2:22">
      <c r="B36" s="26" t="s">
        <v>361</v>
      </c>
      <c r="C36" s="4">
        <v>6000</v>
      </c>
      <c r="D36" s="41">
        <f t="shared" si="0"/>
        <v>6000000</v>
      </c>
      <c r="E36" s="2">
        <v>24792000000</v>
      </c>
      <c r="F36">
        <f t="shared" si="1"/>
        <v>2.4201355275895451E-4</v>
      </c>
      <c r="G36">
        <f t="shared" si="2"/>
        <v>1.2403194578896419E-4</v>
      </c>
      <c r="H36">
        <f t="shared" si="6"/>
        <v>0.48749999999999999</v>
      </c>
      <c r="I36" s="42">
        <f t="shared" si="3"/>
        <v>2.4201355275895451E-4</v>
      </c>
      <c r="J36" s="42">
        <f t="shared" si="4"/>
        <v>1.4520813165537271E-3</v>
      </c>
      <c r="K36">
        <f t="shared" si="5"/>
        <v>6</v>
      </c>
      <c r="U36" s="26" t="s">
        <v>359</v>
      </c>
      <c r="V36" s="4">
        <v>137000</v>
      </c>
    </row>
    <row r="37" spans="2:22">
      <c r="B37" s="26" t="s">
        <v>362</v>
      </c>
      <c r="C37" s="4">
        <v>6000</v>
      </c>
      <c r="D37" s="41">
        <f t="shared" si="0"/>
        <v>6000000</v>
      </c>
      <c r="E37" s="2">
        <v>10129000000</v>
      </c>
      <c r="F37">
        <f t="shared" si="1"/>
        <v>5.9235857439036434E-4</v>
      </c>
      <c r="G37">
        <f t="shared" si="2"/>
        <v>3.0358376937506172E-4</v>
      </c>
      <c r="H37">
        <f t="shared" si="6"/>
        <v>0.48749999999999999</v>
      </c>
      <c r="I37" s="42">
        <f t="shared" si="3"/>
        <v>5.9235857439036434E-4</v>
      </c>
      <c r="J37" s="42">
        <f t="shared" si="4"/>
        <v>3.5541514463421861E-3</v>
      </c>
      <c r="K37">
        <f t="shared" si="5"/>
        <v>6</v>
      </c>
      <c r="U37" s="26" t="s">
        <v>360</v>
      </c>
      <c r="V37" s="4">
        <v>24000</v>
      </c>
    </row>
    <row r="38" spans="2:22">
      <c r="B38" s="26" t="s">
        <v>363</v>
      </c>
      <c r="C38" s="4">
        <v>7000</v>
      </c>
      <c r="D38" s="41">
        <f t="shared" si="0"/>
        <v>7000000</v>
      </c>
      <c r="E38" s="2">
        <v>3116000000</v>
      </c>
      <c r="F38">
        <f t="shared" si="1"/>
        <v>2.2464698331193839E-3</v>
      </c>
      <c r="G38">
        <f t="shared" si="2"/>
        <v>1.1513157894736841E-3</v>
      </c>
      <c r="H38">
        <f t="shared" si="6"/>
        <v>0.48749999999999999</v>
      </c>
      <c r="I38" s="42">
        <f t="shared" si="3"/>
        <v>2.2464698331193839E-3</v>
      </c>
      <c r="J38" s="42">
        <f t="shared" si="4"/>
        <v>1.3478818998716304E-2</v>
      </c>
      <c r="K38">
        <f t="shared" si="5"/>
        <v>7</v>
      </c>
      <c r="U38" s="26" t="s">
        <v>361</v>
      </c>
      <c r="V38" s="4">
        <v>6000</v>
      </c>
    </row>
    <row r="39" spans="2:22">
      <c r="B39" s="26" t="s">
        <v>364</v>
      </c>
      <c r="C39" s="4">
        <v>6000</v>
      </c>
      <c r="D39" s="41">
        <f t="shared" si="0"/>
        <v>6000000</v>
      </c>
      <c r="E39" s="2">
        <v>5067000000</v>
      </c>
      <c r="F39">
        <f t="shared" si="1"/>
        <v>1.1841326228537595E-3</v>
      </c>
      <c r="G39">
        <f t="shared" si="2"/>
        <v>6.0686796921255166E-4</v>
      </c>
      <c r="H39">
        <f t="shared" si="6"/>
        <v>0.48749999999999999</v>
      </c>
      <c r="I39" s="42">
        <f t="shared" si="3"/>
        <v>1.1841326228537595E-3</v>
      </c>
      <c r="J39" s="42">
        <f t="shared" si="4"/>
        <v>7.1047957371225571E-3</v>
      </c>
      <c r="K39">
        <f t="shared" si="5"/>
        <v>6</v>
      </c>
      <c r="U39" s="26" t="s">
        <v>362</v>
      </c>
      <c r="V39" s="4">
        <v>6000</v>
      </c>
    </row>
    <row r="40" spans="2:22">
      <c r="B40" s="26" t="s">
        <v>365</v>
      </c>
      <c r="C40" s="4">
        <v>63000</v>
      </c>
      <c r="D40" s="41">
        <f t="shared" si="0"/>
        <v>63000000</v>
      </c>
      <c r="E40" s="2">
        <v>94225000000</v>
      </c>
      <c r="F40">
        <f t="shared" si="1"/>
        <v>6.686123640222871E-4</v>
      </c>
      <c r="G40">
        <f t="shared" si="2"/>
        <v>3.4266383656142213E-4</v>
      </c>
      <c r="H40">
        <f t="shared" si="6"/>
        <v>0.48749999999999999</v>
      </c>
      <c r="I40" s="42">
        <f t="shared" si="3"/>
        <v>6.686123640222871E-4</v>
      </c>
      <c r="J40" s="42">
        <f t="shared" si="4"/>
        <v>4.0116741841337228E-3</v>
      </c>
      <c r="K40">
        <f t="shared" si="5"/>
        <v>63</v>
      </c>
      <c r="U40" s="26" t="s">
        <v>363</v>
      </c>
      <c r="V40" s="4">
        <v>7000</v>
      </c>
    </row>
    <row r="41" spans="2:22">
      <c r="B41" s="26" t="s">
        <v>366</v>
      </c>
      <c r="C41" s="4">
        <v>87000</v>
      </c>
      <c r="D41" s="41">
        <f t="shared" si="0"/>
        <v>87000000</v>
      </c>
      <c r="E41" s="2">
        <v>46871000000</v>
      </c>
      <c r="F41">
        <f t="shared" si="1"/>
        <v>1.8561583921827996E-3</v>
      </c>
      <c r="G41">
        <f t="shared" si="2"/>
        <v>9.5128117599368469E-4</v>
      </c>
      <c r="H41">
        <f t="shared" si="6"/>
        <v>0.48749999999999999</v>
      </c>
      <c r="I41" s="42">
        <f t="shared" si="3"/>
        <v>1.8561583921827996E-3</v>
      </c>
      <c r="J41" s="42">
        <f t="shared" si="4"/>
        <v>1.1136950353096798E-2</v>
      </c>
      <c r="K41">
        <f t="shared" si="5"/>
        <v>87</v>
      </c>
      <c r="U41" s="26" t="s">
        <v>364</v>
      </c>
      <c r="V41" s="4">
        <v>6000</v>
      </c>
    </row>
    <row r="42" spans="2:22">
      <c r="B42" s="26" t="s">
        <v>367</v>
      </c>
      <c r="C42" s="4">
        <v>16000</v>
      </c>
      <c r="D42" s="41">
        <f t="shared" si="0"/>
        <v>16000000</v>
      </c>
      <c r="E42" s="2">
        <v>7366000000</v>
      </c>
      <c r="F42">
        <f t="shared" si="1"/>
        <v>2.1721422753190334E-3</v>
      </c>
      <c r="G42">
        <f t="shared" si="2"/>
        <v>1.1132229161010046E-3</v>
      </c>
      <c r="H42">
        <f t="shared" si="6"/>
        <v>0.48749999999999999</v>
      </c>
      <c r="I42" s="42">
        <f t="shared" si="3"/>
        <v>2.1721422753190334E-3</v>
      </c>
      <c r="J42" s="42">
        <f t="shared" si="4"/>
        <v>1.30328536519142E-2</v>
      </c>
      <c r="K42">
        <f t="shared" si="5"/>
        <v>16</v>
      </c>
      <c r="U42" s="26" t="s">
        <v>365</v>
      </c>
      <c r="V42" s="4">
        <v>63000</v>
      </c>
    </row>
    <row r="43" spans="2:22">
      <c r="B43" s="26" t="s">
        <v>368</v>
      </c>
      <c r="C43" s="4">
        <v>5000</v>
      </c>
      <c r="D43" s="41">
        <f t="shared" si="0"/>
        <v>5000000</v>
      </c>
      <c r="E43" s="2">
        <v>5012000000</v>
      </c>
      <c r="F43">
        <f t="shared" si="1"/>
        <v>9.9760574620909813E-4</v>
      </c>
      <c r="G43">
        <f t="shared" si="2"/>
        <v>5.112729449321628E-4</v>
      </c>
      <c r="H43">
        <f t="shared" si="6"/>
        <v>0.48749999999999999</v>
      </c>
      <c r="I43" s="42">
        <f t="shared" si="3"/>
        <v>9.9760574620909813E-4</v>
      </c>
      <c r="J43" s="42">
        <f t="shared" si="4"/>
        <v>5.9856344772545884E-3</v>
      </c>
      <c r="K43">
        <f t="shared" si="5"/>
        <v>5</v>
      </c>
      <c r="U43" s="26" t="s">
        <v>366</v>
      </c>
      <c r="V43" s="4">
        <v>87000</v>
      </c>
    </row>
    <row r="44" spans="2:22">
      <c r="B44" s="26" t="s">
        <v>369</v>
      </c>
      <c r="C44" s="4">
        <v>20000</v>
      </c>
      <c r="D44" s="41">
        <f t="shared" si="0"/>
        <v>20000000</v>
      </c>
      <c r="E44" s="2">
        <v>14013000000</v>
      </c>
      <c r="F44">
        <f t="shared" si="1"/>
        <v>1.4272461285948761E-3</v>
      </c>
      <c r="G44">
        <f t="shared" si="2"/>
        <v>7.31463640904874E-4</v>
      </c>
      <c r="H44">
        <f t="shared" si="6"/>
        <v>0.48749999999999999</v>
      </c>
      <c r="I44" s="42">
        <f t="shared" si="3"/>
        <v>1.4272461285948761E-3</v>
      </c>
      <c r="J44" s="42">
        <f t="shared" si="4"/>
        <v>8.5634767715692568E-3</v>
      </c>
      <c r="K44">
        <f t="shared" si="5"/>
        <v>20</v>
      </c>
      <c r="U44" s="26" t="s">
        <v>367</v>
      </c>
      <c r="V44" s="4">
        <v>16000</v>
      </c>
    </row>
    <row r="45" spans="2:22">
      <c r="B45" s="26" t="s">
        <v>370</v>
      </c>
      <c r="C45" s="4">
        <v>4000</v>
      </c>
      <c r="D45" s="41">
        <f t="shared" si="0"/>
        <v>4000000</v>
      </c>
      <c r="E45" s="2">
        <v>6968000000</v>
      </c>
      <c r="F45">
        <f t="shared" si="1"/>
        <v>5.7405281285878302E-4</v>
      </c>
      <c r="G45">
        <f t="shared" si="2"/>
        <v>2.9420206659012629E-4</v>
      </c>
      <c r="H45">
        <f t="shared" si="6"/>
        <v>0.48749999999999999</v>
      </c>
      <c r="I45" s="42">
        <f t="shared" si="3"/>
        <v>5.7405281285878302E-4</v>
      </c>
      <c r="J45" s="42">
        <f t="shared" si="4"/>
        <v>3.4443168771526979E-3</v>
      </c>
      <c r="K45">
        <f t="shared" si="5"/>
        <v>4</v>
      </c>
      <c r="U45" s="26" t="s">
        <v>368</v>
      </c>
      <c r="V45" s="4">
        <v>5000</v>
      </c>
    </row>
    <row r="46" spans="2:22">
      <c r="B46" s="26" t="s">
        <v>371</v>
      </c>
      <c r="C46" s="4">
        <v>8000</v>
      </c>
      <c r="D46" s="41">
        <f t="shared" si="0"/>
        <v>8000000</v>
      </c>
      <c r="E46" s="2">
        <v>24744000000</v>
      </c>
      <c r="F46">
        <f t="shared" si="1"/>
        <v>3.2331070158422246E-4</v>
      </c>
      <c r="G46">
        <f t="shared" si="2"/>
        <v>1.6569673456191399E-4</v>
      </c>
      <c r="H46">
        <f t="shared" si="6"/>
        <v>0.48749999999999999</v>
      </c>
      <c r="I46" s="42">
        <f t="shared" si="3"/>
        <v>3.2331070158422246E-4</v>
      </c>
      <c r="J46" s="42">
        <f t="shared" si="4"/>
        <v>1.9398642095053349E-3</v>
      </c>
      <c r="K46">
        <f t="shared" si="5"/>
        <v>8</v>
      </c>
      <c r="U46" s="26" t="s">
        <v>369</v>
      </c>
      <c r="V46" s="4">
        <v>20000</v>
      </c>
    </row>
    <row r="47" spans="2:22">
      <c r="B47" s="26" t="s">
        <v>372</v>
      </c>
      <c r="C47" s="4">
        <v>49000</v>
      </c>
      <c r="D47" s="41">
        <f t="shared" si="0"/>
        <v>49000000</v>
      </c>
      <c r="E47" s="2">
        <v>15174000000</v>
      </c>
      <c r="F47">
        <f t="shared" si="1"/>
        <v>3.2292078555423752E-3</v>
      </c>
      <c r="G47">
        <f t="shared" si="2"/>
        <v>1.6549690259654672E-3</v>
      </c>
      <c r="H47">
        <f t="shared" si="6"/>
        <v>0.48749999999999999</v>
      </c>
      <c r="I47" s="42">
        <f t="shared" si="3"/>
        <v>3.2292078555423752E-3</v>
      </c>
      <c r="J47" s="42">
        <f t="shared" si="4"/>
        <v>1.9375247133254253E-2</v>
      </c>
      <c r="K47">
        <f t="shared" si="5"/>
        <v>49</v>
      </c>
      <c r="U47" s="26" t="s">
        <v>370</v>
      </c>
      <c r="V47" s="4">
        <v>4000</v>
      </c>
    </row>
    <row r="48" spans="2:22">
      <c r="B48" s="43" t="s">
        <v>373</v>
      </c>
      <c r="C48" s="4">
        <v>10153000</v>
      </c>
      <c r="D48" s="41">
        <f t="shared" si="0"/>
        <v>10153000000</v>
      </c>
      <c r="E48" s="2">
        <v>27412000000</v>
      </c>
      <c r="F48">
        <f t="shared" si="1"/>
        <v>0.3703852327447833</v>
      </c>
      <c r="G48">
        <f t="shared" si="2"/>
        <v>0.2445940216239135</v>
      </c>
      <c r="H48">
        <f>1.8/5.3</f>
        <v>0.339622641509434</v>
      </c>
      <c r="I48" s="42">
        <f t="shared" si="3"/>
        <v>0.3703852327447833</v>
      </c>
      <c r="J48" s="42">
        <f t="shared" si="4"/>
        <v>2.2223113964687</v>
      </c>
      <c r="K48">
        <f t="shared" si="5"/>
        <v>10153</v>
      </c>
      <c r="U48" s="26" t="s">
        <v>371</v>
      </c>
      <c r="V48" s="4">
        <v>8000</v>
      </c>
    </row>
    <row r="49" spans="2:22">
      <c r="B49" s="26" t="s">
        <v>374</v>
      </c>
      <c r="C49" s="4">
        <v>188000</v>
      </c>
      <c r="D49" s="41">
        <f t="shared" si="0"/>
        <v>188000000</v>
      </c>
      <c r="E49" s="2">
        <v>9296000000</v>
      </c>
      <c r="F49">
        <f t="shared" si="1"/>
        <v>2.0223752151462996E-2</v>
      </c>
      <c r="G49">
        <f t="shared" si="2"/>
        <v>1.3355308024551035E-2</v>
      </c>
      <c r="H49">
        <f>$H$48</f>
        <v>0.339622641509434</v>
      </c>
      <c r="I49" s="42">
        <f t="shared" si="3"/>
        <v>2.0223752151462996E-2</v>
      </c>
      <c r="J49" s="42">
        <f t="shared" si="4"/>
        <v>0.12134251290877798</v>
      </c>
      <c r="K49">
        <f t="shared" si="5"/>
        <v>188</v>
      </c>
      <c r="U49" s="26" t="s">
        <v>372</v>
      </c>
      <c r="V49" s="4">
        <v>49000</v>
      </c>
    </row>
    <row r="50" spans="2:22">
      <c r="B50" s="26" t="s">
        <v>375</v>
      </c>
      <c r="C50" s="4">
        <v>756000</v>
      </c>
      <c r="D50" s="41">
        <f t="shared" si="0"/>
        <v>756000000</v>
      </c>
      <c r="E50" s="2">
        <v>12702000000</v>
      </c>
      <c r="F50">
        <f t="shared" si="1"/>
        <v>5.9518186112423238E-2</v>
      </c>
      <c r="G50">
        <f t="shared" si="2"/>
        <v>3.9304462527071947E-2</v>
      </c>
      <c r="H50">
        <f>$H$48</f>
        <v>0.339622641509434</v>
      </c>
      <c r="I50" s="42">
        <f t="shared" si="3"/>
        <v>5.9518186112423238E-2</v>
      </c>
      <c r="J50" s="42">
        <f t="shared" si="4"/>
        <v>0.35710911667453943</v>
      </c>
      <c r="K50">
        <f t="shared" si="5"/>
        <v>756</v>
      </c>
      <c r="U50" s="43" t="s">
        <v>373</v>
      </c>
      <c r="V50" s="4">
        <v>10153000</v>
      </c>
    </row>
    <row r="51" spans="2:22">
      <c r="B51" s="26" t="s">
        <v>376</v>
      </c>
      <c r="C51" s="4">
        <v>10000</v>
      </c>
      <c r="D51" s="41">
        <f t="shared" si="0"/>
        <v>10000000</v>
      </c>
      <c r="E51" s="2">
        <v>5330000000</v>
      </c>
      <c r="F51">
        <f t="shared" si="1"/>
        <v>1.876172607879925E-3</v>
      </c>
      <c r="G51">
        <f t="shared" si="2"/>
        <v>1.2389819108641013E-3</v>
      </c>
      <c r="H51">
        <f>$H$48</f>
        <v>0.339622641509434</v>
      </c>
      <c r="I51" s="42">
        <f t="shared" si="3"/>
        <v>1.876172607879925E-3</v>
      </c>
      <c r="J51" s="42">
        <f t="shared" si="4"/>
        <v>1.125703564727955E-2</v>
      </c>
      <c r="K51">
        <f t="shared" si="5"/>
        <v>10</v>
      </c>
      <c r="U51" s="26" t="s">
        <v>374</v>
      </c>
      <c r="V51" s="4">
        <v>188000</v>
      </c>
    </row>
    <row r="52" spans="2:22">
      <c r="B52" s="26" t="s">
        <v>377</v>
      </c>
      <c r="C52" s="4">
        <v>223000</v>
      </c>
      <c r="D52" s="41">
        <f t="shared" si="0"/>
        <v>223000000</v>
      </c>
      <c r="E52" s="2">
        <v>9965000000</v>
      </c>
      <c r="F52">
        <f t="shared" si="1"/>
        <v>2.2378324134470648E-2</v>
      </c>
      <c r="G52">
        <f t="shared" si="2"/>
        <v>1.4778138579367408E-2</v>
      </c>
      <c r="H52">
        <f>$H$48</f>
        <v>0.339622641509434</v>
      </c>
      <c r="I52" s="42">
        <f t="shared" si="3"/>
        <v>2.2378324134470648E-2</v>
      </c>
      <c r="J52" s="42">
        <f t="shared" si="4"/>
        <v>0.13426994480682389</v>
      </c>
      <c r="K52">
        <f t="shared" si="5"/>
        <v>223</v>
      </c>
      <c r="U52" s="26" t="s">
        <v>375</v>
      </c>
      <c r="V52" s="4">
        <v>756000</v>
      </c>
    </row>
    <row r="53" spans="2:22">
      <c r="B53" s="26" t="s">
        <v>378</v>
      </c>
      <c r="C53" s="4">
        <v>2376000</v>
      </c>
      <c r="D53" s="41">
        <f t="shared" si="0"/>
        <v>2376000000</v>
      </c>
      <c r="E53" s="2">
        <v>22176000000</v>
      </c>
      <c r="F53">
        <f t="shared" si="1"/>
        <v>0.10714285714285714</v>
      </c>
      <c r="G53">
        <f t="shared" si="2"/>
        <v>7.0754716981132074E-2</v>
      </c>
      <c r="H53">
        <f>$H$48</f>
        <v>0.339622641509434</v>
      </c>
      <c r="I53" s="42">
        <f t="shared" si="3"/>
        <v>0.10714285714285714</v>
      </c>
      <c r="J53" s="42">
        <f t="shared" si="4"/>
        <v>0.64285714285714279</v>
      </c>
      <c r="K53">
        <f t="shared" si="5"/>
        <v>2376</v>
      </c>
      <c r="U53" s="26" t="s">
        <v>376</v>
      </c>
      <c r="V53" s="4">
        <v>10000</v>
      </c>
    </row>
    <row r="54" spans="2:22">
      <c r="B54" s="26" t="s">
        <v>379</v>
      </c>
      <c r="C54" s="4">
        <v>485000</v>
      </c>
      <c r="D54" s="41">
        <f t="shared" si="0"/>
        <v>485000000</v>
      </c>
      <c r="E54" s="2">
        <v>69695000000</v>
      </c>
      <c r="F54">
        <f t="shared" si="1"/>
        <v>6.9588923165219887E-3</v>
      </c>
      <c r="G54">
        <f t="shared" si="2"/>
        <v>6.9588923165219887E-3</v>
      </c>
      <c r="I54" s="42">
        <f t="shared" si="3"/>
        <v>6.9588923165219887E-3</v>
      </c>
      <c r="J54" s="42">
        <f t="shared" si="4"/>
        <v>4.1753353899131929E-2</v>
      </c>
      <c r="K54">
        <f t="shared" si="5"/>
        <v>485</v>
      </c>
      <c r="U54" s="26" t="s">
        <v>377</v>
      </c>
      <c r="V54" s="4">
        <v>223000</v>
      </c>
    </row>
    <row r="55" spans="2:22">
      <c r="B55" s="26" t="s">
        <v>380</v>
      </c>
      <c r="C55" s="4">
        <v>324000</v>
      </c>
      <c r="D55" s="41">
        <f t="shared" si="0"/>
        <v>324000000</v>
      </c>
      <c r="E55" s="2">
        <v>84251000000</v>
      </c>
      <c r="F55">
        <f t="shared" si="1"/>
        <v>3.8456516836595411E-3</v>
      </c>
      <c r="G55">
        <f t="shared" si="2"/>
        <v>3.8456516836595411E-3</v>
      </c>
      <c r="I55" s="42">
        <f t="shared" si="3"/>
        <v>3.8456516836595411E-3</v>
      </c>
      <c r="J55" s="42">
        <f t="shared" si="4"/>
        <v>2.3073910101957248E-2</v>
      </c>
      <c r="K55">
        <f t="shared" si="5"/>
        <v>324</v>
      </c>
      <c r="U55" s="26" t="s">
        <v>378</v>
      </c>
      <c r="V55" s="4">
        <v>2376000</v>
      </c>
    </row>
    <row r="56" spans="2:22">
      <c r="B56" s="26" t="s">
        <v>381</v>
      </c>
      <c r="C56" s="4">
        <v>640000</v>
      </c>
      <c r="D56" s="41">
        <f t="shared" si="0"/>
        <v>640000000</v>
      </c>
      <c r="E56" s="2">
        <v>83917000000</v>
      </c>
      <c r="F56">
        <f t="shared" si="1"/>
        <v>7.6265834097977766E-3</v>
      </c>
      <c r="G56">
        <f t="shared" si="2"/>
        <v>7.6265834097977766E-3</v>
      </c>
      <c r="I56" s="42">
        <f t="shared" si="3"/>
        <v>7.6265834097977766E-3</v>
      </c>
      <c r="J56" s="42">
        <f t="shared" si="4"/>
        <v>4.5759500458786656E-2</v>
      </c>
      <c r="K56">
        <f t="shared" si="5"/>
        <v>640</v>
      </c>
      <c r="U56" s="26" t="s">
        <v>379</v>
      </c>
      <c r="V56" s="4">
        <v>485000</v>
      </c>
    </row>
    <row r="57" spans="2:22">
      <c r="B57" s="26" t="s">
        <v>382</v>
      </c>
      <c r="C57" s="4">
        <v>0</v>
      </c>
      <c r="D57" s="41">
        <f t="shared" si="0"/>
        <v>0</v>
      </c>
      <c r="E57" s="2">
        <v>26166000000</v>
      </c>
      <c r="F57">
        <f t="shared" si="1"/>
        <v>0</v>
      </c>
      <c r="G57">
        <f t="shared" si="2"/>
        <v>0</v>
      </c>
      <c r="I57" s="42">
        <f t="shared" si="3"/>
        <v>0</v>
      </c>
      <c r="J57" s="42">
        <f t="shared" si="4"/>
        <v>0</v>
      </c>
      <c r="K57">
        <f t="shared" si="5"/>
        <v>0</v>
      </c>
      <c r="U57" s="26" t="s">
        <v>380</v>
      </c>
      <c r="V57" s="4">
        <v>324000</v>
      </c>
    </row>
    <row r="58" spans="2:22">
      <c r="B58" s="26" t="s">
        <v>383</v>
      </c>
      <c r="C58" s="4">
        <v>183000</v>
      </c>
      <c r="D58" s="41">
        <f t="shared" si="0"/>
        <v>183000000</v>
      </c>
      <c r="E58" s="2">
        <v>24477000000</v>
      </c>
      <c r="F58">
        <f t="shared" si="1"/>
        <v>7.4764064223556805E-3</v>
      </c>
      <c r="G58">
        <f t="shared" si="2"/>
        <v>7.4764064223556805E-3</v>
      </c>
      <c r="I58" s="42">
        <f t="shared" si="3"/>
        <v>7.4764064223556805E-3</v>
      </c>
      <c r="J58" s="42">
        <f t="shared" si="4"/>
        <v>4.4858438534134085E-2</v>
      </c>
      <c r="K58">
        <f t="shared" si="5"/>
        <v>183</v>
      </c>
      <c r="U58" s="26" t="s">
        <v>381</v>
      </c>
      <c r="V58" s="4">
        <v>640000</v>
      </c>
    </row>
    <row r="59" spans="2:22">
      <c r="B59" s="26" t="s">
        <v>384</v>
      </c>
      <c r="C59" s="4">
        <v>103000</v>
      </c>
      <c r="D59" s="41">
        <f t="shared" si="0"/>
        <v>103000000</v>
      </c>
      <c r="E59" s="2">
        <v>19765000000</v>
      </c>
      <c r="F59">
        <f t="shared" si="1"/>
        <v>5.2112319757146473E-3</v>
      </c>
      <c r="G59">
        <f t="shared" si="2"/>
        <v>5.2112319757146473E-3</v>
      </c>
      <c r="I59" s="42">
        <f t="shared" si="3"/>
        <v>5.2112319757146473E-3</v>
      </c>
      <c r="J59" s="42">
        <f t="shared" si="4"/>
        <v>3.1267391854287882E-2</v>
      </c>
      <c r="K59">
        <f t="shared" si="5"/>
        <v>103</v>
      </c>
      <c r="U59" s="26" t="s">
        <v>382</v>
      </c>
      <c r="V59" s="4">
        <v>0</v>
      </c>
    </row>
    <row r="60" spans="2:22">
      <c r="B60" s="26" t="s">
        <v>385</v>
      </c>
      <c r="C60" s="4">
        <v>688000</v>
      </c>
      <c r="D60" s="41">
        <f t="shared" si="0"/>
        <v>688000000</v>
      </c>
      <c r="E60" s="2">
        <v>287819000000</v>
      </c>
      <c r="F60">
        <f t="shared" si="1"/>
        <v>2.3903911833478681E-3</v>
      </c>
      <c r="G60">
        <f t="shared" si="2"/>
        <v>2.3903911833478681E-3</v>
      </c>
      <c r="I60" s="42">
        <f t="shared" si="3"/>
        <v>2.3903911833478681E-3</v>
      </c>
      <c r="J60" s="42">
        <f t="shared" si="4"/>
        <v>1.4342347100087208E-2</v>
      </c>
      <c r="K60">
        <f t="shared" si="5"/>
        <v>688</v>
      </c>
      <c r="U60" s="26" t="s">
        <v>383</v>
      </c>
      <c r="V60" s="4">
        <v>183000</v>
      </c>
    </row>
    <row r="61" spans="2:22">
      <c r="B61" s="26" t="s">
        <v>386</v>
      </c>
      <c r="C61" s="4">
        <v>202000</v>
      </c>
      <c r="D61" s="41">
        <f t="shared" si="0"/>
        <v>202000000</v>
      </c>
      <c r="E61" s="2">
        <v>99842000000</v>
      </c>
      <c r="F61">
        <f t="shared" si="1"/>
        <v>2.023196650708119E-3</v>
      </c>
      <c r="G61">
        <f t="shared" si="2"/>
        <v>2.023196650708119E-3</v>
      </c>
      <c r="I61" s="42">
        <f t="shared" si="3"/>
        <v>2.023196650708119E-3</v>
      </c>
      <c r="J61" s="42">
        <f t="shared" si="4"/>
        <v>1.2139179904248714E-2</v>
      </c>
      <c r="K61">
        <f t="shared" si="5"/>
        <v>202</v>
      </c>
      <c r="U61" s="26" t="s">
        <v>384</v>
      </c>
      <c r="V61" s="4">
        <v>103000</v>
      </c>
    </row>
    <row r="62" spans="2:22">
      <c r="B62" s="26" t="s">
        <v>387</v>
      </c>
      <c r="C62" s="4">
        <v>259000</v>
      </c>
      <c r="D62" s="41">
        <f t="shared" si="0"/>
        <v>259000000</v>
      </c>
      <c r="E62" s="2">
        <v>8476000000</v>
      </c>
      <c r="F62">
        <f t="shared" si="1"/>
        <v>3.0556866446436997E-2</v>
      </c>
      <c r="G62">
        <f t="shared" si="2"/>
        <v>3.0556866446436997E-2</v>
      </c>
      <c r="I62" s="42">
        <f t="shared" si="3"/>
        <v>3.0556866446436997E-2</v>
      </c>
      <c r="J62" s="42">
        <f t="shared" si="4"/>
        <v>0.18334119867862197</v>
      </c>
      <c r="K62">
        <f t="shared" si="5"/>
        <v>259</v>
      </c>
      <c r="U62" s="26" t="s">
        <v>385</v>
      </c>
      <c r="V62" s="4">
        <v>688000</v>
      </c>
    </row>
    <row r="63" spans="2:22">
      <c r="B63" s="26" t="s">
        <v>388</v>
      </c>
      <c r="C63" s="4">
        <v>226000</v>
      </c>
      <c r="D63" s="41">
        <f t="shared" si="0"/>
        <v>226000000</v>
      </c>
      <c r="E63" s="2">
        <v>25973000000</v>
      </c>
      <c r="F63">
        <f t="shared" si="1"/>
        <v>8.7013437030762711E-3</v>
      </c>
      <c r="G63">
        <f t="shared" si="2"/>
        <v>8.7013437030762711E-3</v>
      </c>
      <c r="I63" s="42">
        <f t="shared" si="3"/>
        <v>8.7013437030762711E-3</v>
      </c>
      <c r="J63" s="42">
        <f t="shared" si="4"/>
        <v>5.2208062218457627E-2</v>
      </c>
      <c r="K63">
        <f t="shared" si="5"/>
        <v>226</v>
      </c>
      <c r="U63" s="26" t="s">
        <v>386</v>
      </c>
      <c r="V63" s="4">
        <v>202000</v>
      </c>
    </row>
    <row r="64" spans="2:22">
      <c r="B64" s="26" t="s">
        <v>389</v>
      </c>
      <c r="C64" s="4">
        <v>2698000</v>
      </c>
      <c r="D64" s="41">
        <f t="shared" si="0"/>
        <v>2698000000</v>
      </c>
      <c r="E64" s="2">
        <v>46699000000</v>
      </c>
      <c r="F64">
        <f t="shared" si="1"/>
        <v>5.777425640806013E-2</v>
      </c>
      <c r="G64">
        <f t="shared" si="2"/>
        <v>5.777425640806013E-2</v>
      </c>
      <c r="I64" s="42">
        <f t="shared" si="3"/>
        <v>5.777425640806013E-2</v>
      </c>
      <c r="J64" s="42">
        <f t="shared" si="4"/>
        <v>0.34664553844836077</v>
      </c>
      <c r="K64">
        <f t="shared" si="5"/>
        <v>2698</v>
      </c>
      <c r="U64" s="26" t="s">
        <v>387</v>
      </c>
      <c r="V64" s="4">
        <v>259000</v>
      </c>
    </row>
    <row r="65" spans="2:22">
      <c r="B65" s="26" t="s">
        <v>390</v>
      </c>
      <c r="C65" s="35">
        <v>33891000</v>
      </c>
      <c r="D65" s="41">
        <f t="shared" si="0"/>
        <v>33891000000</v>
      </c>
      <c r="E65" s="2">
        <v>181599000000</v>
      </c>
      <c r="F65">
        <f t="shared" si="1"/>
        <v>0.18662547701253862</v>
      </c>
      <c r="G65">
        <f t="shared" si="2"/>
        <v>0</v>
      </c>
      <c r="H65">
        <v>1</v>
      </c>
      <c r="I65" s="42">
        <f t="shared" si="3"/>
        <v>0.18662547701253862</v>
      </c>
      <c r="J65" s="42">
        <f t="shared" si="4"/>
        <v>1.1197528620752317</v>
      </c>
      <c r="K65">
        <f t="shared" si="5"/>
        <v>33891</v>
      </c>
      <c r="U65" s="26" t="s">
        <v>388</v>
      </c>
      <c r="V65" s="4">
        <v>226000</v>
      </c>
    </row>
    <row r="66" spans="2:22">
      <c r="B66" s="26" t="s">
        <v>391</v>
      </c>
      <c r="C66" s="4">
        <v>3866000</v>
      </c>
      <c r="D66" s="41">
        <f t="shared" si="0"/>
        <v>3866000000</v>
      </c>
      <c r="E66" s="2">
        <v>20731000000</v>
      </c>
      <c r="F66">
        <f t="shared" si="1"/>
        <v>0.18648400945444021</v>
      </c>
      <c r="G66">
        <f t="shared" si="2"/>
        <v>0</v>
      </c>
      <c r="H66">
        <v>1</v>
      </c>
      <c r="I66" s="42">
        <f>C66*1000/E66</f>
        <v>0.18648400945444021</v>
      </c>
      <c r="J66" s="42">
        <f t="shared" si="4"/>
        <v>1.1189040567266413</v>
      </c>
      <c r="K66">
        <f t="shared" si="5"/>
        <v>3866</v>
      </c>
      <c r="U66" s="26" t="s">
        <v>389</v>
      </c>
      <c r="V66" s="4">
        <v>2698000</v>
      </c>
    </row>
    <row r="67" spans="2:22">
      <c r="B67" s="26" t="s">
        <v>392</v>
      </c>
      <c r="C67" s="4">
        <v>456000</v>
      </c>
      <c r="D67" s="41">
        <f t="shared" si="0"/>
        <v>456000000</v>
      </c>
      <c r="E67" s="2">
        <v>52908000000</v>
      </c>
      <c r="F67">
        <f t="shared" si="1"/>
        <v>8.6187344068949876E-3</v>
      </c>
      <c r="G67">
        <f t="shared" si="2"/>
        <v>8.6187344068949876E-3</v>
      </c>
      <c r="I67" s="42">
        <f t="shared" si="3"/>
        <v>8.6187344068949876E-3</v>
      </c>
      <c r="J67" s="42">
        <f t="shared" si="4"/>
        <v>5.1712406441369929E-2</v>
      </c>
      <c r="K67">
        <f t="shared" si="5"/>
        <v>456</v>
      </c>
      <c r="U67" s="26" t="s">
        <v>390</v>
      </c>
      <c r="V67" s="35"/>
    </row>
    <row r="68" spans="2:22">
      <c r="B68" s="26" t="s">
        <v>393</v>
      </c>
      <c r="C68" s="4">
        <v>89000</v>
      </c>
      <c r="D68" s="41">
        <f t="shared" si="0"/>
        <v>89000000</v>
      </c>
      <c r="E68" s="2">
        <v>15065000000</v>
      </c>
      <c r="F68">
        <f t="shared" si="1"/>
        <v>5.9077331563226016E-3</v>
      </c>
      <c r="G68">
        <f t="shared" si="2"/>
        <v>5.9077331563226016E-3</v>
      </c>
      <c r="I68" s="42">
        <f t="shared" si="3"/>
        <v>5.9077331563226016E-3</v>
      </c>
      <c r="J68" s="42">
        <f t="shared" si="4"/>
        <v>3.5446398937935608E-2</v>
      </c>
      <c r="K68">
        <f t="shared" si="5"/>
        <v>89</v>
      </c>
      <c r="U68" s="26" t="s">
        <v>391</v>
      </c>
      <c r="V68" s="4">
        <v>3866000</v>
      </c>
    </row>
    <row r="69" spans="2:22">
      <c r="B69" s="26" t="s">
        <v>394</v>
      </c>
      <c r="C69" s="4">
        <v>26000</v>
      </c>
      <c r="D69" s="41">
        <f t="shared" si="0"/>
        <v>26000000</v>
      </c>
      <c r="E69" s="2">
        <v>17462000000</v>
      </c>
      <c r="F69">
        <f t="shared" si="1"/>
        <v>1.488947428702325E-3</v>
      </c>
      <c r="G69">
        <f t="shared" si="2"/>
        <v>1.488947428702325E-3</v>
      </c>
      <c r="I69" s="42">
        <f t="shared" si="3"/>
        <v>1.488947428702325E-3</v>
      </c>
      <c r="J69" s="42">
        <f t="shared" si="4"/>
        <v>8.9336845722139506E-3</v>
      </c>
      <c r="K69">
        <f t="shared" si="5"/>
        <v>26</v>
      </c>
      <c r="U69" s="26" t="s">
        <v>392</v>
      </c>
      <c r="V69" s="4">
        <v>456000</v>
      </c>
    </row>
    <row r="70" spans="2:22">
      <c r="B70" s="26" t="s">
        <v>395</v>
      </c>
      <c r="C70" s="4">
        <v>116000</v>
      </c>
      <c r="D70" s="41">
        <f t="shared" si="0"/>
        <v>116000000</v>
      </c>
      <c r="E70" s="2">
        <v>50802000000</v>
      </c>
      <c r="F70">
        <f t="shared" si="1"/>
        <v>2.2833746702885715E-3</v>
      </c>
      <c r="G70">
        <f t="shared" si="2"/>
        <v>2.2833746702885715E-3</v>
      </c>
      <c r="I70" s="42">
        <f t="shared" si="3"/>
        <v>2.2833746702885715E-3</v>
      </c>
      <c r="J70" s="42">
        <f t="shared" si="4"/>
        <v>1.3700248021731429E-2</v>
      </c>
      <c r="K70">
        <f t="shared" si="5"/>
        <v>116</v>
      </c>
      <c r="U70" s="26" t="s">
        <v>393</v>
      </c>
      <c r="V70" s="4">
        <v>89000</v>
      </c>
    </row>
    <row r="71" spans="2:22">
      <c r="B71" s="26" t="s">
        <v>396</v>
      </c>
      <c r="C71" s="4">
        <v>7000</v>
      </c>
      <c r="D71" s="41">
        <f t="shared" si="0"/>
        <v>7000000</v>
      </c>
      <c r="E71" s="2">
        <v>14707000000</v>
      </c>
      <c r="F71">
        <f t="shared" si="1"/>
        <v>4.7596382674916705E-4</v>
      </c>
      <c r="G71">
        <f t="shared" si="2"/>
        <v>4.7596382674916705E-4</v>
      </c>
      <c r="I71" s="42">
        <f t="shared" si="3"/>
        <v>4.7596382674916705E-4</v>
      </c>
      <c r="J71" s="42">
        <f t="shared" si="4"/>
        <v>2.8557829604950024E-3</v>
      </c>
      <c r="K71">
        <f t="shared" si="5"/>
        <v>7</v>
      </c>
      <c r="U71" s="26" t="s">
        <v>394</v>
      </c>
      <c r="V71" s="4">
        <v>26000</v>
      </c>
    </row>
    <row r="72" spans="2:22">
      <c r="B72" s="26" t="s">
        <v>397</v>
      </c>
      <c r="C72" s="4">
        <v>2000</v>
      </c>
      <c r="D72" s="41">
        <f t="shared" ref="D72:D124" si="7">C72*$D$4</f>
        <v>2000000</v>
      </c>
      <c r="E72" s="2">
        <v>10518000000</v>
      </c>
      <c r="F72">
        <f t="shared" ref="F72:F123" si="8">D72/E72</f>
        <v>1.9015021867275147E-4</v>
      </c>
      <c r="G72">
        <f t="shared" ref="G72:G123" si="9">C72*$D$4/E72*(1-H72)</f>
        <v>1.9015021867275147E-4</v>
      </c>
      <c r="I72" s="42">
        <f t="shared" ref="I72:I123" si="10">C72*1000/E72</f>
        <v>1.9015021867275147E-4</v>
      </c>
      <c r="J72" s="42">
        <f t="shared" ref="J72:J123" si="11">I72*6</f>
        <v>1.1409013120365088E-3</v>
      </c>
      <c r="K72">
        <f t="shared" ref="K72:K123" si="12">C72/1000</f>
        <v>2</v>
      </c>
      <c r="U72" s="26" t="s">
        <v>395</v>
      </c>
      <c r="V72" s="4">
        <v>116000</v>
      </c>
    </row>
    <row r="73" spans="2:22">
      <c r="B73" s="26" t="s">
        <v>398</v>
      </c>
      <c r="C73" s="4">
        <v>14000</v>
      </c>
      <c r="D73" s="41">
        <f t="shared" si="7"/>
        <v>14000000</v>
      </c>
      <c r="E73" s="2">
        <v>15048000000</v>
      </c>
      <c r="F73">
        <f t="shared" si="8"/>
        <v>9.3035619351408824E-4</v>
      </c>
      <c r="G73">
        <f t="shared" si="9"/>
        <v>9.3035619351408824E-4</v>
      </c>
      <c r="I73" s="42">
        <f t="shared" si="10"/>
        <v>9.3035619351408824E-4</v>
      </c>
      <c r="J73" s="42">
        <f t="shared" si="11"/>
        <v>5.5821371610845294E-3</v>
      </c>
      <c r="K73">
        <f t="shared" si="12"/>
        <v>14</v>
      </c>
      <c r="U73" s="26" t="s">
        <v>396</v>
      </c>
      <c r="V73" s="4">
        <v>7000</v>
      </c>
    </row>
    <row r="74" spans="2:22">
      <c r="B74" s="26" t="s">
        <v>399</v>
      </c>
      <c r="C74" s="4">
        <v>11000</v>
      </c>
      <c r="D74" s="41">
        <f t="shared" si="7"/>
        <v>11000000</v>
      </c>
      <c r="E74" s="2">
        <v>10960000000</v>
      </c>
      <c r="F74">
        <f t="shared" si="8"/>
        <v>1.0036496350364964E-3</v>
      </c>
      <c r="G74">
        <f t="shared" si="9"/>
        <v>1.0036496350364964E-3</v>
      </c>
      <c r="I74" s="42">
        <f t="shared" si="10"/>
        <v>1.0036496350364964E-3</v>
      </c>
      <c r="J74" s="42">
        <f t="shared" si="11"/>
        <v>6.0218978102189787E-3</v>
      </c>
      <c r="K74">
        <f t="shared" si="12"/>
        <v>11</v>
      </c>
      <c r="U74" s="26" t="s">
        <v>397</v>
      </c>
      <c r="V74" s="4">
        <v>2000</v>
      </c>
    </row>
    <row r="75" spans="2:22">
      <c r="B75" s="26" t="s">
        <v>400</v>
      </c>
      <c r="C75" s="4">
        <v>21000</v>
      </c>
      <c r="D75" s="41">
        <f t="shared" si="7"/>
        <v>21000000</v>
      </c>
      <c r="E75" s="2">
        <v>41610000000</v>
      </c>
      <c r="F75">
        <f t="shared" si="8"/>
        <v>5.0468637346791638E-4</v>
      </c>
      <c r="G75">
        <f t="shared" si="9"/>
        <v>5.0468637346791638E-4</v>
      </c>
      <c r="I75" s="42">
        <f t="shared" si="10"/>
        <v>5.0468637346791638E-4</v>
      </c>
      <c r="J75" s="42">
        <f t="shared" si="11"/>
        <v>3.0281182408074983E-3</v>
      </c>
      <c r="K75">
        <f t="shared" si="12"/>
        <v>21</v>
      </c>
      <c r="U75" s="26" t="s">
        <v>398</v>
      </c>
      <c r="V75" s="4">
        <v>14000</v>
      </c>
    </row>
    <row r="76" spans="2:22">
      <c r="B76" s="26" t="s">
        <v>401</v>
      </c>
      <c r="C76" s="4">
        <v>27000</v>
      </c>
      <c r="D76" s="41">
        <f t="shared" si="7"/>
        <v>27000000</v>
      </c>
      <c r="E76" s="2">
        <v>70369000000</v>
      </c>
      <c r="F76">
        <f t="shared" si="8"/>
        <v>3.8369168241697338E-4</v>
      </c>
      <c r="G76">
        <f t="shared" si="9"/>
        <v>3.8369168241697338E-4</v>
      </c>
      <c r="I76" s="42">
        <f t="shared" si="10"/>
        <v>3.8369168241697338E-4</v>
      </c>
      <c r="J76" s="42">
        <f t="shared" si="11"/>
        <v>2.3021500945018402E-3</v>
      </c>
      <c r="K76">
        <f t="shared" si="12"/>
        <v>27</v>
      </c>
      <c r="U76" s="26" t="s">
        <v>399</v>
      </c>
      <c r="V76" s="4">
        <v>11000</v>
      </c>
    </row>
    <row r="77" spans="2:22">
      <c r="B77" s="26" t="s">
        <v>402</v>
      </c>
      <c r="C77" s="4">
        <v>3000</v>
      </c>
      <c r="D77" s="41">
        <f t="shared" si="7"/>
        <v>3000000</v>
      </c>
      <c r="E77" s="2">
        <v>9872000000</v>
      </c>
      <c r="F77">
        <f t="shared" si="8"/>
        <v>3.0388978930307944E-4</v>
      </c>
      <c r="G77">
        <f t="shared" si="9"/>
        <v>3.0388978930307944E-4</v>
      </c>
      <c r="I77" s="42">
        <f t="shared" si="10"/>
        <v>3.0388978930307944E-4</v>
      </c>
      <c r="J77" s="42">
        <f t="shared" si="11"/>
        <v>1.8233387358184768E-3</v>
      </c>
      <c r="K77">
        <f t="shared" si="12"/>
        <v>3</v>
      </c>
      <c r="U77" s="26" t="s">
        <v>400</v>
      </c>
      <c r="V77" s="4">
        <v>21000</v>
      </c>
    </row>
    <row r="78" spans="2:22">
      <c r="B78" s="26" t="s">
        <v>403</v>
      </c>
      <c r="C78" s="4">
        <v>11000</v>
      </c>
      <c r="D78" s="41">
        <f t="shared" si="7"/>
        <v>11000000</v>
      </c>
      <c r="E78" s="2">
        <v>68012000000</v>
      </c>
      <c r="F78">
        <f t="shared" si="8"/>
        <v>1.6173616420631654E-4</v>
      </c>
      <c r="G78">
        <f t="shared" si="9"/>
        <v>1.6173616420631654E-4</v>
      </c>
      <c r="I78" s="42">
        <f t="shared" si="10"/>
        <v>1.6173616420631654E-4</v>
      </c>
      <c r="J78" s="42">
        <f t="shared" si="11"/>
        <v>9.7041698523789928E-4</v>
      </c>
      <c r="K78">
        <f t="shared" si="12"/>
        <v>11</v>
      </c>
      <c r="U78" s="26" t="s">
        <v>401</v>
      </c>
      <c r="V78" s="4">
        <v>27000</v>
      </c>
    </row>
    <row r="79" spans="2:22">
      <c r="B79" s="26" t="s">
        <v>404</v>
      </c>
      <c r="C79" s="4">
        <v>33000</v>
      </c>
      <c r="D79" s="41">
        <f t="shared" si="7"/>
        <v>33000000</v>
      </c>
      <c r="E79" s="2">
        <v>57131000000</v>
      </c>
      <c r="F79">
        <f t="shared" si="8"/>
        <v>5.7761985612014496E-4</v>
      </c>
      <c r="G79">
        <f t="shared" si="9"/>
        <v>5.7761985612014496E-4</v>
      </c>
      <c r="I79" s="42">
        <f t="shared" si="10"/>
        <v>5.7761985612014496E-4</v>
      </c>
      <c r="J79" s="42">
        <f t="shared" si="11"/>
        <v>3.4657191367208698E-3</v>
      </c>
      <c r="K79">
        <f t="shared" si="12"/>
        <v>33</v>
      </c>
      <c r="U79" s="26" t="s">
        <v>402</v>
      </c>
      <c r="V79" s="4">
        <v>3000</v>
      </c>
    </row>
    <row r="80" spans="2:22">
      <c r="B80" s="26" t="s">
        <v>405</v>
      </c>
      <c r="C80" s="4">
        <v>7000</v>
      </c>
      <c r="D80" s="41">
        <f t="shared" si="7"/>
        <v>7000000</v>
      </c>
      <c r="E80" s="2">
        <v>29625000000</v>
      </c>
      <c r="F80">
        <f t="shared" si="8"/>
        <v>2.3628691983122363E-4</v>
      </c>
      <c r="G80">
        <f t="shared" si="9"/>
        <v>2.3628691983122363E-4</v>
      </c>
      <c r="I80" s="42">
        <f t="shared" si="10"/>
        <v>2.3628691983122363E-4</v>
      </c>
      <c r="J80" s="42">
        <f t="shared" si="11"/>
        <v>1.4177215189873419E-3</v>
      </c>
      <c r="K80">
        <f t="shared" si="12"/>
        <v>7</v>
      </c>
      <c r="U80" s="26" t="s">
        <v>403</v>
      </c>
      <c r="V80" s="4">
        <v>11000</v>
      </c>
    </row>
    <row r="81" spans="2:22">
      <c r="B81" s="26" t="s">
        <v>406</v>
      </c>
      <c r="C81" s="4">
        <v>4000</v>
      </c>
      <c r="D81" s="41">
        <f t="shared" si="7"/>
        <v>4000000</v>
      </c>
      <c r="E81" s="2">
        <v>19636000000</v>
      </c>
      <c r="F81">
        <f t="shared" si="8"/>
        <v>2.0370747606437156E-4</v>
      </c>
      <c r="G81">
        <f t="shared" si="9"/>
        <v>2.0370747606437156E-4</v>
      </c>
      <c r="I81" s="42">
        <f t="shared" si="10"/>
        <v>2.0370747606437156E-4</v>
      </c>
      <c r="J81" s="42">
        <f t="shared" si="11"/>
        <v>1.2222448563862294E-3</v>
      </c>
      <c r="K81">
        <f t="shared" si="12"/>
        <v>4</v>
      </c>
      <c r="U81" s="26" t="s">
        <v>404</v>
      </c>
      <c r="V81" s="4">
        <v>33000</v>
      </c>
    </row>
    <row r="82" spans="2:22">
      <c r="B82" s="26" t="s">
        <v>407</v>
      </c>
      <c r="C82" s="4">
        <v>17000</v>
      </c>
      <c r="D82" s="41">
        <f t="shared" si="7"/>
        <v>17000000</v>
      </c>
      <c r="E82" s="2">
        <v>13698000000</v>
      </c>
      <c r="F82">
        <f t="shared" si="8"/>
        <v>1.2410570886260768E-3</v>
      </c>
      <c r="G82">
        <f t="shared" si="9"/>
        <v>1.2410570886260768E-3</v>
      </c>
      <c r="I82" s="42">
        <f t="shared" si="10"/>
        <v>1.2410570886260768E-3</v>
      </c>
      <c r="J82" s="42">
        <f t="shared" si="11"/>
        <v>7.4463425317564608E-3</v>
      </c>
      <c r="K82">
        <f t="shared" si="12"/>
        <v>17</v>
      </c>
      <c r="U82" s="26" t="s">
        <v>405</v>
      </c>
      <c r="V82" s="4">
        <v>7000</v>
      </c>
    </row>
    <row r="83" spans="2:22">
      <c r="B83" s="26" t="s">
        <v>408</v>
      </c>
      <c r="C83" s="4">
        <v>56000</v>
      </c>
      <c r="D83" s="41">
        <f t="shared" si="7"/>
        <v>56000000</v>
      </c>
      <c r="E83" s="2">
        <v>63802000000</v>
      </c>
      <c r="F83">
        <f t="shared" si="8"/>
        <v>8.7771543211811543E-4</v>
      </c>
      <c r="G83">
        <f t="shared" si="9"/>
        <v>8.7771543211811543E-4</v>
      </c>
      <c r="I83" s="42">
        <f t="shared" si="10"/>
        <v>8.7771543211811543E-4</v>
      </c>
      <c r="J83" s="42">
        <f t="shared" si="11"/>
        <v>5.2662925927086926E-3</v>
      </c>
      <c r="K83">
        <f t="shared" si="12"/>
        <v>56</v>
      </c>
      <c r="U83" s="26" t="s">
        <v>406</v>
      </c>
      <c r="V83" s="4">
        <v>4000</v>
      </c>
    </row>
    <row r="84" spans="2:22">
      <c r="B84" s="26" t="s">
        <v>409</v>
      </c>
      <c r="C84" s="4">
        <v>28000</v>
      </c>
      <c r="D84" s="41">
        <f t="shared" si="7"/>
        <v>28000000</v>
      </c>
      <c r="E84" s="2">
        <v>76193000000</v>
      </c>
      <c r="F84">
        <f t="shared" si="8"/>
        <v>3.6748782696573179E-4</v>
      </c>
      <c r="G84">
        <f t="shared" si="9"/>
        <v>3.6748782696573179E-4</v>
      </c>
      <c r="I84" s="42">
        <f t="shared" si="10"/>
        <v>3.6748782696573179E-4</v>
      </c>
      <c r="J84" s="42">
        <f t="shared" si="11"/>
        <v>2.2049269617943909E-3</v>
      </c>
      <c r="K84">
        <f t="shared" si="12"/>
        <v>28</v>
      </c>
      <c r="U84" s="26" t="s">
        <v>407</v>
      </c>
      <c r="V84" s="4">
        <v>17000</v>
      </c>
    </row>
    <row r="85" spans="2:22">
      <c r="B85" s="26" t="s">
        <v>410</v>
      </c>
      <c r="C85" s="4">
        <v>7000</v>
      </c>
      <c r="D85" s="41">
        <f t="shared" si="7"/>
        <v>7000000</v>
      </c>
      <c r="E85" s="2">
        <v>120560000000</v>
      </c>
      <c r="F85">
        <f t="shared" si="8"/>
        <v>5.8062375580623758E-5</v>
      </c>
      <c r="G85">
        <f t="shared" si="9"/>
        <v>5.8062375580623758E-5</v>
      </c>
      <c r="I85" s="42">
        <f t="shared" si="10"/>
        <v>5.8062375580623758E-5</v>
      </c>
      <c r="J85" s="42">
        <f t="shared" si="11"/>
        <v>3.4837425348374255E-4</v>
      </c>
      <c r="K85">
        <f t="shared" si="12"/>
        <v>7</v>
      </c>
      <c r="U85" s="26" t="s">
        <v>408</v>
      </c>
      <c r="V85" s="4">
        <v>56000</v>
      </c>
    </row>
    <row r="86" spans="2:22">
      <c r="B86" s="26" t="s">
        <v>411</v>
      </c>
      <c r="C86" s="4">
        <v>5000</v>
      </c>
      <c r="D86" s="41">
        <f t="shared" si="7"/>
        <v>5000000</v>
      </c>
      <c r="E86" s="2">
        <v>14191000000</v>
      </c>
      <c r="F86">
        <f t="shared" si="8"/>
        <v>3.5233598759777326E-4</v>
      </c>
      <c r="G86">
        <f t="shared" si="9"/>
        <v>3.5233598759777326E-4</v>
      </c>
      <c r="I86" s="42">
        <f t="shared" si="10"/>
        <v>3.5233598759777326E-4</v>
      </c>
      <c r="J86" s="42">
        <f t="shared" si="11"/>
        <v>2.1140159255866398E-3</v>
      </c>
      <c r="K86">
        <f t="shared" si="12"/>
        <v>5</v>
      </c>
      <c r="U86" s="26" t="s">
        <v>409</v>
      </c>
      <c r="V86" s="4">
        <v>28000</v>
      </c>
    </row>
    <row r="87" spans="2:22">
      <c r="B87" s="26" t="s">
        <v>412</v>
      </c>
      <c r="C87" s="4">
        <v>10000</v>
      </c>
      <c r="D87" s="41">
        <f t="shared" si="7"/>
        <v>10000000</v>
      </c>
      <c r="E87" s="2">
        <v>16578000000</v>
      </c>
      <c r="F87">
        <f t="shared" si="8"/>
        <v>6.0320907226444687E-4</v>
      </c>
      <c r="G87">
        <f t="shared" si="9"/>
        <v>6.0320907226444687E-4</v>
      </c>
      <c r="I87" s="42">
        <f t="shared" si="10"/>
        <v>6.0320907226444687E-4</v>
      </c>
      <c r="J87" s="42">
        <f t="shared" si="11"/>
        <v>3.619254433586681E-3</v>
      </c>
      <c r="K87">
        <f t="shared" si="12"/>
        <v>10</v>
      </c>
      <c r="U87" s="26" t="s">
        <v>410</v>
      </c>
      <c r="V87" s="4">
        <v>7000</v>
      </c>
    </row>
    <row r="88" spans="2:22">
      <c r="B88" s="26" t="s">
        <v>413</v>
      </c>
      <c r="C88" s="4">
        <v>40000</v>
      </c>
      <c r="D88" s="41">
        <f t="shared" si="7"/>
        <v>40000000</v>
      </c>
      <c r="E88" s="2">
        <v>33000000000</v>
      </c>
      <c r="F88">
        <f t="shared" si="8"/>
        <v>1.2121212121212121E-3</v>
      </c>
      <c r="G88">
        <f t="shared" si="9"/>
        <v>1.2121212121212121E-3</v>
      </c>
      <c r="I88" s="42">
        <f t="shared" si="10"/>
        <v>1.2121212121212121E-3</v>
      </c>
      <c r="J88" s="42">
        <f t="shared" si="11"/>
        <v>7.2727272727272727E-3</v>
      </c>
      <c r="K88">
        <f t="shared" si="12"/>
        <v>40</v>
      </c>
      <c r="U88" s="26" t="s">
        <v>411</v>
      </c>
      <c r="V88" s="4">
        <v>5000</v>
      </c>
    </row>
    <row r="89" spans="2:22">
      <c r="B89" s="26" t="s">
        <v>414</v>
      </c>
      <c r="C89" s="4">
        <v>53000</v>
      </c>
      <c r="D89" s="41">
        <f t="shared" si="7"/>
        <v>53000000</v>
      </c>
      <c r="E89" s="2">
        <v>65728000000</v>
      </c>
      <c r="F89">
        <f t="shared" si="8"/>
        <v>8.0635345666991238E-4</v>
      </c>
      <c r="G89">
        <f t="shared" si="9"/>
        <v>8.0635345666991238E-4</v>
      </c>
      <c r="I89" s="42">
        <f t="shared" si="10"/>
        <v>8.0635345666991238E-4</v>
      </c>
      <c r="J89" s="42">
        <f t="shared" si="11"/>
        <v>4.8381207400194741E-3</v>
      </c>
      <c r="K89">
        <f t="shared" si="12"/>
        <v>53</v>
      </c>
      <c r="U89" s="26" t="s">
        <v>412</v>
      </c>
      <c r="V89" s="4">
        <v>10000</v>
      </c>
    </row>
    <row r="90" spans="2:22">
      <c r="B90" s="26" t="s">
        <v>415</v>
      </c>
      <c r="C90" s="4">
        <v>3000</v>
      </c>
      <c r="D90" s="41">
        <f t="shared" si="7"/>
        <v>3000000</v>
      </c>
      <c r="E90" s="2">
        <v>33856000000</v>
      </c>
      <c r="F90">
        <f t="shared" si="8"/>
        <v>8.8610586011342161E-5</v>
      </c>
      <c r="G90">
        <f t="shared" si="9"/>
        <v>8.8610586011342161E-5</v>
      </c>
      <c r="I90" s="42">
        <f t="shared" si="10"/>
        <v>8.8610586011342161E-5</v>
      </c>
      <c r="J90" s="42">
        <f t="shared" si="11"/>
        <v>5.3166351606805302E-4</v>
      </c>
      <c r="K90">
        <f t="shared" si="12"/>
        <v>3</v>
      </c>
      <c r="U90" s="26" t="s">
        <v>413</v>
      </c>
      <c r="V90" s="4">
        <v>40000</v>
      </c>
    </row>
    <row r="91" spans="2:22">
      <c r="B91" s="26" t="s">
        <v>416</v>
      </c>
      <c r="C91" s="4">
        <v>4000</v>
      </c>
      <c r="D91" s="41">
        <f t="shared" si="7"/>
        <v>4000000</v>
      </c>
      <c r="E91" s="2">
        <v>3354000000</v>
      </c>
      <c r="F91">
        <f t="shared" si="8"/>
        <v>1.1926058437686344E-3</v>
      </c>
      <c r="G91">
        <f t="shared" si="9"/>
        <v>1.1926058437686344E-3</v>
      </c>
      <c r="I91" s="42">
        <f t="shared" si="10"/>
        <v>1.1926058437686344E-3</v>
      </c>
      <c r="J91" s="42">
        <f t="shared" si="11"/>
        <v>7.1556350626118068E-3</v>
      </c>
      <c r="K91">
        <f t="shared" si="12"/>
        <v>4</v>
      </c>
      <c r="U91" s="26" t="s">
        <v>414</v>
      </c>
      <c r="V91" s="4">
        <v>53000</v>
      </c>
    </row>
    <row r="92" spans="2:22">
      <c r="B92" s="26" t="s">
        <v>417</v>
      </c>
      <c r="C92" s="4">
        <v>13000</v>
      </c>
      <c r="D92" s="41">
        <f t="shared" si="7"/>
        <v>13000000</v>
      </c>
      <c r="E92" s="2">
        <v>17854000000</v>
      </c>
      <c r="F92">
        <f t="shared" si="8"/>
        <v>7.2812815055449756E-4</v>
      </c>
      <c r="G92">
        <f t="shared" si="9"/>
        <v>7.2812815055449756E-4</v>
      </c>
      <c r="I92" s="42">
        <f t="shared" si="10"/>
        <v>7.2812815055449756E-4</v>
      </c>
      <c r="J92" s="42">
        <f t="shared" si="11"/>
        <v>4.3687689033269856E-3</v>
      </c>
      <c r="K92">
        <f t="shared" si="12"/>
        <v>13</v>
      </c>
      <c r="U92" s="26" t="s">
        <v>415</v>
      </c>
      <c r="V92" s="4">
        <v>3000</v>
      </c>
    </row>
    <row r="93" spans="2:22">
      <c r="B93" s="26" t="s">
        <v>418</v>
      </c>
      <c r="C93" s="4">
        <v>15000</v>
      </c>
      <c r="D93" s="41">
        <f t="shared" si="7"/>
        <v>15000000</v>
      </c>
      <c r="E93" s="2">
        <v>17956000000</v>
      </c>
      <c r="F93">
        <f t="shared" si="8"/>
        <v>8.3537536199599022E-4</v>
      </c>
      <c r="G93">
        <f t="shared" si="9"/>
        <v>8.3537536199599022E-4</v>
      </c>
      <c r="I93" s="42">
        <f t="shared" si="10"/>
        <v>8.3537536199599022E-4</v>
      </c>
      <c r="J93" s="42">
        <f t="shared" si="11"/>
        <v>5.0122521719759413E-3</v>
      </c>
      <c r="K93">
        <f t="shared" si="12"/>
        <v>15</v>
      </c>
      <c r="U93" s="26" t="s">
        <v>416</v>
      </c>
      <c r="V93" s="4">
        <v>4000</v>
      </c>
    </row>
    <row r="94" spans="2:22">
      <c r="B94" s="26" t="s">
        <v>419</v>
      </c>
      <c r="C94" s="4">
        <v>6000</v>
      </c>
      <c r="D94" s="41">
        <f t="shared" si="7"/>
        <v>6000000</v>
      </c>
      <c r="E94" s="2">
        <v>2662000000</v>
      </c>
      <c r="F94">
        <f t="shared" si="8"/>
        <v>2.2539444027047332E-3</v>
      </c>
      <c r="G94">
        <f t="shared" si="9"/>
        <v>2.2539444027047332E-3</v>
      </c>
      <c r="I94" s="42">
        <f t="shared" si="10"/>
        <v>2.2539444027047332E-3</v>
      </c>
      <c r="J94" s="42">
        <f t="shared" si="11"/>
        <v>1.3523666416228399E-2</v>
      </c>
      <c r="K94">
        <f t="shared" si="12"/>
        <v>6</v>
      </c>
      <c r="U94" s="26" t="s">
        <v>417</v>
      </c>
      <c r="V94" s="4">
        <v>13000</v>
      </c>
    </row>
    <row r="95" spans="2:22">
      <c r="B95" s="26" t="s">
        <v>420</v>
      </c>
      <c r="C95" s="4">
        <v>31000</v>
      </c>
      <c r="D95" s="41">
        <f t="shared" si="7"/>
        <v>31000000</v>
      </c>
      <c r="E95" s="2">
        <v>28582000000</v>
      </c>
      <c r="F95">
        <f t="shared" si="8"/>
        <v>1.0845986984815619E-3</v>
      </c>
      <c r="G95">
        <f t="shared" si="9"/>
        <v>1.0845986984815619E-3</v>
      </c>
      <c r="I95" s="42">
        <f t="shared" si="10"/>
        <v>1.0845986984815619E-3</v>
      </c>
      <c r="J95" s="42">
        <f t="shared" si="11"/>
        <v>6.5075921908893716E-3</v>
      </c>
      <c r="K95">
        <f t="shared" si="12"/>
        <v>31</v>
      </c>
      <c r="U95" s="26" t="s">
        <v>418</v>
      </c>
      <c r="V95" s="4">
        <v>15000</v>
      </c>
    </row>
    <row r="96" spans="2:22">
      <c r="B96" s="26" t="s">
        <v>421</v>
      </c>
      <c r="C96" s="4">
        <v>12000</v>
      </c>
      <c r="D96" s="41">
        <f t="shared" si="7"/>
        <v>12000000</v>
      </c>
      <c r="E96" s="2">
        <v>26795000000</v>
      </c>
      <c r="F96">
        <f t="shared" si="8"/>
        <v>4.4784474715431984E-4</v>
      </c>
      <c r="G96">
        <f t="shared" si="9"/>
        <v>4.4784474715431984E-4</v>
      </c>
      <c r="I96" s="42">
        <f t="shared" si="10"/>
        <v>4.4784474715431984E-4</v>
      </c>
      <c r="J96" s="42">
        <f t="shared" si="11"/>
        <v>2.6870684829259188E-3</v>
      </c>
      <c r="K96">
        <f t="shared" si="12"/>
        <v>12</v>
      </c>
      <c r="U96" s="26" t="s">
        <v>419</v>
      </c>
      <c r="V96" s="4">
        <v>6000</v>
      </c>
    </row>
    <row r="97" spans="2:22">
      <c r="B97" s="26" t="s">
        <v>422</v>
      </c>
      <c r="C97" s="4">
        <v>4000</v>
      </c>
      <c r="D97" s="41">
        <f t="shared" si="7"/>
        <v>4000000</v>
      </c>
      <c r="E97" s="2">
        <v>16775000000</v>
      </c>
      <c r="F97">
        <f t="shared" si="8"/>
        <v>2.3845007451564829E-4</v>
      </c>
      <c r="G97">
        <f t="shared" si="9"/>
        <v>2.3845007451564829E-4</v>
      </c>
      <c r="I97" s="42">
        <f t="shared" si="10"/>
        <v>2.3845007451564829E-4</v>
      </c>
      <c r="J97" s="42">
        <f t="shared" si="11"/>
        <v>1.4307004470938897E-3</v>
      </c>
      <c r="K97">
        <f t="shared" si="12"/>
        <v>4</v>
      </c>
      <c r="U97" s="26" t="s">
        <v>420</v>
      </c>
      <c r="V97" s="4">
        <v>31000</v>
      </c>
    </row>
    <row r="98" spans="2:22">
      <c r="B98" s="26" t="s">
        <v>423</v>
      </c>
      <c r="C98" s="4">
        <v>12000</v>
      </c>
      <c r="D98" s="41">
        <f t="shared" si="7"/>
        <v>12000000</v>
      </c>
      <c r="E98" s="2">
        <v>4395000000</v>
      </c>
      <c r="F98">
        <f t="shared" si="8"/>
        <v>2.7303754266211604E-3</v>
      </c>
      <c r="G98">
        <f t="shared" si="9"/>
        <v>2.7303754266211604E-3</v>
      </c>
      <c r="I98" s="42">
        <f t="shared" si="10"/>
        <v>2.7303754266211604E-3</v>
      </c>
      <c r="J98" s="42">
        <f t="shared" si="11"/>
        <v>1.6382252559726963E-2</v>
      </c>
      <c r="K98">
        <f t="shared" si="12"/>
        <v>12</v>
      </c>
      <c r="U98" s="26" t="s">
        <v>421</v>
      </c>
      <c r="V98" s="4">
        <v>12000</v>
      </c>
    </row>
    <row r="99" spans="2:22">
      <c r="B99" s="26" t="s">
        <v>424</v>
      </c>
      <c r="C99" s="4">
        <v>164000</v>
      </c>
      <c r="D99" s="41">
        <f t="shared" si="7"/>
        <v>164000000</v>
      </c>
      <c r="E99" s="2">
        <v>24118000000</v>
      </c>
      <c r="F99">
        <f t="shared" si="8"/>
        <v>6.7999004892611327E-3</v>
      </c>
      <c r="G99">
        <f t="shared" si="9"/>
        <v>6.7999004892611327E-3</v>
      </c>
      <c r="I99" s="42">
        <f t="shared" si="10"/>
        <v>6.7999004892611327E-3</v>
      </c>
      <c r="J99" s="42">
        <f t="shared" si="11"/>
        <v>4.0799402935566796E-2</v>
      </c>
      <c r="K99">
        <f t="shared" si="12"/>
        <v>164</v>
      </c>
      <c r="U99" s="26" t="s">
        <v>422</v>
      </c>
      <c r="V99" s="4">
        <v>4000</v>
      </c>
    </row>
    <row r="100" spans="2:22">
      <c r="B100" s="26" t="s">
        <v>425</v>
      </c>
      <c r="C100" s="4">
        <v>17000</v>
      </c>
      <c r="D100" s="41">
        <f t="shared" si="7"/>
        <v>17000000</v>
      </c>
      <c r="E100" s="2">
        <v>22957000000</v>
      </c>
      <c r="F100">
        <f t="shared" si="8"/>
        <v>7.4051487563706064E-4</v>
      </c>
      <c r="G100">
        <f t="shared" si="9"/>
        <v>7.4051487563706064E-4</v>
      </c>
      <c r="I100" s="42">
        <f t="shared" si="10"/>
        <v>7.4051487563706064E-4</v>
      </c>
      <c r="J100" s="42">
        <f t="shared" si="11"/>
        <v>4.4430892538223641E-3</v>
      </c>
      <c r="K100">
        <f t="shared" si="12"/>
        <v>17</v>
      </c>
      <c r="U100" s="26" t="s">
        <v>423</v>
      </c>
      <c r="V100" s="4">
        <v>12000</v>
      </c>
    </row>
    <row r="101" spans="2:22">
      <c r="B101" s="26" t="s">
        <v>426</v>
      </c>
      <c r="C101" s="4">
        <v>178000</v>
      </c>
      <c r="D101" s="41">
        <f t="shared" si="7"/>
        <v>178000000</v>
      </c>
      <c r="E101" s="2">
        <v>94146000000</v>
      </c>
      <c r="F101">
        <f t="shared" si="8"/>
        <v>1.8906804325197035E-3</v>
      </c>
      <c r="G101">
        <f t="shared" si="9"/>
        <v>1.8906804325197035E-3</v>
      </c>
      <c r="I101" s="42">
        <f t="shared" si="10"/>
        <v>1.8906804325197035E-3</v>
      </c>
      <c r="J101" s="42">
        <f t="shared" si="11"/>
        <v>1.134408259511822E-2</v>
      </c>
      <c r="K101">
        <f t="shared" si="12"/>
        <v>178</v>
      </c>
      <c r="U101" s="26" t="s">
        <v>424</v>
      </c>
      <c r="V101" s="4">
        <v>164000</v>
      </c>
    </row>
    <row r="102" spans="2:22">
      <c r="B102" s="26" t="s">
        <v>427</v>
      </c>
      <c r="C102" s="4">
        <v>173000</v>
      </c>
      <c r="D102" s="41">
        <f t="shared" si="7"/>
        <v>173000000</v>
      </c>
      <c r="E102" s="2">
        <v>45488000000</v>
      </c>
      <c r="F102">
        <f t="shared" si="8"/>
        <v>3.8032008441786845E-3</v>
      </c>
      <c r="G102">
        <f t="shared" si="9"/>
        <v>3.8032008441786845E-3</v>
      </c>
      <c r="I102" s="42">
        <f t="shared" si="10"/>
        <v>3.8032008441786845E-3</v>
      </c>
      <c r="J102" s="42">
        <f t="shared" si="11"/>
        <v>2.2819205065072106E-2</v>
      </c>
      <c r="K102">
        <f t="shared" si="12"/>
        <v>173</v>
      </c>
      <c r="U102" s="26" t="s">
        <v>425</v>
      </c>
      <c r="V102" s="4">
        <v>17000</v>
      </c>
    </row>
    <row r="103" spans="2:22">
      <c r="B103" s="26" t="s">
        <v>428</v>
      </c>
      <c r="C103" s="4">
        <v>4000</v>
      </c>
      <c r="D103" s="41">
        <f t="shared" si="7"/>
        <v>4000000</v>
      </c>
      <c r="E103" s="2">
        <v>4571000000</v>
      </c>
      <c r="F103">
        <f t="shared" si="8"/>
        <v>8.7508203894115077E-4</v>
      </c>
      <c r="G103">
        <f t="shared" si="9"/>
        <v>8.7508203894115077E-4</v>
      </c>
      <c r="I103" s="42">
        <f t="shared" si="10"/>
        <v>8.7508203894115077E-4</v>
      </c>
      <c r="J103" s="42">
        <f t="shared" si="11"/>
        <v>5.2504922336469046E-3</v>
      </c>
      <c r="K103">
        <f t="shared" si="12"/>
        <v>4</v>
      </c>
      <c r="U103" s="26" t="s">
        <v>426</v>
      </c>
      <c r="V103" s="4">
        <v>178000</v>
      </c>
    </row>
    <row r="104" spans="2:22">
      <c r="B104" s="26" t="s">
        <v>429</v>
      </c>
      <c r="C104" s="4">
        <v>59000</v>
      </c>
      <c r="D104" s="41">
        <f t="shared" si="7"/>
        <v>59000000</v>
      </c>
      <c r="E104" s="2">
        <v>60227000000</v>
      </c>
      <c r="F104">
        <f t="shared" si="8"/>
        <v>9.7962707755657754E-4</v>
      </c>
      <c r="G104">
        <f t="shared" si="9"/>
        <v>9.7962707755657754E-4</v>
      </c>
      <c r="I104" s="42">
        <f t="shared" si="10"/>
        <v>9.7962707755657754E-4</v>
      </c>
      <c r="J104" s="42">
        <f t="shared" si="11"/>
        <v>5.8777624653394648E-3</v>
      </c>
      <c r="K104">
        <f t="shared" si="12"/>
        <v>59</v>
      </c>
      <c r="U104" s="26" t="s">
        <v>427</v>
      </c>
      <c r="V104" s="4">
        <v>173000</v>
      </c>
    </row>
    <row r="105" spans="2:22">
      <c r="B105" s="26" t="s">
        <v>430</v>
      </c>
      <c r="C105" s="4">
        <v>29000</v>
      </c>
      <c r="D105" s="41">
        <f t="shared" si="7"/>
        <v>29000000</v>
      </c>
      <c r="E105" s="2">
        <v>35532000000</v>
      </c>
      <c r="F105">
        <f t="shared" si="8"/>
        <v>8.1616570978273106E-4</v>
      </c>
      <c r="G105">
        <f t="shared" si="9"/>
        <v>8.1616570978273106E-4</v>
      </c>
      <c r="I105" s="42">
        <f>C105*1000/E105</f>
        <v>8.1616570978273106E-4</v>
      </c>
      <c r="J105" s="42">
        <f t="shared" si="11"/>
        <v>4.8969942586963864E-3</v>
      </c>
      <c r="K105">
        <f t="shared" si="12"/>
        <v>29</v>
      </c>
      <c r="U105" s="26" t="s">
        <v>428</v>
      </c>
      <c r="V105" s="4">
        <v>4000</v>
      </c>
    </row>
    <row r="106" spans="2:22">
      <c r="B106" s="26" t="s">
        <v>431</v>
      </c>
      <c r="C106" s="4">
        <v>29000</v>
      </c>
      <c r="D106" s="41">
        <f t="shared" si="7"/>
        <v>29000000</v>
      </c>
      <c r="E106" s="2">
        <v>48010000000</v>
      </c>
      <c r="F106">
        <f t="shared" si="8"/>
        <v>6.0404082482816077E-4</v>
      </c>
      <c r="G106">
        <f t="shared" si="9"/>
        <v>6.0404082482816077E-4</v>
      </c>
      <c r="I106" s="42">
        <f t="shared" si="10"/>
        <v>6.0404082482816077E-4</v>
      </c>
      <c r="J106" s="42">
        <f t="shared" si="11"/>
        <v>3.6242449489689646E-3</v>
      </c>
      <c r="K106">
        <f t="shared" si="12"/>
        <v>29</v>
      </c>
      <c r="U106" s="26" t="s">
        <v>429</v>
      </c>
      <c r="V106" s="4">
        <v>59000</v>
      </c>
    </row>
    <row r="107" spans="2:22">
      <c r="B107" s="26" t="s">
        <v>432</v>
      </c>
      <c r="C107" s="4">
        <v>14000</v>
      </c>
      <c r="D107" s="41">
        <f t="shared" si="7"/>
        <v>14000000</v>
      </c>
      <c r="E107" s="2">
        <v>8161000000</v>
      </c>
      <c r="F107">
        <f t="shared" si="8"/>
        <v>1.7154760446023772E-3</v>
      </c>
      <c r="G107">
        <f t="shared" si="9"/>
        <v>1.7154760446023772E-3</v>
      </c>
      <c r="I107" s="42">
        <f t="shared" si="10"/>
        <v>1.7154760446023772E-3</v>
      </c>
      <c r="J107" s="42">
        <f t="shared" si="11"/>
        <v>1.0292856267614264E-2</v>
      </c>
      <c r="K107">
        <f t="shared" si="12"/>
        <v>14</v>
      </c>
      <c r="U107" s="26" t="s">
        <v>430</v>
      </c>
      <c r="V107" s="4">
        <v>29000</v>
      </c>
    </row>
    <row r="108" spans="2:22">
      <c r="B108" s="26" t="s">
        <v>433</v>
      </c>
      <c r="C108" s="4">
        <v>5000</v>
      </c>
      <c r="D108" s="41">
        <f t="shared" si="7"/>
        <v>5000000</v>
      </c>
      <c r="E108" s="2">
        <v>4517000000</v>
      </c>
      <c r="F108">
        <f t="shared" si="8"/>
        <v>1.1069293779056896E-3</v>
      </c>
      <c r="G108">
        <f t="shared" si="9"/>
        <v>1.1069293779056896E-3</v>
      </c>
      <c r="I108" s="42">
        <f t="shared" si="10"/>
        <v>1.1069293779056896E-3</v>
      </c>
      <c r="J108" s="42">
        <f t="shared" si="11"/>
        <v>6.6415762674341371E-3</v>
      </c>
      <c r="K108">
        <f t="shared" si="12"/>
        <v>5</v>
      </c>
      <c r="U108" s="26" t="s">
        <v>431</v>
      </c>
      <c r="V108" s="4">
        <v>29000</v>
      </c>
    </row>
    <row r="109" spans="2:22">
      <c r="B109" s="26" t="s">
        <v>434</v>
      </c>
      <c r="C109" s="4">
        <v>76000</v>
      </c>
      <c r="D109" s="41">
        <f t="shared" si="7"/>
        <v>76000000</v>
      </c>
      <c r="E109" s="2">
        <v>98852000000</v>
      </c>
      <c r="F109">
        <f t="shared" si="8"/>
        <v>7.6882612390239953E-4</v>
      </c>
      <c r="G109">
        <f t="shared" si="9"/>
        <v>7.6882612390239953E-4</v>
      </c>
      <c r="I109" s="42">
        <f t="shared" si="10"/>
        <v>7.6882612390239953E-4</v>
      </c>
      <c r="J109" s="42">
        <f t="shared" si="11"/>
        <v>4.6129567434143974E-3</v>
      </c>
      <c r="K109">
        <f t="shared" si="12"/>
        <v>76</v>
      </c>
      <c r="U109" s="26" t="s">
        <v>432</v>
      </c>
      <c r="V109" s="4">
        <v>14000</v>
      </c>
    </row>
    <row r="110" spans="2:22">
      <c r="B110" s="26" t="s">
        <v>435</v>
      </c>
      <c r="C110" s="4">
        <v>39000</v>
      </c>
      <c r="D110" s="41">
        <f t="shared" si="7"/>
        <v>39000000</v>
      </c>
      <c r="E110" s="2">
        <v>41827000000</v>
      </c>
      <c r="F110">
        <f t="shared" si="8"/>
        <v>9.3241207832261454E-4</v>
      </c>
      <c r="G110">
        <f t="shared" si="9"/>
        <v>9.3241207832261454E-4</v>
      </c>
      <c r="I110" s="42">
        <f t="shared" si="10"/>
        <v>9.3241207832261454E-4</v>
      </c>
      <c r="J110" s="42">
        <f t="shared" si="11"/>
        <v>5.5944724699356872E-3</v>
      </c>
      <c r="K110">
        <f t="shared" si="12"/>
        <v>39</v>
      </c>
      <c r="U110" s="26" t="s">
        <v>433</v>
      </c>
      <c r="V110" s="4">
        <v>5000</v>
      </c>
    </row>
    <row r="111" spans="2:22">
      <c r="B111" s="26" t="s">
        <v>436</v>
      </c>
      <c r="C111" s="4">
        <v>21000</v>
      </c>
      <c r="D111" s="41">
        <f t="shared" si="7"/>
        <v>21000000</v>
      </c>
      <c r="E111" s="2">
        <v>31513000000</v>
      </c>
      <c r="F111">
        <f t="shared" si="8"/>
        <v>6.6639164789134638E-4</v>
      </c>
      <c r="G111">
        <f t="shared" si="9"/>
        <v>6.6639164789134638E-4</v>
      </c>
      <c r="I111" s="42">
        <f t="shared" si="10"/>
        <v>6.6639164789134638E-4</v>
      </c>
      <c r="J111" s="42">
        <f t="shared" si="11"/>
        <v>3.9983498873480787E-3</v>
      </c>
      <c r="K111">
        <f t="shared" si="12"/>
        <v>21</v>
      </c>
      <c r="U111" s="26" t="s">
        <v>434</v>
      </c>
      <c r="V111" s="4">
        <v>76000</v>
      </c>
    </row>
    <row r="112" spans="2:22">
      <c r="B112" s="26" t="s">
        <v>437</v>
      </c>
      <c r="C112" s="4">
        <v>69000</v>
      </c>
      <c r="D112" s="41">
        <f t="shared" si="7"/>
        <v>69000000</v>
      </c>
      <c r="E112" s="2">
        <v>104754000000</v>
      </c>
      <c r="F112">
        <f t="shared" si="8"/>
        <v>6.5868606449395728E-4</v>
      </c>
      <c r="G112">
        <f t="shared" si="9"/>
        <v>6.5868606449395728E-4</v>
      </c>
      <c r="I112" s="42">
        <f t="shared" si="10"/>
        <v>6.5868606449395728E-4</v>
      </c>
      <c r="J112" s="42">
        <f t="shared" si="11"/>
        <v>3.9521163869637435E-3</v>
      </c>
      <c r="K112">
        <f t="shared" si="12"/>
        <v>69</v>
      </c>
      <c r="U112" s="26" t="s">
        <v>435</v>
      </c>
      <c r="V112" s="4">
        <v>39000</v>
      </c>
    </row>
    <row r="113" spans="1:22">
      <c r="B113" s="26" t="s">
        <v>438</v>
      </c>
      <c r="C113" s="4">
        <v>20000</v>
      </c>
      <c r="D113" s="41">
        <f t="shared" si="7"/>
        <v>20000000</v>
      </c>
      <c r="E113" s="2">
        <v>13180000000</v>
      </c>
      <c r="F113">
        <f t="shared" si="8"/>
        <v>1.5174506828528073E-3</v>
      </c>
      <c r="G113">
        <f t="shared" si="9"/>
        <v>1.5174506828528073E-3</v>
      </c>
      <c r="I113" s="42">
        <f t="shared" si="10"/>
        <v>1.5174506828528073E-3</v>
      </c>
      <c r="J113" s="42">
        <f t="shared" si="11"/>
        <v>9.104704097116844E-3</v>
      </c>
      <c r="K113">
        <f t="shared" si="12"/>
        <v>20</v>
      </c>
      <c r="U113" s="26" t="s">
        <v>436</v>
      </c>
      <c r="V113" s="4">
        <v>21000</v>
      </c>
    </row>
    <row r="114" spans="1:22">
      <c r="B114" s="26" t="s">
        <v>439</v>
      </c>
      <c r="C114" s="4">
        <v>2000</v>
      </c>
      <c r="D114" s="41">
        <f t="shared" si="7"/>
        <v>2000000</v>
      </c>
      <c r="E114" s="2">
        <v>1363000000</v>
      </c>
      <c r="F114">
        <f t="shared" si="8"/>
        <v>1.467351430667645E-3</v>
      </c>
      <c r="G114">
        <f t="shared" si="9"/>
        <v>1.467351430667645E-3</v>
      </c>
      <c r="I114" s="42">
        <f t="shared" si="10"/>
        <v>1.467351430667645E-3</v>
      </c>
      <c r="J114" s="42">
        <f t="shared" si="11"/>
        <v>8.8041085840058694E-3</v>
      </c>
      <c r="K114">
        <f t="shared" si="12"/>
        <v>2</v>
      </c>
      <c r="U114" s="26" t="s">
        <v>437</v>
      </c>
      <c r="V114" s="4">
        <v>69000</v>
      </c>
    </row>
    <row r="115" spans="1:22">
      <c r="B115" s="26" t="s">
        <v>440</v>
      </c>
      <c r="C115" s="4">
        <v>18000</v>
      </c>
      <c r="D115" s="41">
        <f t="shared" si="7"/>
        <v>18000000</v>
      </c>
      <c r="E115" s="2">
        <v>10635000000</v>
      </c>
      <c r="F115">
        <f t="shared" si="8"/>
        <v>1.692524682651622E-3</v>
      </c>
      <c r="G115">
        <f t="shared" si="9"/>
        <v>1.692524682651622E-3</v>
      </c>
      <c r="I115" s="42">
        <f t="shared" si="10"/>
        <v>1.692524682651622E-3</v>
      </c>
      <c r="J115" s="42">
        <f t="shared" si="11"/>
        <v>1.0155148095909733E-2</v>
      </c>
      <c r="K115">
        <f t="shared" si="12"/>
        <v>18</v>
      </c>
      <c r="U115" s="26" t="s">
        <v>438</v>
      </c>
      <c r="V115" s="4">
        <v>20000</v>
      </c>
    </row>
    <row r="116" spans="1:22">
      <c r="B116" s="26" t="s">
        <v>441</v>
      </c>
      <c r="C116" s="4">
        <v>2000</v>
      </c>
      <c r="D116" s="41">
        <f t="shared" si="7"/>
        <v>2000000</v>
      </c>
      <c r="E116" s="2">
        <v>7068000000</v>
      </c>
      <c r="F116">
        <f t="shared" si="8"/>
        <v>2.8296547821165819E-4</v>
      </c>
      <c r="G116">
        <f t="shared" si="9"/>
        <v>2.8296547821165819E-4</v>
      </c>
      <c r="I116" s="42">
        <f t="shared" si="10"/>
        <v>2.8296547821165819E-4</v>
      </c>
      <c r="J116" s="42">
        <f t="shared" si="11"/>
        <v>1.697792869269949E-3</v>
      </c>
      <c r="K116">
        <f t="shared" si="12"/>
        <v>2</v>
      </c>
      <c r="U116" s="26" t="s">
        <v>439</v>
      </c>
      <c r="V116" s="4">
        <v>2000</v>
      </c>
    </row>
    <row r="117" spans="1:22">
      <c r="B117" s="26" t="s">
        <v>442</v>
      </c>
      <c r="C117" s="4">
        <v>15000</v>
      </c>
      <c r="D117" s="41">
        <f t="shared" si="7"/>
        <v>15000000</v>
      </c>
      <c r="E117" s="2">
        <v>5193000000</v>
      </c>
      <c r="F117">
        <f t="shared" si="8"/>
        <v>2.8885037550548816E-3</v>
      </c>
      <c r="G117">
        <f t="shared" si="9"/>
        <v>2.8885037550548816E-3</v>
      </c>
      <c r="I117" s="42">
        <f t="shared" si="10"/>
        <v>2.8885037550548816E-3</v>
      </c>
      <c r="J117" s="42">
        <f t="shared" si="11"/>
        <v>1.7331022530329289E-2</v>
      </c>
      <c r="K117">
        <f t="shared" si="12"/>
        <v>15</v>
      </c>
      <c r="U117" s="26" t="s">
        <v>440</v>
      </c>
      <c r="V117" s="4">
        <v>18000</v>
      </c>
    </row>
    <row r="118" spans="1:22">
      <c r="B118" s="26" t="s">
        <v>443</v>
      </c>
      <c r="C118" s="4">
        <v>13000</v>
      </c>
      <c r="D118" s="41">
        <f t="shared" si="7"/>
        <v>13000000</v>
      </c>
      <c r="E118" s="2">
        <v>5312000000</v>
      </c>
      <c r="F118">
        <f t="shared" si="8"/>
        <v>2.4472891566265061E-3</v>
      </c>
      <c r="G118">
        <f t="shared" si="9"/>
        <v>2.4472891566265061E-3</v>
      </c>
      <c r="I118" s="42">
        <f t="shared" si="10"/>
        <v>2.4472891566265061E-3</v>
      </c>
      <c r="J118" s="42">
        <f t="shared" si="11"/>
        <v>1.4683734939759037E-2</v>
      </c>
      <c r="K118">
        <f t="shared" si="12"/>
        <v>13</v>
      </c>
      <c r="U118" s="26" t="s">
        <v>441</v>
      </c>
      <c r="V118" s="4">
        <v>2000</v>
      </c>
    </row>
    <row r="119" spans="1:22">
      <c r="B119" s="26" t="s">
        <v>444</v>
      </c>
      <c r="C119" s="4">
        <v>11000</v>
      </c>
      <c r="D119" s="41">
        <f t="shared" si="7"/>
        <v>11000000</v>
      </c>
      <c r="E119" s="2">
        <v>5316000000</v>
      </c>
      <c r="F119">
        <f t="shared" si="8"/>
        <v>2.0692249811888638E-3</v>
      </c>
      <c r="G119">
        <f t="shared" si="9"/>
        <v>2.0692249811888638E-3</v>
      </c>
      <c r="I119" s="42">
        <f t="shared" si="10"/>
        <v>2.0692249811888638E-3</v>
      </c>
      <c r="J119" s="42">
        <f t="shared" si="11"/>
        <v>1.2415349887133182E-2</v>
      </c>
      <c r="K119">
        <f t="shared" si="12"/>
        <v>11</v>
      </c>
      <c r="U119" s="26" t="s">
        <v>442</v>
      </c>
      <c r="V119" s="4">
        <v>15000</v>
      </c>
    </row>
    <row r="120" spans="1:22">
      <c r="B120" s="26" t="s">
        <v>445</v>
      </c>
      <c r="C120" s="4">
        <v>15000</v>
      </c>
      <c r="D120" s="41">
        <f t="shared" si="7"/>
        <v>15000000</v>
      </c>
      <c r="E120" s="2">
        <v>26141000000</v>
      </c>
      <c r="F120">
        <f t="shared" si="8"/>
        <v>5.7381125435140205E-4</v>
      </c>
      <c r="G120">
        <f t="shared" si="9"/>
        <v>5.7381125435140205E-4</v>
      </c>
      <c r="I120" s="42">
        <f t="shared" si="10"/>
        <v>5.7381125435140205E-4</v>
      </c>
      <c r="J120" s="42">
        <f t="shared" si="11"/>
        <v>3.4428675261084125E-3</v>
      </c>
      <c r="K120">
        <f t="shared" si="12"/>
        <v>15</v>
      </c>
      <c r="U120" s="26" t="s">
        <v>443</v>
      </c>
      <c r="V120" s="4">
        <v>13000</v>
      </c>
    </row>
    <row r="121" spans="1:22">
      <c r="B121" s="26" t="s">
        <v>446</v>
      </c>
      <c r="C121" s="4">
        <v>16000</v>
      </c>
      <c r="D121" s="41">
        <f t="shared" si="7"/>
        <v>16000000</v>
      </c>
      <c r="E121" s="2">
        <v>5109000000</v>
      </c>
      <c r="F121">
        <f t="shared" si="8"/>
        <v>3.1317283225680173E-3</v>
      </c>
      <c r="G121">
        <f t="shared" si="9"/>
        <v>3.1317283225680173E-3</v>
      </c>
      <c r="I121" s="42">
        <f t="shared" si="10"/>
        <v>3.1317283225680173E-3</v>
      </c>
      <c r="J121" s="42">
        <f t="shared" si="11"/>
        <v>1.8790369935408103E-2</v>
      </c>
      <c r="K121">
        <f t="shared" si="12"/>
        <v>16</v>
      </c>
      <c r="U121" s="26" t="s">
        <v>444</v>
      </c>
      <c r="V121" s="4">
        <v>11000</v>
      </c>
    </row>
    <row r="122" spans="1:22">
      <c r="B122" s="26" t="s">
        <v>447</v>
      </c>
      <c r="C122" s="4">
        <v>31000</v>
      </c>
      <c r="D122" s="41">
        <f t="shared" si="7"/>
        <v>31000000</v>
      </c>
      <c r="E122" s="2">
        <v>12230000000</v>
      </c>
      <c r="F122">
        <f t="shared" si="8"/>
        <v>2.5347506132461159E-3</v>
      </c>
      <c r="G122">
        <f t="shared" si="9"/>
        <v>2.5347506132461159E-3</v>
      </c>
      <c r="I122" s="42">
        <f t="shared" si="10"/>
        <v>2.5347506132461159E-3</v>
      </c>
      <c r="J122" s="42">
        <f t="shared" si="11"/>
        <v>1.5208503679476695E-2</v>
      </c>
      <c r="K122">
        <f t="shared" si="12"/>
        <v>31</v>
      </c>
      <c r="U122" s="26" t="s">
        <v>445</v>
      </c>
      <c r="V122" s="4">
        <v>15000</v>
      </c>
    </row>
    <row r="123" spans="1:22">
      <c r="B123" s="26" t="s">
        <v>448</v>
      </c>
      <c r="C123" s="4">
        <v>0</v>
      </c>
      <c r="D123" s="41">
        <f t="shared" si="7"/>
        <v>0</v>
      </c>
      <c r="E123" s="2">
        <v>4983000000</v>
      </c>
      <c r="F123">
        <f t="shared" si="8"/>
        <v>0</v>
      </c>
      <c r="G123">
        <f t="shared" si="9"/>
        <v>0</v>
      </c>
      <c r="I123" s="42">
        <f t="shared" si="10"/>
        <v>0</v>
      </c>
      <c r="J123" s="42">
        <f t="shared" si="11"/>
        <v>0</v>
      </c>
      <c r="K123">
        <f t="shared" si="12"/>
        <v>0</v>
      </c>
      <c r="U123" s="26" t="s">
        <v>446</v>
      </c>
      <c r="V123" s="4">
        <v>16000</v>
      </c>
    </row>
    <row r="124" spans="1:22">
      <c r="C124">
        <v>0</v>
      </c>
      <c r="D124" s="41">
        <f t="shared" si="7"/>
        <v>0</v>
      </c>
      <c r="I124" s="42"/>
      <c r="J124" s="42"/>
      <c r="U124" s="26" t="s">
        <v>447</v>
      </c>
      <c r="V124" s="4">
        <v>31000</v>
      </c>
    </row>
    <row r="125" spans="1:22" ht="409.6">
      <c r="A125" s="44" t="s">
        <v>623</v>
      </c>
      <c r="C125">
        <v>0</v>
      </c>
      <c r="I125" s="42"/>
      <c r="J125" s="42"/>
      <c r="U125" s="26" t="s">
        <v>448</v>
      </c>
      <c r="V125" s="4">
        <v>0</v>
      </c>
    </row>
    <row r="126" spans="1:22">
      <c r="F126" s="36"/>
    </row>
    <row r="127" spans="1:22">
      <c r="F127" s="36"/>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topLeftCell="L1" zoomScaleNormal="100" zoomScalePageLayoutView="75" workbookViewId="0">
      <selection activeCell="BH4" sqref="BH4"/>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46" t="s">
        <v>390</v>
      </c>
      <c r="BH2" s="46"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0.17573542415846255</v>
      </c>
      <c r="B3">
        <v>1.4605001106439478E-2</v>
      </c>
      <c r="C3">
        <v>7.5537478210342818E-2</v>
      </c>
      <c r="D3">
        <v>8.7109293056429615E-2</v>
      </c>
      <c r="E3">
        <v>3.8879159369527148E-2</v>
      </c>
      <c r="F3">
        <v>5.2507219742714626E-4</v>
      </c>
      <c r="G3">
        <v>4.4603495669311754E-3</v>
      </c>
      <c r="H3">
        <v>1.0366586538461538E-2</v>
      </c>
      <c r="I3">
        <v>7.105961587854228E-3</v>
      </c>
      <c r="J3">
        <v>7.8330893118594442E-3</v>
      </c>
      <c r="K3">
        <v>1.1182931014758037E-2</v>
      </c>
      <c r="L3">
        <v>1.152617691987224E-2</v>
      </c>
      <c r="M3">
        <v>2.4410089503661514E-3</v>
      </c>
      <c r="N3">
        <v>2.5958161551381891E-3</v>
      </c>
      <c r="O3">
        <v>7.3691967575534268E-4</v>
      </c>
      <c r="P3">
        <v>0</v>
      </c>
      <c r="Q3">
        <v>2.8261893546867641E-3</v>
      </c>
      <c r="R3">
        <v>6.9655094933153581E-3</v>
      </c>
      <c r="S3">
        <v>1.5195643915410916E-3</v>
      </c>
      <c r="T3">
        <v>3.6114246028301066E-2</v>
      </c>
      <c r="U3">
        <v>4.8885526392364546E-3</v>
      </c>
      <c r="V3">
        <v>7.8235270395612365E-3</v>
      </c>
      <c r="W3">
        <v>7.2694229895502041E-4</v>
      </c>
      <c r="X3">
        <v>2.1917286068229465E-3</v>
      </c>
      <c r="Y3">
        <v>3.6844386649328133E-2</v>
      </c>
      <c r="Z3">
        <v>0.13871067880794702</v>
      </c>
      <c r="AA3">
        <v>1.2826086956521739E-2</v>
      </c>
      <c r="AB3">
        <v>2.8982441294690079E-3</v>
      </c>
      <c r="AC3">
        <v>2.3319082782743881E-3</v>
      </c>
      <c r="AD3">
        <v>2.4201355275895451E-4</v>
      </c>
      <c r="AE3">
        <v>5.9235857439036434E-4</v>
      </c>
      <c r="AF3">
        <v>2.2464698331193839E-3</v>
      </c>
      <c r="AG3">
        <v>1.1841326228537595E-3</v>
      </c>
      <c r="AH3">
        <v>6.686123640222871E-4</v>
      </c>
      <c r="AI3">
        <v>1.8561583921827996E-3</v>
      </c>
      <c r="AJ3">
        <v>2.1721422753190334E-3</v>
      </c>
      <c r="AK3">
        <v>9.9760574620909813E-4</v>
      </c>
      <c r="AL3">
        <v>1.4272461285948761E-3</v>
      </c>
      <c r="AM3">
        <v>5.7405281285878302E-4</v>
      </c>
      <c r="AN3">
        <v>3.2331070158422246E-4</v>
      </c>
      <c r="AO3">
        <v>3.2292078555423752E-3</v>
      </c>
      <c r="AP3">
        <v>0.3703852327447833</v>
      </c>
      <c r="AQ3">
        <v>2.0223752151462996E-2</v>
      </c>
      <c r="AR3">
        <v>5.9518186112423238E-2</v>
      </c>
      <c r="AS3">
        <v>1.876172607879925E-3</v>
      </c>
      <c r="AT3">
        <v>2.2378324134470648E-2</v>
      </c>
      <c r="AU3">
        <v>0.10714285714285714</v>
      </c>
      <c r="AV3">
        <v>6.9588923165219887E-3</v>
      </c>
      <c r="AW3">
        <v>3.8456516836595411E-3</v>
      </c>
      <c r="AX3">
        <v>7.6265834097977766E-3</v>
      </c>
      <c r="AY3">
        <v>0</v>
      </c>
      <c r="AZ3">
        <v>7.4764064223556805E-3</v>
      </c>
      <c r="BA3">
        <v>5.2112319757146473E-3</v>
      </c>
      <c r="BB3">
        <v>2.3903911833478681E-3</v>
      </c>
      <c r="BC3">
        <v>2.023196650708119E-3</v>
      </c>
      <c r="BD3">
        <v>3.0556866446436997E-2</v>
      </c>
      <c r="BE3">
        <v>8.7013437030762711E-3</v>
      </c>
      <c r="BF3">
        <v>5.777425640806013E-2</v>
      </c>
      <c r="BG3" s="9">
        <v>0.18662547701253901</v>
      </c>
      <c r="BH3" s="9">
        <v>0.18648400945444021</v>
      </c>
      <c r="BI3">
        <v>8.6187344068949876E-3</v>
      </c>
      <c r="BJ3">
        <v>5.9077331563226016E-3</v>
      </c>
      <c r="BK3">
        <v>1.488947428702325E-3</v>
      </c>
      <c r="BL3">
        <v>2.2833746702885715E-3</v>
      </c>
      <c r="BM3">
        <v>4.7596382674916705E-4</v>
      </c>
      <c r="BN3">
        <v>1.9015021867275147E-4</v>
      </c>
      <c r="BO3">
        <v>9.3035619351408824E-4</v>
      </c>
      <c r="BP3">
        <v>1.0036496350364964E-3</v>
      </c>
      <c r="BQ3">
        <v>5.0468637346791638E-4</v>
      </c>
      <c r="BR3">
        <v>3.8369168241697338E-4</v>
      </c>
      <c r="BS3">
        <v>3.0388978930307944E-4</v>
      </c>
      <c r="BT3">
        <v>1.6173616420631654E-4</v>
      </c>
      <c r="BU3">
        <v>5.7761985612014496E-4</v>
      </c>
      <c r="BV3">
        <v>2.3628691983122363E-4</v>
      </c>
      <c r="BW3">
        <v>2.0370747606437156E-4</v>
      </c>
      <c r="BX3">
        <v>1.2410570886260768E-3</v>
      </c>
      <c r="BY3">
        <v>8.7771543211811543E-4</v>
      </c>
      <c r="BZ3">
        <v>3.6748782696573179E-4</v>
      </c>
      <c r="CA3">
        <v>5.8062375580623758E-5</v>
      </c>
      <c r="CB3">
        <v>3.5233598759777326E-4</v>
      </c>
      <c r="CC3">
        <v>6.0320907226444687E-4</v>
      </c>
      <c r="CD3">
        <v>1.2121212121212121E-3</v>
      </c>
      <c r="CE3">
        <v>8.0635345666991238E-4</v>
      </c>
      <c r="CF3">
        <v>8.8610586011342161E-5</v>
      </c>
      <c r="CG3">
        <v>1.1926058437686344E-3</v>
      </c>
      <c r="CH3">
        <v>7.2812815055449756E-4</v>
      </c>
      <c r="CI3">
        <v>8.3537536199599022E-4</v>
      </c>
      <c r="CJ3">
        <v>2.2539444027047332E-3</v>
      </c>
      <c r="CK3">
        <v>1.0845986984815619E-3</v>
      </c>
      <c r="CL3">
        <v>4.4784474715431984E-4</v>
      </c>
      <c r="CM3">
        <v>2.3845007451564829E-4</v>
      </c>
      <c r="CN3">
        <v>2.7303754266211604E-3</v>
      </c>
      <c r="CO3">
        <v>6.7999004892611327E-3</v>
      </c>
      <c r="CP3">
        <v>7.4051487563706064E-4</v>
      </c>
      <c r="CQ3">
        <v>1.8906804325197035E-3</v>
      </c>
      <c r="CR3">
        <v>3.8032008441786845E-3</v>
      </c>
      <c r="CS3">
        <v>8.7508203894115077E-4</v>
      </c>
      <c r="CT3">
        <v>9.7962707755657754E-4</v>
      </c>
      <c r="CU3">
        <v>8.1616570978273106E-4</v>
      </c>
      <c r="CV3">
        <v>6.0404082482816077E-4</v>
      </c>
      <c r="CW3">
        <v>1.7154760446023772E-3</v>
      </c>
      <c r="CX3">
        <v>1.1069293779056896E-3</v>
      </c>
      <c r="CY3">
        <v>7.6882612390239953E-4</v>
      </c>
      <c r="CZ3">
        <v>9.3241207832261454E-4</v>
      </c>
      <c r="DA3">
        <v>6.6639164789134638E-4</v>
      </c>
      <c r="DB3">
        <v>6.5868606449395728E-4</v>
      </c>
      <c r="DC3">
        <v>1.5174506828528073E-3</v>
      </c>
      <c r="DD3">
        <v>1.467351430667645E-3</v>
      </c>
      <c r="DE3">
        <v>1.692524682651622E-3</v>
      </c>
      <c r="DF3">
        <v>2.8296547821165819E-4</v>
      </c>
      <c r="DG3">
        <v>2.8885037550548816E-3</v>
      </c>
      <c r="DH3">
        <v>2.4472891566265061E-3</v>
      </c>
      <c r="DI3">
        <v>2.0692249811888638E-3</v>
      </c>
      <c r="DJ3">
        <v>5.7381125435140205E-4</v>
      </c>
      <c r="DK3">
        <v>3.1317283225680173E-3</v>
      </c>
      <c r="DL3">
        <v>2.5347506132461159E-3</v>
      </c>
      <c r="DM3">
        <v>0</v>
      </c>
    </row>
    <row r="6" spans="1:117">
      <c r="A6" s="47" t="s">
        <v>626</v>
      </c>
      <c r="B6" s="47"/>
      <c r="C6" s="47"/>
      <c r="D6" s="47"/>
      <c r="E6" s="47"/>
      <c r="F6" s="47"/>
    </row>
    <row r="7" spans="1:117">
      <c r="A7" s="47"/>
      <c r="B7" s="47"/>
      <c r="C7" s="47"/>
      <c r="D7" s="47"/>
      <c r="E7" s="47"/>
      <c r="F7" s="47"/>
      <c r="BW7">
        <v>0</v>
      </c>
    </row>
    <row r="8" spans="1:117">
      <c r="A8" s="47"/>
      <c r="B8" s="47"/>
      <c r="C8" s="47"/>
      <c r="D8" s="47"/>
      <c r="E8" s="47"/>
      <c r="F8" s="47"/>
      <c r="BW8">
        <v>1279.4004406996953</v>
      </c>
    </row>
    <row r="9" spans="1:117">
      <c r="A9" s="47"/>
      <c r="B9" s="47"/>
      <c r="C9" s="47"/>
      <c r="D9" s="47"/>
      <c r="E9" s="47"/>
      <c r="F9" s="47"/>
      <c r="BW9">
        <v>6422.4747658496271</v>
      </c>
    </row>
    <row r="10" spans="1:117">
      <c r="A10" s="47"/>
      <c r="B10" s="47"/>
      <c r="C10" s="47"/>
      <c r="D10" s="47"/>
      <c r="E10" s="47"/>
      <c r="F10" s="47"/>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B2" sqref="B2:B118"/>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topLeftCell="B1" workbookViewId="0">
      <selection activeCell="K3" sqref="K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SUM(B3:B45)</f>
        <v>188330.9</v>
      </c>
      <c r="C2">
        <f t="shared" ref="C2:L2" si="0">SUM(C3:C45)</f>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workbookViewId="0">
      <selection activeCell="E8" sqref="E8"/>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opLeftCell="A6" zoomScaleNormal="100" workbookViewId="0">
      <selection activeCell="B25" sqref="B25"/>
    </sheetView>
  </sheetViews>
  <sheetFormatPr baseColWidth="10" defaultColWidth="8.83203125" defaultRowHeight="15"/>
  <cols>
    <col min="1" max="1" width="25.1640625" customWidth="1"/>
    <col min="2" max="2" width="26.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508</v>
      </c>
      <c r="D1" t="s">
        <v>508</v>
      </c>
      <c r="G1" t="s">
        <v>505</v>
      </c>
      <c r="H1" t="s">
        <v>505</v>
      </c>
    </row>
    <row r="2" spans="1:23" ht="61">
      <c r="A2" s="22" t="s">
        <v>513</v>
      </c>
      <c r="B2" s="15" t="s">
        <v>510</v>
      </c>
      <c r="C2" t="s">
        <v>512</v>
      </c>
      <c r="D2" s="15" t="s">
        <v>509</v>
      </c>
      <c r="E2" t="s">
        <v>511</v>
      </c>
      <c r="G2" s="15" t="s">
        <v>510</v>
      </c>
      <c r="H2" s="15" t="s">
        <v>509</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8" t="s">
        <v>508</v>
      </c>
      <c r="C11" s="48"/>
      <c r="D11" s="48"/>
      <c r="E11" s="48"/>
      <c r="F11" s="48"/>
      <c r="G11" s="48"/>
      <c r="H11" s="48"/>
      <c r="Q11" s="3" t="s">
        <v>507</v>
      </c>
    </row>
    <row r="12" spans="1:23" ht="37" customHeight="1">
      <c r="B12" s="3" t="s">
        <v>464</v>
      </c>
      <c r="C12" s="15" t="s">
        <v>504</v>
      </c>
      <c r="D12" s="15" t="s">
        <v>503</v>
      </c>
      <c r="E12" s="15" t="s">
        <v>502</v>
      </c>
      <c r="F12" s="15" t="s">
        <v>501</v>
      </c>
      <c r="G12" s="15" t="s">
        <v>472</v>
      </c>
      <c r="H12" s="15" t="s">
        <v>468</v>
      </c>
      <c r="Q12" s="49" t="s">
        <v>506</v>
      </c>
      <c r="R12" s="49"/>
      <c r="S12" s="49"/>
      <c r="T12" s="49"/>
      <c r="U12" s="49"/>
      <c r="V12" s="49"/>
      <c r="W12" s="49"/>
    </row>
    <row r="13" spans="1:23">
      <c r="A13" s="14" t="s">
        <v>489</v>
      </c>
      <c r="B13" s="10"/>
      <c r="C13" s="12">
        <f t="shared" ref="C13:C18" si="2">D3/$D$8</f>
        <v>0.39164809890030905</v>
      </c>
      <c r="D13" s="12">
        <f t="shared" ref="D13:D18" si="3">B3/$B$8</f>
        <v>0.79953679876479677</v>
      </c>
      <c r="E13" s="10">
        <f t="shared" ref="E13:E18" si="4">C13*$C$25</f>
        <v>706.1708762579832</v>
      </c>
      <c r="F13" s="11">
        <f t="shared" ref="F13:F18" si="5">D13*$D$25</f>
        <v>992.62424785595908</v>
      </c>
      <c r="G13" s="10">
        <f t="shared" ref="G13:G18" si="6">E13+F13</f>
        <v>1698.7951241139422</v>
      </c>
      <c r="H13" t="e">
        <f>G13/B13</f>
        <v>#DIV/0!</v>
      </c>
      <c r="Q13" s="49"/>
      <c r="R13" s="49"/>
      <c r="S13" s="49"/>
      <c r="T13" s="49"/>
      <c r="U13" s="49"/>
      <c r="V13" s="49"/>
      <c r="W13" s="49"/>
    </row>
    <row r="14" spans="1:23">
      <c r="A14" s="14" t="s">
        <v>488</v>
      </c>
      <c r="B14" s="10"/>
      <c r="C14" s="12">
        <f t="shared" si="2"/>
        <v>0.62042244663264579</v>
      </c>
      <c r="D14" s="12">
        <f t="shared" si="3"/>
        <v>0.85922747894834717</v>
      </c>
      <c r="E14" s="10">
        <f t="shared" si="4"/>
        <v>1118.6681718075142</v>
      </c>
      <c r="F14" s="11">
        <f t="shared" si="5"/>
        <v>1066.730175954257</v>
      </c>
      <c r="G14" s="10">
        <f t="shared" si="6"/>
        <v>2185.3983477617712</v>
      </c>
      <c r="H14" t="e">
        <f t="shared" ref="H14:H18" si="7">G14/B14</f>
        <v>#DIV/0!</v>
      </c>
      <c r="Q14" s="49"/>
      <c r="R14" s="49"/>
      <c r="S14" s="49"/>
      <c r="T14" s="49"/>
      <c r="U14" s="49"/>
      <c r="V14" s="49"/>
      <c r="W14" s="49"/>
    </row>
    <row r="15" spans="1:23">
      <c r="A15" s="14" t="s">
        <v>487</v>
      </c>
      <c r="B15" s="10"/>
      <c r="C15" s="12">
        <f t="shared" si="2"/>
        <v>1.093258103931575</v>
      </c>
      <c r="D15" s="12">
        <f t="shared" si="3"/>
        <v>1.0092078004644986</v>
      </c>
      <c r="E15" s="10">
        <f t="shared" si="4"/>
        <v>1971.2263008482391</v>
      </c>
      <c r="F15" s="11">
        <f t="shared" si="5"/>
        <v>1252.9306160942983</v>
      </c>
      <c r="G15" s="10">
        <f t="shared" si="6"/>
        <v>3224.1569169425375</v>
      </c>
      <c r="H15" t="e">
        <f t="shared" si="7"/>
        <v>#DIV/0!</v>
      </c>
      <c r="Q15" s="49"/>
      <c r="R15" s="49"/>
      <c r="S15" s="49"/>
      <c r="T15" s="49"/>
      <c r="U15" s="49"/>
      <c r="V15" s="49"/>
      <c r="W15" s="49"/>
    </row>
    <row r="16" spans="1:23">
      <c r="A16" s="14" t="s">
        <v>490</v>
      </c>
      <c r="B16" s="10"/>
      <c r="C16" s="12">
        <f t="shared" si="2"/>
        <v>1.3340558290807161</v>
      </c>
      <c r="D16" s="12">
        <f t="shared" si="3"/>
        <v>1.1447255175873745</v>
      </c>
      <c r="E16" s="10">
        <f t="shared" si="4"/>
        <v>2405.4026470298181</v>
      </c>
      <c r="F16" s="11">
        <f t="shared" si="5"/>
        <v>1421.1757453217062</v>
      </c>
      <c r="G16" s="10">
        <f t="shared" si="6"/>
        <v>3826.5783923515246</v>
      </c>
      <c r="H16" t="e">
        <f t="shared" si="7"/>
        <v>#DIV/0!</v>
      </c>
      <c r="Q16" s="49"/>
      <c r="R16" s="49"/>
      <c r="S16" s="49"/>
      <c r="T16" s="49"/>
      <c r="U16" s="49"/>
      <c r="V16" s="49"/>
      <c r="W16" s="49"/>
    </row>
    <row r="17" spans="1:23">
      <c r="A17" s="14" t="s">
        <v>491</v>
      </c>
      <c r="B17" s="10"/>
      <c r="C17" s="12">
        <f t="shared" si="2"/>
        <v>1.9643498885934019</v>
      </c>
      <c r="D17" s="12">
        <f t="shared" si="3"/>
        <v>1.3122629391437481</v>
      </c>
      <c r="E17" s="10">
        <f t="shared" si="4"/>
        <v>3541.8700767353057</v>
      </c>
      <c r="F17" s="11">
        <f t="shared" si="5"/>
        <v>1629.1733100579904</v>
      </c>
      <c r="G17" s="10">
        <f t="shared" si="6"/>
        <v>5171.0433867932961</v>
      </c>
      <c r="H17" t="e">
        <f t="shared" si="7"/>
        <v>#DIV/0!</v>
      </c>
      <c r="Q17" s="49"/>
      <c r="R17" s="49"/>
      <c r="S17" s="49"/>
      <c r="T17" s="49"/>
      <c r="U17" s="49"/>
      <c r="V17" s="49"/>
      <c r="W17" s="49"/>
    </row>
    <row r="18" spans="1:23">
      <c r="A18" s="13" t="s">
        <v>466</v>
      </c>
      <c r="B18" s="10"/>
      <c r="C18" s="11">
        <f t="shared" si="2"/>
        <v>1</v>
      </c>
      <c r="D18" s="11">
        <f t="shared" si="3"/>
        <v>1</v>
      </c>
      <c r="E18" s="10">
        <f t="shared" si="4"/>
        <v>1803.0749497847899</v>
      </c>
      <c r="F18" s="11">
        <f t="shared" si="5"/>
        <v>1241.4991397387373</v>
      </c>
      <c r="G18" s="10">
        <f t="shared" si="6"/>
        <v>3044.5740895235272</v>
      </c>
      <c r="H18" t="e">
        <f t="shared" si="7"/>
        <v>#DIV/0!</v>
      </c>
      <c r="Q18" s="49"/>
      <c r="R18" s="49"/>
      <c r="S18" s="49"/>
      <c r="T18" s="49"/>
      <c r="U18" s="49"/>
      <c r="V18" s="49"/>
      <c r="W18" s="49"/>
    </row>
    <row r="19" spans="1:23">
      <c r="Q19" s="49"/>
      <c r="R19" s="49"/>
      <c r="S19" s="49"/>
      <c r="T19" s="49"/>
      <c r="U19" s="49"/>
      <c r="V19" s="49"/>
      <c r="W19" s="49"/>
    </row>
    <row r="20" spans="1:23">
      <c r="B20" s="48" t="s">
        <v>505</v>
      </c>
      <c r="C20" s="48"/>
      <c r="D20" s="48"/>
      <c r="E20" s="48"/>
      <c r="F20" s="48"/>
      <c r="G20" s="48"/>
      <c r="H20" s="48"/>
      <c r="Q20" s="49"/>
      <c r="R20" s="49"/>
      <c r="S20" s="49"/>
      <c r="T20" s="49"/>
      <c r="U20" s="49"/>
      <c r="V20" s="49"/>
      <c r="W20" s="49"/>
    </row>
    <row r="22" spans="1:23">
      <c r="B22" s="3" t="s">
        <v>466</v>
      </c>
      <c r="C22" t="s">
        <v>500</v>
      </c>
      <c r="D22" t="s">
        <v>499</v>
      </c>
    </row>
    <row r="23" spans="1:23">
      <c r="A23" t="s">
        <v>601</v>
      </c>
      <c r="B23" s="3">
        <v>1</v>
      </c>
      <c r="C23">
        <f>I91/I89</f>
        <v>0.59222567648763291</v>
      </c>
      <c r="D23">
        <f>B23-C23</f>
        <v>0.40777432351236709</v>
      </c>
    </row>
    <row r="24" spans="1:23">
      <c r="A24" s="3" t="s">
        <v>523</v>
      </c>
      <c r="B24" s="2">
        <f>Skatteberegninger!C5*B30</f>
        <v>8306000000</v>
      </c>
      <c r="C24" s="2">
        <f>C23*$B$24</f>
        <v>4919026468.9062786</v>
      </c>
      <c r="D24" s="2">
        <f>D23*$B$24</f>
        <v>3386973531.0937209</v>
      </c>
    </row>
    <row r="25" spans="1:23">
      <c r="A25" s="3" t="s">
        <v>497</v>
      </c>
      <c r="B25" s="2">
        <f>B24/$B$31</f>
        <v>3044.5740895235276</v>
      </c>
      <c r="C25" s="2">
        <f>C24/$B$31</f>
        <v>1803.0749497847899</v>
      </c>
      <c r="D25" s="2">
        <f>D24/$B$31</f>
        <v>1241.4991397387373</v>
      </c>
    </row>
    <row r="27" spans="1:23">
      <c r="A27" s="3" t="s">
        <v>498</v>
      </c>
      <c r="B27" s="2">
        <f>SUM(C27:D27)</f>
        <v>7832020186.707468</v>
      </c>
      <c r="C27" s="2">
        <f>C24*(1+E8)</f>
        <v>4682812197.4965267</v>
      </c>
      <c r="D27" s="2">
        <f>(1+C8)*D24</f>
        <v>3149207989.2109418</v>
      </c>
    </row>
    <row r="28" spans="1:23">
      <c r="A28" s="3" t="s">
        <v>497</v>
      </c>
      <c r="B28" s="2">
        <f>SUM(C28:D28)</f>
        <v>2870.8362303244376</v>
      </c>
      <c r="C28" s="2">
        <f>C27/$B$31</f>
        <v>1716.4903301953595</v>
      </c>
      <c r="D28" s="2">
        <f>D27/$B$31</f>
        <v>1154.345900129078</v>
      </c>
    </row>
    <row r="30" spans="1:23">
      <c r="A30" s="3" t="s">
        <v>496</v>
      </c>
      <c r="B30" s="9">
        <v>1000</v>
      </c>
    </row>
    <row r="31" spans="1:23">
      <c r="A31" s="3" t="s">
        <v>495</v>
      </c>
      <c r="B31" s="8">
        <v>2728132</v>
      </c>
    </row>
    <row r="38" spans="3:30">
      <c r="C38" s="3" t="s">
        <v>600</v>
      </c>
    </row>
    <row r="39" spans="3:30">
      <c r="C39" s="27" t="s">
        <v>524</v>
      </c>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8"/>
    </row>
    <row r="40" spans="3:30">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8" t="s">
        <v>525</v>
      </c>
    </row>
    <row r="41" spans="3:30">
      <c r="C41" s="27"/>
      <c r="D41" s="29" t="s">
        <v>526</v>
      </c>
      <c r="E41" s="29" t="s">
        <v>527</v>
      </c>
      <c r="F41" s="29" t="s">
        <v>528</v>
      </c>
      <c r="G41" s="29" t="s">
        <v>529</v>
      </c>
      <c r="H41" s="29" t="s">
        <v>530</v>
      </c>
      <c r="I41" s="29" t="s">
        <v>531</v>
      </c>
      <c r="J41" s="29" t="s">
        <v>532</v>
      </c>
      <c r="K41" s="29" t="s">
        <v>533</v>
      </c>
      <c r="L41" s="29" t="s">
        <v>534</v>
      </c>
      <c r="M41" s="29" t="s">
        <v>535</v>
      </c>
      <c r="N41" s="29" t="s">
        <v>536</v>
      </c>
      <c r="O41" s="29" t="s">
        <v>537</v>
      </c>
      <c r="P41" s="29" t="s">
        <v>538</v>
      </c>
      <c r="Q41" s="29" t="s">
        <v>539</v>
      </c>
      <c r="R41" s="29" t="s">
        <v>540</v>
      </c>
      <c r="S41" s="29" t="s">
        <v>541</v>
      </c>
      <c r="T41" s="29" t="s">
        <v>542</v>
      </c>
      <c r="U41" s="29" t="s">
        <v>543</v>
      </c>
      <c r="V41" s="29" t="s">
        <v>544</v>
      </c>
      <c r="W41" s="29" t="s">
        <v>545</v>
      </c>
      <c r="X41" s="29" t="s">
        <v>546</v>
      </c>
      <c r="Y41" s="29" t="s">
        <v>547</v>
      </c>
      <c r="Z41" s="29" t="s">
        <v>548</v>
      </c>
      <c r="AA41" s="29" t="s">
        <v>549</v>
      </c>
      <c r="AB41" s="29" t="s">
        <v>550</v>
      </c>
      <c r="AC41" s="27"/>
      <c r="AD41" s="30" t="s">
        <v>551</v>
      </c>
    </row>
    <row r="42" spans="3:30">
      <c r="C42" s="29" t="s">
        <v>552</v>
      </c>
      <c r="D42" s="31">
        <v>445061346</v>
      </c>
      <c r="E42" s="31">
        <v>95200012</v>
      </c>
      <c r="F42" s="31">
        <v>24160844</v>
      </c>
      <c r="G42" s="31">
        <v>0</v>
      </c>
      <c r="H42" s="31">
        <v>325700490</v>
      </c>
      <c r="I42" s="31">
        <v>0</v>
      </c>
      <c r="J42" s="31">
        <v>325700490</v>
      </c>
      <c r="K42" s="31">
        <v>0</v>
      </c>
      <c r="L42" s="31">
        <v>0</v>
      </c>
      <c r="M42" s="31">
        <v>325700490</v>
      </c>
      <c r="N42" s="31">
        <v>0</v>
      </c>
      <c r="O42" s="31">
        <v>0</v>
      </c>
      <c r="P42" s="31">
        <v>0</v>
      </c>
      <c r="Q42" s="31">
        <v>0</v>
      </c>
      <c r="R42" s="31">
        <v>0</v>
      </c>
      <c r="S42" s="31">
        <v>0</v>
      </c>
      <c r="T42" s="31">
        <v>0</v>
      </c>
      <c r="U42" s="31">
        <v>0</v>
      </c>
      <c r="V42" s="31">
        <v>0</v>
      </c>
      <c r="W42" s="31">
        <v>0</v>
      </c>
      <c r="X42" s="31">
        <v>0</v>
      </c>
      <c r="Y42" s="31">
        <v>0</v>
      </c>
      <c r="Z42" s="31">
        <v>0</v>
      </c>
      <c r="AA42" s="31">
        <v>0</v>
      </c>
      <c r="AB42" s="31">
        <v>0</v>
      </c>
      <c r="AC42" s="27"/>
      <c r="AD42" s="28"/>
    </row>
    <row r="43" spans="3:30">
      <c r="C43" s="29" t="s">
        <v>553</v>
      </c>
      <c r="D43" s="31">
        <v>17840467</v>
      </c>
      <c r="E43" s="31">
        <v>1434101</v>
      </c>
      <c r="F43" s="31">
        <v>15892386</v>
      </c>
      <c r="G43" s="31">
        <v>0</v>
      </c>
      <c r="H43" s="31">
        <v>513980</v>
      </c>
      <c r="I43" s="31">
        <v>0</v>
      </c>
      <c r="J43" s="31">
        <v>513980</v>
      </c>
      <c r="K43" s="31">
        <v>0</v>
      </c>
      <c r="L43" s="31">
        <v>0</v>
      </c>
      <c r="M43" s="31">
        <v>513980</v>
      </c>
      <c r="N43" s="31">
        <v>0</v>
      </c>
      <c r="O43" s="31">
        <v>0</v>
      </c>
      <c r="P43" s="31">
        <v>0</v>
      </c>
      <c r="Q43" s="31">
        <v>0</v>
      </c>
      <c r="R43" s="31">
        <v>0</v>
      </c>
      <c r="S43" s="31">
        <v>0</v>
      </c>
      <c r="T43" s="31">
        <v>0</v>
      </c>
      <c r="U43" s="31">
        <v>0</v>
      </c>
      <c r="V43" s="31">
        <v>0</v>
      </c>
      <c r="W43" s="31">
        <v>0</v>
      </c>
      <c r="X43" s="31">
        <v>0</v>
      </c>
      <c r="Y43" s="31">
        <v>0</v>
      </c>
      <c r="Z43" s="31">
        <v>0</v>
      </c>
      <c r="AA43" s="31">
        <v>0</v>
      </c>
      <c r="AB43" s="31">
        <v>0</v>
      </c>
      <c r="AC43" s="27"/>
      <c r="AD43" s="28"/>
    </row>
    <row r="44" spans="3:30">
      <c r="C44" s="29" t="s">
        <v>554</v>
      </c>
      <c r="D44" s="31">
        <v>15662452</v>
      </c>
      <c r="E44" s="31">
        <v>0</v>
      </c>
      <c r="F44" s="31">
        <v>0</v>
      </c>
      <c r="G44" s="31">
        <v>0</v>
      </c>
      <c r="H44" s="31">
        <v>15662452</v>
      </c>
      <c r="I44" s="31">
        <v>0</v>
      </c>
      <c r="J44" s="31">
        <v>15662452</v>
      </c>
      <c r="K44" s="31">
        <v>0</v>
      </c>
      <c r="L44" s="31">
        <v>0</v>
      </c>
      <c r="M44" s="31">
        <v>14260853</v>
      </c>
      <c r="N44" s="31">
        <v>1401599</v>
      </c>
      <c r="O44" s="31">
        <v>0</v>
      </c>
      <c r="P44" s="31">
        <v>0</v>
      </c>
      <c r="Q44" s="31">
        <v>0</v>
      </c>
      <c r="R44" s="31">
        <v>0</v>
      </c>
      <c r="S44" s="31">
        <v>0</v>
      </c>
      <c r="T44" s="31">
        <v>0</v>
      </c>
      <c r="U44" s="31">
        <v>0</v>
      </c>
      <c r="V44" s="31">
        <v>0</v>
      </c>
      <c r="W44" s="31">
        <v>0</v>
      </c>
      <c r="X44" s="31">
        <v>0</v>
      </c>
      <c r="Y44" s="31">
        <v>0</v>
      </c>
      <c r="Z44" s="31">
        <v>0</v>
      </c>
      <c r="AA44" s="31">
        <v>0</v>
      </c>
      <c r="AB44" s="31">
        <v>0</v>
      </c>
      <c r="AC44" s="27"/>
      <c r="AD44" s="28"/>
    </row>
    <row r="45" spans="3:30">
      <c r="C45" s="29" t="s">
        <v>555</v>
      </c>
      <c r="D45" s="31">
        <v>6598078</v>
      </c>
      <c r="E45" s="31">
        <v>3976785</v>
      </c>
      <c r="F45" s="31">
        <v>1133</v>
      </c>
      <c r="G45" s="31">
        <v>0</v>
      </c>
      <c r="H45" s="31">
        <v>2620160</v>
      </c>
      <c r="I45" s="31">
        <v>778971</v>
      </c>
      <c r="J45" s="31">
        <v>1841189</v>
      </c>
      <c r="K45" s="31">
        <v>270643</v>
      </c>
      <c r="L45" s="31">
        <v>26583</v>
      </c>
      <c r="M45" s="31">
        <v>1037086</v>
      </c>
      <c r="N45" s="31">
        <v>26217</v>
      </c>
      <c r="O45" s="31">
        <v>84469</v>
      </c>
      <c r="P45" s="31">
        <v>71083</v>
      </c>
      <c r="Q45" s="31">
        <v>55564</v>
      </c>
      <c r="R45" s="31">
        <v>10339</v>
      </c>
      <c r="S45" s="31">
        <v>28014</v>
      </c>
      <c r="T45" s="31">
        <v>0</v>
      </c>
      <c r="U45" s="31">
        <v>8257</v>
      </c>
      <c r="V45" s="31">
        <v>173</v>
      </c>
      <c r="W45" s="31">
        <v>2693</v>
      </c>
      <c r="X45" s="31">
        <v>13536</v>
      </c>
      <c r="Y45" s="31">
        <v>143981</v>
      </c>
      <c r="Z45" s="31">
        <v>53242</v>
      </c>
      <c r="AA45" s="31">
        <v>9309</v>
      </c>
      <c r="AB45" s="31">
        <v>0</v>
      </c>
      <c r="AC45" s="27"/>
      <c r="AD45" s="32">
        <v>63.1</v>
      </c>
    </row>
    <row r="46" spans="3:30">
      <c r="C46" s="29" t="s">
        <v>556</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1">
        <v>0</v>
      </c>
      <c r="X46" s="31">
        <v>0</v>
      </c>
      <c r="Y46" s="31">
        <v>0</v>
      </c>
      <c r="Z46" s="31">
        <v>0</v>
      </c>
      <c r="AA46" s="31">
        <v>0</v>
      </c>
      <c r="AB46" s="31">
        <v>0</v>
      </c>
      <c r="AC46" s="27"/>
      <c r="AD46" s="28"/>
    </row>
    <row r="47" spans="3:30">
      <c r="C47" s="29" t="s">
        <v>557</v>
      </c>
      <c r="D47" s="31">
        <v>0</v>
      </c>
      <c r="E47" s="31">
        <v>0</v>
      </c>
      <c r="F47" s="31">
        <v>0</v>
      </c>
      <c r="G47" s="31">
        <v>0</v>
      </c>
      <c r="H47" s="31">
        <v>0</v>
      </c>
      <c r="I47" s="31">
        <v>0</v>
      </c>
      <c r="J47" s="31">
        <v>0</v>
      </c>
      <c r="K47" s="31">
        <v>0</v>
      </c>
      <c r="L47" s="31">
        <v>0</v>
      </c>
      <c r="M47" s="31">
        <v>0</v>
      </c>
      <c r="N47" s="31">
        <v>0</v>
      </c>
      <c r="O47" s="31">
        <v>0</v>
      </c>
      <c r="P47" s="31">
        <v>0</v>
      </c>
      <c r="Q47" s="31">
        <v>0</v>
      </c>
      <c r="R47" s="31">
        <v>0</v>
      </c>
      <c r="S47" s="31">
        <v>0</v>
      </c>
      <c r="T47" s="31">
        <v>0</v>
      </c>
      <c r="U47" s="31">
        <v>0</v>
      </c>
      <c r="V47" s="31">
        <v>0</v>
      </c>
      <c r="W47" s="31">
        <v>0</v>
      </c>
      <c r="X47" s="31">
        <v>0</v>
      </c>
      <c r="Y47" s="31">
        <v>0</v>
      </c>
      <c r="Z47" s="31">
        <v>0</v>
      </c>
      <c r="AA47" s="31">
        <v>0</v>
      </c>
      <c r="AB47" s="31">
        <v>0</v>
      </c>
      <c r="AC47" s="27"/>
      <c r="AD47" s="28"/>
    </row>
    <row r="48" spans="3:30">
      <c r="C48" s="29" t="s">
        <v>558</v>
      </c>
      <c r="D48" s="31">
        <v>0</v>
      </c>
      <c r="E48" s="31">
        <v>0</v>
      </c>
      <c r="F48" s="31">
        <v>0</v>
      </c>
      <c r="G48" s="31">
        <v>0</v>
      </c>
      <c r="H48" s="31">
        <v>0</v>
      </c>
      <c r="I48" s="31">
        <v>0</v>
      </c>
      <c r="J48" s="31">
        <v>0</v>
      </c>
      <c r="K48" s="31">
        <v>0</v>
      </c>
      <c r="L48" s="31">
        <v>0</v>
      </c>
      <c r="M48" s="31">
        <v>0</v>
      </c>
      <c r="N48" s="31">
        <v>0</v>
      </c>
      <c r="O48" s="31">
        <v>0</v>
      </c>
      <c r="P48" s="31">
        <v>0</v>
      </c>
      <c r="Q48" s="31">
        <v>0</v>
      </c>
      <c r="R48" s="31">
        <v>0</v>
      </c>
      <c r="S48" s="31">
        <v>0</v>
      </c>
      <c r="T48" s="31">
        <v>0</v>
      </c>
      <c r="U48" s="31">
        <v>0</v>
      </c>
      <c r="V48" s="31">
        <v>0</v>
      </c>
      <c r="W48" s="31">
        <v>0</v>
      </c>
      <c r="X48" s="31">
        <v>0</v>
      </c>
      <c r="Y48" s="31">
        <v>0</v>
      </c>
      <c r="Z48" s="31">
        <v>0</v>
      </c>
      <c r="AA48" s="31">
        <v>0</v>
      </c>
      <c r="AB48" s="31">
        <v>0</v>
      </c>
      <c r="AC48" s="27"/>
      <c r="AD48" s="28"/>
    </row>
    <row r="49" spans="3:30">
      <c r="C49" s="29" t="s">
        <v>559</v>
      </c>
      <c r="D49" s="31">
        <v>105292879</v>
      </c>
      <c r="E49" s="31">
        <v>51408922</v>
      </c>
      <c r="F49" s="31">
        <v>-3098819</v>
      </c>
      <c r="G49" s="31">
        <v>0</v>
      </c>
      <c r="H49" s="31">
        <v>56982776</v>
      </c>
      <c r="I49" s="31">
        <v>51213074</v>
      </c>
      <c r="J49" s="31">
        <v>5769702</v>
      </c>
      <c r="K49" s="31">
        <v>434097</v>
      </c>
      <c r="L49" s="31">
        <v>3328</v>
      </c>
      <c r="M49" s="31">
        <v>481634</v>
      </c>
      <c r="N49" s="31">
        <v>138052</v>
      </c>
      <c r="O49" s="31">
        <v>912298</v>
      </c>
      <c r="P49" s="31">
        <v>1413596</v>
      </c>
      <c r="Q49" s="31">
        <v>286112</v>
      </c>
      <c r="R49" s="31">
        <v>173368</v>
      </c>
      <c r="S49" s="31">
        <v>118322</v>
      </c>
      <c r="T49" s="31">
        <v>98997</v>
      </c>
      <c r="U49" s="31">
        <v>112401</v>
      </c>
      <c r="V49" s="31">
        <v>49203</v>
      </c>
      <c r="W49" s="31">
        <v>272437</v>
      </c>
      <c r="X49" s="31">
        <v>335285</v>
      </c>
      <c r="Y49" s="31">
        <v>848176</v>
      </c>
      <c r="Z49" s="31">
        <v>24970</v>
      </c>
      <c r="AA49" s="31">
        <v>67425</v>
      </c>
      <c r="AB49" s="31">
        <v>0</v>
      </c>
      <c r="AC49" s="27"/>
      <c r="AD49" s="32">
        <v>73</v>
      </c>
    </row>
    <row r="50" spans="3:30">
      <c r="C50" s="29" t="s">
        <v>560</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1">
        <v>0</v>
      </c>
      <c r="X50" s="31">
        <v>0</v>
      </c>
      <c r="Y50" s="31">
        <v>0</v>
      </c>
      <c r="Z50" s="31">
        <v>0</v>
      </c>
      <c r="AA50" s="31">
        <v>0</v>
      </c>
      <c r="AB50" s="31">
        <v>0</v>
      </c>
      <c r="AC50" s="27"/>
      <c r="AD50" s="28"/>
    </row>
    <row r="51" spans="3:30">
      <c r="C51" s="29" t="s">
        <v>561</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1">
        <v>0</v>
      </c>
      <c r="X51" s="31">
        <v>0</v>
      </c>
      <c r="Y51" s="31">
        <v>0</v>
      </c>
      <c r="Z51" s="31">
        <v>0</v>
      </c>
      <c r="AA51" s="31">
        <v>0</v>
      </c>
      <c r="AB51" s="31">
        <v>0</v>
      </c>
      <c r="AC51" s="27"/>
      <c r="AD51" s="28"/>
    </row>
    <row r="52" spans="3:30">
      <c r="C52" s="29" t="s">
        <v>562</v>
      </c>
      <c r="D52" s="31">
        <v>331143</v>
      </c>
      <c r="E52" s="31">
        <v>56735</v>
      </c>
      <c r="F52" s="31">
        <v>256670</v>
      </c>
      <c r="G52" s="31">
        <v>0</v>
      </c>
      <c r="H52" s="31">
        <v>17738</v>
      </c>
      <c r="I52" s="31">
        <v>0</v>
      </c>
      <c r="J52" s="31">
        <v>17738</v>
      </c>
      <c r="K52" s="31">
        <v>0</v>
      </c>
      <c r="L52" s="31">
        <v>17166</v>
      </c>
      <c r="M52" s="31">
        <v>0</v>
      </c>
      <c r="N52" s="31">
        <v>0</v>
      </c>
      <c r="O52" s="31">
        <v>572</v>
      </c>
      <c r="P52" s="31">
        <v>0</v>
      </c>
      <c r="Q52" s="31">
        <v>0</v>
      </c>
      <c r="R52" s="31">
        <v>0</v>
      </c>
      <c r="S52" s="31">
        <v>0</v>
      </c>
      <c r="T52" s="31">
        <v>0</v>
      </c>
      <c r="U52" s="31">
        <v>0</v>
      </c>
      <c r="V52" s="31">
        <v>0</v>
      </c>
      <c r="W52" s="31">
        <v>0</v>
      </c>
      <c r="X52" s="31">
        <v>0</v>
      </c>
      <c r="Y52" s="31">
        <v>0</v>
      </c>
      <c r="Z52" s="31">
        <v>0</v>
      </c>
      <c r="AA52" s="31">
        <v>0</v>
      </c>
      <c r="AB52" s="31">
        <v>0</v>
      </c>
      <c r="AC52" s="27"/>
      <c r="AD52" s="28"/>
    </row>
    <row r="53" spans="3:30">
      <c r="C53" s="29" t="s">
        <v>563</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27"/>
      <c r="AD53" s="28"/>
    </row>
    <row r="54" spans="3:30">
      <c r="C54" s="29" t="s">
        <v>564</v>
      </c>
      <c r="D54" s="31">
        <v>44375240</v>
      </c>
      <c r="E54" s="31">
        <v>6077653</v>
      </c>
      <c r="F54" s="31">
        <v>21183510</v>
      </c>
      <c r="G54" s="31">
        <v>0</v>
      </c>
      <c r="H54" s="31">
        <v>17114076</v>
      </c>
      <c r="I54" s="31">
        <v>0</v>
      </c>
      <c r="J54" s="31">
        <v>17114076</v>
      </c>
      <c r="K54" s="31">
        <v>0</v>
      </c>
      <c r="L54" s="31">
        <v>0</v>
      </c>
      <c r="M54" s="31">
        <v>0</v>
      </c>
      <c r="N54" s="31">
        <v>0</v>
      </c>
      <c r="O54" s="31">
        <v>0</v>
      </c>
      <c r="P54" s="31">
        <v>0</v>
      </c>
      <c r="Q54" s="31">
        <v>15910389</v>
      </c>
      <c r="R54" s="31">
        <v>0</v>
      </c>
      <c r="S54" s="31">
        <v>0</v>
      </c>
      <c r="T54" s="31">
        <v>0</v>
      </c>
      <c r="U54" s="31">
        <v>0</v>
      </c>
      <c r="V54" s="31">
        <v>0</v>
      </c>
      <c r="W54" s="31">
        <v>0</v>
      </c>
      <c r="X54" s="31">
        <v>0</v>
      </c>
      <c r="Y54" s="31">
        <v>1203687</v>
      </c>
      <c r="Z54" s="31">
        <v>0</v>
      </c>
      <c r="AA54" s="31">
        <v>0</v>
      </c>
      <c r="AB54" s="31">
        <v>0</v>
      </c>
      <c r="AC54" s="27"/>
      <c r="AD54" s="32">
        <v>72</v>
      </c>
    </row>
    <row r="55" spans="3:30">
      <c r="C55" s="29" t="s">
        <v>565</v>
      </c>
      <c r="D55" s="31">
        <v>27954018</v>
      </c>
      <c r="E55" s="31">
        <v>0</v>
      </c>
      <c r="F55" s="31">
        <v>0</v>
      </c>
      <c r="G55" s="31">
        <v>0</v>
      </c>
      <c r="H55" s="31">
        <v>27954018</v>
      </c>
      <c r="I55" s="31">
        <v>0</v>
      </c>
      <c r="J55" s="31">
        <v>27954018</v>
      </c>
      <c r="K55" s="31">
        <v>0</v>
      </c>
      <c r="L55" s="31">
        <v>0</v>
      </c>
      <c r="M55" s="31">
        <v>0</v>
      </c>
      <c r="N55" s="31">
        <v>0</v>
      </c>
      <c r="O55" s="31">
        <v>0</v>
      </c>
      <c r="P55" s="31">
        <v>0</v>
      </c>
      <c r="Q55" s="31">
        <v>27954018</v>
      </c>
      <c r="R55" s="31">
        <v>0</v>
      </c>
      <c r="S55" s="31">
        <v>0</v>
      </c>
      <c r="T55" s="31">
        <v>0</v>
      </c>
      <c r="U55" s="31">
        <v>0</v>
      </c>
      <c r="V55" s="31">
        <v>0</v>
      </c>
      <c r="W55" s="31">
        <v>0</v>
      </c>
      <c r="X55" s="31">
        <v>0</v>
      </c>
      <c r="Y55" s="31">
        <v>0</v>
      </c>
      <c r="Z55" s="31">
        <v>0</v>
      </c>
      <c r="AA55" s="31">
        <v>0</v>
      </c>
      <c r="AB55" s="31">
        <v>0</v>
      </c>
      <c r="AC55" s="27"/>
      <c r="AD55" s="28"/>
    </row>
    <row r="56" spans="3:30">
      <c r="C56" s="29" t="s">
        <v>566</v>
      </c>
      <c r="D56" s="31">
        <v>124208605</v>
      </c>
      <c r="E56" s="31">
        <v>91658618</v>
      </c>
      <c r="F56" s="31">
        <v>-20907766</v>
      </c>
      <c r="G56" s="31">
        <v>0</v>
      </c>
      <c r="H56" s="31">
        <v>53457752</v>
      </c>
      <c r="I56" s="31">
        <v>8163872</v>
      </c>
      <c r="J56" s="31">
        <v>45293880</v>
      </c>
      <c r="K56" s="31">
        <v>19110312</v>
      </c>
      <c r="L56" s="31">
        <v>639073</v>
      </c>
      <c r="M56" s="31">
        <v>1566380</v>
      </c>
      <c r="N56" s="31">
        <v>1074832</v>
      </c>
      <c r="O56" s="31">
        <v>5881764</v>
      </c>
      <c r="P56" s="31">
        <v>438454</v>
      </c>
      <c r="Q56" s="31">
        <v>13395468</v>
      </c>
      <c r="R56" s="31">
        <v>48686</v>
      </c>
      <c r="S56" s="31">
        <v>102982</v>
      </c>
      <c r="T56" s="31">
        <v>76244</v>
      </c>
      <c r="U56" s="31">
        <v>38015</v>
      </c>
      <c r="V56" s="31">
        <v>489</v>
      </c>
      <c r="W56" s="31">
        <v>84140</v>
      </c>
      <c r="X56" s="31">
        <v>46283</v>
      </c>
      <c r="Y56" s="31">
        <v>2520530</v>
      </c>
      <c r="Z56" s="31">
        <v>228856</v>
      </c>
      <c r="AA56" s="31">
        <v>41372</v>
      </c>
      <c r="AB56" s="31">
        <v>0</v>
      </c>
      <c r="AC56" s="27"/>
      <c r="AD56" s="32">
        <v>74.099999999999994</v>
      </c>
    </row>
    <row r="57" spans="3:30">
      <c r="C57" s="29" t="s">
        <v>567</v>
      </c>
      <c r="D57" s="31">
        <v>106244872</v>
      </c>
      <c r="E57" s="31">
        <v>0</v>
      </c>
      <c r="F57" s="31">
        <v>0</v>
      </c>
      <c r="G57" s="31">
        <v>0</v>
      </c>
      <c r="H57" s="31">
        <v>106244872</v>
      </c>
      <c r="I57" s="31">
        <v>29639723</v>
      </c>
      <c r="J57" s="31">
        <v>76605149</v>
      </c>
      <c r="K57" s="31">
        <v>3105337</v>
      </c>
      <c r="L57" s="31">
        <v>121887</v>
      </c>
      <c r="M57" s="31">
        <v>5400936</v>
      </c>
      <c r="N57" s="31">
        <v>2329237</v>
      </c>
      <c r="O57" s="31">
        <v>15141666</v>
      </c>
      <c r="P57" s="31">
        <v>10158083</v>
      </c>
      <c r="Q57" s="31">
        <v>27993569</v>
      </c>
      <c r="R57" s="31">
        <v>633513</v>
      </c>
      <c r="S57" s="31">
        <v>631718</v>
      </c>
      <c r="T57" s="31">
        <v>430296</v>
      </c>
      <c r="U57" s="31">
        <v>877398</v>
      </c>
      <c r="V57" s="31">
        <v>405516</v>
      </c>
      <c r="W57" s="31">
        <v>1409586</v>
      </c>
      <c r="X57" s="31">
        <v>3112168</v>
      </c>
      <c r="Y57" s="31">
        <v>3792778</v>
      </c>
      <c r="Z57" s="31">
        <v>422692</v>
      </c>
      <c r="AA57" s="31">
        <v>638768</v>
      </c>
      <c r="AB57" s="31">
        <v>0</v>
      </c>
      <c r="AC57" s="27"/>
      <c r="AD57" s="32">
        <v>74.099999999999994</v>
      </c>
    </row>
    <row r="58" spans="3:30">
      <c r="C58" s="29" t="s">
        <v>568</v>
      </c>
      <c r="D58" s="31">
        <v>12959509</v>
      </c>
      <c r="E58" s="31">
        <v>0</v>
      </c>
      <c r="F58" s="31">
        <v>0</v>
      </c>
      <c r="G58" s="31">
        <v>0</v>
      </c>
      <c r="H58" s="31">
        <v>12959509</v>
      </c>
      <c r="I58" s="31">
        <v>0</v>
      </c>
      <c r="J58" s="31">
        <v>12959509</v>
      </c>
      <c r="K58" s="31">
        <v>0</v>
      </c>
      <c r="L58" s="31">
        <v>0</v>
      </c>
      <c r="M58" s="31">
        <v>0</v>
      </c>
      <c r="N58" s="31">
        <v>0</v>
      </c>
      <c r="O58" s="31">
        <v>0</v>
      </c>
      <c r="P58" s="31">
        <v>1710529</v>
      </c>
      <c r="Q58" s="31">
        <v>11248980</v>
      </c>
      <c r="R58" s="31">
        <v>0</v>
      </c>
      <c r="S58" s="31">
        <v>0</v>
      </c>
      <c r="T58" s="31">
        <v>0</v>
      </c>
      <c r="U58" s="31">
        <v>0</v>
      </c>
      <c r="V58" s="31">
        <v>0</v>
      </c>
      <c r="W58" s="31">
        <v>0</v>
      </c>
      <c r="X58" s="31">
        <v>0</v>
      </c>
      <c r="Y58" s="31">
        <v>0</v>
      </c>
      <c r="Z58" s="31">
        <v>0</v>
      </c>
      <c r="AA58" s="31">
        <v>0</v>
      </c>
      <c r="AB58" s="31">
        <v>0</v>
      </c>
      <c r="AC58" s="27"/>
      <c r="AD58" s="28"/>
    </row>
    <row r="59" spans="3:30">
      <c r="C59" s="29" t="s">
        <v>569</v>
      </c>
      <c r="D59" s="31">
        <v>81391983</v>
      </c>
      <c r="E59" s="31">
        <v>99281634</v>
      </c>
      <c r="F59" s="31">
        <v>-19768575</v>
      </c>
      <c r="G59" s="31">
        <v>0</v>
      </c>
      <c r="H59" s="31">
        <v>1878924</v>
      </c>
      <c r="I59" s="31">
        <v>3799</v>
      </c>
      <c r="J59" s="31">
        <v>1875125</v>
      </c>
      <c r="K59" s="31">
        <v>6772</v>
      </c>
      <c r="L59" s="31">
        <v>7669</v>
      </c>
      <c r="M59" s="31">
        <v>991592</v>
      </c>
      <c r="N59" s="31">
        <v>536553</v>
      </c>
      <c r="O59" s="31">
        <v>0</v>
      </c>
      <c r="P59" s="31">
        <v>565</v>
      </c>
      <c r="Q59" s="31">
        <v>326582</v>
      </c>
      <c r="R59" s="31">
        <v>0</v>
      </c>
      <c r="S59" s="31">
        <v>424</v>
      </c>
      <c r="T59" s="31">
        <v>232</v>
      </c>
      <c r="U59" s="31">
        <v>0</v>
      </c>
      <c r="V59" s="31">
        <v>0</v>
      </c>
      <c r="W59" s="31">
        <v>269</v>
      </c>
      <c r="X59" s="31">
        <v>553</v>
      </c>
      <c r="Y59" s="31">
        <v>2920</v>
      </c>
      <c r="Z59" s="31">
        <v>697</v>
      </c>
      <c r="AA59" s="31">
        <v>298</v>
      </c>
      <c r="AB59" s="31">
        <v>0</v>
      </c>
      <c r="AC59" s="27"/>
      <c r="AD59" s="32">
        <v>79.42</v>
      </c>
    </row>
    <row r="60" spans="3:30">
      <c r="C60" s="29" t="s">
        <v>570</v>
      </c>
      <c r="D60" s="31">
        <v>479125845</v>
      </c>
      <c r="E60" s="31">
        <v>0</v>
      </c>
      <c r="F60" s="31">
        <v>0</v>
      </c>
      <c r="G60" s="31">
        <v>0</v>
      </c>
      <c r="H60" s="31">
        <v>479125845</v>
      </c>
      <c r="I60" s="31">
        <v>0</v>
      </c>
      <c r="J60" s="31">
        <v>479125845</v>
      </c>
      <c r="K60" s="31">
        <v>0</v>
      </c>
      <c r="L60" s="31">
        <v>0</v>
      </c>
      <c r="M60" s="31">
        <v>0</v>
      </c>
      <c r="N60" s="31">
        <v>0</v>
      </c>
      <c r="O60" s="31">
        <v>0</v>
      </c>
      <c r="P60" s="31">
        <v>0</v>
      </c>
      <c r="Q60" s="31">
        <v>479125845</v>
      </c>
      <c r="R60" s="31">
        <v>0</v>
      </c>
      <c r="S60" s="31">
        <v>0</v>
      </c>
      <c r="T60" s="31">
        <v>0</v>
      </c>
      <c r="U60" s="31">
        <v>0</v>
      </c>
      <c r="V60" s="31">
        <v>0</v>
      </c>
      <c r="W60" s="31">
        <v>0</v>
      </c>
      <c r="X60" s="31">
        <v>0</v>
      </c>
      <c r="Y60" s="31">
        <v>0</v>
      </c>
      <c r="Z60" s="31">
        <v>0</v>
      </c>
      <c r="AA60" s="31">
        <v>0</v>
      </c>
      <c r="AB60" s="31">
        <v>0</v>
      </c>
      <c r="AC60" s="27"/>
      <c r="AD60" s="28"/>
    </row>
    <row r="61" spans="3:30">
      <c r="C61" s="29" t="s">
        <v>571</v>
      </c>
      <c r="D61" s="31">
        <v>19383</v>
      </c>
      <c r="E61" s="31">
        <v>0</v>
      </c>
      <c r="F61" s="31">
        <v>0</v>
      </c>
      <c r="G61" s="31">
        <v>0</v>
      </c>
      <c r="H61" s="31">
        <v>19383</v>
      </c>
      <c r="I61" s="31">
        <v>0</v>
      </c>
      <c r="J61" s="31">
        <v>19383</v>
      </c>
      <c r="K61" s="31">
        <v>0</v>
      </c>
      <c r="L61" s="31">
        <v>1328</v>
      </c>
      <c r="M61" s="31">
        <v>15998</v>
      </c>
      <c r="N61" s="31">
        <v>2057</v>
      </c>
      <c r="O61" s="31">
        <v>0</v>
      </c>
      <c r="P61" s="31">
        <v>0</v>
      </c>
      <c r="Q61" s="31">
        <v>0</v>
      </c>
      <c r="R61" s="31">
        <v>0</v>
      </c>
      <c r="S61" s="31">
        <v>0</v>
      </c>
      <c r="T61" s="31">
        <v>0</v>
      </c>
      <c r="U61" s="31">
        <v>0</v>
      </c>
      <c r="V61" s="31">
        <v>0</v>
      </c>
      <c r="W61" s="31">
        <v>0</v>
      </c>
      <c r="X61" s="31">
        <v>0</v>
      </c>
      <c r="Y61" s="31">
        <v>0</v>
      </c>
      <c r="Z61" s="31">
        <v>0</v>
      </c>
      <c r="AA61" s="31">
        <v>0</v>
      </c>
      <c r="AB61" s="31">
        <v>0</v>
      </c>
      <c r="AC61" s="27"/>
      <c r="AD61" s="32">
        <v>73.3</v>
      </c>
    </row>
    <row r="62" spans="3:30">
      <c r="C62" s="29" t="s">
        <v>572</v>
      </c>
      <c r="D62" s="31">
        <v>11661105</v>
      </c>
      <c r="E62" s="31">
        <v>6068</v>
      </c>
      <c r="F62" s="31">
        <v>4738716</v>
      </c>
      <c r="G62" s="31">
        <v>0</v>
      </c>
      <c r="H62" s="31">
        <v>6916321</v>
      </c>
      <c r="I62" s="31">
        <v>513208</v>
      </c>
      <c r="J62" s="31">
        <v>6403113</v>
      </c>
      <c r="K62" s="31">
        <v>0</v>
      </c>
      <c r="L62" s="31">
        <v>0</v>
      </c>
      <c r="M62" s="31">
        <v>6397505</v>
      </c>
      <c r="N62" s="31">
        <v>0</v>
      </c>
      <c r="O62" s="31">
        <v>0</v>
      </c>
      <c r="P62" s="31">
        <v>5608</v>
      </c>
      <c r="Q62" s="31">
        <v>0</v>
      </c>
      <c r="R62" s="31">
        <v>0</v>
      </c>
      <c r="S62" s="31">
        <v>0</v>
      </c>
      <c r="T62" s="31">
        <v>0</v>
      </c>
      <c r="U62" s="31">
        <v>0</v>
      </c>
      <c r="V62" s="31">
        <v>0</v>
      </c>
      <c r="W62" s="31">
        <v>0</v>
      </c>
      <c r="X62" s="31">
        <v>0</v>
      </c>
      <c r="Y62" s="31">
        <v>0</v>
      </c>
      <c r="Z62" s="31">
        <v>0</v>
      </c>
      <c r="AA62" s="31">
        <v>0</v>
      </c>
      <c r="AB62" s="31">
        <v>0</v>
      </c>
      <c r="AC62" s="27"/>
      <c r="AD62" s="32">
        <v>93</v>
      </c>
    </row>
    <row r="63" spans="3:30">
      <c r="C63" s="29" t="s">
        <v>573</v>
      </c>
      <c r="D63" s="31">
        <v>0</v>
      </c>
      <c r="E63" s="31">
        <v>0</v>
      </c>
      <c r="F63" s="31">
        <v>0</v>
      </c>
      <c r="G63" s="31">
        <v>0</v>
      </c>
      <c r="H63" s="31">
        <v>0</v>
      </c>
      <c r="I63" s="31">
        <v>0</v>
      </c>
      <c r="J63" s="31">
        <v>0</v>
      </c>
      <c r="K63" s="31">
        <v>0</v>
      </c>
      <c r="L63" s="31">
        <v>0</v>
      </c>
      <c r="M63" s="31">
        <v>0</v>
      </c>
      <c r="N63" s="31">
        <v>0</v>
      </c>
      <c r="O63" s="31">
        <v>0</v>
      </c>
      <c r="P63" s="31">
        <v>0</v>
      </c>
      <c r="Q63" s="31">
        <v>0</v>
      </c>
      <c r="R63" s="31">
        <v>0</v>
      </c>
      <c r="S63" s="31">
        <v>0</v>
      </c>
      <c r="T63" s="31">
        <v>0</v>
      </c>
      <c r="U63" s="31">
        <v>0</v>
      </c>
      <c r="V63" s="31">
        <v>0</v>
      </c>
      <c r="W63" s="31">
        <v>0</v>
      </c>
      <c r="X63" s="31">
        <v>0</v>
      </c>
      <c r="Y63" s="31">
        <v>0</v>
      </c>
      <c r="Z63" s="31">
        <v>0</v>
      </c>
      <c r="AA63" s="31">
        <v>0</v>
      </c>
      <c r="AB63" s="31">
        <v>0</v>
      </c>
      <c r="AC63" s="27"/>
      <c r="AD63" s="28"/>
    </row>
    <row r="64" spans="3:30">
      <c r="C64" s="29" t="s">
        <v>574</v>
      </c>
      <c r="D64" s="31">
        <v>174168160</v>
      </c>
      <c r="E64" s="31">
        <v>0</v>
      </c>
      <c r="F64" s="31">
        <v>0</v>
      </c>
      <c r="G64" s="31">
        <v>3410760</v>
      </c>
      <c r="H64" s="31">
        <v>170757400</v>
      </c>
      <c r="I64" s="31">
        <v>0</v>
      </c>
      <c r="J64" s="31">
        <v>170757400</v>
      </c>
      <c r="K64" s="31">
        <v>0</v>
      </c>
      <c r="L64" s="31">
        <v>19100044</v>
      </c>
      <c r="M64" s="31">
        <v>0</v>
      </c>
      <c r="N64" s="31">
        <v>151657356</v>
      </c>
      <c r="O64" s="31">
        <v>0</v>
      </c>
      <c r="P64" s="31">
        <v>0</v>
      </c>
      <c r="Q64" s="31">
        <v>0</v>
      </c>
      <c r="R64" s="31">
        <v>0</v>
      </c>
      <c r="S64" s="31">
        <v>0</v>
      </c>
      <c r="T64" s="31">
        <v>0</v>
      </c>
      <c r="U64" s="31">
        <v>0</v>
      </c>
      <c r="V64" s="31">
        <v>0</v>
      </c>
      <c r="W64" s="31">
        <v>0</v>
      </c>
      <c r="X64" s="31">
        <v>0</v>
      </c>
      <c r="Y64" s="31">
        <v>0</v>
      </c>
      <c r="Z64" s="31">
        <v>0</v>
      </c>
      <c r="AA64" s="31">
        <v>0</v>
      </c>
      <c r="AB64" s="31">
        <v>0</v>
      </c>
      <c r="AC64" s="27"/>
      <c r="AD64" s="32">
        <v>56.54</v>
      </c>
    </row>
    <row r="65" spans="3:30">
      <c r="C65" s="29" t="s">
        <v>575</v>
      </c>
      <c r="D65" s="31">
        <v>0</v>
      </c>
      <c r="E65" s="31">
        <v>0</v>
      </c>
      <c r="F65" s="31">
        <v>0</v>
      </c>
      <c r="G65" s="31">
        <v>0</v>
      </c>
      <c r="H65" s="31">
        <v>0</v>
      </c>
      <c r="I65" s="31">
        <v>0</v>
      </c>
      <c r="J65" s="31">
        <v>0</v>
      </c>
      <c r="K65" s="31">
        <v>0</v>
      </c>
      <c r="L65" s="31">
        <v>0</v>
      </c>
      <c r="M65" s="31">
        <v>0</v>
      </c>
      <c r="N65" s="31">
        <v>0</v>
      </c>
      <c r="O65" s="31">
        <v>0</v>
      </c>
      <c r="P65" s="31">
        <v>0</v>
      </c>
      <c r="Q65" s="31">
        <v>0</v>
      </c>
      <c r="R65" s="31">
        <v>0</v>
      </c>
      <c r="S65" s="31">
        <v>0</v>
      </c>
      <c r="T65" s="31">
        <v>0</v>
      </c>
      <c r="U65" s="31">
        <v>0</v>
      </c>
      <c r="V65" s="31">
        <v>0</v>
      </c>
      <c r="W65" s="31">
        <v>0</v>
      </c>
      <c r="X65" s="31">
        <v>0</v>
      </c>
      <c r="Y65" s="31">
        <v>0</v>
      </c>
      <c r="Z65" s="31">
        <v>0</v>
      </c>
      <c r="AA65" s="31">
        <v>0</v>
      </c>
      <c r="AB65" s="31">
        <v>0</v>
      </c>
      <c r="AC65" s="27"/>
      <c r="AD65" s="28"/>
    </row>
    <row r="66" spans="3:30">
      <c r="C66" s="29" t="s">
        <v>576</v>
      </c>
      <c r="D66" s="31">
        <v>153500995</v>
      </c>
      <c r="E66" s="31">
        <v>61733000</v>
      </c>
      <c r="F66" s="31">
        <v>-4894046</v>
      </c>
      <c r="G66" s="31">
        <v>118965</v>
      </c>
      <c r="H66" s="31">
        <v>96543076</v>
      </c>
      <c r="I66" s="31">
        <v>23928517</v>
      </c>
      <c r="J66" s="31">
        <v>72614559</v>
      </c>
      <c r="K66" s="31">
        <v>1677509</v>
      </c>
      <c r="L66" s="31">
        <v>864891</v>
      </c>
      <c r="M66" s="31">
        <v>27027006</v>
      </c>
      <c r="N66" s="31">
        <v>35550164</v>
      </c>
      <c r="O66" s="31">
        <v>319166</v>
      </c>
      <c r="P66" s="31">
        <v>1814077</v>
      </c>
      <c r="Q66" s="31">
        <v>219989</v>
      </c>
      <c r="R66" s="31">
        <v>709690</v>
      </c>
      <c r="S66" s="31">
        <v>363513</v>
      </c>
      <c r="T66" s="31">
        <v>173266</v>
      </c>
      <c r="U66" s="31">
        <v>71065</v>
      </c>
      <c r="V66" s="31">
        <v>74766</v>
      </c>
      <c r="W66" s="31">
        <v>503320</v>
      </c>
      <c r="X66" s="31">
        <v>364612</v>
      </c>
      <c r="Y66" s="31">
        <v>2265785</v>
      </c>
      <c r="Z66" s="31">
        <v>520083</v>
      </c>
      <c r="AA66" s="31">
        <v>95656</v>
      </c>
      <c r="AB66" s="31">
        <v>0</v>
      </c>
      <c r="AC66" s="27"/>
      <c r="AD66" s="32">
        <v>56.54</v>
      </c>
    </row>
    <row r="67" spans="3:30">
      <c r="C67" s="29" t="s">
        <v>577</v>
      </c>
      <c r="D67" s="31">
        <v>65502912</v>
      </c>
      <c r="E67" s="31">
        <v>126418</v>
      </c>
      <c r="F67" s="31">
        <v>-1147582</v>
      </c>
      <c r="G67" s="31">
        <v>0</v>
      </c>
      <c r="H67" s="31">
        <v>66524076</v>
      </c>
      <c r="I67" s="31">
        <v>0</v>
      </c>
      <c r="J67" s="31">
        <v>66524076</v>
      </c>
      <c r="K67" s="31">
        <v>410337</v>
      </c>
      <c r="L67" s="31">
        <v>122956</v>
      </c>
      <c r="M67" s="31">
        <v>4238883</v>
      </c>
      <c r="N67" s="31">
        <v>61751900</v>
      </c>
      <c r="O67" s="31">
        <v>0</v>
      </c>
      <c r="P67" s="31">
        <v>0</v>
      </c>
      <c r="Q67" s="31">
        <v>0</v>
      </c>
      <c r="R67" s="31">
        <v>0</v>
      </c>
      <c r="S67" s="31">
        <v>0</v>
      </c>
      <c r="T67" s="31">
        <v>0</v>
      </c>
      <c r="U67" s="31">
        <v>0</v>
      </c>
      <c r="V67" s="31">
        <v>0</v>
      </c>
      <c r="W67" s="31">
        <v>0</v>
      </c>
      <c r="X67" s="31">
        <v>0</v>
      </c>
      <c r="Y67" s="31">
        <v>0</v>
      </c>
      <c r="Z67" s="31">
        <v>0</v>
      </c>
      <c r="AA67" s="31">
        <v>0</v>
      </c>
      <c r="AB67" s="31">
        <v>0</v>
      </c>
      <c r="AC67" s="27"/>
      <c r="AD67" s="32">
        <v>94.04</v>
      </c>
    </row>
    <row r="68" spans="3:30">
      <c r="C68" s="29" t="s">
        <v>578</v>
      </c>
      <c r="D68" s="31">
        <v>641700</v>
      </c>
      <c r="E68" s="31">
        <v>9919</v>
      </c>
      <c r="F68" s="31">
        <v>252497</v>
      </c>
      <c r="G68" s="31">
        <v>0</v>
      </c>
      <c r="H68" s="31">
        <v>379284</v>
      </c>
      <c r="I68" s="31">
        <v>0</v>
      </c>
      <c r="J68" s="31">
        <v>379284</v>
      </c>
      <c r="K68" s="31">
        <v>0</v>
      </c>
      <c r="L68" s="31">
        <v>0</v>
      </c>
      <c r="M68" s="31">
        <v>379284</v>
      </c>
      <c r="N68" s="31">
        <v>0</v>
      </c>
      <c r="O68" s="31">
        <v>0</v>
      </c>
      <c r="P68" s="31">
        <v>0</v>
      </c>
      <c r="Q68" s="31">
        <v>0</v>
      </c>
      <c r="R68" s="31">
        <v>0</v>
      </c>
      <c r="S68" s="31">
        <v>0</v>
      </c>
      <c r="T68" s="31">
        <v>0</v>
      </c>
      <c r="U68" s="31">
        <v>0</v>
      </c>
      <c r="V68" s="31">
        <v>0</v>
      </c>
      <c r="W68" s="31">
        <v>0</v>
      </c>
      <c r="X68" s="31">
        <v>0</v>
      </c>
      <c r="Y68" s="31">
        <v>0</v>
      </c>
      <c r="Z68" s="31">
        <v>0</v>
      </c>
      <c r="AA68" s="31">
        <v>0</v>
      </c>
      <c r="AB68" s="31">
        <v>0</v>
      </c>
      <c r="AC68" s="27"/>
      <c r="AD68" s="32">
        <v>107</v>
      </c>
    </row>
    <row r="69" spans="3:30">
      <c r="C69" s="29" t="s">
        <v>579</v>
      </c>
      <c r="D69" s="31">
        <v>426</v>
      </c>
      <c r="E69" s="31">
        <v>428</v>
      </c>
      <c r="F69" s="31">
        <v>-1</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1">
        <v>0</v>
      </c>
      <c r="X69" s="31">
        <v>0</v>
      </c>
      <c r="Y69" s="31">
        <v>0</v>
      </c>
      <c r="Z69" s="31">
        <v>0</v>
      </c>
      <c r="AA69" s="31">
        <v>0</v>
      </c>
      <c r="AB69" s="31">
        <v>0</v>
      </c>
      <c r="AC69" s="27"/>
      <c r="AD69" s="28"/>
    </row>
    <row r="70" spans="3:30">
      <c r="C70" s="29" t="s">
        <v>580</v>
      </c>
      <c r="D70" s="31">
        <v>17970000</v>
      </c>
      <c r="E70" s="31">
        <v>0</v>
      </c>
      <c r="F70" s="31">
        <v>0</v>
      </c>
      <c r="G70" s="31">
        <v>0</v>
      </c>
      <c r="H70" s="31">
        <v>17970000</v>
      </c>
      <c r="I70" s="31">
        <v>0</v>
      </c>
      <c r="J70" s="31">
        <v>17970000</v>
      </c>
      <c r="K70" s="31">
        <v>0</v>
      </c>
      <c r="L70" s="31">
        <v>15</v>
      </c>
      <c r="M70" s="31">
        <v>673376</v>
      </c>
      <c r="N70" s="31">
        <v>17296609</v>
      </c>
      <c r="O70" s="31">
        <v>0</v>
      </c>
      <c r="P70" s="31">
        <v>0</v>
      </c>
      <c r="Q70" s="31">
        <v>0</v>
      </c>
      <c r="R70" s="31">
        <v>0</v>
      </c>
      <c r="S70" s="31">
        <v>0</v>
      </c>
      <c r="T70" s="31">
        <v>0</v>
      </c>
      <c r="U70" s="31">
        <v>0</v>
      </c>
      <c r="V70" s="31">
        <v>0</v>
      </c>
      <c r="W70" s="31">
        <v>0</v>
      </c>
      <c r="X70" s="31">
        <v>0</v>
      </c>
      <c r="Y70" s="31">
        <v>0</v>
      </c>
      <c r="Z70" s="31">
        <v>0</v>
      </c>
      <c r="AA70" s="31">
        <v>0</v>
      </c>
      <c r="AB70" s="31">
        <v>0</v>
      </c>
      <c r="AC70" s="27"/>
      <c r="AD70" s="32">
        <v>42.5</v>
      </c>
    </row>
    <row r="71" spans="3:30">
      <c r="C71" s="29" t="s">
        <v>581</v>
      </c>
      <c r="D71" s="31">
        <v>22921211</v>
      </c>
      <c r="E71" s="31">
        <v>0</v>
      </c>
      <c r="F71" s="31">
        <v>0</v>
      </c>
      <c r="G71" s="31">
        <v>0</v>
      </c>
      <c r="H71" s="31">
        <v>22921211</v>
      </c>
      <c r="I71" s="31">
        <v>0</v>
      </c>
      <c r="J71" s="31">
        <v>22921211</v>
      </c>
      <c r="K71" s="31">
        <v>0</v>
      </c>
      <c r="L71" s="31">
        <v>19</v>
      </c>
      <c r="M71" s="31">
        <v>858909</v>
      </c>
      <c r="N71" s="31">
        <v>22062284</v>
      </c>
      <c r="O71" s="31">
        <v>0</v>
      </c>
      <c r="P71" s="31">
        <v>0</v>
      </c>
      <c r="Q71" s="31">
        <v>0</v>
      </c>
      <c r="R71" s="31">
        <v>0</v>
      </c>
      <c r="S71" s="31">
        <v>0</v>
      </c>
      <c r="T71" s="31">
        <v>0</v>
      </c>
      <c r="U71" s="31">
        <v>0</v>
      </c>
      <c r="V71" s="31">
        <v>0</v>
      </c>
      <c r="W71" s="31">
        <v>0</v>
      </c>
      <c r="X71" s="31">
        <v>0</v>
      </c>
      <c r="Y71" s="31">
        <v>0</v>
      </c>
      <c r="Z71" s="31">
        <v>0</v>
      </c>
      <c r="AA71" s="31">
        <v>0</v>
      </c>
      <c r="AB71" s="31">
        <v>0</v>
      </c>
      <c r="AC71" s="27"/>
      <c r="AD71" s="32">
        <v>42.5</v>
      </c>
    </row>
    <row r="72" spans="3:30">
      <c r="C72" s="29" t="s">
        <v>582</v>
      </c>
      <c r="D72" s="31">
        <v>50035692</v>
      </c>
      <c r="E72" s="31">
        <v>0</v>
      </c>
      <c r="F72" s="31">
        <v>0</v>
      </c>
      <c r="G72" s="31">
        <v>0</v>
      </c>
      <c r="H72" s="31">
        <v>50035692</v>
      </c>
      <c r="I72" s="31">
        <v>0</v>
      </c>
      <c r="J72" s="31">
        <v>50035692</v>
      </c>
      <c r="K72" s="31">
        <v>0</v>
      </c>
      <c r="L72" s="31">
        <v>0</v>
      </c>
      <c r="M72" s="31">
        <v>0</v>
      </c>
      <c r="N72" s="31">
        <v>50035692</v>
      </c>
      <c r="O72" s="31">
        <v>0</v>
      </c>
      <c r="P72" s="31">
        <v>0</v>
      </c>
      <c r="Q72" s="31">
        <v>0</v>
      </c>
      <c r="R72" s="31">
        <v>0</v>
      </c>
      <c r="S72" s="31">
        <v>0</v>
      </c>
      <c r="T72" s="31">
        <v>0</v>
      </c>
      <c r="U72" s="31">
        <v>0</v>
      </c>
      <c r="V72" s="31">
        <v>0</v>
      </c>
      <c r="W72" s="31">
        <v>0</v>
      </c>
      <c r="X72" s="31">
        <v>0</v>
      </c>
      <c r="Y72" s="31">
        <v>0</v>
      </c>
      <c r="Z72" s="31">
        <v>0</v>
      </c>
      <c r="AA72" s="31">
        <v>0</v>
      </c>
      <c r="AB72" s="31">
        <v>0</v>
      </c>
      <c r="AC72" s="27"/>
      <c r="AD72" s="28"/>
    </row>
    <row r="73" spans="3:30">
      <c r="C73" s="29" t="s">
        <v>583</v>
      </c>
      <c r="D73" s="31">
        <v>51576</v>
      </c>
      <c r="E73" s="31">
        <v>0</v>
      </c>
      <c r="F73" s="31">
        <v>0</v>
      </c>
      <c r="G73" s="31">
        <v>0</v>
      </c>
      <c r="H73" s="31">
        <v>51576</v>
      </c>
      <c r="I73" s="31">
        <v>0</v>
      </c>
      <c r="J73" s="31">
        <v>51576</v>
      </c>
      <c r="K73" s="31">
        <v>0</v>
      </c>
      <c r="L73" s="31">
        <v>0</v>
      </c>
      <c r="M73" s="31">
        <v>0</v>
      </c>
      <c r="N73" s="31">
        <v>51576</v>
      </c>
      <c r="O73" s="31">
        <v>0</v>
      </c>
      <c r="P73" s="31">
        <v>0</v>
      </c>
      <c r="Q73" s="31">
        <v>0</v>
      </c>
      <c r="R73" s="31">
        <v>0</v>
      </c>
      <c r="S73" s="31">
        <v>0</v>
      </c>
      <c r="T73" s="31">
        <v>0</v>
      </c>
      <c r="U73" s="31">
        <v>0</v>
      </c>
      <c r="V73" s="31">
        <v>0</v>
      </c>
      <c r="W73" s="31">
        <v>0</v>
      </c>
      <c r="X73" s="31">
        <v>0</v>
      </c>
      <c r="Y73" s="31">
        <v>0</v>
      </c>
      <c r="Z73" s="31">
        <v>0</v>
      </c>
      <c r="AA73" s="31">
        <v>0</v>
      </c>
      <c r="AB73" s="31">
        <v>0</v>
      </c>
      <c r="AC73" s="27"/>
      <c r="AD73" s="28"/>
    </row>
    <row r="74" spans="3:30">
      <c r="C74" s="29" t="s">
        <v>584</v>
      </c>
      <c r="D74" s="31">
        <v>3430703</v>
      </c>
      <c r="E74" s="31">
        <v>0</v>
      </c>
      <c r="F74" s="31">
        <v>0</v>
      </c>
      <c r="G74" s="31">
        <v>0</v>
      </c>
      <c r="H74" s="31">
        <v>3430703</v>
      </c>
      <c r="I74" s="31">
        <v>0</v>
      </c>
      <c r="J74" s="31">
        <v>3430703</v>
      </c>
      <c r="K74" s="31">
        <v>0</v>
      </c>
      <c r="L74" s="31">
        <v>0</v>
      </c>
      <c r="M74" s="31">
        <v>0</v>
      </c>
      <c r="N74" s="31">
        <v>3430703</v>
      </c>
      <c r="O74" s="31">
        <v>0</v>
      </c>
      <c r="P74" s="31">
        <v>0</v>
      </c>
      <c r="Q74" s="31">
        <v>0</v>
      </c>
      <c r="R74" s="31">
        <v>0</v>
      </c>
      <c r="S74" s="31">
        <v>0</v>
      </c>
      <c r="T74" s="31">
        <v>0</v>
      </c>
      <c r="U74" s="31">
        <v>0</v>
      </c>
      <c r="V74" s="31">
        <v>0</v>
      </c>
      <c r="W74" s="31">
        <v>0</v>
      </c>
      <c r="X74" s="31">
        <v>0</v>
      </c>
      <c r="Y74" s="31">
        <v>0</v>
      </c>
      <c r="Z74" s="31">
        <v>0</v>
      </c>
      <c r="AA74" s="31">
        <v>0</v>
      </c>
      <c r="AB74" s="31">
        <v>0</v>
      </c>
      <c r="AC74" s="27"/>
      <c r="AD74" s="28"/>
    </row>
    <row r="75" spans="3:30">
      <c r="C75" s="29" t="s">
        <v>585</v>
      </c>
      <c r="D75" s="31">
        <v>2462275</v>
      </c>
      <c r="E75" s="31">
        <v>0</v>
      </c>
      <c r="F75" s="31">
        <v>0</v>
      </c>
      <c r="G75" s="31">
        <v>0</v>
      </c>
      <c r="H75" s="31">
        <v>2462275</v>
      </c>
      <c r="I75" s="31">
        <v>536332</v>
      </c>
      <c r="J75" s="31">
        <v>1925942</v>
      </c>
      <c r="K75" s="31">
        <v>0</v>
      </c>
      <c r="L75" s="31">
        <v>0</v>
      </c>
      <c r="M75" s="31">
        <v>0</v>
      </c>
      <c r="N75" s="31">
        <v>1831295</v>
      </c>
      <c r="O75" s="31">
        <v>0</v>
      </c>
      <c r="P75" s="31">
        <v>0</v>
      </c>
      <c r="Q75" s="31">
        <v>0</v>
      </c>
      <c r="R75" s="31">
        <v>0</v>
      </c>
      <c r="S75" s="31">
        <v>0</v>
      </c>
      <c r="T75" s="31">
        <v>0</v>
      </c>
      <c r="U75" s="31">
        <v>0</v>
      </c>
      <c r="V75" s="31">
        <v>0</v>
      </c>
      <c r="W75" s="31">
        <v>5679</v>
      </c>
      <c r="X75" s="31">
        <v>0</v>
      </c>
      <c r="Y75" s="31">
        <v>65306</v>
      </c>
      <c r="Z75" s="31">
        <v>23662</v>
      </c>
      <c r="AA75" s="31">
        <v>0</v>
      </c>
      <c r="AB75" s="31">
        <v>0</v>
      </c>
      <c r="AC75" s="27"/>
      <c r="AD75" s="32">
        <v>0</v>
      </c>
    </row>
    <row r="76" spans="3:30">
      <c r="C76" s="29" t="s">
        <v>586</v>
      </c>
      <c r="D76" s="31">
        <v>161166</v>
      </c>
      <c r="E76" s="31">
        <v>0</v>
      </c>
      <c r="F76" s="31">
        <v>0</v>
      </c>
      <c r="G76" s="31">
        <v>0</v>
      </c>
      <c r="H76" s="31">
        <v>161166</v>
      </c>
      <c r="I76" s="31">
        <v>0</v>
      </c>
      <c r="J76" s="31">
        <v>161166</v>
      </c>
      <c r="K76" s="31">
        <v>0</v>
      </c>
      <c r="L76" s="31">
        <v>0</v>
      </c>
      <c r="M76" s="31">
        <v>0</v>
      </c>
      <c r="N76" s="31">
        <v>161166</v>
      </c>
      <c r="O76" s="31">
        <v>0</v>
      </c>
      <c r="P76" s="31">
        <v>0</v>
      </c>
      <c r="Q76" s="31">
        <v>0</v>
      </c>
      <c r="R76" s="31">
        <v>0</v>
      </c>
      <c r="S76" s="31">
        <v>0</v>
      </c>
      <c r="T76" s="31">
        <v>0</v>
      </c>
      <c r="U76" s="31">
        <v>0</v>
      </c>
      <c r="V76" s="31">
        <v>0</v>
      </c>
      <c r="W76" s="31">
        <v>0</v>
      </c>
      <c r="X76" s="31">
        <v>0</v>
      </c>
      <c r="Y76" s="31">
        <v>0</v>
      </c>
      <c r="Z76" s="31">
        <v>0</v>
      </c>
      <c r="AA76" s="31">
        <v>0</v>
      </c>
      <c r="AB76" s="31">
        <v>0</v>
      </c>
      <c r="AC76" s="27"/>
      <c r="AD76" s="28"/>
    </row>
    <row r="77" spans="3:30">
      <c r="C77" s="29" t="s">
        <v>587</v>
      </c>
      <c r="D77" s="31">
        <v>21364069</v>
      </c>
      <c r="E77" s="31">
        <v>0</v>
      </c>
      <c r="F77" s="31">
        <v>0</v>
      </c>
      <c r="G77" s="31">
        <v>0</v>
      </c>
      <c r="H77" s="31">
        <v>21364069</v>
      </c>
      <c r="I77" s="31">
        <v>3143998</v>
      </c>
      <c r="J77" s="31">
        <v>18220071</v>
      </c>
      <c r="K77" s="31">
        <v>2095999</v>
      </c>
      <c r="L77" s="31">
        <v>0</v>
      </c>
      <c r="M77" s="31">
        <v>0</v>
      </c>
      <c r="N77" s="31">
        <v>16124072</v>
      </c>
      <c r="O77" s="31">
        <v>0</v>
      </c>
      <c r="P77" s="31">
        <v>0</v>
      </c>
      <c r="Q77" s="31">
        <v>0</v>
      </c>
      <c r="R77" s="31">
        <v>0</v>
      </c>
      <c r="S77" s="31">
        <v>0</v>
      </c>
      <c r="T77" s="31">
        <v>0</v>
      </c>
      <c r="U77" s="31">
        <v>0</v>
      </c>
      <c r="V77" s="31">
        <v>0</v>
      </c>
      <c r="W77" s="31">
        <v>0</v>
      </c>
      <c r="X77" s="31">
        <v>0</v>
      </c>
      <c r="Y77" s="31">
        <v>0</v>
      </c>
      <c r="Z77" s="31">
        <v>0</v>
      </c>
      <c r="AA77" s="31">
        <v>0</v>
      </c>
      <c r="AB77" s="31">
        <v>0</v>
      </c>
      <c r="AC77" s="27"/>
      <c r="AD77" s="28"/>
    </row>
    <row r="78" spans="3:30">
      <c r="C78" s="29" t="s">
        <v>588</v>
      </c>
      <c r="D78" s="31">
        <v>25408953</v>
      </c>
      <c r="E78" s="31">
        <v>899164</v>
      </c>
      <c r="F78" s="31">
        <v>0</v>
      </c>
      <c r="G78" s="31">
        <v>0</v>
      </c>
      <c r="H78" s="31">
        <v>24509789</v>
      </c>
      <c r="I78" s="31">
        <v>24509789</v>
      </c>
      <c r="J78" s="31">
        <v>0</v>
      </c>
      <c r="K78" s="31">
        <v>0</v>
      </c>
      <c r="L78" s="31">
        <v>0</v>
      </c>
      <c r="M78" s="31">
        <v>0</v>
      </c>
      <c r="N78" s="31">
        <v>0</v>
      </c>
      <c r="O78" s="31">
        <v>0</v>
      </c>
      <c r="P78" s="31">
        <v>0</v>
      </c>
      <c r="Q78" s="31">
        <v>0</v>
      </c>
      <c r="R78" s="31">
        <v>0</v>
      </c>
      <c r="S78" s="31">
        <v>0</v>
      </c>
      <c r="T78" s="31">
        <v>0</v>
      </c>
      <c r="U78" s="31">
        <v>0</v>
      </c>
      <c r="V78" s="31">
        <v>0</v>
      </c>
      <c r="W78" s="31">
        <v>0</v>
      </c>
      <c r="X78" s="31">
        <v>0</v>
      </c>
      <c r="Y78" s="31">
        <v>0</v>
      </c>
      <c r="Z78" s="31">
        <v>0</v>
      </c>
      <c r="AA78" s="31">
        <v>0</v>
      </c>
      <c r="AB78" s="31">
        <v>0</v>
      </c>
      <c r="AC78" s="27"/>
      <c r="AD78" s="28"/>
    </row>
    <row r="79" spans="3:30">
      <c r="C79" s="29" t="s">
        <v>589</v>
      </c>
      <c r="D79" s="31">
        <v>27596367</v>
      </c>
      <c r="E79" s="31">
        <v>859788</v>
      </c>
      <c r="F79" s="31">
        <v>714651</v>
      </c>
      <c r="G79" s="31">
        <v>0</v>
      </c>
      <c r="H79" s="31">
        <v>26021927</v>
      </c>
      <c r="I79" s="31">
        <v>86950</v>
      </c>
      <c r="J79" s="31">
        <v>25934977</v>
      </c>
      <c r="K79" s="31">
        <v>27974</v>
      </c>
      <c r="L79" s="31">
        <v>3893</v>
      </c>
      <c r="M79" s="31">
        <v>1389016</v>
      </c>
      <c r="N79" s="31">
        <v>24352439</v>
      </c>
      <c r="O79" s="31">
        <v>0</v>
      </c>
      <c r="P79" s="31">
        <v>0</v>
      </c>
      <c r="Q79" s="31">
        <v>0</v>
      </c>
      <c r="R79" s="31">
        <v>0</v>
      </c>
      <c r="S79" s="31">
        <v>0</v>
      </c>
      <c r="T79" s="31">
        <v>0</v>
      </c>
      <c r="U79" s="31">
        <v>0</v>
      </c>
      <c r="V79" s="31">
        <v>0</v>
      </c>
      <c r="W79" s="31">
        <v>0</v>
      </c>
      <c r="X79" s="31">
        <v>0</v>
      </c>
      <c r="Y79" s="31">
        <v>161656</v>
      </c>
      <c r="Z79" s="31">
        <v>0</v>
      </c>
      <c r="AA79" s="31">
        <v>0</v>
      </c>
      <c r="AB79" s="31">
        <v>0</v>
      </c>
      <c r="AC79" s="27"/>
      <c r="AD79" s="28"/>
    </row>
    <row r="80" spans="3:30">
      <c r="C80" s="29" t="s">
        <v>590</v>
      </c>
      <c r="D80" s="31">
        <v>73594254</v>
      </c>
      <c r="E80" s="31">
        <v>12398296</v>
      </c>
      <c r="F80" s="31">
        <v>3955245</v>
      </c>
      <c r="G80" s="31">
        <v>0</v>
      </c>
      <c r="H80" s="31">
        <v>57240712</v>
      </c>
      <c r="I80" s="31">
        <v>14663162</v>
      </c>
      <c r="J80" s="31">
        <v>42577550</v>
      </c>
      <c r="K80" s="31">
        <v>0</v>
      </c>
      <c r="L80" s="31">
        <v>1018225</v>
      </c>
      <c r="M80" s="31">
        <v>388626</v>
      </c>
      <c r="N80" s="31">
        <v>39963139</v>
      </c>
      <c r="O80" s="31">
        <v>0</v>
      </c>
      <c r="P80" s="31">
        <v>0</v>
      </c>
      <c r="Q80" s="31">
        <v>0</v>
      </c>
      <c r="R80" s="31">
        <v>0</v>
      </c>
      <c r="S80" s="31">
        <v>0</v>
      </c>
      <c r="T80" s="31">
        <v>0</v>
      </c>
      <c r="U80" s="31">
        <v>0</v>
      </c>
      <c r="V80" s="31">
        <v>0</v>
      </c>
      <c r="W80" s="31">
        <v>0</v>
      </c>
      <c r="X80" s="31">
        <v>0</v>
      </c>
      <c r="Y80" s="31">
        <v>1207560</v>
      </c>
      <c r="Z80" s="31">
        <v>0</v>
      </c>
      <c r="AA80" s="31">
        <v>0</v>
      </c>
      <c r="AB80" s="31">
        <v>0</v>
      </c>
      <c r="AC80" s="27"/>
      <c r="AD80" s="28"/>
    </row>
    <row r="81" spans="3:30">
      <c r="C81" s="29" t="s">
        <v>591</v>
      </c>
      <c r="D81" s="31">
        <v>7574475</v>
      </c>
      <c r="E81" s="31">
        <v>0</v>
      </c>
      <c r="F81" s="31">
        <v>0</v>
      </c>
      <c r="G81" s="31">
        <v>0</v>
      </c>
      <c r="H81" s="31">
        <v>7574475</v>
      </c>
      <c r="I81" s="31">
        <v>0</v>
      </c>
      <c r="J81" s="31">
        <v>7574475</v>
      </c>
      <c r="K81" s="31">
        <v>187581</v>
      </c>
      <c r="L81" s="31">
        <v>11875</v>
      </c>
      <c r="M81" s="31">
        <v>4237146</v>
      </c>
      <c r="N81" s="31">
        <v>3137873</v>
      </c>
      <c r="O81" s="31">
        <v>0</v>
      </c>
      <c r="P81" s="31">
        <v>0</v>
      </c>
      <c r="Q81" s="31">
        <v>0</v>
      </c>
      <c r="R81" s="31">
        <v>0</v>
      </c>
      <c r="S81" s="31">
        <v>0</v>
      </c>
      <c r="T81" s="31">
        <v>0</v>
      </c>
      <c r="U81" s="31">
        <v>0</v>
      </c>
      <c r="V81" s="31">
        <v>0</v>
      </c>
      <c r="W81" s="31">
        <v>0</v>
      </c>
      <c r="X81" s="31">
        <v>0</v>
      </c>
      <c r="Y81" s="31">
        <v>0</v>
      </c>
      <c r="Z81" s="31">
        <v>0</v>
      </c>
      <c r="AA81" s="31">
        <v>0</v>
      </c>
      <c r="AB81" s="31">
        <v>0</v>
      </c>
      <c r="AC81" s="27"/>
      <c r="AD81" s="28"/>
    </row>
    <row r="82" spans="3:30">
      <c r="C82" s="29" t="s">
        <v>592</v>
      </c>
      <c r="D82" s="31">
        <v>16923771</v>
      </c>
      <c r="E82" s="31">
        <v>0</v>
      </c>
      <c r="F82" s="31">
        <v>0</v>
      </c>
      <c r="G82" s="31">
        <v>0</v>
      </c>
      <c r="H82" s="31">
        <v>16923771</v>
      </c>
      <c r="I82" s="31">
        <v>1271396</v>
      </c>
      <c r="J82" s="31">
        <v>15652375</v>
      </c>
      <c r="K82" s="31">
        <v>204922</v>
      </c>
      <c r="L82" s="31">
        <v>45954</v>
      </c>
      <c r="M82" s="31">
        <v>1595972</v>
      </c>
      <c r="N82" s="31">
        <v>13407295</v>
      </c>
      <c r="O82" s="31">
        <v>16958</v>
      </c>
      <c r="P82" s="31">
        <v>96388</v>
      </c>
      <c r="Q82" s="31">
        <v>11689</v>
      </c>
      <c r="R82" s="31">
        <v>37708</v>
      </c>
      <c r="S82" s="31">
        <v>19315</v>
      </c>
      <c r="T82" s="31">
        <v>9206</v>
      </c>
      <c r="U82" s="31">
        <v>3776</v>
      </c>
      <c r="V82" s="31">
        <v>3973</v>
      </c>
      <c r="W82" s="31">
        <v>26743</v>
      </c>
      <c r="X82" s="31">
        <v>19373</v>
      </c>
      <c r="Y82" s="31">
        <v>120388</v>
      </c>
      <c r="Z82" s="31">
        <v>27634</v>
      </c>
      <c r="AA82" s="31">
        <v>5083</v>
      </c>
      <c r="AB82" s="31">
        <v>0</v>
      </c>
      <c r="AC82" s="27"/>
      <c r="AD82" s="32">
        <v>0</v>
      </c>
    </row>
    <row r="83" spans="3:30">
      <c r="C83" s="29" t="s">
        <v>593</v>
      </c>
      <c r="D83" s="31">
        <v>10095406</v>
      </c>
      <c r="E83" s="31">
        <v>0</v>
      </c>
      <c r="F83" s="31">
        <v>0</v>
      </c>
      <c r="G83" s="31">
        <v>0</v>
      </c>
      <c r="H83" s="31">
        <v>10095406</v>
      </c>
      <c r="I83" s="31">
        <v>3977347</v>
      </c>
      <c r="J83" s="31">
        <v>6118059</v>
      </c>
      <c r="K83" s="31">
        <v>246837</v>
      </c>
      <c r="L83" s="31">
        <v>9216</v>
      </c>
      <c r="M83" s="31">
        <v>419894</v>
      </c>
      <c r="N83" s="31">
        <v>377676</v>
      </c>
      <c r="O83" s="31">
        <v>1162097</v>
      </c>
      <c r="P83" s="31">
        <v>807226</v>
      </c>
      <c r="Q83" s="31">
        <v>2100216</v>
      </c>
      <c r="R83" s="31">
        <v>53278</v>
      </c>
      <c r="S83" s="31">
        <v>51248</v>
      </c>
      <c r="T83" s="31">
        <v>35541</v>
      </c>
      <c r="U83" s="31">
        <v>69390</v>
      </c>
      <c r="V83" s="31">
        <v>31976</v>
      </c>
      <c r="W83" s="31">
        <v>114642</v>
      </c>
      <c r="X83" s="31">
        <v>243944</v>
      </c>
      <c r="Y83" s="31">
        <v>312434</v>
      </c>
      <c r="Z83" s="31">
        <v>32424</v>
      </c>
      <c r="AA83" s="31">
        <v>50021</v>
      </c>
      <c r="AB83" s="31">
        <v>0</v>
      </c>
      <c r="AC83" s="27"/>
      <c r="AD83" s="32">
        <v>0</v>
      </c>
    </row>
    <row r="84" spans="3:30">
      <c r="C84" s="29" t="s">
        <v>594</v>
      </c>
      <c r="D84" s="31">
        <v>9598311</v>
      </c>
      <c r="E84" s="31">
        <v>0</v>
      </c>
      <c r="F84" s="31">
        <v>0</v>
      </c>
      <c r="G84" s="31">
        <v>0</v>
      </c>
      <c r="H84" s="31">
        <v>9598311</v>
      </c>
      <c r="I84" s="31">
        <v>6729102</v>
      </c>
      <c r="J84" s="31">
        <v>2869209</v>
      </c>
      <c r="K84" s="31">
        <v>772993</v>
      </c>
      <c r="L84" s="31">
        <v>3980</v>
      </c>
      <c r="M84" s="31">
        <v>2092236</v>
      </c>
      <c r="N84" s="31">
        <v>0</v>
      </c>
      <c r="O84" s="31">
        <v>0</v>
      </c>
      <c r="P84" s="31">
        <v>0</v>
      </c>
      <c r="Q84" s="31">
        <v>0</v>
      </c>
      <c r="R84" s="31">
        <v>0</v>
      </c>
      <c r="S84" s="31">
        <v>0</v>
      </c>
      <c r="T84" s="31">
        <v>0</v>
      </c>
      <c r="U84" s="31">
        <v>0</v>
      </c>
      <c r="V84" s="31">
        <v>0</v>
      </c>
      <c r="W84" s="31">
        <v>0</v>
      </c>
      <c r="X84" s="31">
        <v>0</v>
      </c>
      <c r="Y84" s="31">
        <v>0</v>
      </c>
      <c r="Z84" s="31">
        <v>0</v>
      </c>
      <c r="AA84" s="31">
        <v>0</v>
      </c>
      <c r="AB84" s="31">
        <v>0</v>
      </c>
      <c r="AC84" s="27"/>
      <c r="AD84" s="28"/>
    </row>
    <row r="85" spans="3:30">
      <c r="C85" s="29" t="s">
        <v>595</v>
      </c>
      <c r="D85" s="31">
        <v>158302143</v>
      </c>
      <c r="E85" s="31">
        <v>35310838</v>
      </c>
      <c r="F85" s="31">
        <v>0</v>
      </c>
      <c r="G85" s="31">
        <v>5285794</v>
      </c>
      <c r="H85" s="31">
        <v>117705511</v>
      </c>
      <c r="I85" s="31">
        <v>35537399</v>
      </c>
      <c r="J85" s="31">
        <v>82168113</v>
      </c>
      <c r="K85" s="31">
        <v>6722425</v>
      </c>
      <c r="L85" s="31">
        <v>356509</v>
      </c>
      <c r="M85" s="31">
        <v>30639587</v>
      </c>
      <c r="N85" s="31">
        <v>5391050</v>
      </c>
      <c r="O85" s="31">
        <v>1481538</v>
      </c>
      <c r="P85" s="31">
        <v>11994529</v>
      </c>
      <c r="Q85" s="31">
        <v>3400794</v>
      </c>
      <c r="R85" s="31">
        <v>3066421</v>
      </c>
      <c r="S85" s="31">
        <v>2668063</v>
      </c>
      <c r="T85" s="31">
        <v>757277</v>
      </c>
      <c r="U85" s="31">
        <v>507406</v>
      </c>
      <c r="V85" s="31">
        <v>29394</v>
      </c>
      <c r="W85" s="31">
        <v>1676008</v>
      </c>
      <c r="X85" s="31">
        <v>648896</v>
      </c>
      <c r="Y85" s="31">
        <v>10315460</v>
      </c>
      <c r="Z85" s="31">
        <v>2014052</v>
      </c>
      <c r="AA85" s="31">
        <v>498702</v>
      </c>
      <c r="AB85" s="31">
        <v>0</v>
      </c>
      <c r="AC85" s="27"/>
      <c r="AD85" s="28">
        <f>150/10^6*277.78*1000</f>
        <v>41.666999999999994</v>
      </c>
    </row>
    <row r="86" spans="3:30">
      <c r="C86" s="29" t="s">
        <v>596</v>
      </c>
      <c r="D86" s="31">
        <v>131868903</v>
      </c>
      <c r="E86" s="31">
        <v>0</v>
      </c>
      <c r="F86" s="31">
        <v>0</v>
      </c>
      <c r="G86" s="31">
        <v>26373781</v>
      </c>
      <c r="H86" s="31">
        <v>105495122</v>
      </c>
      <c r="I86" s="31">
        <v>68404463</v>
      </c>
      <c r="J86" s="31">
        <v>37090659</v>
      </c>
      <c r="K86" s="31">
        <v>1547625</v>
      </c>
      <c r="L86" s="31">
        <v>11252</v>
      </c>
      <c r="M86" s="31">
        <v>3910050</v>
      </c>
      <c r="N86" s="31">
        <v>939884</v>
      </c>
      <c r="O86" s="31">
        <v>0</v>
      </c>
      <c r="P86" s="31">
        <v>7754794</v>
      </c>
      <c r="Q86" s="31">
        <v>710740</v>
      </c>
      <c r="R86" s="31">
        <v>3128506</v>
      </c>
      <c r="S86" s="31">
        <v>1602465</v>
      </c>
      <c r="T86" s="31">
        <v>763805</v>
      </c>
      <c r="U86" s="31">
        <v>313273</v>
      </c>
      <c r="V86" s="31">
        <v>329591</v>
      </c>
      <c r="W86" s="31">
        <v>2150266</v>
      </c>
      <c r="X86" s="31">
        <v>1603532</v>
      </c>
      <c r="Y86" s="31">
        <v>9610531</v>
      </c>
      <c r="Z86" s="31">
        <v>2292667</v>
      </c>
      <c r="AA86" s="31">
        <v>421679</v>
      </c>
      <c r="AB86" s="31">
        <v>0</v>
      </c>
      <c r="AC86" s="27"/>
      <c r="AD86" s="28">
        <f>24/1000*1000</f>
        <v>24</v>
      </c>
    </row>
    <row r="87" spans="3:30">
      <c r="C87" s="29" t="s">
        <v>597</v>
      </c>
      <c r="D87" s="31">
        <v>613836</v>
      </c>
      <c r="E87" s="31">
        <v>0</v>
      </c>
      <c r="F87" s="31">
        <v>0</v>
      </c>
      <c r="G87" s="31">
        <v>24553</v>
      </c>
      <c r="H87" s="31">
        <v>589283</v>
      </c>
      <c r="I87" s="31">
        <v>352687</v>
      </c>
      <c r="J87" s="31">
        <v>236596</v>
      </c>
      <c r="K87" s="31">
        <v>0</v>
      </c>
      <c r="L87" s="31">
        <v>0</v>
      </c>
      <c r="M87" s="31">
        <v>205928</v>
      </c>
      <c r="N87" s="31">
        <v>0</v>
      </c>
      <c r="O87" s="31">
        <v>0</v>
      </c>
      <c r="P87" s="31">
        <v>0</v>
      </c>
      <c r="Q87" s="31">
        <v>0</v>
      </c>
      <c r="R87" s="31">
        <v>12076</v>
      </c>
      <c r="S87" s="31">
        <v>0</v>
      </c>
      <c r="T87" s="31">
        <v>0</v>
      </c>
      <c r="U87" s="31">
        <v>0</v>
      </c>
      <c r="V87" s="31">
        <v>0</v>
      </c>
      <c r="W87" s="31">
        <v>0</v>
      </c>
      <c r="X87" s="31">
        <v>0</v>
      </c>
      <c r="Y87" s="31">
        <v>18593</v>
      </c>
      <c r="Z87" s="31">
        <v>0</v>
      </c>
      <c r="AA87" s="31">
        <v>0</v>
      </c>
      <c r="AB87" s="31">
        <v>0</v>
      </c>
      <c r="AC87" s="27"/>
      <c r="AD87" s="28">
        <f>142/10^6*277.78*1000</f>
        <v>39.444759999999995</v>
      </c>
    </row>
    <row r="88" spans="3:30">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8"/>
    </row>
    <row r="89" spans="3:30">
      <c r="C89" s="30" t="s">
        <v>598</v>
      </c>
      <c r="D89" s="33" cm="1">
        <f t="array" ref="D89">SUMPRODUCT(D42:D87/1000,$AD$42:$AD$87)</f>
        <v>72202281.557020366</v>
      </c>
      <c r="E89" s="33" cm="1">
        <f t="array" ref="E89">SUMPRODUCT(E42:E87/1000,$AD$42:$AD$87)</f>
        <v>24093422.934246004</v>
      </c>
      <c r="F89" s="33" cm="1">
        <f t="array" ref="F89">SUMPRODUCT(F42:F87/1000,$AD$42:$AD$87)</f>
        <v>-1737125.46692</v>
      </c>
      <c r="G89" s="33" cm="1">
        <f t="array" ref="G89">SUMPRODUCT(G42:G87/1000,$AD$42:$AD$87)</f>
        <v>1053753.0612902797</v>
      </c>
      <c r="H89" s="33" cm="1">
        <f t="array" ref="H89">SUMPRODUCT(H42:H87/1000,$AD$42:$AD$87)</f>
        <v>48792230.88230408</v>
      </c>
      <c r="I89" s="33" cm="1">
        <f t="array" ref="I89">SUMPRODUCT(I42:I87/1000,$AD$42:$AD$87)</f>
        <v>11126257.843563119</v>
      </c>
      <c r="J89" s="33" cm="1">
        <f t="array" ref="J89">SUMPRODUCT(J42:J87/1000,$AD$42:$AD$87)</f>
        <v>37665973.080407955</v>
      </c>
      <c r="K89" s="33" cm="1">
        <f t="array" ref="K89">SUMPRODUCT(K42:K87/1000,$AD$42:$AD$87)</f>
        <v>2146164.8102549999</v>
      </c>
      <c r="L89" s="33" cm="1">
        <f t="array" ref="L89">SUMPRODUCT(L42:L87/1000,$AD$42:$AD$87)</f>
        <v>1214520.2423230002</v>
      </c>
      <c r="M89" s="33" cm="1">
        <f t="array" ref="M89">SUMPRODUCT(M42:M87/1000,$AD$42:$AD$87)</f>
        <v>4702831.0083662793</v>
      </c>
      <c r="N89" s="33" cm="1">
        <f t="array" ref="N89">SUMPRODUCT(N42:N87/1000,$AD$42:$AD$87)</f>
        <v>18618538.324609999</v>
      </c>
      <c r="O89" s="33" cm="1">
        <f t="array" ref="O89">SUMPRODUCT(O42:O87/1000,$AD$42:$AD$87)</f>
        <v>1709540.8003859997</v>
      </c>
      <c r="P89" s="33" cm="1">
        <f t="array" ref="P89">SUMPRODUCT(P42:P87/1000,$AD$42:$AD$87)</f>
        <v>1681906.6627230002</v>
      </c>
      <c r="Q89" s="33" cm="1">
        <f t="array" ref="Q89">SUMPRODUCT(Q42:Q87/1000,$AD$42:$AD$87)</f>
        <v>4434001.8781979987</v>
      </c>
      <c r="R89" s="33" cm="1">
        <f t="array" ref="R89">SUMPRODUCT(R42:R87/1000,$AD$42:$AD$87)</f>
        <v>307314.11612876004</v>
      </c>
      <c r="S89" s="33" cm="1">
        <f t="array" ref="S89">SUMPRODUCT(S42:S87/1000,$AD$42:$AD$87)</f>
        <v>235062.49952099999</v>
      </c>
      <c r="T89" s="33" cm="1">
        <f t="array" ref="T89">SUMPRODUCT(T42:T87/1000,$AD$42:$AD$87)</f>
        <v>104461.06083899998</v>
      </c>
      <c r="U89" s="33" cm="1">
        <f t="array" ref="U89">SUMPRODUCT(U42:U87/1000,$AD$42:$AD$87)</f>
        <v>109237.045902</v>
      </c>
      <c r="V89" s="33" cm="1">
        <f t="array" ref="V89">SUMPRODUCT(V42:V87/1000,$AD$42:$AD$87)</f>
        <v>47049.919238000002</v>
      </c>
      <c r="W89" s="33" cm="1">
        <f t="array" ref="W89">SUMPRODUCT(W42:W87/1000,$AD$42:$AD$87)</f>
        <v>280662.61201600003</v>
      </c>
      <c r="X89" s="33" cm="1">
        <f t="array" ref="X89">SUMPRODUCT(X42:X87/1000,$AD$42:$AD$87)</f>
        <v>345552.54507199995</v>
      </c>
      <c r="Y89" s="33" cm="1">
        <f t="array" ref="Y89">SUMPRODUCT(Y42:Y87/1000,$AD$42:$AD$87)</f>
        <v>1415023.4384426796</v>
      </c>
      <c r="Z89" s="33" cm="1">
        <f t="array" ref="Z89">SUMPRODUCT(Z42:Z87/1000,$AD$42:$AD$87)</f>
        <v>221866.448244</v>
      </c>
      <c r="AA89" s="33" cm="1">
        <f t="array" ref="AA89">SUMPRODUCT(AA42:AA87/1000,$AD$42:$AD$87)</f>
        <v>92239.566533999998</v>
      </c>
      <c r="AB89" s="33" cm="1">
        <f t="array" ref="AB89">SUMPRODUCT(AB42:AB87/1000,$AD$42:$AD$87)</f>
        <v>0</v>
      </c>
      <c r="AC89" s="28"/>
      <c r="AD89" s="28"/>
    </row>
    <row r="90" spans="3:30">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8"/>
    </row>
    <row r="91" spans="3:30">
      <c r="C91" s="29" t="s">
        <v>599</v>
      </c>
      <c r="D91" s="27"/>
      <c r="E91" s="27"/>
      <c r="F91" s="27"/>
      <c r="G91" s="27"/>
      <c r="H91" s="27"/>
      <c r="I91" s="34" cm="1">
        <f t="array" ref="I91">SUMPRODUCT(I42:I60/1000,$AD$42:$AD$60)</f>
        <v>6589255.5781800002</v>
      </c>
      <c r="J91" s="27"/>
      <c r="K91" s="27"/>
      <c r="L91" s="27"/>
      <c r="M91" s="27"/>
      <c r="N91" s="27"/>
      <c r="O91" s="27"/>
      <c r="P91" s="27"/>
      <c r="Q91" s="27"/>
      <c r="R91" s="27"/>
      <c r="S91" s="27"/>
      <c r="T91" s="27"/>
      <c r="U91" s="27"/>
      <c r="V91" s="27"/>
      <c r="W91" s="27"/>
      <c r="X91" s="27"/>
      <c r="Y91" s="27"/>
      <c r="Z91" s="27"/>
      <c r="AA91" s="27"/>
      <c r="AB91" s="27"/>
      <c r="AC91" s="27"/>
      <c r="AD91" s="28"/>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opLeftCell="A44" workbookViewId="0">
      <selection activeCell="C37" sqref="C37"/>
    </sheetView>
  </sheetViews>
  <sheetFormatPr baseColWidth="10" defaultColWidth="8.83203125" defaultRowHeight="15"/>
  <cols>
    <col min="1" max="1" width="20.5" customWidth="1"/>
    <col min="2" max="2" width="40.33203125" customWidth="1"/>
    <col min="3" max="3" width="19" customWidth="1"/>
    <col min="4" max="4" width="15.6640625" bestFit="1" customWidth="1"/>
    <col min="5" max="5" width="18.33203125" bestFit="1" customWidth="1"/>
    <col min="6" max="6" width="8.6640625" customWidth="1"/>
    <col min="7" max="7" width="14" customWidth="1"/>
    <col min="8" max="8" width="21.33203125" bestFit="1" customWidth="1"/>
  </cols>
  <sheetData>
    <row r="2" spans="2:13">
      <c r="B2" t="s">
        <v>453</v>
      </c>
    </row>
    <row r="4" spans="2:13">
      <c r="B4" s="3"/>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6672.5975302270417</v>
      </c>
      <c r="D7">
        <v>7742.3848287958472</v>
      </c>
      <c r="E7">
        <v>7643.4851394943144</v>
      </c>
      <c r="F7">
        <v>8567.739416328468</v>
      </c>
      <c r="G7">
        <v>10130.85935931421</v>
      </c>
      <c r="H7">
        <v>10679.737454584194</v>
      </c>
      <c r="I7">
        <v>11710.585004116147</v>
      </c>
      <c r="J7">
        <v>11999.952112173976</v>
      </c>
      <c r="K7">
        <v>13527.956132711946</v>
      </c>
      <c r="L7">
        <v>15942.67646575411</v>
      </c>
      <c r="M7">
        <v>10092.181575417504</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v>181437.98905999999</v>
      </c>
      <c r="D9">
        <v>207006.91408000005</v>
      </c>
      <c r="E9">
        <v>209396.04974000002</v>
      </c>
      <c r="F9">
        <v>258235.42006000003</v>
      </c>
      <c r="G9">
        <v>309873.46738000005</v>
      </c>
      <c r="H9">
        <v>339586.74652000004</v>
      </c>
      <c r="I9">
        <v>362535.22353999992</v>
      </c>
      <c r="J9">
        <v>384024.53492000001</v>
      </c>
      <c r="K9">
        <v>434284.92023999989</v>
      </c>
      <c r="L9">
        <v>541482.34190000012</v>
      </c>
      <c r="M9">
        <f>'C_i fra sune'!L2</f>
        <v>319865.49999999994</v>
      </c>
    </row>
    <row r="10" spans="2:13">
      <c r="B10" t="s">
        <v>469</v>
      </c>
      <c r="C10">
        <f t="shared" ref="C10:M10" si="0">C7/C9</f>
        <v>3.6776187637421791E-2</v>
      </c>
      <c r="D10">
        <f t="shared" si="0"/>
        <v>3.7401575996653516E-2</v>
      </c>
      <c r="E10">
        <f t="shared" si="0"/>
        <v>3.6502527860410791E-2</v>
      </c>
      <c r="F10">
        <f t="shared" si="0"/>
        <v>3.3178018005189935E-2</v>
      </c>
      <c r="G10">
        <f t="shared" si="0"/>
        <v>3.2693535993808288E-2</v>
      </c>
      <c r="H10">
        <f t="shared" si="0"/>
        <v>3.1449217509303497E-2</v>
      </c>
      <c r="I10">
        <f t="shared" si="0"/>
        <v>3.2301923354556672E-2</v>
      </c>
      <c r="J10">
        <f t="shared" si="0"/>
        <v>3.1247878770750432E-2</v>
      </c>
      <c r="K10">
        <f t="shared" si="0"/>
        <v>3.1149955944212753E-2</v>
      </c>
      <c r="L10">
        <f t="shared" si="0"/>
        <v>2.9442652570743244E-2</v>
      </c>
      <c r="M10">
        <f t="shared" si="0"/>
        <v>3.155132884108322E-2</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609</v>
      </c>
      <c r="C14" s="39">
        <v>134879.70000000001</v>
      </c>
      <c r="D14" s="39">
        <v>205394.2</v>
      </c>
      <c r="E14" s="39">
        <v>224642</v>
      </c>
      <c r="F14" s="39">
        <v>284338.7</v>
      </c>
      <c r="G14" s="39">
        <v>352153.8</v>
      </c>
      <c r="H14" s="39">
        <v>399167.9</v>
      </c>
      <c r="I14" s="39">
        <v>448211.6</v>
      </c>
      <c r="J14" s="39">
        <v>508761.4</v>
      </c>
      <c r="K14" s="39">
        <v>601053.9</v>
      </c>
      <c r="L14" s="39">
        <v>928150.2</v>
      </c>
      <c r="M14" s="39">
        <v>380105.7</v>
      </c>
    </row>
    <row r="15" spans="2:13">
      <c r="B15" t="s">
        <v>477</v>
      </c>
      <c r="C15">
        <f t="shared" ref="C15:L15" si="1">C14-C7-C8</f>
        <v>126065.6320124215</v>
      </c>
      <c r="D15">
        <f t="shared" si="1"/>
        <v>195242.0617965596</v>
      </c>
      <c r="E15">
        <f t="shared" si="1"/>
        <v>214329.53961340079</v>
      </c>
      <c r="F15">
        <f t="shared" si="1"/>
        <v>272585.05851122562</v>
      </c>
      <c r="G15">
        <f t="shared" si="1"/>
        <v>338072.75577926182</v>
      </c>
      <c r="H15">
        <f t="shared" si="1"/>
        <v>383800.54312415014</v>
      </c>
      <c r="I15">
        <f t="shared" si="1"/>
        <v>431724.50167759316</v>
      </c>
      <c r="J15">
        <f t="shared" si="1"/>
        <v>491286.21599737357</v>
      </c>
      <c r="K15">
        <f t="shared" si="1"/>
        <v>581345.65660233935</v>
      </c>
      <c r="L15">
        <f t="shared" si="1"/>
        <v>904534.12381587783</v>
      </c>
    </row>
    <row r="18" spans="1:12">
      <c r="B18" t="s">
        <v>485</v>
      </c>
      <c r="C18" s="20">
        <f t="shared" ref="C18:L18" si="2">C7/C$14</f>
        <v>4.9470732291271712E-2</v>
      </c>
      <c r="D18" s="20">
        <f t="shared" si="2"/>
        <v>3.7695245672934516E-2</v>
      </c>
      <c r="E18" s="20">
        <f t="shared" si="2"/>
        <v>3.4025182911006466E-2</v>
      </c>
      <c r="F18" s="20">
        <f t="shared" si="2"/>
        <v>3.0132160751696717E-2</v>
      </c>
      <c r="G18" s="20">
        <f t="shared" si="2"/>
        <v>2.8768280675415717E-2</v>
      </c>
      <c r="H18" s="20">
        <f t="shared" si="2"/>
        <v>2.6755000726722246E-2</v>
      </c>
      <c r="I18" s="20">
        <f t="shared" si="2"/>
        <v>2.6127358158771766E-2</v>
      </c>
      <c r="J18" s="20">
        <f t="shared" si="2"/>
        <v>2.3586600933510237E-2</v>
      </c>
      <c r="K18" s="20">
        <f t="shared" si="2"/>
        <v>2.2507059903798886E-2</v>
      </c>
      <c r="L18" s="20">
        <f t="shared" si="2"/>
        <v>1.7176828131647347E-2</v>
      </c>
    </row>
    <row r="19" spans="1:12">
      <c r="B19" t="s">
        <v>484</v>
      </c>
      <c r="C19" s="20">
        <f t="shared" ref="C19:L19" si="3">C8/C$14</f>
        <v>1.5876892203582012E-2</v>
      </c>
      <c r="D19" s="20">
        <f t="shared" si="3"/>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627</v>
      </c>
      <c r="C21">
        <f>AVERAGE(C14:D14)</f>
        <v>170136.95</v>
      </c>
      <c r="D21">
        <f>AVERAGE(E14:F14)</f>
        <v>254490.35</v>
      </c>
      <c r="E21">
        <f>AVERAGE(G14:H14)</f>
        <v>375660.85</v>
      </c>
      <c r="F21">
        <f>AVERAGE(I14:J14)</f>
        <v>478486.5</v>
      </c>
      <c r="G21">
        <f>AVERAGE(K14:L14)</f>
        <v>764602.05</v>
      </c>
    </row>
    <row r="22" spans="1:12">
      <c r="A22" t="s">
        <v>494</v>
      </c>
      <c r="C22">
        <f>'C_i 5 kvintiler'!B2</f>
        <v>201601.05000000002</v>
      </c>
      <c r="D22">
        <f>'C_i 5 kvintiler'!C2</f>
        <v>242698.5</v>
      </c>
      <c r="E22">
        <f>'C_i 5 kvintiler'!D2</f>
        <v>337066.75000000012</v>
      </c>
      <c r="F22">
        <f>'C_i 5 kvintiler'!E2</f>
        <v>387460.95</v>
      </c>
      <c r="G22">
        <f>'C_i 5 kvintiler'!F2</f>
        <v>506418.55000000005</v>
      </c>
    </row>
    <row r="24" spans="1:12">
      <c r="A24" s="3" t="s">
        <v>514</v>
      </c>
    </row>
    <row r="25" spans="1:12">
      <c r="A25" t="s">
        <v>492</v>
      </c>
      <c r="B25" t="s">
        <v>610</v>
      </c>
      <c r="C25">
        <f t="array" ref="C25:G25">MMULT(MMULT(MMULT(T!A3:DM3,MINVERSE('I - A'!A1:DM117)),'C'!B2:AR118),'C_i 5 kvintiler'!B3:G45)</f>
        <v>7207.491179511444</v>
      </c>
      <c r="D25">
        <v>8105.6122779113921</v>
      </c>
      <c r="E25">
        <v>10405.298406949201</v>
      </c>
      <c r="F25">
        <v>11855.268558145059</v>
      </c>
      <c r="G25">
        <v>14735.316299233024</v>
      </c>
    </row>
    <row r="26" spans="1:12">
      <c r="A26" t="s">
        <v>518</v>
      </c>
      <c r="B26" t="s">
        <v>493</v>
      </c>
      <c r="C26" s="20">
        <f>C25/C21</f>
        <v>4.2362879900641477E-2</v>
      </c>
      <c r="D26" s="20">
        <f>D25/D21</f>
        <v>3.1850371842827803E-2</v>
      </c>
      <c r="E26" s="20">
        <f>E25/E21</f>
        <v>2.769865001090532E-2</v>
      </c>
      <c r="F26" s="20">
        <f>F25/F21</f>
        <v>2.4776599879296611E-2</v>
      </c>
      <c r="G26" s="20">
        <f>G25/G21</f>
        <v>1.9271876526139348E-2</v>
      </c>
    </row>
    <row r="27" spans="1:12">
      <c r="A27" t="s">
        <v>451</v>
      </c>
      <c r="B27" t="s">
        <v>493</v>
      </c>
      <c r="C27" s="20">
        <f>C25/C22</f>
        <v>3.5751258138345232E-2</v>
      </c>
      <c r="D27" s="20">
        <f>D25/D22</f>
        <v>3.3397867221723214E-2</v>
      </c>
      <c r="E27" s="20">
        <f>E25/E22</f>
        <v>3.0870141913876697E-2</v>
      </c>
      <c r="F27" s="20">
        <f>F25/F22</f>
        <v>3.0597324861111962E-2</v>
      </c>
      <c r="G27" s="20">
        <f>G25/G22</f>
        <v>2.9097110086573688E-2</v>
      </c>
    </row>
    <row r="28" spans="1:12">
      <c r="A28" s="3" t="s">
        <v>515</v>
      </c>
    </row>
    <row r="29" spans="1:12">
      <c r="A29" t="s">
        <v>492</v>
      </c>
      <c r="B29" t="s">
        <v>472</v>
      </c>
      <c r="C29">
        <f>direkte_skat_kvintiler!$G$13</f>
        <v>1698.7951241139422</v>
      </c>
      <c r="D29">
        <f>direkte_skat_kvintiler!$G$14</f>
        <v>2185.3983477617712</v>
      </c>
      <c r="E29">
        <f>direkte_skat_kvintiler!$G$15</f>
        <v>3224.1569169425375</v>
      </c>
      <c r="F29">
        <f>direkte_skat_kvintiler!$G$16</f>
        <v>3826.5783923515246</v>
      </c>
      <c r="G29">
        <f>direkte_skat_kvintiler!$G$17</f>
        <v>5171.0433867932961</v>
      </c>
    </row>
    <row r="30" spans="1:12">
      <c r="A30" t="s">
        <v>517</v>
      </c>
      <c r="B30" t="s">
        <v>493</v>
      </c>
      <c r="C30">
        <f>C29/C21</f>
        <v>9.9848688019500888E-3</v>
      </c>
      <c r="D30">
        <f>D29/D21</f>
        <v>8.587352517538567E-3</v>
      </c>
      <c r="E30">
        <f>E29/E21</f>
        <v>8.5826269012129891E-3</v>
      </c>
      <c r="F30">
        <f>F29/F21</f>
        <v>7.9972546610019811E-3</v>
      </c>
      <c r="G30">
        <f>G29/G21</f>
        <v>6.7630519520491686E-3</v>
      </c>
    </row>
    <row r="31" spans="1:12">
      <c r="A31" t="s">
        <v>451</v>
      </c>
      <c r="B31" t="s">
        <v>493</v>
      </c>
      <c r="C31">
        <f>C29/C22</f>
        <v>8.4265192275235767E-3</v>
      </c>
      <c r="D31">
        <f>D29/D22</f>
        <v>9.0045811892606308E-3</v>
      </c>
      <c r="E31">
        <f>E29/E22</f>
        <v>9.5653365896889459E-3</v>
      </c>
      <c r="F31">
        <f>F29/F22</f>
        <v>9.8760362621098316E-3</v>
      </c>
      <c r="G31">
        <f>G29/G22</f>
        <v>1.0211007054921855E-2</v>
      </c>
    </row>
    <row r="34" spans="1:16">
      <c r="B34" s="3" t="s">
        <v>606</v>
      </c>
    </row>
    <row r="35" spans="1:16">
      <c r="B35" t="s">
        <v>604</v>
      </c>
      <c r="C35" s="20">
        <f>C26</f>
        <v>4.2362879900641477E-2</v>
      </c>
      <c r="D35" s="20">
        <f>D26</f>
        <v>3.1850371842827803E-2</v>
      </c>
      <c r="E35" s="20">
        <f>E26</f>
        <v>2.769865001090532E-2</v>
      </c>
      <c r="F35" s="20">
        <f>F26</f>
        <v>2.4776599879296611E-2</v>
      </c>
      <c r="G35" s="20">
        <f>G26</f>
        <v>1.9271876526139348E-2</v>
      </c>
    </row>
    <row r="36" spans="1:16">
      <c r="B36" t="s">
        <v>603</v>
      </c>
      <c r="C36" s="20">
        <f>C30</f>
        <v>9.9848688019500888E-3</v>
      </c>
      <c r="D36" s="20">
        <f>D30</f>
        <v>8.587352517538567E-3</v>
      </c>
      <c r="E36" s="20">
        <f>E30</f>
        <v>8.5826269012129891E-3</v>
      </c>
      <c r="F36" s="20">
        <f>F30</f>
        <v>7.9972546610019811E-3</v>
      </c>
      <c r="G36" s="20">
        <f>G30</f>
        <v>6.7630519520491686E-3</v>
      </c>
    </row>
    <row r="37" spans="1:16">
      <c r="B37" t="s">
        <v>602</v>
      </c>
      <c r="C37" s="37">
        <f>C25+C29</f>
        <v>8906.2863036253857</v>
      </c>
      <c r="D37" s="37">
        <f t="shared" ref="D37:G37" si="4">D25+D29</f>
        <v>10291.010625673163</v>
      </c>
      <c r="E37" s="37">
        <f t="shared" si="4"/>
        <v>13629.45532389174</v>
      </c>
      <c r="F37" s="37">
        <f t="shared" si="4"/>
        <v>15681.846950496583</v>
      </c>
      <c r="G37" s="37">
        <f t="shared" si="4"/>
        <v>19906.359686026321</v>
      </c>
    </row>
    <row r="38" spans="1:16">
      <c r="A38" t="s">
        <v>522</v>
      </c>
      <c r="C38" s="20"/>
      <c r="D38" s="20"/>
      <c r="E38" s="20"/>
      <c r="F38" s="20"/>
      <c r="G38" s="20"/>
    </row>
    <row r="39" spans="1:16">
      <c r="A39" t="s">
        <v>519</v>
      </c>
      <c r="B39" t="s">
        <v>520</v>
      </c>
      <c r="C39" s="20">
        <f>C27</f>
        <v>3.5751258138345232E-2</v>
      </c>
      <c r="D39" s="20">
        <f>D27</f>
        <v>3.3397867221723214E-2</v>
      </c>
      <c r="E39" s="20">
        <f>E27</f>
        <v>3.0870141913876697E-2</v>
      </c>
      <c r="F39" s="20">
        <f>F27</f>
        <v>3.0597324861111962E-2</v>
      </c>
      <c r="G39" s="20">
        <f>G27</f>
        <v>2.9097110086573688E-2</v>
      </c>
    </row>
    <row r="40" spans="1:16">
      <c r="B40" t="s">
        <v>521</v>
      </c>
      <c r="C40" s="20">
        <f>C31</f>
        <v>8.4265192275235767E-3</v>
      </c>
      <c r="D40" s="20">
        <f>D31</f>
        <v>9.0045811892606308E-3</v>
      </c>
      <c r="E40" s="20">
        <f>E31</f>
        <v>9.5653365896889459E-3</v>
      </c>
      <c r="F40" s="20">
        <f>F31</f>
        <v>9.8760362621098316E-3</v>
      </c>
      <c r="G40" s="20">
        <f>G31</f>
        <v>1.0211007054921855E-2</v>
      </c>
    </row>
    <row r="42" spans="1:16">
      <c r="B42" t="s">
        <v>605</v>
      </c>
    </row>
    <row r="43" spans="1:16">
      <c r="B43" t="s">
        <v>607</v>
      </c>
      <c r="C43" s="18">
        <f>SUM(C35:C36)</f>
        <v>5.2347748702591568E-2</v>
      </c>
      <c r="D43" s="18">
        <f t="shared" ref="D43:G43" si="5">SUM(D35:D36)</f>
        <v>4.043772436036637E-2</v>
      </c>
      <c r="E43" s="18">
        <f t="shared" si="5"/>
        <v>3.6281276912118313E-2</v>
      </c>
      <c r="F43" s="18">
        <f t="shared" si="5"/>
        <v>3.2773854540298589E-2</v>
      </c>
      <c r="G43" s="18">
        <f t="shared" si="5"/>
        <v>2.6034928478188515E-2</v>
      </c>
    </row>
    <row r="44" spans="1:16">
      <c r="B44" t="s">
        <v>608</v>
      </c>
      <c r="C44" s="38">
        <f>SUM(C39:C40)</f>
        <v>4.4177777365868809E-2</v>
      </c>
      <c r="D44" s="38">
        <f t="shared" ref="D44:G44" si="6">SUM(D39:D40)</f>
        <v>4.2402448410983846E-2</v>
      </c>
      <c r="E44" s="38">
        <f t="shared" si="6"/>
        <v>4.0435478503565644E-2</v>
      </c>
      <c r="F44" s="38">
        <f t="shared" si="6"/>
        <v>4.0473361123221793E-2</v>
      </c>
      <c r="G44" s="38">
        <f t="shared" si="6"/>
        <v>3.9308117141495541E-2</v>
      </c>
      <c r="I44" s="23"/>
      <c r="J44" s="23"/>
      <c r="L44" s="23"/>
      <c r="M44" s="23"/>
      <c r="O44" s="23"/>
      <c r="P44" s="23"/>
    </row>
    <row r="51" spans="3:7">
      <c r="C51" s="20"/>
      <c r="D51" s="20"/>
      <c r="E51" s="20"/>
      <c r="F51" s="20"/>
      <c r="G51" s="20"/>
    </row>
    <row r="52" spans="3:7">
      <c r="C52" s="20"/>
      <c r="D52" s="20"/>
      <c r="E52" s="20"/>
      <c r="F52" s="20"/>
      <c r="G52" s="20"/>
    </row>
  </sheetData>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A11" workbookViewId="0">
      <selection activeCell="C20" sqref="C20"/>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9346.1172296447785</v>
      </c>
      <c r="D6">
        <v>5524.6762048947057</v>
      </c>
      <c r="E6">
        <v>7317.448251418703</v>
      </c>
      <c r="F6">
        <v>9375.8684363144457</v>
      </c>
      <c r="G6">
        <v>11591.695879383829</v>
      </c>
      <c r="H6">
        <v>15028.87222533692</v>
      </c>
    </row>
    <row r="7" spans="2:13">
      <c r="B7" t="s">
        <v>451</v>
      </c>
      <c r="C7">
        <f>C6/c_i!B2</f>
        <v>3.1245795041538328E-2</v>
      </c>
      <c r="D7">
        <f>D6/c_i!C2</f>
        <v>3.6615873363918201E-2</v>
      </c>
      <c r="E7">
        <f>E6/c_i!D2</f>
        <v>3.2698564476701761E-2</v>
      </c>
      <c r="F7">
        <f>F6/c_i!E2</f>
        <v>3.1631417416127815E-2</v>
      </c>
      <c r="G7">
        <f>G6/c_i!F2</f>
        <v>3.0929911918371467E-2</v>
      </c>
      <c r="H7">
        <f>H6/c_i!G2</f>
        <v>2.8401268846472195E-2</v>
      </c>
    </row>
    <row r="8" spans="2:13">
      <c r="B8" t="s">
        <v>450</v>
      </c>
      <c r="D8">
        <f>D6/D10</f>
        <v>2.762338102447353E-2</v>
      </c>
      <c r="E8">
        <f t="shared" ref="E8:H8" si="0">E6/E10</f>
        <v>2.0906995004053436E-2</v>
      </c>
      <c r="F8">
        <f t="shared" si="0"/>
        <v>1.6305858150112078E-2</v>
      </c>
      <c r="G8">
        <f t="shared" si="0"/>
        <v>1.3637289269863328E-2</v>
      </c>
      <c r="H8">
        <f t="shared" si="0"/>
        <v>1.2524060187780767E-2</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6672.5975302270417</v>
      </c>
      <c r="D13">
        <v>7742.3848287958472</v>
      </c>
      <c r="E13">
        <v>7643.4851394943144</v>
      </c>
      <c r="F13">
        <v>8567.739416328468</v>
      </c>
      <c r="G13">
        <v>10130.85935931421</v>
      </c>
      <c r="H13">
        <v>10679.737454584194</v>
      </c>
      <c r="I13">
        <v>11710.585004116147</v>
      </c>
      <c r="J13">
        <v>11999.952112173976</v>
      </c>
      <c r="K13">
        <v>13527.956132711946</v>
      </c>
      <c r="L13">
        <v>15942.67646575411</v>
      </c>
      <c r="M13">
        <v>10092.181575417504</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3.5430179169892155E-2</v>
      </c>
      <c r="D16">
        <f t="shared" si="1"/>
        <v>3.6032678315176009E-2</v>
      </c>
      <c r="E16">
        <f t="shared" si="1"/>
        <v>3.5166535340719757E-2</v>
      </c>
      <c r="F16">
        <f t="shared" si="1"/>
        <v>3.1963702546199971E-2</v>
      </c>
      <c r="G16">
        <f t="shared" si="1"/>
        <v>3.1496952576434922E-2</v>
      </c>
      <c r="H16">
        <f t="shared" si="1"/>
        <v>3.0298176148462995E-2</v>
      </c>
      <c r="I16">
        <f t="shared" si="1"/>
        <v>3.1119672959779906E-2</v>
      </c>
      <c r="J16">
        <f t="shared" si="1"/>
        <v>3.010420640774096E-2</v>
      </c>
      <c r="K16">
        <f t="shared" si="1"/>
        <v>3.0009867556654562E-2</v>
      </c>
      <c r="L16">
        <f t="shared" si="1"/>
        <v>2.8365051486654039E-2</v>
      </c>
      <c r="M16">
        <f t="shared" si="1"/>
        <v>3.155132884108322E-2</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67038.932012421486</v>
      </c>
      <c r="D21">
        <f t="shared" ref="D21:L21" si="2">D20-D13-D14</f>
        <v>134347.86179655959</v>
      </c>
      <c r="E21">
        <f t="shared" si="2"/>
        <v>160979.53961340079</v>
      </c>
      <c r="F21">
        <f t="shared" si="2"/>
        <v>183889.35851122567</v>
      </c>
      <c r="G21">
        <f t="shared" si="2"/>
        <v>207355.95577926183</v>
      </c>
      <c r="H21">
        <f t="shared" si="2"/>
        <v>232758.64312415011</v>
      </c>
      <c r="I21">
        <f t="shared" si="2"/>
        <v>261287.90167759318</v>
      </c>
      <c r="J21">
        <f t="shared" si="2"/>
        <v>296731.81599737355</v>
      </c>
      <c r="K21">
        <f t="shared" si="2"/>
        <v>348363.75660233927</v>
      </c>
      <c r="L21">
        <f t="shared" si="2"/>
        <v>591937.92381587788</v>
      </c>
    </row>
    <row r="23" spans="2:13">
      <c r="B23" t="s">
        <v>473</v>
      </c>
      <c r="C23" cm="1">
        <f t="array" ref="C23">AVERAGE(ABS(C20:L20-TRANSPOSE(C20:L20)))/AVERAGE(C20:L20)/2</f>
        <v>0.28148483983986072</v>
      </c>
    </row>
    <row r="24" spans="2:13">
      <c r="B24" t="s">
        <v>475</v>
      </c>
      <c r="C24" cm="1">
        <f t="array" ref="C24">AVERAGE(ABS(C21:L21-TRANSPOSE(C21:L21)))/AVERAGE(C21:L21)/2</f>
        <v>0.28810664600876806</v>
      </c>
    </row>
    <row r="26" spans="2:13">
      <c r="B26" t="s">
        <v>486</v>
      </c>
      <c r="C26" cm="1">
        <f t="array" ref="C26">AVERAGE(ABS(C15:L15-TRANSPOSE(C15:L15)))/AVERAGE(C15:L15)/2</f>
        <v>0.18734063980342466</v>
      </c>
    </row>
    <row r="28" spans="2:13">
      <c r="B28" t="s">
        <v>485</v>
      </c>
      <c r="C28">
        <f>C13/C$20</f>
        <v>8.7967483556708914E-2</v>
      </c>
      <c r="D28">
        <f t="shared" ref="D28:L29" si="3">D13/D$20</f>
        <v>5.3580517846338042E-2</v>
      </c>
      <c r="E28">
        <f t="shared" si="3"/>
        <v>4.4622545941983949E-2</v>
      </c>
      <c r="F28">
        <f t="shared" si="3"/>
        <v>4.3792721519954551E-2</v>
      </c>
      <c r="G28">
        <f t="shared" si="3"/>
        <v>4.575052660266446E-2</v>
      </c>
      <c r="H28">
        <f t="shared" si="3"/>
        <v>4.3041589573781847E-2</v>
      </c>
      <c r="I28">
        <f t="shared" si="3"/>
        <v>4.2158527600094128E-2</v>
      </c>
      <c r="J28">
        <f t="shared" si="3"/>
        <v>3.8191230978857814E-2</v>
      </c>
      <c r="K28">
        <f t="shared" si="3"/>
        <v>3.6753559446825478E-2</v>
      </c>
      <c r="L28">
        <f t="shared" si="3"/>
        <v>2.5899720358821664E-2</v>
      </c>
    </row>
    <row r="29" spans="2:13">
      <c r="B29" t="s">
        <v>484</v>
      </c>
      <c r="C29">
        <f>C14/C$20</f>
        <v>2.8231849199787495E-2</v>
      </c>
      <c r="D29">
        <f t="shared" si="3"/>
        <v>1.6676493942176848E-2</v>
      </c>
      <c r="E29">
        <f t="shared" si="3"/>
        <v>1.5581435485048209E-2</v>
      </c>
      <c r="F29">
        <f t="shared" si="3"/>
        <v>1.6284263032390011E-2</v>
      </c>
      <c r="G29">
        <f t="shared" si="3"/>
        <v>1.7838865507679255E-2</v>
      </c>
      <c r="H29">
        <f t="shared" si="3"/>
        <v>1.8892092812787444E-2</v>
      </c>
      <c r="I29">
        <f t="shared" si="3"/>
        <v>1.719561990204535E-2</v>
      </c>
      <c r="J29">
        <f t="shared" si="3"/>
        <v>1.7425556688592244E-2</v>
      </c>
      <c r="K29">
        <f t="shared" si="3"/>
        <v>1.679097368164045E-2</v>
      </c>
      <c r="L29">
        <f t="shared" si="3"/>
        <v>1.2465843318974294E-2</v>
      </c>
    </row>
    <row r="32" spans="2:13">
      <c r="B32" t="s">
        <v>516</v>
      </c>
    </row>
    <row r="33" spans="2:12">
      <c r="B33" t="s">
        <v>450</v>
      </c>
      <c r="C33">
        <f>SUM(C28:C29)</f>
        <v>0.11619933275649641</v>
      </c>
      <c r="D33">
        <f t="shared" ref="D33:K33" si="4">SUM(D28:D29)</f>
        <v>7.0257011788514886E-2</v>
      </c>
      <c r="E33">
        <f t="shared" si="4"/>
        <v>6.0203981427032156E-2</v>
      </c>
      <c r="F33">
        <f t="shared" si="4"/>
        <v>6.0076984552344559E-2</v>
      </c>
      <c r="G33">
        <f t="shared" si="4"/>
        <v>6.3589392110343715E-2</v>
      </c>
      <c r="H33">
        <f t="shared" si="4"/>
        <v>6.1933682386569294E-2</v>
      </c>
      <c r="I33">
        <f t="shared" si="4"/>
        <v>5.9354147502139479E-2</v>
      </c>
      <c r="J33">
        <f t="shared" si="4"/>
        <v>5.5616787667450054E-2</v>
      </c>
      <c r="K33">
        <f t="shared" si="4"/>
        <v>5.3544533128465924E-2</v>
      </c>
      <c r="L33">
        <f>SUM(L28:L29)</f>
        <v>3.8365563677795957E-2</v>
      </c>
    </row>
    <row r="34" spans="2:12">
      <c r="B34" t="s">
        <v>451</v>
      </c>
      <c r="C34">
        <f>SUM(C16:C17)</f>
        <v>4.6800965681035457E-2</v>
      </c>
      <c r="D34">
        <f t="shared" ref="D34:L34" si="5">SUM(D16:D17)</f>
        <v>4.7247552037873855E-2</v>
      </c>
      <c r="E34">
        <f t="shared" si="5"/>
        <v>4.7446092458695591E-2</v>
      </c>
      <c r="F34">
        <f t="shared" si="5"/>
        <v>4.384936120557837E-2</v>
      </c>
      <c r="G34">
        <f t="shared" si="5"/>
        <v>4.3778120524347708E-2</v>
      </c>
      <c r="H34">
        <f t="shared" si="5"/>
        <v>4.3596847538694652E-2</v>
      </c>
      <c r="I34">
        <f t="shared" si="5"/>
        <v>4.3812764918976774E-2</v>
      </c>
      <c r="J34">
        <f t="shared" si="5"/>
        <v>4.3839887135434033E-2</v>
      </c>
      <c r="K34">
        <f t="shared" si="5"/>
        <v>4.3719965406152111E-2</v>
      </c>
      <c r="L34">
        <f t="shared" si="5"/>
        <v>4.2017487986680993E-2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2</vt:i4>
      </vt:variant>
    </vt:vector>
  </HeadingPairs>
  <TitlesOfParts>
    <vt:vector size="15"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lpstr>incomeandtotexp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2020-04-23T14:12:38Z</cp:lastPrinted>
  <dcterms:created xsi:type="dcterms:W3CDTF">2020-02-20T13:17:09Z</dcterms:created>
  <dcterms:modified xsi:type="dcterms:W3CDTF">2020-05-05T14:00:27Z</dcterms:modified>
</cp:coreProperties>
</file>